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Interaction" sheetId="4" state="visible" r:id="rId4"/>
    <sheet xmlns:r="http://schemas.openxmlformats.org/officeDocument/2006/relationships" name="NDP" sheetId="5" state="visible" r:id="rId5"/>
  </sheets>
  <definedNames>
    <definedName name="NA_sel">'Calculation'!$E$11</definedName>
    <definedName name="conc_class">'Calculation'!$E$12</definedName>
    <definedName name="f_yk">'Calculation'!$E$13</definedName>
    <definedName name="d_g">'Calculation'!$E$14</definedName>
    <definedName name="b_col">'Calculation'!$E$15</definedName>
    <definedName name="h_col">'Calculation'!$E$16</definedName>
    <definedName name="c_nom">'Calculation'!$E$17</definedName>
    <definedName name="phi_w">'Calculation'!$E$18</definedName>
    <definedName name="s_w">'Calculation'!$E$19</definedName>
    <definedName name="ties">'Calculation'!$E$20</definedName>
    <definedName name="phi_c">'Calculation'!$E$21</definedName>
    <definedName name="n_b">'Calculation'!$E$22</definedName>
    <definedName name="n_h">'Calculation'!$E$23</definedName>
    <definedName name="d_1">c_nom+phi_w+phi_c/2</definedName>
    <definedName name="n_bar">2*n_b+2*(n_h-2)</definedName>
    <definedName name="N_Ed">'Calculation'!$E$26</definedName>
    <definedName name="M_02">'Calculation'!$E$27</definedName>
    <definedName name="M_01">'Calculation'!$E$28</definedName>
    <definedName name="bracing">'Calculation'!$E$29</definedName>
    <definedName name="l_col">'Calculation'!$E$30</definedName>
    <definedName name="l_0">'Calculation'!$E$31</definedName>
    <definedName name="phi_ef">'Calculation'!$E$32</definedName>
    <definedName name="c_curv">'Calculation'!$E$33</definedName>
    <definedName name="inputs_ok">IFERROR(AND(OR(NA_sel="UK NA (BS EN)",NA_sel="PL NA (PN-EN)"),OR(conc_class="C20/25",conc_class="C25/30",conc_class="C28/35",conc_class="C30/37",conc_class="C32/40",conc_class="C35/45",conc_class="C40/50",conc_class="C45/55",conc_class="C50/60"),ISNUMBER(f_yk),f_yk&gt;0,ISNUMBER(d_g),d_g&gt;0,ISNUMBER(b_col),b_col&gt;0,ISNUMBER(h_col),h_col&gt;0,ISNUMBER(c_nom),c_nom&gt;0,OR(AND(ISNUMBER(phi_w),phi_w=6),AND(ISNUMBER(phi_w),phi_w=8),AND(ISNUMBER(phi_w),phi_w=10),AND(ISNUMBER(phi_w),phi_w=12)),ISNUMBER(s_w),s_w&gt;0,OR(ties="Corner bars only",ties="Alternate bars",ties="Every bar"),OR(AND(ISNUMBER(phi_c),phi_c=6),AND(ISNUMBER(phi_c),phi_c=8),AND(ISNUMBER(phi_c),phi_c=10),AND(ISNUMBER(phi_c),phi_c=12),AND(ISNUMBER(phi_c),phi_c=16),AND(ISNUMBER(phi_c),phi_c=20),AND(ISNUMBER(phi_c),phi_c=25),AND(ISNUMBER(phi_c),phi_c=32),AND(ISNUMBER(phi_c),phi_c=40)),OR(AND(ISNUMBER(n_b),n_b=2),AND(ISNUMBER(n_b),n_b=3),AND(ISNUMBER(n_b),n_b=4),AND(ISNUMBER(n_b),n_b=5),AND(ISNUMBER(n_b),n_b=6),AND(ISNUMBER(n_b),n_b=7),AND(ISNUMBER(n_b),n_b=8),AND(ISNUMBER(n_b),n_b=9),AND(ISNUMBER(n_b),n_b=10)),OR(AND(ISNUMBER(n_h),n_h=2),AND(ISNUMBER(n_h),n_h=3),AND(ISNUMBER(n_h),n_h=4),AND(ISNUMBER(n_h),n_h=5),AND(ISNUMBER(n_h),n_h=6),AND(ISNUMBER(n_h),n_h=7),AND(ISNUMBER(n_h),n_h=8),AND(ISNUMBER(n_h),n_h=9),AND(ISNUMBER(n_h),n_h=10)),ISNUMBER(N_Ed),N_Ed&gt;0,ISNUMBER(M_02),M_02&gt;=0,ISNUMBER(M_01),M_01&gt;=-100000,OR(bracing="Braced",bracing="Unbraced"),ISNUMBER(l_col),l_col&gt;0,ISNUMBER(l_0),l_0&gt;0,ISNUMBER(phi_ef),phi_ef&gt;=0,OR(AND(ISNUMBER(c_curv),c_curv=10),AND(ISNUMBER(c_curv),c_curv=9),AND(ISNUMBER(c_curv),c_curv=8)),AND(f_yk&gt;=400,f_yk&lt;=500,ABS(M_01)&lt;=M_02,MAX(b_col,h_col)&lt;=4*MIN(b_col,h_col),b_col&gt;2*(c_nom+phi_w)+n_b*phi_c,h_col&gt;2*(c_nom+phi_w)+n_h*phi_c)),FALSE)</definedName>
    <definedName name="input_status">'Calculation'!$G$34</definedName>
    <definedName name="res_ok">IF(AND(inputs_ok,N_Ed&lt;=N_Rdmax),IF(ISNUMBER(M_Rd),M_Rd&gt;0,FALSE),FALSE)</definedName>
    <definedName name="bend_status">'Calculation'!$G$58</definedName>
    <definedName name="axial_status">'Calculation'!$G$59</definedName>
    <definedName name="slender_status">'Calculation'!$G$60</definedName>
    <definedName name="det_ok">AND(A_sc&gt;=A_smin,A_sc&lt;=A_smax,phi_c&gt;=phi_min_col,gap_b&gt;=gap_min,gap_h&gt;=gap_min,phi_w&gt;=phi_wmin,s_w&lt;=s_wmax,free_max&lt;=150)</definedName>
    <definedName name="detail_status">'Calculation'!$G$61</definedName>
    <definedName name="gamma_c">'Calculation'!$E$85</definedName>
    <definedName name="gamma_s">'Calculation'!$E$86</definedName>
    <definedName name="alpha_cc">'Calculation'!$E$87</definedName>
    <definedName name="phi_min_col">'Calculation'!$E$88</definedName>
    <definedName name="f_ck">'Calculation'!$E$89</definedName>
    <definedName name="f_ctm">'Calculation'!$E$90</definedName>
    <definedName name="f_cd">'Calculation'!$E$91</definedName>
    <definedName name="f_yd">'Calculation'!$E$92</definedName>
    <definedName name="E_s">'Calculation'!$E$93</definedName>
    <definedName name="A_c">'Calculation'!$E$94</definedName>
    <definedName name="A_sc">'Calculation'!$E$96</definedName>
    <definedName name="i_s">'Calculation'!$E$98</definedName>
    <definedName name="omega">'Calculation'!$E$99</definedName>
    <definedName name="n_rel">'Calculation'!$E$100</definedName>
    <definedName name="i_c">'Calculation'!$E$103</definedName>
    <definedName name="lam">'Calculation'!$E$104</definedName>
    <definedName name="A_lam">'Calculation'!$E$105</definedName>
    <definedName name="B_lam">'Calculation'!$E$106</definedName>
    <definedName name="r_m">'Calculation'!$E$107</definedName>
    <definedName name="C_lam">'Calculation'!$E$108</definedName>
    <definedName name="lam_lim">'Calculation'!$E$109</definedName>
    <definedName name="slender">lam&gt;lam_lim</definedName>
    <definedName name="alpha_h">'Calculation'!$E$110</definedName>
    <definedName name="theta_i">'Calculation'!$E$111</definedName>
    <definedName name="e_i">'Calculation'!$E$112</definedName>
    <definedName name="M_02i">'Calculation'!$E$113</definedName>
    <definedName name="M_01i">'Calculation'!$E$114</definedName>
    <definedName name="e_0">'Calculation'!$E$115</definedName>
    <definedName name="K_r">'Calculation'!$E$116</definedName>
    <definedName name="beta_c">'Calculation'!$E$117</definedName>
    <definedName name="K_phi">'Calculation'!$E$118</definedName>
    <definedName name="d_c">'Calculation'!$E$119</definedName>
    <definedName name="curv">'Calculation'!$E$120</definedName>
    <definedName name="e_2">'Calculation'!$E$121</definedName>
    <definedName name="M_2">'Calculation'!$E$122</definedName>
    <definedName name="M_0e">'Calculation'!$E$123</definedName>
    <definedName name="M_Ed">'Calculation'!$E$124</definedName>
    <definedName name="N_Rdmax">'Calculation'!$E$127</definedName>
    <definedName name="N_Rdmin">'Calculation'!$E$128</definedName>
    <definedName name="M_pk">'Calculation'!$E$129</definedName>
    <definedName name="x_Ed">'Calculation'!$E$130</definedName>
    <definedName name="M_Rd">'Calculation'!$E$132</definedName>
    <definedName name="A_smin">'Calculation'!$E$137</definedName>
    <definedName name="A_smax">'Calculation'!$E$138</definedName>
    <definedName name="gap_min">'Calculation'!$E$139</definedName>
    <definedName name="gap_b">'Calculation'!$E$140</definedName>
    <definedName name="gap_h">'Calculation'!$E$141</definedName>
    <definedName name="phi_wmin">'Calculation'!$E$142</definedName>
    <definedName name="s_wmax">'Calculation'!$E$143</definedName>
    <definedName name="free_max">'Calculation'!$E$144</definedName>
    <definedName name="nm_N">'Interaction'!$E$10:$E$48</definedName>
    <definedName name="nm_M">'Interaction'!$F$10:$F$48</definedName>
    <definedName name="nm_x">'Interaction'!$C$10:$C$48</definedName>
    <definedName name="nm_rows">39</definedName>
    <definedName name="bis_N">'Interaction'!$G$112</definedName>
    <definedName name="bis_M">'Interaction'!$H$112</definedName>
    <definedName name="bis_x">'Interaction'!$E$112</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'Calculation'!$A$1:$H$155</definedName>
    <definedName name="_xlnm.Print_Area" localSheetId="3">'Interaction'!$A$1:$H$112</definedName>
    <definedName name="_xlnm.Print_Area" localSheetId="4">'NDP'!$A$1:$G$29</definedName>
  </definedNames>
  <calcPr calcId="124519" fullCalcOnLoad="1"/>
</workbook>
</file>

<file path=xl/styles.xml><?xml version="1.0" encoding="utf-8"?>
<styleSheet xmlns="http://schemas.openxmlformats.org/spreadsheetml/2006/main">
  <numFmts count="8">
    <numFmt numFmtId="164" formatCode="dd mmm yyyy"/>
    <numFmt numFmtId="165" formatCode="0.0"/>
    <numFmt numFmtId="166" formatCode="0.000"/>
    <numFmt numFmtId="167" formatCode="0.00000"/>
    <numFmt numFmtId="168" formatCode="[&gt;=1E9]&quot;uniform&quot;;0"/>
    <numFmt numFmtId="169" formatCode="0;;0;@"/>
    <numFmt numFmtId="170" formatCode="0.000000"/>
    <numFmt numFmtId="171" formatCode="[&gt;=1E9]&quot;uniform&quot;;0.0"/>
  </numFmts>
  <fonts count="24">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i val="1"/>
      <color rgb="009A9A9A"/>
      <sz val="8.5"/>
    </font>
    <font>
      <name val="Calibri"/>
      <b val="1"/>
      <color rgb="008A8A8A"/>
      <sz val="9"/>
    </font>
    <font>
      <name val="Calibri"/>
      <color rgb="002B2B2B"/>
      <sz val="9.5"/>
    </font>
    <font>
      <name val="Calibri"/>
      <color rgb="002B2B2B"/>
      <sz val="9"/>
    </font>
    <font>
      <name val="Calibri"/>
      <b val="1"/>
      <color rgb="002B2B2B"/>
      <sz val="16"/>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68">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 fontId="12" fillId="3" borderId="1" applyAlignment="1" applyProtection="1" pivotButton="0" quotePrefix="0" xfId="0">
      <alignment horizontal="center" vertical="center"/>
      <protection locked="0" hidden="0"/>
    </xf>
    <xf numFmtId="165"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65" fontId="17" fillId="4" borderId="0" applyAlignment="1" pivotButton="0" quotePrefix="0" xfId="0">
      <alignment horizontal="center" vertical="center"/>
    </xf>
    <xf numFmtId="1" fontId="17" fillId="4" borderId="0" applyAlignment="1" pivotButton="0" quotePrefix="0" xfId="0">
      <alignment horizontal="center" vertical="center"/>
    </xf>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167" fontId="5" fillId="0" borderId="1" applyAlignment="1" pivotButton="0" quotePrefix="0" xfId="0">
      <alignment horizontal="center" vertical="center"/>
    </xf>
    <xf numFmtId="11" fontId="5" fillId="0" borderId="1" applyAlignment="1" pivotButton="0" quotePrefix="0" xfId="0">
      <alignment horizontal="center" vertical="center"/>
    </xf>
    <xf numFmtId="165" fontId="12" fillId="0" borderId="1" applyAlignment="1" pivotButton="0" quotePrefix="0" xfId="0">
      <alignment horizontal="center" vertical="center"/>
    </xf>
    <xf numFmtId="168" fontId="5" fillId="0" borderId="1" applyAlignment="1" pivotButton="0" quotePrefix="0" xfId="0">
      <alignment horizontal="center" vertical="center"/>
    </xf>
    <xf numFmtId="0" fontId="18" fillId="0" borderId="0" applyAlignment="1" pivotButton="0" quotePrefix="0" xfId="0">
      <alignment vertical="top" wrapText="1"/>
    </xf>
    <xf numFmtId="0" fontId="10" fillId="0" borderId="0" pivotButton="0" quotePrefix="0" xfId="0"/>
    <xf numFmtId="0" fontId="19" fillId="0" borderId="0" applyAlignment="1" pivotButton="0" quotePrefix="0" xfId="0">
      <alignment vertical="top" wrapText="1"/>
    </xf>
    <xf numFmtId="0" fontId="20" fillId="0" borderId="2" applyAlignment="1" pivotButton="0" quotePrefix="0" xfId="0">
      <alignment horizontal="center"/>
    </xf>
    <xf numFmtId="1" fontId="21" fillId="0" borderId="1" applyAlignment="1" pivotButton="0" quotePrefix="0" xfId="0">
      <alignment horizontal="center"/>
    </xf>
    <xf numFmtId="169" fontId="21" fillId="0" borderId="1" applyAlignment="1" pivotButton="0" quotePrefix="0" xfId="0">
      <alignment horizontal="center"/>
    </xf>
    <xf numFmtId="165" fontId="21" fillId="0" borderId="1" applyAlignment="1" pivotButton="0" quotePrefix="0" xfId="0">
      <alignment horizontal="center"/>
    </xf>
    <xf numFmtId="168" fontId="21" fillId="0" borderId="1" applyAlignment="1" pivotButton="0" quotePrefix="0" xfId="0">
      <alignment horizontal="center"/>
    </xf>
    <xf numFmtId="0" fontId="19" fillId="0" borderId="0" pivotButton="0" quotePrefix="0" xfId="0"/>
    <xf numFmtId="1" fontId="22" fillId="0" borderId="0" applyAlignment="1" pivotButton="0" quotePrefix="0" xfId="0">
      <alignment horizontal="center"/>
    </xf>
    <xf numFmtId="170" fontId="22" fillId="0" borderId="0" applyAlignment="1" pivotButton="0" quotePrefix="0" xfId="0">
      <alignment horizontal="center"/>
    </xf>
    <xf numFmtId="171" fontId="22" fillId="0" borderId="0" applyAlignment="1" pivotButton="0" quotePrefix="0" xfId="0">
      <alignment horizontal="center"/>
    </xf>
    <xf numFmtId="165" fontId="22" fillId="0" borderId="0" applyAlignment="1" pivotButton="0" quotePrefix="0" xfId="0">
      <alignment horizontal="center"/>
    </xf>
    <xf numFmtId="0" fontId="23"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
  <chart>
    <plotArea>
      <scatterChart>
        <scatterStyle val="lineMarker"/>
        <ser>
          <idx val="0"/>
          <order val="0"/>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'Geometry'!$A$3:$A$7</f>
            </numRef>
          </xVal>
          <yVal>
            <numRef>
              <f>'Geometry'!$B$3:$B$7</f>
            </numRef>
          </yVal>
          <smooth val="0"/>
        </ser>
        <ser>
          <idx val="1"/>
          <order val="1"/>
          <tx>
            <v>link</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bar top 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'Geometry'!$G$3:$G$19</f>
            </numRef>
          </xVal>
          <yVal>
            <numRef>
              <f>'Geometry'!$H$3:$H$19</f>
            </numRef>
          </yVal>
          <smooth val="0"/>
        </ser>
        <ser>
          <idx val="3"/>
          <order val="3"/>
          <tx>
            <v>bar bottom 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'Geometry'!$J$3:$J$19</f>
            </numRef>
          </xVal>
          <yVal>
            <numRef>
              <f>'Geometry'!$K$3:$K$19</f>
            </numRef>
          </yVal>
          <smooth val="0"/>
        </ser>
        <ser>
          <idx val="4"/>
          <order val="4"/>
          <tx>
            <v>bar top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'Geometry'!$M$3:$M$19</f>
            </numRef>
          </xVal>
          <yVal>
            <numRef>
              <f>'Geometry'!$N$3:$N$19</f>
            </numRef>
          </yVal>
          <smooth val="0"/>
        </ser>
        <ser>
          <idx val="5"/>
          <order val="5"/>
          <tx>
            <v>bar bottom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'Geometry'!$P$3:$P$19</f>
            </numRef>
          </xVal>
          <yVal>
            <numRef>
              <f>'Geometry'!$Q$3:$Q$19</f>
            </numRef>
          </yVal>
          <smooth val="0"/>
        </ser>
        <ser>
          <idx val="6"/>
          <order val="6"/>
          <tx>
            <v>bar top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'Geometry'!$S$3:$S$19</f>
            </numRef>
          </xVal>
          <yVal>
            <numRef>
              <f>'Geometry'!$T$3:$T$19</f>
            </numRef>
          </yVal>
          <smooth val="0"/>
        </ser>
        <ser>
          <idx val="7"/>
          <order val="7"/>
          <tx>
            <v>bar bottom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'Geometry'!$V$3:$V$19</f>
            </numRef>
          </xVal>
          <yVal>
            <numRef>
              <f>'Geometry'!$W$3:$W$19</f>
            </numRef>
          </yVal>
          <smooth val="0"/>
        </ser>
        <ser>
          <idx val="8"/>
          <order val="8"/>
          <tx>
            <v>bar top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'Geometry'!$Y$3:$Y$19</f>
            </numRef>
          </xVal>
          <yVal>
            <numRef>
              <f>'Geometry'!$Z$3:$Z$19</f>
            </numRef>
          </yVal>
          <smooth val="0"/>
        </ser>
        <ser>
          <idx val="9"/>
          <order val="9"/>
          <tx>
            <v>bar bottom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'Geometry'!$AB$3:$AB$19</f>
            </numRef>
          </xVal>
          <yVal>
            <numRef>
              <f>'Geometry'!$AC$3:$AC$19</f>
            </numRef>
          </yVal>
          <smooth val="0"/>
        </ser>
        <ser>
          <idx val="10"/>
          <order val="10"/>
          <tx>
            <v>bar top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'Geometry'!$AE$3:$AE$19</f>
            </numRef>
          </xVal>
          <yVal>
            <numRef>
              <f>'Geometry'!$AF$3:$AF$19</f>
            </numRef>
          </yVal>
          <smooth val="0"/>
        </ser>
        <ser>
          <idx val="11"/>
          <order val="11"/>
          <tx>
            <v>bar bottom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'Geometry'!$AH$3:$AH$19</f>
            </numRef>
          </xVal>
          <yVal>
            <numRef>
              <f>'Geometry'!$AI$3:$AI$19</f>
            </numRef>
          </yVal>
          <smooth val="0"/>
        </ser>
        <ser>
          <idx val="12"/>
          <order val="12"/>
          <tx>
            <v>bar top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'Geometry'!$AK$3:$AK$19</f>
            </numRef>
          </xVal>
          <yVal>
            <numRef>
              <f>'Geometry'!$AL$3:$AL$19</f>
            </numRef>
          </yVal>
          <smooth val="0"/>
        </ser>
        <ser>
          <idx val="13"/>
          <order val="13"/>
          <tx>
            <v>bar bottom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'Geometry'!$AN$3:$AN$19</f>
            </numRef>
          </xVal>
          <yVal>
            <numRef>
              <f>'Geometry'!$AO$3:$AO$19</f>
            </numRef>
          </yVal>
          <smooth val="0"/>
        </ser>
        <ser>
          <idx val="14"/>
          <order val="14"/>
          <tx>
            <v>bar top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'Geometry'!$AQ$3:$AQ$19</f>
            </numRef>
          </xVal>
          <yVal>
            <numRef>
              <f>'Geometry'!$AR$3:$AR$19</f>
            </numRef>
          </yVal>
          <smooth val="0"/>
        </ser>
        <ser>
          <idx val="15"/>
          <order val="15"/>
          <tx>
            <v>bar bottom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'Geometry'!$AT$3:$AT$19</f>
            </numRef>
          </xVal>
          <yVal>
            <numRef>
              <f>'Geometry'!$AU$3:$AU$19</f>
            </numRef>
          </yVal>
          <smooth val="0"/>
        </ser>
        <ser>
          <idx val="16"/>
          <order val="16"/>
          <tx>
            <v>bar top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'Geometry'!$AW$3:$AW$19</f>
            </numRef>
          </xVal>
          <yVal>
            <numRef>
              <f>'Geometry'!$AX$3:$AX$19</f>
            </numRef>
          </yVal>
          <smooth val="0"/>
        </ser>
        <ser>
          <idx val="17"/>
          <order val="17"/>
          <tx>
            <v>bar bottom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'Geometry'!$AZ$3:$AZ$19</f>
            </numRef>
          </xVal>
          <yVal>
            <numRef>
              <f>'Geometry'!$BA$3:$BA$19</f>
            </numRef>
          </yVal>
          <smooth val="0"/>
        </ser>
        <ser>
          <idx val="18"/>
          <order val="18"/>
          <tx>
            <v>bar top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'Geometry'!$BC$3:$BC$19</f>
            </numRef>
          </xVal>
          <yVal>
            <numRef>
              <f>'Geometry'!$BD$3:$BD$19</f>
            </numRef>
          </yVal>
          <smooth val="0"/>
        </ser>
        <ser>
          <idx val="19"/>
          <order val="19"/>
          <tx>
            <v>bar bottom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'Geometry'!$BF$3:$BF$19</f>
            </numRef>
          </xVal>
          <yVal>
            <numRef>
              <f>'Geometry'!$BG$3:$BG$19</f>
            </numRef>
          </yVal>
          <smooth val="0"/>
        </ser>
        <ser>
          <idx val="20"/>
          <order val="20"/>
          <tx>
            <v>bar top 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'Geometry'!$BI$3:$BI$19</f>
            </numRef>
          </xVal>
          <yVal>
            <numRef>
              <f>'Geometry'!$BJ$3:$BJ$19</f>
            </numRef>
          </yVal>
          <smooth val="0"/>
        </ser>
        <ser>
          <idx val="21"/>
          <order val="21"/>
          <tx>
            <v>bar bottom 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'Geometry'!$BL$3:$BL$19</f>
            </numRef>
          </xVal>
          <yVal>
            <numRef>
              <f>'Geometry'!$BM$3:$BM$19</f>
            </numRef>
          </yVal>
          <smooth val="0"/>
        </ser>
        <ser>
          <idx val="22"/>
          <order val="22"/>
          <tx>
            <v>bar left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'Geometry'!$BO$3:$BO$19</f>
            </numRef>
          </xVal>
          <yVal>
            <numRef>
              <f>'Geometry'!$BP$3:$BP$19</f>
            </numRef>
          </yVal>
          <smooth val="0"/>
        </ser>
        <ser>
          <idx val="23"/>
          <order val="23"/>
          <tx>
            <v>bar right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'Geometry'!$BR$3:$BR$19</f>
            </numRef>
          </xVal>
          <yVal>
            <numRef>
              <f>'Geometry'!$BS$3:$BS$19</f>
            </numRef>
          </yVal>
          <smooth val="0"/>
        </ser>
        <ser>
          <idx val="24"/>
          <order val="24"/>
          <tx>
            <v>bar left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'Geometry'!$BU$3:$BU$19</f>
            </numRef>
          </xVal>
          <yVal>
            <numRef>
              <f>'Geometry'!$BV$3:$BV$19</f>
            </numRef>
          </yVal>
          <smooth val="0"/>
        </ser>
        <ser>
          <idx val="25"/>
          <order val="25"/>
          <tx>
            <v>bar right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'Geometry'!$BX$3:$BX$19</f>
            </numRef>
          </xVal>
          <yVal>
            <numRef>
              <f>'Geometry'!$BY$3:$BY$19</f>
            </numRef>
          </yVal>
          <smooth val="0"/>
        </ser>
        <ser>
          <idx val="26"/>
          <order val="26"/>
          <tx>
            <v>bar left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'Geometry'!$CA$3:$CA$19</f>
            </numRef>
          </xVal>
          <yVal>
            <numRef>
              <f>'Geometry'!$CB$3:$CB$19</f>
            </numRef>
          </yVal>
          <smooth val="0"/>
        </ser>
        <ser>
          <idx val="27"/>
          <order val="27"/>
          <tx>
            <v>bar right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'Geometry'!$CD$3:$CD$19</f>
            </numRef>
          </xVal>
          <yVal>
            <numRef>
              <f>'Geometry'!$CE$3:$CE$19</f>
            </numRef>
          </yVal>
          <smooth val="0"/>
        </ser>
        <ser>
          <idx val="28"/>
          <order val="28"/>
          <tx>
            <v>bar left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'Geometry'!$CG$3:$CG$19</f>
            </numRef>
          </xVal>
          <yVal>
            <numRef>
              <f>'Geometry'!$CH$3:$CH$19</f>
            </numRef>
          </yVal>
          <smooth val="0"/>
        </ser>
        <ser>
          <idx val="29"/>
          <order val="29"/>
          <tx>
            <v>bar right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'Geometry'!$CJ$3:$CJ$19</f>
            </numRef>
          </xVal>
          <yVal>
            <numRef>
              <f>'Geometry'!$CK$3:$CK$19</f>
            </numRef>
          </yVal>
          <smooth val="0"/>
        </ser>
        <ser>
          <idx val="30"/>
          <order val="30"/>
          <tx>
            <v>bar left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'Geometry'!$CM$3:$CM$19</f>
            </numRef>
          </xVal>
          <yVal>
            <numRef>
              <f>'Geometry'!$CN$3:$CN$19</f>
            </numRef>
          </yVal>
          <smooth val="0"/>
        </ser>
        <ser>
          <idx val="31"/>
          <order val="31"/>
          <tx>
            <v>bar right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'Geometry'!$CP$3:$CP$19</f>
            </numRef>
          </xVal>
          <yVal>
            <numRef>
              <f>'Geometry'!$CQ$3:$CQ$19</f>
            </numRef>
          </yVal>
          <smooth val="0"/>
        </ser>
        <ser>
          <idx val="32"/>
          <order val="32"/>
          <tx>
            <v>bar left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'Geometry'!$CS$3:$CS$19</f>
            </numRef>
          </xVal>
          <yVal>
            <numRef>
              <f>'Geometry'!$CT$3:$CT$19</f>
            </numRef>
          </yVal>
          <smooth val="0"/>
        </ser>
        <ser>
          <idx val="33"/>
          <order val="33"/>
          <tx>
            <v>bar right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'Geometry'!$CV$3:$CV$19</f>
            </numRef>
          </xVal>
          <yVal>
            <numRef>
              <f>'Geometry'!$CW$3:$CW$19</f>
            </numRef>
          </yVal>
          <smooth val="0"/>
        </ser>
        <ser>
          <idx val="34"/>
          <order val="34"/>
          <tx>
            <v>bar left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'Geometry'!$CY$3:$CY$19</f>
            </numRef>
          </xVal>
          <yVal>
            <numRef>
              <f>'Geometry'!$CZ$3:$CZ$19</f>
            </numRef>
          </yVal>
          <smooth val="0"/>
        </ser>
        <ser>
          <idx val="35"/>
          <order val="35"/>
          <tx>
            <v>bar right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'Geometry'!$DB$3:$DB$19</f>
            </numRef>
          </xVal>
          <yVal>
            <numRef>
              <f>'Geometry'!$DC$3:$DC$19</f>
            </numRef>
          </yVal>
          <smooth val="0"/>
        </ser>
        <ser>
          <idx val="36"/>
          <order val="36"/>
          <tx>
            <v>bar left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'Geometry'!$DE$3:$DE$19</f>
            </numRef>
          </xVal>
          <yVal>
            <numRef>
              <f>'Geometry'!$DF$3:$DF$19</f>
            </numRef>
          </yVal>
          <smooth val="0"/>
        </ser>
        <ser>
          <idx val="37"/>
          <order val="37"/>
          <tx>
            <v>bar right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'Geometry'!$DH$3:$DH$19</f>
            </numRef>
          </xVal>
          <yVal>
            <numRef>
              <f>'Geometry'!$DI$3:$DI$19</f>
            </numRef>
          </yVal>
          <smooth val="0"/>
        </ser>
        <ser>
          <idx val="38"/>
          <order val="38"/>
          <tx>
            <v>tie b 1</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'Geometry'!$DK$3:$DK$4</f>
            </numRef>
          </xVal>
          <yVal>
            <numRef>
              <f>'Geometry'!$DL$3:$DL$4</f>
            </numRef>
          </yVal>
          <smooth val="0"/>
        </ser>
        <ser>
          <idx val="39"/>
          <order val="39"/>
          <tx>
            <v>tie h 1</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'Geometry'!$DN$3:$DN$4</f>
            </numRef>
          </xVal>
          <yVal>
            <numRef>
              <f>'Geometry'!$DO$3:$DO$4</f>
            </numRef>
          </yVal>
          <smooth val="0"/>
        </ser>
        <ser>
          <idx val="40"/>
          <order val="40"/>
          <tx>
            <v>tie b 2</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'Geometry'!$DQ$3:$DQ$4</f>
            </numRef>
          </xVal>
          <yVal>
            <numRef>
              <f>'Geometry'!$DR$3:$DR$4</f>
            </numRef>
          </yVal>
          <smooth val="0"/>
        </ser>
        <ser>
          <idx val="41"/>
          <order val="41"/>
          <tx>
            <v>tie h 2</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'Geometry'!$DT$3:$DT$4</f>
            </numRef>
          </xVal>
          <yVal>
            <numRef>
              <f>'Geometry'!$DU$3:$DU$4</f>
            </numRef>
          </yVal>
          <smooth val="0"/>
        </ser>
        <ser>
          <idx val="42"/>
          <order val="42"/>
          <tx>
            <v>tie b 3</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'Geometry'!$DW$3:$DW$4</f>
            </numRef>
          </xVal>
          <yVal>
            <numRef>
              <f>'Geometry'!$DX$3:$DX$4</f>
            </numRef>
          </yVal>
          <smooth val="0"/>
        </ser>
        <ser>
          <idx val="43"/>
          <order val="43"/>
          <tx>
            <v>tie h 3</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'Geometry'!$DZ$3:$DZ$4</f>
            </numRef>
          </xVal>
          <yVal>
            <numRef>
              <f>'Geometry'!$EA$3:$EA$4</f>
            </numRef>
          </yVal>
          <smooth val="0"/>
        </ser>
        <ser>
          <idx val="44"/>
          <order val="44"/>
          <tx>
            <v>tie b 4</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'Geometry'!$EC$3:$EC$4</f>
            </numRef>
          </xVal>
          <yVal>
            <numRef>
              <f>'Geometry'!$ED$3:$ED$4</f>
            </numRef>
          </yVal>
          <smooth val="0"/>
        </ser>
        <ser>
          <idx val="45"/>
          <order val="45"/>
          <tx>
            <v>tie h 4</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'Geometry'!$EF$3:$EF$4</f>
            </numRef>
          </xVal>
          <yVal>
            <numRef>
              <f>'Geometry'!$EG$3:$EG$4</f>
            </numRef>
          </yVal>
          <smooth val="0"/>
        </ser>
        <ser>
          <idx val="46"/>
          <order val="46"/>
          <tx>
            <v>tie b 5</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'Geometry'!$EI$3:$EI$4</f>
            </numRef>
          </xVal>
          <yVal>
            <numRef>
              <f>'Geometry'!$EJ$3:$EJ$4</f>
            </numRef>
          </yVal>
          <smooth val="0"/>
        </ser>
        <ser>
          <idx val="47"/>
          <order val="47"/>
          <tx>
            <v>tie h 5</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'Geometry'!$EL$3:$EL$4</f>
            </numRef>
          </xVal>
          <yVal>
            <numRef>
              <f>'Geometry'!$EM$3:$EM$4</f>
            </numRef>
          </yVal>
          <smooth val="0"/>
        </ser>
        <ser>
          <idx val="48"/>
          <order val="48"/>
          <tx>
            <v>tie b 6</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'Geometry'!$EO$3:$EO$4</f>
            </numRef>
          </xVal>
          <yVal>
            <numRef>
              <f>'Geometry'!$EP$3:$EP$4</f>
            </numRef>
          </yVal>
          <smooth val="0"/>
        </ser>
        <ser>
          <idx val="49"/>
          <order val="49"/>
          <tx>
            <v>tie h 6</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'Geometry'!$ER$3:$ER$4</f>
            </numRef>
          </xVal>
          <yVal>
            <numRef>
              <f>'Geometry'!$ES$3:$ES$4</f>
            </numRef>
          </yVal>
          <smooth val="0"/>
        </ser>
        <ser>
          <idx val="50"/>
          <order val="50"/>
          <tx>
            <v>tie b 7</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'Geometry'!$EU$3:$EU$4</f>
            </numRef>
          </xVal>
          <yVal>
            <numRef>
              <f>'Geometry'!$EV$3:$EV$4</f>
            </numRef>
          </yVal>
          <smooth val="0"/>
        </ser>
        <ser>
          <idx val="51"/>
          <order val="51"/>
          <tx>
            <v>tie h 7</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'Geometry'!$EX$3:$EX$4</f>
            </numRef>
          </xVal>
          <yVal>
            <numRef>
              <f>'Geometry'!$EY$3:$EY$4</f>
            </numRef>
          </yVal>
          <smooth val="0"/>
        </ser>
        <ser>
          <idx val="52"/>
          <order val="52"/>
          <tx>
            <v>tie b 8</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'Geometry'!$FA$3:$FA$4</f>
            </numRef>
          </xVal>
          <yVal>
            <numRef>
              <f>'Geometry'!$FB$3:$FB$4</f>
            </numRef>
          </yVal>
          <smooth val="0"/>
        </ser>
        <ser>
          <idx val="53"/>
          <order val="53"/>
          <tx>
            <v>tie h 8</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'Geometry'!$FD$3:$FD$4</f>
            </numRef>
          </xVal>
          <yVal>
            <numRef>
              <f>'Geometry'!$FE$3:$FE$4</f>
            </numRef>
          </yVal>
          <smooth val="0"/>
        </ser>
        <ser>
          <idx val="54"/>
          <order val="54"/>
          <tx>
            <v>neutral axis</v>
          </tx>
          <spPr>
            <a:ln xmlns:a="http://schemas.openxmlformats.org/drawingml/2006/main" w="12700">
              <a:solidFill>
                <a:srgbClr val="5B7F8A"/>
              </a:solidFill>
              <a:prstDash val="dash"/>
            </a:ln>
          </spPr>
          <marker>
            <symbol val="none"/>
            <spPr>
              <a:ln xmlns:a="http://schemas.openxmlformats.org/drawingml/2006/main">
                <a:prstDash val="solid"/>
              </a:ln>
            </spPr>
          </marker>
          <xVal>
            <numRef>
              <f>'Geometry'!$FG$3:$FG$4</f>
            </numRef>
          </xVal>
          <yVal>
            <numRef>
              <f>'Geometry'!$FH$3:$FH$4</f>
            </numRef>
          </yVal>
          <smooth val="0"/>
        </ser>
        <ser>
          <idx val="55"/>
          <order val="5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'Geometry'!$FJ$3:$FJ$4</f>
            </numRef>
          </xVal>
          <yVal>
            <numRef>
              <f>'Geometry'!$FK$3:$FK$4</f>
            </numRef>
          </yVal>
          <smooth val="0"/>
        </ser>
        <ser>
          <idx val="56"/>
          <order val="56"/>
          <tx>
            <strRef>
              <f>'Geometry'!$FM$2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'Geometry'!$FM$3</f>
            </numRef>
          </xVal>
          <yVal>
            <numRef>
              <f>'Geometry'!$FN$3</f>
            </numRef>
          </yVal>
          <smooth val="0"/>
        </ser>
        <ser>
          <idx val="57"/>
          <order val="5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'Geometry'!$FP$3:$FP$4</f>
            </numRef>
          </xVal>
          <yVal>
            <numRef>
              <f>'Geometry'!$FQ$3:$FQ$4</f>
            </numRef>
          </yVal>
          <smooth val="0"/>
        </ser>
        <ser>
          <idx val="58"/>
          <order val="58"/>
          <tx>
            <strRef>
              <f>'Geometry'!$FS$2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'Geometry'!$FS$3</f>
            </numRef>
          </xVal>
          <yVal>
            <numRef>
              <f>'Geometry'!$FT$3</f>
            </numRef>
          </yVal>
          <smooth val="0"/>
        </ser>
        <ser>
          <idx val="59"/>
          <order val="5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'Geometry'!$FV$3:$FV$4</f>
            </numRef>
          </xVal>
          <yVal>
            <numRef>
              <f>'Geometry'!$FW$3:$FW$4</f>
            </numRef>
          </yVal>
          <smooth val="0"/>
        </ser>
        <ser>
          <idx val="60"/>
          <order val="60"/>
          <tx>
            <strRef>
              <f>'Geometry'!$FY$2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'Geometry'!$FY$3</f>
            </numRef>
          </xVal>
          <yVal>
            <numRef>
              <f>'Geometry'!$FZ$3</f>
            </numRef>
          </yVal>
          <smooth val="0"/>
        </ser>
        <ser>
          <idx val="61"/>
          <order val="61"/>
          <tx>
            <strRef>
              <f>'Geometry'!$GB$2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'Geometry'!$GB$3</f>
            </numRef>
          </xVal>
          <yVal>
            <numRef>
              <f>'Geometry'!$GC$3</f>
            </numRef>
          </yVal>
          <smooth val="0"/>
        </ser>
        <ser>
          <idx val="62"/>
          <order val="62"/>
          <tx>
            <strRef>
              <f>'Geometry'!$GE$2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5B7F8A"/>
                    </a:solidFill>
                  </a:defRPr>
                </a:pPr>
                <a:r>
                  <a:t/>
                </a:r>
                <a:endParaRPr sz="900">
                  <a:solidFill>
                    <a:srgbClr val="5B7F8A"/>
                  </a:solidFill>
                </a:endParaRPr>
              </a:p>
            </txPr>
            <dLblPos val="r"/>
            <showLegendKey val="0"/>
            <showVal val="0"/>
            <showCatName val="0"/>
            <showSerName val="1"/>
            <showPercent val="0"/>
          </dLbls>
          <xVal>
            <numRef>
              <f>'Geometry'!$GE$3</f>
            </numRef>
          </xVal>
          <yVal>
            <numRef>
              <f>'Geometry'!$GF$3</f>
            </numRef>
          </yVal>
          <smooth val="0"/>
        </ser>
        <ser>
          <idx val="63"/>
          <order val="63"/>
          <tx>
            <v>compression face</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'Geometry'!$GH$3</f>
            </numRef>
          </xVal>
          <yVal>
            <numRef>
              <f>'Geometry'!$GI$3</f>
            </numRef>
          </yVal>
          <smooth val="0"/>
        </ser>
        <ser>
          <idx val="64"/>
          <order val="64"/>
          <tx>
            <v>frame</v>
          </tx>
          <spPr>
            <a:ln xmlns:a="http://schemas.openxmlformats.org/drawingml/2006/main">
              <a:noFill/>
              <a:prstDash val="solid"/>
            </a:ln>
          </spPr>
          <marker>
            <symbol val="none"/>
            <spPr>
              <a:ln xmlns:a="http://schemas.openxmlformats.org/drawingml/2006/main">
                <a:prstDash val="solid"/>
              </a:ln>
            </spPr>
          </marker>
          <xVal>
            <numRef>
              <f>'Geometry'!$GK$3:$GK$4</f>
            </numRef>
          </xVal>
          <yVal>
            <numRef>
              <f>'Geometry'!$GL$3:$GL$4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1"/>
  <chart>
    <plotArea>
      <scatterChart>
        <scatterStyle val="lineMarker"/>
        <ser>
          <idx val="0"/>
          <order val="0"/>
          <tx>
            <v>M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'Geometry'!$GN$3:$GN$4</f>
            </numRef>
          </xVal>
          <yVal>
            <numRef>
              <f>'Geometry'!$GO$3:$GO$4</f>
            </numRef>
          </yVal>
          <smooth val="0"/>
        </ser>
        <ser>
          <idx val="1"/>
          <order val="1"/>
          <tx>
            <v>N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'Geometry'!$GQ$3:$GQ$4</f>
            </numRef>
          </xVal>
          <yVal>
            <numRef>
              <f>'Geometry'!$GR$3:$GR$4</f>
            </numRef>
          </yVal>
          <smooth val="0"/>
        </ser>
        <ser>
          <idx val="2"/>
          <order val="2"/>
          <tx>
            <v>curve</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'Geometry'!$GT$3:$GT$41</f>
            </numRef>
          </xVal>
          <yVal>
            <numRef>
              <f>'Geometry'!$GU$3:$GU$41</f>
            </numRef>
          </yVal>
          <smooth val="0"/>
        </ser>
        <ser>
          <idx val="3"/>
          <order val="3"/>
          <tx>
            <v>NEd line</v>
          </tx>
          <spPr>
            <a:ln xmlns:a="http://schemas.openxmlformats.org/drawingml/2006/main" w="9525">
              <a:solidFill>
                <a:srgbClr val="9A9A9A"/>
              </a:solidFill>
              <a:prstDash val="dash"/>
            </a:ln>
          </spPr>
          <marker>
            <symbol val="none"/>
            <spPr>
              <a:ln xmlns:a="http://schemas.openxmlformats.org/drawingml/2006/main">
                <a:prstDash val="solid"/>
              </a:ln>
            </spPr>
          </marker>
          <xVal>
            <numRef>
              <f>'Geometry'!$GW$3:$GW$4</f>
            </numRef>
          </xVal>
          <yVal>
            <numRef>
              <f>'Geometry'!$GX$3:$GX$4</f>
            </numRef>
          </yVal>
          <smooth val="0"/>
        </ser>
        <ser>
          <idx val="4"/>
          <order val="4"/>
          <tx>
            <v>resistance</v>
          </tx>
          <spPr>
            <a:ln xmlns:a="http://schemas.openxmlformats.org/drawingml/2006/main">
              <a:noFill/>
              <a:prstDash val="solid"/>
            </a:ln>
          </spPr>
          <marker>
            <symbol val="circle"/>
            <size val="6"/>
            <spPr>
              <a:solidFill xmlns:a="http://schemas.openxmlformats.org/drawingml/2006/main">
                <a:srgbClr val="2B2B2B"/>
              </a:solidFill>
              <a:ln xmlns:a="http://schemas.openxmlformats.org/drawingml/2006/main">
                <a:solidFill>
                  <a:srgbClr val="2B2B2B"/>
                </a:solidFill>
                <a:prstDash val="solid"/>
              </a:ln>
            </spPr>
          </marker>
          <xVal>
            <numRef>
              <f>'Geometry'!$GZ$3</f>
            </numRef>
          </xVal>
          <yVal>
            <numRef>
              <f>'Geometry'!$HA$3</f>
            </numRef>
          </yVal>
          <smooth val="0"/>
        </ser>
        <ser>
          <idx val="5"/>
          <order val="5"/>
          <tx>
            <v>design</v>
          </tx>
          <spPr>
            <a:ln xmlns:a="http://schemas.openxmlformats.org/drawingml/2006/main">
              <a:noFill/>
              <a:prstDash val="solid"/>
            </a:ln>
          </spPr>
          <marker>
            <symbol val="circle"/>
            <size val="8"/>
            <spPr>
              <a:solidFill xmlns:a="http://schemas.openxmlformats.org/drawingml/2006/main">
                <a:srgbClr val="B3261E"/>
              </a:solidFill>
              <a:ln xmlns:a="http://schemas.openxmlformats.org/drawingml/2006/main">
                <a:solidFill>
                  <a:srgbClr val="B3261E"/>
                </a:solidFill>
                <a:prstDash val="solid"/>
              </a:ln>
            </spPr>
          </marker>
          <xVal>
            <numRef>
              <f>'Geometry'!$HC$3</f>
            </numRef>
          </xVal>
          <yVal>
            <numRef>
              <f>'Geometry'!$HD$3</f>
            </numRef>
          </yVal>
          <smooth val="0"/>
        </ser>
        <ser>
          <idx val="6"/>
          <order val="6"/>
          <tx>
            <v>N (kN)</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'Geometry'!$HF$3</f>
            </numRef>
          </xVal>
          <yVal>
            <numRef>
              <f>'Geometry'!$HG$3</f>
            </numRef>
          </yVal>
          <smooth val="0"/>
        </ser>
        <ser>
          <idx val="7"/>
          <order val="7"/>
          <tx>
            <v>M (kNm)</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'Geometry'!$HI$3</f>
            </numRef>
          </xVal>
          <yVal>
            <numRef>
              <f>'Geometry'!$HJ$3</f>
            </numRef>
          </yVal>
          <smooth val="0"/>
        </ser>
        <ser>
          <idx val="8"/>
          <order val="8"/>
          <tx>
            <strRef>
              <f>'Geometry'!$HL$2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'Geometry'!$HL$3</f>
            </numRef>
          </xVal>
          <yVal>
            <numRef>
              <f>'Geometry'!$HM$3</f>
            </numRef>
          </yVal>
          <smooth val="0"/>
        </ser>
        <ser>
          <idx val="9"/>
          <order val="9"/>
          <tx>
            <strRef>
              <f>'Geometry'!$HO$2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'Geometry'!$HO$3</f>
            </numRef>
          </xVal>
          <yVal>
            <numRef>
              <f>'Geometry'!$HP$3</f>
            </numRef>
          </yVal>
          <smooth val="0"/>
        </ser>
        <ser>
          <idx val="10"/>
          <order val="10"/>
          <tx>
            <strRef>
              <f>'Geometry'!$HR$2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'Geometry'!$HR$3</f>
            </numRef>
          </xVal>
          <yVal>
            <numRef>
              <f>'Geometry'!$HS$3</f>
            </numRef>
          </yVal>
          <smooth val="0"/>
        </ser>
        <ser>
          <idx val="11"/>
          <order val="11"/>
          <tx>
            <strRef>
              <f>'Geometry'!$HU$2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'Geometry'!$HU$3</f>
            </numRef>
          </xVal>
          <yVal>
            <numRef>
              <f>'Geometry'!$HV$3</f>
            </numRef>
          </yVal>
          <smooth val="0"/>
        </ser>
        <ser>
          <idx val="12"/>
          <order val="12"/>
          <tx>
            <strRef>
              <f>'Geometry'!$HX$2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'Geometry'!$HX$3</f>
            </numRef>
          </xVal>
          <yVal>
            <numRef>
              <f>'Geometry'!$HY$3</f>
            </numRef>
          </yVal>
          <smooth val="0"/>
        </ser>
        <ser>
          <idx val="13"/>
          <order val="13"/>
          <tx>
            <v>frame</v>
          </tx>
          <spPr>
            <a:ln xmlns:a="http://schemas.openxmlformats.org/drawingml/2006/main">
              <a:noFill/>
              <a:prstDash val="solid"/>
            </a:ln>
          </spPr>
          <marker>
            <symbol val="none"/>
            <spPr>
              <a:ln xmlns:a="http://schemas.openxmlformats.org/drawingml/2006/main">
                <a:prstDash val="solid"/>
              </a:ln>
            </spPr>
          </marker>
          <xVal>
            <numRef>
              <f>'Geometry'!$IA$3:$IA$4</f>
            </numRef>
          </xVal>
          <yVal>
            <numRef>
              <f>'Geometry'!$IB$3:$IB$4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2.png" Id="rId3"/></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36</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2</col>
      <colOff>0</colOff>
      <row>63</row>
      <rowOff>0</rowOff>
    </from>
    <ext cx="5301000" cy="34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row>
      <rowOff>0</rowOff>
    </from>
    <ext cx="1514475"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Column design</t>
        </is>
      </c>
    </row>
    <row r="8" ht="20" customHeight="1">
      <c r="B8" s="4" t="inlineStr">
        <is>
          <t>Rectangular columns  ·  EN 1992-1-1 §5.8, §6.1, §9.5  ·  UK NA / PN-EN</t>
        </is>
      </c>
    </row>
    <row r="10">
      <c r="B10" s="5" t="inlineStr">
        <is>
          <t>Reference</t>
        </is>
      </c>
      <c r="C10" s="6" t="inlineStr">
        <is>
          <t>NAE-RC-008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Ultimate limit state design of a rectangular reinforced concrete column under an axial force and a bending moment about one axis: slenderness, imperfections, second order effects by the nominal curvature method, and the resistance from an N-M interaction curve worked out by strain compatibility, with the detailing rules for columns.</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07" customHeight="1">
      <c r="B22" s="7" t="inlineStr">
        <is>
          <t>Rectangular section, bars of one size symmetrical about both axes: nb bars on each face parallel to b and nh bars (corners included) on each face parallel to h. Bending about one axis, with h in the plane of bending; check the other axis with a second copy (swap b with h and nb with nh, and enter the moments, bracing and effective length of that axis) and biaxial bending to 5.8.9 separately. End moments only: loads between the ends of the column are outside the scope. Compression only (NEd &gt; 0). The aspect ratio b/h or h/b is at most 4 (9.5.1). Isolated member: imperfection θi = θ0 αh with θ0 = 1/200 and αm = 1 (5.2(5), (6)). Slenderness limit from (5.13N) with A, B and C from the inputs; effective length l0 from the user (5.8.3.2). Second order moment by nominal curvature (5.8.8) with c = 10, or 8 for a constant first order moment (5.8.8.2(4)). The entered end moments exclude imperfections: the imperfection moment NEd ei is added at both ends in the direction of M02; where it is not smaller than M02 the moments are taken as due to imperfections and C = 0.7. Resistance by strain compatibility: parabola-rectangle concrete of 3.1.7(1) with the strain limits of 6.1(5) (0.0035 at the compressed face, 0.002 at 3h/7 once the whole section is compressed), bars elastic-plastic, the concrete displaced by the bars deducted; MRd at NEd by bisection on the strain state (60 steps). Concrete classes up to C50/60, fyk ≤ 500 MPa. Link spacing to 9.5.3; the 0.6 reduction near beams, slabs and laps is the user's to apply.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Columns.
•  The Concrete Centre, Worked Examples to Eurocode 2: Volume 1.
•  The Concrete Centre, RC Spreadsheets v4, TCC53 Column design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&amp;K8A8A8ANAE-RC-008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54"/>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Column design</t>
        </is>
      </c>
      <c r="H2" s="1" t="n"/>
    </row>
    <row r="3" ht="16" customHeight="1">
      <c r="A3" s="1" t="n"/>
      <c r="B3" s="1" t="n"/>
      <c r="C3" s="15" t="inlineStr">
        <is>
          <t>NAE-RC-008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Section width  (perpendicular to the plane of bending)</t>
        </is>
      </c>
      <c r="D15" s="27" t="inlineStr">
        <is>
          <r>
            <rPr>
              <rFont val="Calibri"/>
              <i val="1"/>
              <color rgb="002B2B2B"/>
              <sz val="10"/>
            </rPr>
            <t>b</t>
          </r>
        </is>
      </c>
      <c r="E15" s="25" t="n">
        <v>400</v>
      </c>
      <c r="F15" s="28" t="inlineStr">
        <is>
          <t>mm</t>
        </is>
      </c>
      <c r="G15" s="23" t="n"/>
    </row>
    <row r="16" ht="17" customHeight="1">
      <c r="B16" s="23" t="n"/>
      <c r="C16" s="24" t="inlineStr">
        <is>
          <t>Section depth  (in the plane of bending)</t>
        </is>
      </c>
      <c r="D16" s="27" t="inlineStr">
        <is>
          <r>
            <rPr>
              <rFont val="Calibri"/>
              <i val="1"/>
              <color rgb="002B2B2B"/>
              <sz val="10"/>
            </rPr>
            <t>h</t>
          </r>
        </is>
      </c>
      <c r="E16" s="25" t="n">
        <v>400</v>
      </c>
      <c r="F16" s="28" t="inlineStr">
        <is>
          <t>mm</t>
        </is>
      </c>
      <c r="G16" s="23" t="n"/>
    </row>
    <row r="17" ht="17" customHeight="1">
      <c r="B17" s="26" t="inlineStr">
        <is>
          <t>4.4.1</t>
        </is>
      </c>
      <c r="C17" s="24" t="inlineStr">
        <is>
          <t>Nominal cover to links</t>
        </is>
      </c>
      <c r="D17" s="27" t="inlineStr">
        <is>
          <r>
            <rPr>
              <rFont val="Calibri"/>
              <i val="1"/>
              <color rgb="002B2B2B"/>
              <sz val="10"/>
            </rPr>
            <t>c</t>
          </r>
          <r>
            <rPr>
              <rFont val="Calibri"/>
              <i val="1"/>
              <color rgb="002B2B2B"/>
              <sz val="10"/>
              <vertAlign val="subscript"/>
            </rPr>
            <t>nom</t>
          </r>
        </is>
      </c>
      <c r="E17" s="25" t="n">
        <v>35</v>
      </c>
      <c r="F17" s="28" t="inlineStr">
        <is>
          <t>mm</t>
        </is>
      </c>
      <c r="G17" s="23" t="n"/>
    </row>
    <row r="18" ht="17" customHeight="1">
      <c r="B18" s="23" t="n"/>
      <c r="C18" s="24" t="inlineStr">
        <is>
          <t>Link diameter</t>
        </is>
      </c>
      <c r="D18" s="27" t="inlineStr">
        <is>
          <r>
            <rPr>
              <rFont val="Calibri"/>
              <i val="1"/>
              <color rgb="002B2B2B"/>
              <sz val="10"/>
            </rPr>
            <t>φ</t>
          </r>
          <r>
            <rPr>
              <rFont val="Calibri"/>
              <i val="1"/>
              <color rgb="002B2B2B"/>
              <sz val="10"/>
              <vertAlign val="subscript"/>
            </rPr>
            <t>w</t>
          </r>
        </is>
      </c>
      <c r="E18" s="25" t="n">
        <v>8</v>
      </c>
      <c r="F18" s="28" t="inlineStr">
        <is>
          <t>mm</t>
        </is>
      </c>
      <c r="G18" s="23" t="n"/>
    </row>
    <row r="19" ht="17" customHeight="1">
      <c r="B19" s="26" t="inlineStr">
        <is>
          <t>9.5.3</t>
        </is>
      </c>
      <c r="C19" s="24" t="inlineStr">
        <is>
          <t>Link spacing</t>
        </is>
      </c>
      <c r="D19" s="27" t="inlineStr">
        <is>
          <r>
            <rPr>
              <rFont val="Calibri"/>
              <i val="1"/>
              <color rgb="002B2B2B"/>
              <sz val="10"/>
            </rPr>
            <t>s</t>
          </r>
          <r>
            <rPr>
              <rFont val="Calibri"/>
              <i val="1"/>
              <color rgb="002B2B2B"/>
              <sz val="10"/>
              <vertAlign val="subscript"/>
            </rPr>
            <t>w</t>
          </r>
        </is>
      </c>
      <c r="E19" s="25" t="n">
        <v>250</v>
      </c>
      <c r="F19" s="28" t="inlineStr">
        <is>
          <t>mm</t>
        </is>
      </c>
      <c r="G19" s="23" t="n"/>
    </row>
    <row r="20" ht="17" customHeight="1">
      <c r="B20" s="26" t="inlineStr">
        <is>
          <t>9.5.3(6)</t>
        </is>
      </c>
      <c r="C20" s="24" t="inlineStr">
        <is>
          <t>Cross-ties on the intermediate bars</t>
        </is>
      </c>
      <c r="D20" s="23" t="n"/>
      <c r="E20" s="25" t="inlineStr">
        <is>
          <t>Corner bars only</t>
        </is>
      </c>
      <c r="F20" s="23" t="n"/>
      <c r="G20" s="23" t="n"/>
    </row>
    <row r="21" ht="17" customHeight="1">
      <c r="B21" s="26" t="inlineStr">
        <is>
          <t>9.5.2(1)</t>
        </is>
      </c>
      <c r="C21" s="24" t="inlineStr">
        <is>
          <t>Bar diameter</t>
        </is>
      </c>
      <c r="D21" s="27" t="inlineStr">
        <is>
          <r>
            <rPr>
              <rFont val="Calibri"/>
              <i val="1"/>
              <color rgb="002B2B2B"/>
              <sz val="10"/>
            </rPr>
            <t>φ</t>
          </r>
        </is>
      </c>
      <c r="E21" s="25" t="n">
        <v>20</v>
      </c>
      <c r="F21" s="28" t="inlineStr">
        <is>
          <t>mm</t>
        </is>
      </c>
      <c r="G21" s="23" t="n"/>
    </row>
    <row r="22" ht="17" customHeight="1">
      <c r="B22" s="23" t="n"/>
      <c r="C22" s="24" t="inlineStr">
        <is>
          <t>Bars on each face parallel to b  (top and bottom)</t>
        </is>
      </c>
      <c r="D22" s="27" t="inlineStr">
        <is>
          <r>
            <rPr>
              <rFont val="Calibri"/>
              <i val="1"/>
              <color rgb="002B2B2B"/>
              <sz val="10"/>
            </rPr>
            <t>n</t>
          </r>
          <r>
            <rPr>
              <rFont val="Calibri"/>
              <i val="1"/>
              <color rgb="002B2B2B"/>
              <sz val="10"/>
              <vertAlign val="subscript"/>
            </rPr>
            <t>b</t>
          </r>
        </is>
      </c>
      <c r="E22" s="25" t="n">
        <v>3</v>
      </c>
      <c r="F22" s="23" t="n"/>
      <c r="G22" s="23" t="n"/>
    </row>
    <row r="23" ht="17" customHeight="1">
      <c r="B23" s="23" t="n"/>
      <c r="C23" s="24" t="inlineStr">
        <is>
          <t>Bars on each face parallel to h  (corners included)</t>
        </is>
      </c>
      <c r="D23" s="27" t="inlineStr">
        <is>
          <r>
            <rPr>
              <rFont val="Calibri"/>
              <i val="1"/>
              <color rgb="002B2B2B"/>
              <sz val="10"/>
            </rPr>
            <t>n</t>
          </r>
          <r>
            <rPr>
              <rFont val="Calibri"/>
              <i val="1"/>
              <color rgb="002B2B2B"/>
              <sz val="10"/>
              <vertAlign val="subscript"/>
            </rPr>
            <t>h</t>
          </r>
        </is>
      </c>
      <c r="E23" s="25" t="n">
        <v>3</v>
      </c>
      <c r="F23" s="23" t="n"/>
      <c r="G23" s="23" t="n"/>
    </row>
    <row r="25" ht="22" customHeight="1">
      <c r="B25" s="20" t="inlineStr">
        <is>
          <t>Inputs  ·  actions and length</t>
        </is>
      </c>
      <c r="C25" s="21" t="n"/>
      <c r="D25" s="21" t="n"/>
      <c r="E25" s="21" t="n"/>
      <c r="F25" s="21" t="n"/>
      <c r="G25" s="22" t="inlineStr">
        <is>
          <t>ULS design values</t>
        </is>
      </c>
    </row>
    <row r="26" ht="17" customHeight="1">
      <c r="B26" s="23" t="n"/>
      <c r="C26" s="24" t="inlineStr">
        <is>
          <t>Design axial force  (compression)</t>
        </is>
      </c>
      <c r="D26" s="27" t="inlineStr">
        <is>
          <r>
            <rPr>
              <rFont val="Calibri"/>
              <i val="1"/>
              <color rgb="002B2B2B"/>
              <sz val="10"/>
            </rPr>
            <t>N</t>
          </r>
          <r>
            <rPr>
              <rFont val="Calibri"/>
              <i val="1"/>
              <color rgb="002B2B2B"/>
              <sz val="10"/>
              <vertAlign val="subscript"/>
            </rPr>
            <t>Ed</t>
          </r>
        </is>
      </c>
      <c r="E26" s="29" t="n">
        <v>1800</v>
      </c>
      <c r="F26" s="28" t="inlineStr">
        <is>
          <t>kN</t>
        </is>
      </c>
      <c r="G26" s="23" t="n"/>
    </row>
    <row r="27" ht="17" customHeight="1">
      <c r="B27" s="26" t="inlineStr">
        <is>
          <t>5.8.8.2(2)</t>
        </is>
      </c>
      <c r="C27" s="24" t="inlineStr">
        <is>
          <t>Larger first order end moment  |M02|</t>
        </is>
      </c>
      <c r="D27" s="27" t="inlineStr">
        <is>
          <r>
            <rPr>
              <rFont val="Calibri"/>
              <i val="1"/>
              <color rgb="002B2B2B"/>
              <sz val="10"/>
            </rPr>
            <t>M</t>
          </r>
          <r>
            <rPr>
              <rFont val="Calibri"/>
              <i val="1"/>
              <color rgb="002B2B2B"/>
              <sz val="10"/>
              <vertAlign val="subscript"/>
            </rPr>
            <t>02</t>
          </r>
        </is>
      </c>
      <c r="E27" s="30" t="n">
        <v>60</v>
      </c>
      <c r="F27" s="28" t="inlineStr">
        <is>
          <t>kNm</t>
        </is>
      </c>
      <c r="G27" s="23" t="n"/>
    </row>
    <row r="28" ht="17" customHeight="1">
      <c r="B28" s="26" t="inlineStr">
        <is>
          <t>5.8.8.2(2)</t>
        </is>
      </c>
      <c r="C28" s="24" t="inlineStr">
        <is>
          <t>Smaller end moment  M01  (negative in double curvature)</t>
        </is>
      </c>
      <c r="D28" s="27" t="inlineStr">
        <is>
          <r>
            <rPr>
              <rFont val="Calibri"/>
              <i val="1"/>
              <color rgb="002B2B2B"/>
              <sz val="10"/>
            </rPr>
            <t>M</t>
          </r>
          <r>
            <rPr>
              <rFont val="Calibri"/>
              <i val="1"/>
              <color rgb="002B2B2B"/>
              <sz val="10"/>
              <vertAlign val="subscript"/>
            </rPr>
            <t>01</t>
          </r>
        </is>
      </c>
      <c r="E28" s="30" t="n">
        <v>20</v>
      </c>
      <c r="F28" s="28" t="inlineStr">
        <is>
          <t>kNm</t>
        </is>
      </c>
      <c r="G28" s="23" t="n"/>
    </row>
    <row r="29" ht="17" customHeight="1">
      <c r="B29" s="26" t="inlineStr">
        <is>
          <t>5.8.3.1</t>
        </is>
      </c>
      <c r="C29" s="24" t="inlineStr">
        <is>
          <t>Bracing</t>
        </is>
      </c>
      <c r="D29" s="23" t="n"/>
      <c r="E29" s="25" t="inlineStr">
        <is>
          <t>Braced</t>
        </is>
      </c>
      <c r="F29" s="23" t="n"/>
      <c r="G29" s="23" t="n"/>
    </row>
    <row r="30" ht="17" customHeight="1">
      <c r="B30" s="26" t="inlineStr">
        <is>
          <t>5.2(5)</t>
        </is>
      </c>
      <c r="C30" s="24" t="inlineStr">
        <is>
          <t>Clear height of the column  (for αh)</t>
        </is>
      </c>
      <c r="D30" s="27" t="inlineStr">
        <is>
          <r>
            <rPr>
              <rFont val="Calibri"/>
              <i val="1"/>
              <color rgb="002B2B2B"/>
              <sz val="10"/>
            </rPr>
            <t>l</t>
          </r>
        </is>
      </c>
      <c r="E30" s="25" t="n">
        <v>5000</v>
      </c>
      <c r="F30" s="28" t="inlineStr">
        <is>
          <t>mm</t>
        </is>
      </c>
      <c r="G30" s="23" t="n"/>
    </row>
    <row r="31" ht="17" customHeight="1">
      <c r="B31" s="26" t="inlineStr">
        <is>
          <t>5.8.3.2</t>
        </is>
      </c>
      <c r="C31" s="24" t="inlineStr">
        <is>
          <t>Effective length</t>
        </is>
      </c>
      <c r="D31" s="27" t="inlineStr">
        <is>
          <r>
            <rPr>
              <rFont val="Calibri"/>
              <i val="1"/>
              <color rgb="002B2B2B"/>
              <sz val="10"/>
            </rPr>
            <t>l</t>
          </r>
          <r>
            <rPr>
              <rFont val="Calibri"/>
              <i val="1"/>
              <color rgb="002B2B2B"/>
              <sz val="10"/>
              <vertAlign val="subscript"/>
            </rPr>
            <t>0</t>
          </r>
        </is>
      </c>
      <c r="E31" s="25" t="n">
        <v>4250</v>
      </c>
      <c r="F31" s="28" t="inlineStr">
        <is>
          <t>mm</t>
        </is>
      </c>
      <c r="G31" s="26" t="inlineStr">
        <is>
          <t>0.5l to 1.0l braced</t>
        </is>
      </c>
    </row>
    <row r="32" ht="17" customHeight="1">
      <c r="B32" s="26" t="inlineStr">
        <is>
          <t>5.8.4</t>
        </is>
      </c>
      <c r="C32" s="24" t="inlineStr">
        <is>
          <t>Effective creep ratio</t>
        </is>
      </c>
      <c r="D32" s="27" t="inlineStr">
        <is>
          <r>
            <rPr>
              <rFont val="Calibri"/>
              <i val="1"/>
              <color rgb="002B2B2B"/>
              <sz val="10"/>
            </rPr>
            <t>φ</t>
          </r>
          <r>
            <rPr>
              <rFont val="Calibri"/>
              <i val="1"/>
              <color rgb="002B2B2B"/>
              <sz val="10"/>
              <vertAlign val="subscript"/>
            </rPr>
            <t>ef</t>
          </r>
        </is>
      </c>
      <c r="E32" s="31" t="n">
        <v>1.5</v>
      </c>
      <c r="F32" s="23" t="n"/>
      <c r="G32" s="23" t="n"/>
    </row>
    <row r="33" ht="17" customHeight="1">
      <c r="B33" s="26" t="inlineStr">
        <is>
          <t>5.8.8.2(4)</t>
        </is>
      </c>
      <c r="C33" s="24" t="inlineStr">
        <is>
          <t>Curvature factor  (10; 8 for a constant moment)</t>
        </is>
      </c>
      <c r="D33" s="27" t="inlineStr">
        <is>
          <r>
            <rPr>
              <rFont val="Calibri"/>
              <i val="1"/>
              <color rgb="002B2B2B"/>
              <sz val="10"/>
            </rPr>
            <t>c</t>
          </r>
        </is>
      </c>
      <c r="E33" s="25" t="n">
        <v>10</v>
      </c>
      <c r="F33" s="23" t="n"/>
      <c r="G33" s="23" t="n"/>
    </row>
    <row r="34" ht="17" customHeight="1">
      <c r="B34" s="23" t="n"/>
      <c r="C34" s="24" t="inlineStr">
        <is>
          <t>Inputs valid and consistent</t>
        </is>
      </c>
      <c r="D34" s="23" t="n"/>
      <c r="E34" s="9" t="n"/>
      <c r="F34" s="23" t="n"/>
      <c r="G34" s="32">
        <f>IF(inputs_ok,"OK","FAIL")</f>
        <v/>
      </c>
    </row>
    <row r="36">
      <c r="B36" s="33" t="inlineStr">
        <is>
          <t>Your section, to scale  ·  compression face on top  ·  neutral axis at the resistance for NEd (dashed)</t>
        </is>
      </c>
    </row>
    <row r="57" ht="22" customHeight="1">
      <c r="B57" s="20" t="inlineStr">
        <is>
          <t>Results</t>
        </is>
      </c>
      <c r="C57" s="21" t="n"/>
      <c r="D57" s="21" t="n"/>
      <c r="E57" s="21" t="n"/>
      <c r="F57" s="21" t="n"/>
      <c r="G57" s="21" t="n"/>
    </row>
    <row r="58" ht="26" customHeight="1">
      <c r="B58" s="34" t="n"/>
      <c r="C58" s="35" t="inlineStr">
        <is>
          <t>Bending at NEd  MEd / MRd</t>
        </is>
      </c>
      <c r="D58" s="34" t="n"/>
      <c r="E58" s="36">
        <f>IF(res_ok,M_Ed/M_Rd,"–")</f>
        <v/>
      </c>
      <c r="F58" s="37" t="inlineStr"/>
      <c r="G58" s="38">
        <f>IF(NOT(inputs_ok),"FAIL",IF(res_ok,IF(M_Ed&lt;=M_Rd,"OK","FAIL"),"FAIL"))</f>
        <v/>
      </c>
    </row>
    <row r="59" ht="26" customHeight="1">
      <c r="B59" s="34" t="n"/>
      <c r="C59" s="35" t="inlineStr">
        <is>
          <t>Axial force  NEd / NRd,max</t>
        </is>
      </c>
      <c r="D59" s="34" t="n"/>
      <c r="E59" s="36">
        <f>N_Ed/N_Rdmax</f>
        <v/>
      </c>
      <c r="F59" s="37" t="inlineStr"/>
      <c r="G59" s="38">
        <f>IF(NOT(inputs_ok),"FAIL",IF(N_Ed&lt;=N_Rdmax,"OK","FAIL"))</f>
        <v/>
      </c>
    </row>
    <row r="60" ht="26" customHeight="1">
      <c r="B60" s="34" t="n"/>
      <c r="C60" s="35" t="inlineStr">
        <is>
          <t>Design moment  (with second order effects when slender)</t>
        </is>
      </c>
      <c r="D60" s="39" t="inlineStr">
        <is>
          <r>
            <rPr>
              <rFont val="Calibri"/>
              <i val="1"/>
              <color rgb="002B2B2B"/>
              <sz val="11"/>
            </rPr>
            <t>M</t>
          </r>
          <r>
            <rPr>
              <rFont val="Calibri"/>
              <i val="1"/>
              <color rgb="002B2B2B"/>
              <sz val="11"/>
              <vertAlign val="subscript"/>
            </rPr>
            <t>Ed</t>
          </r>
        </is>
      </c>
      <c r="E60" s="40">
        <f>M_Ed</f>
        <v/>
      </c>
      <c r="F60" s="37" t="inlineStr">
        <is>
          <t>kNm</t>
        </is>
      </c>
      <c r="G60" s="38">
        <f>IF(NOT(inputs_ok),"FAIL",IF(slender,"! Slender","Not slender"))</f>
        <v/>
      </c>
    </row>
    <row r="61" ht="26" customHeight="1">
      <c r="B61" s="34" t="n"/>
      <c r="C61" s="35" t="inlineStr">
        <is>
          <t>Detailing  (bar size, areas, spacing, links)  ·  As provided</t>
        </is>
      </c>
      <c r="D61" s="39" t="inlineStr">
        <is>
          <r>
            <rPr>
              <rFont val="Calibri"/>
              <i val="1"/>
              <color rgb="002B2B2B"/>
              <sz val="11"/>
            </rPr>
            <t>A</t>
          </r>
          <r>
            <rPr>
              <rFont val="Calibri"/>
              <i val="1"/>
              <color rgb="002B2B2B"/>
              <sz val="11"/>
              <vertAlign val="subscript"/>
            </rPr>
            <t>s</t>
          </r>
        </is>
      </c>
      <c r="E61" s="41">
        <f>A_sc</f>
        <v/>
      </c>
      <c r="F61" s="37" t="inlineStr">
        <is>
          <t>mm²</t>
        </is>
      </c>
      <c r="G61" s="38">
        <f>IF(NOT(inputs_ok),"FAIL",IF(det_ok,"OK","FAIL"))</f>
        <v/>
      </c>
    </row>
    <row r="63">
      <c r="B63" s="33" t="inlineStr">
        <is>
          <t>N-M interaction curve  ·  design point (red)  ·  resistance at NEd</t>
        </is>
      </c>
    </row>
    <row r="84" ht="22" customHeight="1">
      <c r="B84" s="20" t="inlineStr">
        <is>
          <t>Calculation  ·  materials and section</t>
        </is>
      </c>
      <c r="C84" s="21" t="n"/>
      <c r="D84" s="21" t="n"/>
      <c r="E84" s="21" t="n"/>
      <c r="F84" s="21" t="n"/>
      <c r="G84" s="21" t="n"/>
    </row>
    <row r="85" ht="17" customHeight="1">
      <c r="B85" s="26" t="inlineStr">
        <is>
          <t>2.4.2.4(1)</t>
        </is>
      </c>
      <c r="C85" s="24" t="inlineStr">
        <is>
          <t>Partial factor, concrete</t>
        </is>
      </c>
      <c r="D85" s="27" t="inlineStr">
        <is>
          <r>
            <rPr>
              <rFont val="Calibri"/>
              <i val="1"/>
              <color rgb="002B2B2B"/>
              <sz val="10"/>
            </rPr>
            <t>γ</t>
          </r>
          <r>
            <rPr>
              <rFont val="Calibri"/>
              <i val="1"/>
              <color rgb="002B2B2B"/>
              <sz val="10"/>
              <vertAlign val="subscript"/>
            </rPr>
            <t>c</t>
          </r>
        </is>
      </c>
      <c r="E85" s="42">
        <f>ndp_gamma_c</f>
        <v/>
      </c>
      <c r="F85" s="23" t="n"/>
      <c r="G85" s="26" t="inlineStr">
        <is>
          <t>NDP sheet</t>
        </is>
      </c>
    </row>
    <row r="86" ht="17" customHeight="1">
      <c r="B86" s="26" t="inlineStr">
        <is>
          <t>2.4.2.4(1)</t>
        </is>
      </c>
      <c r="C86" s="24" t="inlineStr">
        <is>
          <t>Partial factor, reinforcement</t>
        </is>
      </c>
      <c r="D86" s="27" t="inlineStr">
        <is>
          <r>
            <rPr>
              <rFont val="Calibri"/>
              <i val="1"/>
              <color rgb="002B2B2B"/>
              <sz val="10"/>
            </rPr>
            <t>γ</t>
          </r>
          <r>
            <rPr>
              <rFont val="Calibri"/>
              <i val="1"/>
              <color rgb="002B2B2B"/>
              <sz val="10"/>
              <vertAlign val="subscript"/>
            </rPr>
            <t>s</t>
          </r>
        </is>
      </c>
      <c r="E86" s="42">
        <f>ndp_gamma_s</f>
        <v/>
      </c>
      <c r="F86" s="23" t="n"/>
      <c r="G86" s="26" t="inlineStr">
        <is>
          <t>NDP sheet</t>
        </is>
      </c>
    </row>
    <row r="87" ht="17" customHeight="1">
      <c r="B87" s="26" t="inlineStr">
        <is>
          <t>3.1.6(1)</t>
        </is>
      </c>
      <c r="C87" s="24" t="inlineStr">
        <is>
          <t>Coefficient on compressive strength (flexure)</t>
        </is>
      </c>
      <c r="D87" s="27" t="inlineStr">
        <is>
          <r>
            <rPr>
              <rFont val="Calibri"/>
              <i val="1"/>
              <color rgb="002B2B2B"/>
              <sz val="10"/>
            </rPr>
            <t>α</t>
          </r>
          <r>
            <rPr>
              <rFont val="Calibri"/>
              <i val="1"/>
              <color rgb="002B2B2B"/>
              <sz val="10"/>
              <vertAlign val="subscript"/>
            </rPr>
            <t>cc</t>
          </r>
        </is>
      </c>
      <c r="E87" s="42">
        <f>ndp_alpha_cc</f>
        <v/>
      </c>
      <c r="F87" s="23" t="n"/>
      <c r="G87" s="26" t="inlineStr">
        <is>
          <t>NDP sheet</t>
        </is>
      </c>
    </row>
    <row r="88" ht="17" customHeight="1">
      <c r="B88" s="26" t="inlineStr">
        <is>
          <t>9.5.2(1)</t>
        </is>
      </c>
      <c r="C88" s="24" t="inlineStr">
        <is>
          <t>Minimum diameter of longitudinal bars</t>
        </is>
      </c>
      <c r="D88" s="27" t="inlineStr">
        <is>
          <r>
            <rPr>
              <rFont val="Calibri"/>
              <i val="1"/>
              <color rgb="002B2B2B"/>
              <sz val="10"/>
            </rPr>
            <t>φ</t>
          </r>
          <r>
            <rPr>
              <rFont val="Calibri"/>
              <i val="1"/>
              <color rgb="002B2B2B"/>
              <sz val="10"/>
              <vertAlign val="subscript"/>
            </rPr>
            <t>min</t>
          </r>
        </is>
      </c>
      <c r="E88" s="43">
        <f>ndp_phi_min_col</f>
        <v/>
      </c>
      <c r="F88" s="28" t="inlineStr">
        <is>
          <t>mm</t>
        </is>
      </c>
      <c r="G88" s="26" t="inlineStr">
        <is>
          <t>NDP sheet</t>
        </is>
      </c>
    </row>
    <row r="89" ht="17" customHeight="1">
      <c r="B89" s="26" t="inlineStr">
        <is>
          <t>Table 3.1</t>
        </is>
      </c>
      <c r="C89" s="24" t="inlineStr">
        <is>
          <t>Characteristic cylinder strength</t>
        </is>
      </c>
      <c r="D89" s="27" t="inlineStr">
        <is>
          <r>
            <rPr>
              <rFont val="Calibri"/>
              <i val="1"/>
              <color rgb="002B2B2B"/>
              <sz val="10"/>
            </rPr>
            <t>f</t>
          </r>
          <r>
            <rPr>
              <rFont val="Calibri"/>
              <i val="1"/>
              <color rgb="002B2B2B"/>
              <sz val="10"/>
              <vertAlign val="subscript"/>
            </rPr>
            <t>ck</t>
          </r>
        </is>
      </c>
      <c r="E89" s="43">
        <f>VALUE(MID(conc_class,2,FIND("/",conc_class)-2))</f>
        <v/>
      </c>
      <c r="F89" s="28" t="inlineStr">
        <is>
          <t>MPa</t>
        </is>
      </c>
      <c r="G89" s="23" t="n"/>
    </row>
    <row r="90" ht="17" customHeight="1">
      <c r="B90" s="26" t="inlineStr">
        <is>
          <t>Table 3.1</t>
        </is>
      </c>
      <c r="C90" s="24" t="inlineStr">
        <is>
          <t>Mean tensile strength</t>
        </is>
      </c>
      <c r="D90" s="27" t="inlineStr">
        <is>
          <r>
            <rPr>
              <rFont val="Calibri"/>
              <i val="1"/>
              <color rgb="002B2B2B"/>
              <sz val="10"/>
            </rPr>
            <t>f</t>
          </r>
          <r>
            <rPr>
              <rFont val="Calibri"/>
              <i val="1"/>
              <color rgb="002B2B2B"/>
              <sz val="10"/>
              <vertAlign val="subscript"/>
            </rPr>
            <t>ctm</t>
          </r>
        </is>
      </c>
      <c r="E90" s="42">
        <f>IF(f_ck&lt;=50,0.3*f_ck^(2/3),2.12*LN(1+(f_ck+8)/10))</f>
        <v/>
      </c>
      <c r="F90" s="28" t="inlineStr">
        <is>
          <t>MPa</t>
        </is>
      </c>
      <c r="G90" s="23" t="n"/>
    </row>
    <row r="91" ht="17" customHeight="1">
      <c r="B91" s="26" t="inlineStr">
        <is>
          <t>3.1.6(1)</t>
        </is>
      </c>
      <c r="C91" s="24" t="inlineStr">
        <is>
          <t>Design compressive strength  αcc fck / γc  (η = 1)</t>
        </is>
      </c>
      <c r="D91" s="27" t="inlineStr">
        <is>
          <r>
            <rPr>
              <rFont val="Calibri"/>
              <i val="1"/>
              <color rgb="002B2B2B"/>
              <sz val="10"/>
            </rPr>
            <t>f</t>
          </r>
          <r>
            <rPr>
              <rFont val="Calibri"/>
              <i val="1"/>
              <color rgb="002B2B2B"/>
              <sz val="10"/>
              <vertAlign val="subscript"/>
            </rPr>
            <t>cd</t>
          </r>
        </is>
      </c>
      <c r="E91" s="42">
        <f>alpha_cc*f_ck/gamma_c</f>
        <v/>
      </c>
      <c r="F91" s="28" t="inlineStr">
        <is>
          <t>MPa</t>
        </is>
      </c>
      <c r="G91" s="23" t="n"/>
    </row>
    <row r="92" ht="17" customHeight="1">
      <c r="B92" s="26" t="inlineStr">
        <is>
          <t>3.2.7</t>
        </is>
      </c>
      <c r="C92" s="24" t="inlineStr">
        <is>
          <t>Design yield strength</t>
        </is>
      </c>
      <c r="D92" s="27" t="inlineStr">
        <is>
          <r>
            <rPr>
              <rFont val="Calibri"/>
              <i val="1"/>
              <color rgb="002B2B2B"/>
              <sz val="10"/>
            </rPr>
            <t>f</t>
          </r>
          <r>
            <rPr>
              <rFont val="Calibri"/>
              <i val="1"/>
              <color rgb="002B2B2B"/>
              <sz val="10"/>
              <vertAlign val="subscript"/>
            </rPr>
            <t>yd</t>
          </r>
        </is>
      </c>
      <c r="E92" s="44">
        <f>f_yk/gamma_s</f>
        <v/>
      </c>
      <c r="F92" s="28" t="inlineStr">
        <is>
          <t>MPa</t>
        </is>
      </c>
      <c r="G92" s="23" t="n"/>
    </row>
    <row r="93" ht="17" customHeight="1">
      <c r="B93" s="26" t="inlineStr">
        <is>
          <t>3.2.7(4)</t>
        </is>
      </c>
      <c r="C93" s="24" t="inlineStr">
        <is>
          <t>Modulus of elasticity of reinforcement</t>
        </is>
      </c>
      <c r="D93" s="27" t="inlineStr">
        <is>
          <r>
            <rPr>
              <rFont val="Calibri"/>
              <i val="1"/>
              <color rgb="002B2B2B"/>
              <sz val="10"/>
            </rPr>
            <t>E</t>
          </r>
          <r>
            <rPr>
              <rFont val="Calibri"/>
              <i val="1"/>
              <color rgb="002B2B2B"/>
              <sz val="10"/>
              <vertAlign val="subscript"/>
            </rPr>
            <t>s</t>
          </r>
        </is>
      </c>
      <c r="E93" s="43">
        <f>200000</f>
        <v/>
      </c>
      <c r="F93" s="28" t="inlineStr">
        <is>
          <t>MPa</t>
        </is>
      </c>
      <c r="G93" s="23" t="n"/>
    </row>
    <row r="94" ht="17" customHeight="1">
      <c r="B94" s="23" t="n"/>
      <c r="C94" s="24" t="inlineStr">
        <is>
          <t>Gross area  b h</t>
        </is>
      </c>
      <c r="D94" s="27" t="inlineStr">
        <is>
          <r>
            <rPr>
              <rFont val="Calibri"/>
              <i val="1"/>
              <color rgb="002B2B2B"/>
              <sz val="10"/>
            </rPr>
            <t>A</t>
          </r>
          <r>
            <rPr>
              <rFont val="Calibri"/>
              <i val="1"/>
              <color rgb="002B2B2B"/>
              <sz val="10"/>
              <vertAlign val="subscript"/>
            </rPr>
            <t>c</t>
          </r>
        </is>
      </c>
      <c r="E94" s="43">
        <f>b_col*h_col</f>
        <v/>
      </c>
      <c r="F94" s="28" t="inlineStr">
        <is>
          <t>mm²</t>
        </is>
      </c>
      <c r="G94" s="23" t="n"/>
    </row>
    <row r="95" ht="17" customHeight="1">
      <c r="B95" s="23" t="n"/>
      <c r="C95" s="24" t="inlineStr">
        <is>
          <t>Number of bars  2 nb + 2 (nh − 2)</t>
        </is>
      </c>
      <c r="D95" s="27" t="inlineStr">
        <is>
          <r>
            <rPr>
              <rFont val="Calibri"/>
              <i val="1"/>
              <color rgb="002B2B2B"/>
              <sz val="10"/>
            </rPr>
            <t>n</t>
          </r>
        </is>
      </c>
      <c r="E95" s="43">
        <f>n_bar</f>
        <v/>
      </c>
      <c r="F95" s="23" t="n"/>
      <c r="G95" s="23" t="n"/>
    </row>
    <row r="96" ht="17" customHeight="1">
      <c r="B96" s="23" t="n"/>
      <c r="C96" s="24" t="inlineStr">
        <is>
          <t>Reinforcement area</t>
        </is>
      </c>
      <c r="D96" s="27" t="inlineStr">
        <is>
          <r>
            <rPr>
              <rFont val="Calibri"/>
              <i val="1"/>
              <color rgb="002B2B2B"/>
              <sz val="10"/>
            </rPr>
            <t>A</t>
          </r>
          <r>
            <rPr>
              <rFont val="Calibri"/>
              <i val="1"/>
              <color rgb="002B2B2B"/>
              <sz val="10"/>
              <vertAlign val="subscript"/>
            </rPr>
            <t>s</t>
          </r>
        </is>
      </c>
      <c r="E96" s="43">
        <f>n_bar*PI()*phi_c^2/4</f>
        <v/>
      </c>
      <c r="F96" s="28" t="inlineStr">
        <is>
          <t>mm²</t>
        </is>
      </c>
      <c r="G96" s="23" t="n"/>
    </row>
    <row r="97" ht="17" customHeight="1">
      <c r="B97" s="23" t="n"/>
      <c r="C97" s="24" t="inlineStr">
        <is>
          <t>Centre of the corner bars from the face  c + φw + φ/2</t>
        </is>
      </c>
      <c r="D97" s="27" t="inlineStr">
        <is>
          <r>
            <rPr>
              <rFont val="Calibri"/>
              <i val="1"/>
              <color rgb="002B2B2B"/>
              <sz val="10"/>
            </rPr>
            <t>d</t>
          </r>
          <r>
            <rPr>
              <rFont val="Calibri"/>
              <i val="1"/>
              <color rgb="002B2B2B"/>
              <sz val="10"/>
              <vertAlign val="subscript"/>
            </rPr>
            <t>1</t>
          </r>
        </is>
      </c>
      <c r="E97" s="43">
        <f>d_1</f>
        <v/>
      </c>
      <c r="F97" s="28" t="inlineStr">
        <is>
          <t>mm</t>
        </is>
      </c>
      <c r="G97" s="23" t="n"/>
    </row>
    <row r="98" ht="17" customHeight="1">
      <c r="B98" s="26" t="inlineStr">
        <is>
          <t>5.8.8.3(2)</t>
        </is>
      </c>
      <c r="C98" s="24" t="inlineStr">
        <is>
          <t>Radius of gyration of the bars about the centroid</t>
        </is>
      </c>
      <c r="D98" s="27" t="inlineStr">
        <is>
          <r>
            <rPr>
              <rFont val="Calibri"/>
              <i val="1"/>
              <color rgb="002B2B2B"/>
              <sz val="10"/>
            </rPr>
            <t>i</t>
          </r>
          <r>
            <rPr>
              <rFont val="Calibri"/>
              <i val="1"/>
              <color rgb="002B2B2B"/>
              <sz val="10"/>
              <vertAlign val="subscript"/>
            </rPr>
            <t>s</t>
          </r>
        </is>
      </c>
      <c r="E98" s="44">
        <f>SQRT(SUMPRODUCT('Interaction'!$J$6:$S$6,'Interaction'!$J$7:$S$7^2)/A_sc)</f>
        <v/>
      </c>
      <c r="F98" s="28" t="inlineStr">
        <is>
          <t>mm</t>
        </is>
      </c>
      <c r="G98" s="23" t="n"/>
    </row>
    <row r="99" ht="17" customHeight="1">
      <c r="B99" s="23" t="n"/>
      <c r="C99" s="24" t="inlineStr">
        <is>
          <t>Mechanical reinforcement ratio  As fyd / (Ac fcd)</t>
        </is>
      </c>
      <c r="D99" s="27" t="inlineStr">
        <is>
          <r>
            <rPr>
              <rFont val="Calibri"/>
              <i val="1"/>
              <color rgb="002B2B2B"/>
              <sz val="10"/>
            </rPr>
            <t>ω</t>
          </r>
        </is>
      </c>
      <c r="E99" s="45">
        <f>A_sc*f_yd/(A_c*f_cd)</f>
        <v/>
      </c>
      <c r="F99" s="23" t="n"/>
      <c r="G99" s="23" t="n"/>
    </row>
    <row r="100" ht="17" customHeight="1">
      <c r="B100" s="26" t="inlineStr">
        <is>
          <t>(5.13N)</t>
        </is>
      </c>
      <c r="C100" s="24" t="inlineStr">
        <is>
          <t>Relative axial force  NEd / (Ac fcd)</t>
        </is>
      </c>
      <c r="D100" s="27" t="inlineStr">
        <is>
          <r>
            <rPr>
              <rFont val="Calibri"/>
              <i val="1"/>
              <color rgb="002B2B2B"/>
              <sz val="10"/>
            </rPr>
            <t>n</t>
          </r>
        </is>
      </c>
      <c r="E100" s="45">
        <f>N_Ed*1000/(A_c*f_cd)</f>
        <v/>
      </c>
      <c r="F100" s="23" t="n"/>
      <c r="G100" s="23" t="n"/>
    </row>
    <row r="102" ht="22" customHeight="1">
      <c r="B102" s="20" t="inlineStr">
        <is>
          <t>Calculation  ·  slenderness and design moment</t>
        </is>
      </c>
      <c r="C102" s="21" t="n"/>
      <c r="D102" s="21" t="n"/>
      <c r="E102" s="21" t="n"/>
      <c r="F102" s="21" t="n"/>
      <c r="G102" s="21" t="n"/>
    </row>
    <row r="103" ht="17" customHeight="1">
      <c r="B103" s="26" t="inlineStr">
        <is>
          <t>5.8.3.2</t>
        </is>
      </c>
      <c r="C103" s="24" t="inlineStr">
        <is>
          <t>Radius of gyration  h / √12</t>
        </is>
      </c>
      <c r="D103" s="27" t="inlineStr">
        <is>
          <r>
            <rPr>
              <rFont val="Calibri"/>
              <i val="1"/>
              <color rgb="002B2B2B"/>
              <sz val="10"/>
            </rPr>
            <t>i</t>
          </r>
        </is>
      </c>
      <c r="E103" s="44">
        <f>h_col/SQRT(12)</f>
        <v/>
      </c>
      <c r="F103" s="28" t="inlineStr">
        <is>
          <t>mm</t>
        </is>
      </c>
      <c r="G103" s="23" t="n"/>
    </row>
    <row r="104" ht="17" customHeight="1">
      <c r="B104" s="26" t="inlineStr">
        <is>
          <t>(5.14)</t>
        </is>
      </c>
      <c r="C104" s="24" t="inlineStr">
        <is>
          <t>Slenderness  l0 / i</t>
        </is>
      </c>
      <c r="D104" s="27" t="inlineStr">
        <is>
          <r>
            <rPr>
              <rFont val="Calibri"/>
              <i val="1"/>
              <color rgb="002B2B2B"/>
              <sz val="10"/>
            </rPr>
            <t>λ</t>
          </r>
        </is>
      </c>
      <c r="E104" s="44">
        <f>l_0/i_c</f>
        <v/>
      </c>
      <c r="F104" s="23" t="n"/>
      <c r="G104" s="23" t="n"/>
    </row>
    <row r="105" ht="17" customHeight="1">
      <c r="B105" s="26" t="inlineStr">
        <is>
          <t>(5.13N)</t>
        </is>
      </c>
      <c r="C105" s="24" t="inlineStr">
        <is>
          <t>A = 1 / (1 + 0.2 φef)</t>
        </is>
      </c>
      <c r="D105" s="27" t="inlineStr">
        <is>
          <r>
            <rPr>
              <rFont val="Calibri"/>
              <i val="1"/>
              <color rgb="002B2B2B"/>
              <sz val="10"/>
            </rPr>
            <t>A</t>
          </r>
        </is>
      </c>
      <c r="E105" s="45">
        <f>1/(1+0.2*phi_ef)</f>
        <v/>
      </c>
      <c r="F105" s="23" t="n"/>
      <c r="G105" s="23" t="n"/>
    </row>
    <row r="106" ht="17" customHeight="1">
      <c r="B106" s="26" t="inlineStr">
        <is>
          <t>(5.13N)</t>
        </is>
      </c>
      <c r="C106" s="24" t="inlineStr">
        <is>
          <t>B = √(1 + 2ω)</t>
        </is>
      </c>
      <c r="D106" s="27" t="inlineStr">
        <is>
          <r>
            <rPr>
              <rFont val="Calibri"/>
              <i val="1"/>
              <color rgb="002B2B2B"/>
              <sz val="10"/>
            </rPr>
            <t>B</t>
          </r>
        </is>
      </c>
      <c r="E106" s="45">
        <f>SQRT(1+2*omega)</f>
        <v/>
      </c>
      <c r="F106" s="23" t="n"/>
      <c r="G106" s="23" t="n"/>
    </row>
    <row r="107" ht="17" customHeight="1">
      <c r="B107" s="26" t="inlineStr">
        <is>
          <t>(5.13N)</t>
        </is>
      </c>
      <c r="C107" s="24" t="inlineStr">
        <is>
          <t>Moment ratio  M01 / M02</t>
        </is>
      </c>
      <c r="D107" s="27" t="inlineStr">
        <is>
          <r>
            <rPr>
              <rFont val="Calibri"/>
              <i val="1"/>
              <color rgb="002B2B2B"/>
              <sz val="10"/>
            </rPr>
            <t>r</t>
          </r>
          <r>
            <rPr>
              <rFont val="Calibri"/>
              <i val="1"/>
              <color rgb="002B2B2B"/>
              <sz val="10"/>
              <vertAlign val="subscript"/>
            </rPr>
            <t>m</t>
          </r>
        </is>
      </c>
      <c r="E107" s="45">
        <f>IF(M_02=0,1,M_01/M_02)</f>
        <v/>
      </c>
      <c r="F107" s="23" t="n"/>
      <c r="G107" s="23" t="n"/>
    </row>
    <row r="108" ht="17" customHeight="1">
      <c r="B108" s="26" t="inlineStr">
        <is>
          <t>(5.13N)</t>
        </is>
      </c>
      <c r="C108" s="24" t="inlineStr">
        <is>
          <t>C = 1.7 − rm (braced); 0.7 unbraced or M02 ≤ NEd ei (imperfections)</t>
        </is>
      </c>
      <c r="D108" s="27" t="inlineStr">
        <is>
          <r>
            <rPr>
              <rFont val="Calibri"/>
              <i val="1"/>
              <color rgb="002B2B2B"/>
              <sz val="10"/>
            </rPr>
            <t>C</t>
          </r>
        </is>
      </c>
      <c r="E108" s="45">
        <f>IF(OR(bracing="Unbraced",M_02&lt;=N_Ed*e_i/1000),0.7,1.7-r_m)</f>
        <v/>
      </c>
      <c r="F108" s="23" t="n"/>
      <c r="G108" s="23" t="n"/>
    </row>
    <row r="109" ht="17" customHeight="1">
      <c r="B109" s="26" t="inlineStr">
        <is>
          <t>(5.13N)</t>
        </is>
      </c>
      <c r="C109" s="24" t="inlineStr">
        <is>
          <t>Slenderness limit  20 A B C / √n</t>
        </is>
      </c>
      <c r="D109" s="27" t="inlineStr">
        <is>
          <r>
            <rPr>
              <rFont val="Calibri"/>
              <i val="1"/>
              <color rgb="002B2B2B"/>
              <sz val="10"/>
            </rPr>
            <t>λ</t>
          </r>
          <r>
            <rPr>
              <rFont val="Calibri"/>
              <i val="1"/>
              <color rgb="002B2B2B"/>
              <sz val="10"/>
              <vertAlign val="subscript"/>
            </rPr>
            <t>lim</t>
          </r>
        </is>
      </c>
      <c r="E109" s="44">
        <f>20*A_lam*B_lam*C_lam/SQRT(n_rel)</f>
        <v/>
      </c>
      <c r="F109" s="23" t="n"/>
      <c r="G109" s="23" t="n"/>
    </row>
    <row r="110" ht="17" customHeight="1">
      <c r="B110" s="26" t="inlineStr">
        <is>
          <t>5.2(5)</t>
        </is>
      </c>
      <c r="C110" s="24" t="inlineStr">
        <is>
          <t>αh = 2 / √l,  2/3 ≤ αh ≤ 1  (l in m)</t>
        </is>
      </c>
      <c r="D110" s="27" t="inlineStr">
        <is>
          <r>
            <rPr>
              <rFont val="Calibri"/>
              <i val="1"/>
              <color rgb="002B2B2B"/>
              <sz val="10"/>
            </rPr>
            <t>α</t>
          </r>
          <r>
            <rPr>
              <rFont val="Calibri"/>
              <i val="1"/>
              <color rgb="002B2B2B"/>
              <sz val="10"/>
              <vertAlign val="subscript"/>
            </rPr>
            <t>h</t>
          </r>
        </is>
      </c>
      <c r="E110" s="45">
        <f>MIN(1,MAX(2/3,2/SQRT(l_col/1000)))</f>
        <v/>
      </c>
      <c r="F110" s="23" t="n"/>
      <c r="G110" s="23" t="n"/>
    </row>
    <row r="111" ht="17" customHeight="1">
      <c r="B111" s="26" t="inlineStr">
        <is>
          <t>(5.1)</t>
        </is>
      </c>
      <c r="C111" s="24" t="inlineStr">
        <is>
          <t>Inclination  θi = θ0 αh αm,  θ0 = 1/200,  αm = 1</t>
        </is>
      </c>
      <c r="D111" s="27" t="inlineStr">
        <is>
          <r>
            <rPr>
              <rFont val="Calibri"/>
              <i val="1"/>
              <color rgb="002B2B2B"/>
              <sz val="10"/>
            </rPr>
            <t>θ</t>
          </r>
          <r>
            <rPr>
              <rFont val="Calibri"/>
              <i val="1"/>
              <color rgb="002B2B2B"/>
              <sz val="10"/>
              <vertAlign val="subscript"/>
            </rPr>
            <t>i</t>
          </r>
        </is>
      </c>
      <c r="E111" s="46">
        <f>alpha_h/200</f>
        <v/>
      </c>
      <c r="F111" s="23" t="n"/>
      <c r="G111" s="23" t="n"/>
    </row>
    <row r="112" ht="17" customHeight="1">
      <c r="B112" s="26" t="inlineStr">
        <is>
          <t>(5.2)</t>
        </is>
      </c>
      <c r="C112" s="24" t="inlineStr">
        <is>
          <t>Eccentricity from imperfections  θi l0 / 2</t>
        </is>
      </c>
      <c r="D112" s="27" t="inlineStr">
        <is>
          <r>
            <rPr>
              <rFont val="Calibri"/>
              <i val="1"/>
              <color rgb="002B2B2B"/>
              <sz val="10"/>
            </rPr>
            <t>e</t>
          </r>
          <r>
            <rPr>
              <rFont val="Calibri"/>
              <i val="1"/>
              <color rgb="002B2B2B"/>
              <sz val="10"/>
              <vertAlign val="subscript"/>
            </rPr>
            <t>i</t>
          </r>
        </is>
      </c>
      <c r="E112" s="44">
        <f>theta_i*l_0/2</f>
        <v/>
      </c>
      <c r="F112" s="28" t="inlineStr">
        <is>
          <t>mm</t>
        </is>
      </c>
      <c r="G112" s="23" t="n"/>
    </row>
    <row r="113" ht="17" customHeight="1">
      <c r="B113" s="26" t="inlineStr">
        <is>
          <t>5.8.8.2(2)</t>
        </is>
      </c>
      <c r="C113" s="24" t="inlineStr">
        <is>
          <t>End moments with imperfections  M02 + NEd ei</t>
        </is>
      </c>
      <c r="D113" s="27" t="inlineStr">
        <is>
          <r>
            <rPr>
              <rFont val="Calibri"/>
              <i val="1"/>
              <color rgb="002B2B2B"/>
              <sz val="10"/>
            </rPr>
            <t>M</t>
          </r>
          <r>
            <rPr>
              <rFont val="Calibri"/>
              <i val="1"/>
              <color rgb="002B2B2B"/>
              <sz val="10"/>
              <vertAlign val="subscript"/>
            </rPr>
            <t>02'</t>
          </r>
        </is>
      </c>
      <c r="E113" s="44">
        <f>M_02+N_Ed*e_i/1000</f>
        <v/>
      </c>
      <c r="F113" s="28" t="inlineStr">
        <is>
          <t>kNm</t>
        </is>
      </c>
      <c r="G113" s="23" t="n"/>
    </row>
    <row r="114" ht="17" customHeight="1">
      <c r="B114" s="26" t="inlineStr">
        <is>
          <t>5.8.8.2(2)</t>
        </is>
      </c>
      <c r="C114" s="24" t="inlineStr">
        <is>
          <t>M01 + NEd ei</t>
        </is>
      </c>
      <c r="D114" s="27" t="inlineStr">
        <is>
          <r>
            <rPr>
              <rFont val="Calibri"/>
              <i val="1"/>
              <color rgb="002B2B2B"/>
              <sz val="10"/>
            </rPr>
            <t>M</t>
          </r>
          <r>
            <rPr>
              <rFont val="Calibri"/>
              <i val="1"/>
              <color rgb="002B2B2B"/>
              <sz val="10"/>
              <vertAlign val="subscript"/>
            </rPr>
            <t>01'</t>
          </r>
        </is>
      </c>
      <c r="E114" s="44">
        <f>M_01+N_Ed*e_i/1000</f>
        <v/>
      </c>
      <c r="F114" s="28" t="inlineStr">
        <is>
          <t>kNm</t>
        </is>
      </c>
      <c r="G114" s="23" t="n"/>
    </row>
    <row r="115" ht="17" customHeight="1">
      <c r="B115" s="26" t="inlineStr">
        <is>
          <t>6.1(4)</t>
        </is>
      </c>
      <c r="C115" s="24" t="inlineStr">
        <is>
          <t>Minimum eccentricity  max(h / 30; 20 mm)</t>
        </is>
      </c>
      <c r="D115" s="27" t="inlineStr">
        <is>
          <r>
            <rPr>
              <rFont val="Calibri"/>
              <i val="1"/>
              <color rgb="002B2B2B"/>
              <sz val="10"/>
            </rPr>
            <t>e</t>
          </r>
          <r>
            <rPr>
              <rFont val="Calibri"/>
              <i val="1"/>
              <color rgb="002B2B2B"/>
              <sz val="10"/>
              <vertAlign val="subscript"/>
            </rPr>
            <t>0</t>
          </r>
        </is>
      </c>
      <c r="E115" s="44">
        <f>MAX(h_col/30,20)</f>
        <v/>
      </c>
      <c r="F115" s="28" t="inlineStr">
        <is>
          <t>mm</t>
        </is>
      </c>
      <c r="G115" s="23" t="n"/>
    </row>
    <row r="116" ht="17" customHeight="1">
      <c r="B116" s="26" t="inlineStr">
        <is>
          <t>(5.36)</t>
        </is>
      </c>
      <c r="C116" s="24" t="inlineStr">
        <is>
          <t>Kr = (nu − n) / (nu − nbal) ≤ 1,  nu = 1 + ω,  nbal = 0.4</t>
        </is>
      </c>
      <c r="D116" s="27" t="inlineStr">
        <is>
          <r>
            <rPr>
              <rFont val="Calibri"/>
              <i val="1"/>
              <color rgb="002B2B2B"/>
              <sz val="10"/>
            </rPr>
            <t>K</t>
          </r>
          <r>
            <rPr>
              <rFont val="Calibri"/>
              <i val="1"/>
              <color rgb="002B2B2B"/>
              <sz val="10"/>
              <vertAlign val="subscript"/>
            </rPr>
            <t>r</t>
          </r>
        </is>
      </c>
      <c r="E116" s="45">
        <f>MIN(1,MAX(0,(1+omega-n_rel)/(1+omega-0.4)))</f>
        <v/>
      </c>
      <c r="F116" s="23" t="n"/>
      <c r="G116" s="23" t="n"/>
    </row>
    <row r="117" ht="17" customHeight="1">
      <c r="B117" s="26" t="inlineStr">
        <is>
          <t>(5.37)</t>
        </is>
      </c>
      <c r="C117" s="24" t="inlineStr">
        <is>
          <t>β = 0.35 + fck/200 − λ/150</t>
        </is>
      </c>
      <c r="D117" s="27" t="inlineStr">
        <is>
          <r>
            <rPr>
              <rFont val="Calibri"/>
              <i val="1"/>
              <color rgb="002B2B2B"/>
              <sz val="10"/>
            </rPr>
            <t>β</t>
          </r>
        </is>
      </c>
      <c r="E117" s="45">
        <f>0.35+f_ck/200-lam/150</f>
        <v/>
      </c>
      <c r="F117" s="23" t="n"/>
      <c r="G117" s="23" t="n"/>
    </row>
    <row r="118" ht="17" customHeight="1">
      <c r="B118" s="26" t="inlineStr">
        <is>
          <t>(5.37)</t>
        </is>
      </c>
      <c r="C118" s="24" t="inlineStr">
        <is>
          <t>Kφ = 1 + β φef ≥ 1</t>
        </is>
      </c>
      <c r="D118" s="27" t="inlineStr">
        <is>
          <r>
            <rPr>
              <rFont val="Calibri"/>
              <i val="1"/>
              <color rgb="002B2B2B"/>
              <sz val="10"/>
            </rPr>
            <t>K</t>
          </r>
          <r>
            <rPr>
              <rFont val="Calibri"/>
              <i val="1"/>
              <color rgb="002B2B2B"/>
              <sz val="10"/>
              <vertAlign val="subscript"/>
            </rPr>
            <t>φ</t>
          </r>
        </is>
      </c>
      <c r="E118" s="45">
        <f>MAX(1,1+beta_c*phi_ef)</f>
        <v/>
      </c>
      <c r="F118" s="23" t="n"/>
      <c r="G118" s="23" t="n"/>
    </row>
    <row r="119" ht="17" customHeight="1">
      <c r="B119" s="26" t="inlineStr">
        <is>
          <t>5.8.8.3(2)</t>
        </is>
      </c>
      <c r="C119" s="24" t="inlineStr">
        <is>
          <t>Effective depth  h/2 + is</t>
        </is>
      </c>
      <c r="D119" s="27" t="inlineStr">
        <is>
          <r>
            <rPr>
              <rFont val="Calibri"/>
              <i val="1"/>
              <color rgb="002B2B2B"/>
              <sz val="10"/>
            </rPr>
            <t>d</t>
          </r>
        </is>
      </c>
      <c r="E119" s="44">
        <f>h_col/2+i_s</f>
        <v/>
      </c>
      <c r="F119" s="28" t="inlineStr">
        <is>
          <t>mm</t>
        </is>
      </c>
      <c r="G119" s="23" t="n"/>
    </row>
    <row r="120" ht="17" customHeight="1">
      <c r="B120" s="26" t="inlineStr">
        <is>
          <t>(5.34)</t>
        </is>
      </c>
      <c r="C120" s="24" t="inlineStr">
        <is>
          <t>Curvature  Kr Kφ εyd / (0.45 d)</t>
        </is>
      </c>
      <c r="D120" s="27" t="inlineStr">
        <is>
          <r>
            <rPr>
              <rFont val="Calibri"/>
              <i val="1"/>
              <color rgb="002B2B2B"/>
              <sz val="10"/>
            </rPr>
            <t>1/r</t>
          </r>
        </is>
      </c>
      <c r="E120" s="47">
        <f>K_r*K_phi*f_yd/E_s/(0.45*d_c)</f>
        <v/>
      </c>
      <c r="F120" s="28" t="inlineStr">
        <is>
          <t>1/mm</t>
        </is>
      </c>
      <c r="G120" s="23" t="n"/>
    </row>
    <row r="121" ht="17" customHeight="1">
      <c r="B121" s="26" t="inlineStr">
        <is>
          <t>(5.33)</t>
        </is>
      </c>
      <c r="C121" s="24" t="inlineStr">
        <is>
          <t>Second order eccentricity  (1/r) l0² / c</t>
        </is>
      </c>
      <c r="D121" s="27" t="inlineStr">
        <is>
          <r>
            <rPr>
              <rFont val="Calibri"/>
              <i val="1"/>
              <color rgb="002B2B2B"/>
              <sz val="10"/>
            </rPr>
            <t>e</t>
          </r>
          <r>
            <rPr>
              <rFont val="Calibri"/>
              <i val="1"/>
              <color rgb="002B2B2B"/>
              <sz val="10"/>
              <vertAlign val="subscript"/>
            </rPr>
            <t>2</t>
          </r>
        </is>
      </c>
      <c r="E121" s="44">
        <f>curv*l_0^2/c_curv</f>
        <v/>
      </c>
      <c r="F121" s="28" t="inlineStr">
        <is>
          <t>mm</t>
        </is>
      </c>
      <c r="G121" s="23" t="n"/>
    </row>
    <row r="122" ht="17" customHeight="1">
      <c r="B122" s="26" t="inlineStr">
        <is>
          <t>(5.31)</t>
        </is>
      </c>
      <c r="C122" s="24" t="inlineStr">
        <is>
          <t>Second order moment  NEd e2  (slender columns only)</t>
        </is>
      </c>
      <c r="D122" s="27" t="inlineStr">
        <is>
          <r>
            <rPr>
              <rFont val="Calibri"/>
              <i val="1"/>
              <color rgb="002B2B2B"/>
              <sz val="10"/>
            </rPr>
            <t>M</t>
          </r>
          <r>
            <rPr>
              <rFont val="Calibri"/>
              <i val="1"/>
              <color rgb="002B2B2B"/>
              <sz val="10"/>
              <vertAlign val="subscript"/>
            </rPr>
            <t>2</t>
          </r>
        </is>
      </c>
      <c r="E122" s="44">
        <f>IF(slender,N_Ed*e_2/1000,0)</f>
        <v/>
      </c>
      <c r="F122" s="28" t="inlineStr">
        <is>
          <t>kNm</t>
        </is>
      </c>
      <c r="G122" s="23" t="n"/>
    </row>
    <row r="123" ht="17" customHeight="1">
      <c r="B123" s="26" t="inlineStr">
        <is>
          <t>(5.32)</t>
        </is>
      </c>
      <c r="C123" s="24" t="inlineStr">
        <is>
          <t>Equivalent first order moment  0.6 M02 + 0.4 M01 ≥ 0.4 M02</t>
        </is>
      </c>
      <c r="D123" s="27" t="inlineStr">
        <is>
          <r>
            <rPr>
              <rFont val="Calibri"/>
              <i val="1"/>
              <color rgb="002B2B2B"/>
              <sz val="10"/>
            </rPr>
            <t>M</t>
          </r>
          <r>
            <rPr>
              <rFont val="Calibri"/>
              <i val="1"/>
              <color rgb="002B2B2B"/>
              <sz val="10"/>
              <vertAlign val="subscript"/>
            </rPr>
            <t>0e</t>
          </r>
        </is>
      </c>
      <c r="E123" s="44">
        <f>MAX(0.6*M_02i+0.4*M_01i,0.4*M_02i)</f>
        <v/>
      </c>
      <c r="F123" s="28" t="inlineStr">
        <is>
          <t>kNm</t>
        </is>
      </c>
      <c r="G123" s="23" t="n"/>
    </row>
    <row r="124" ht="17" customHeight="1">
      <c r="B124" s="26" t="inlineStr">
        <is>
          <t>5.8.8.2</t>
        </is>
      </c>
      <c r="C124" s="24" t="inlineStr">
        <is>
          <t>Design moment  max(M0e + M2; M02; M01 + M2/2; NEd e0)</t>
        </is>
      </c>
      <c r="D124" s="27" t="inlineStr">
        <is>
          <r>
            <rPr>
              <rFont val="Calibri"/>
              <i val="1"/>
              <color rgb="002B2B2B"/>
              <sz val="10"/>
            </rPr>
            <t>M</t>
          </r>
          <r>
            <rPr>
              <rFont val="Calibri"/>
              <i val="1"/>
              <color rgb="002B2B2B"/>
              <sz val="10"/>
              <vertAlign val="subscript"/>
            </rPr>
            <t>Ed</t>
          </r>
        </is>
      </c>
      <c r="E124" s="48">
        <f>IF(slender,MAX(M_0e+M_2,M_02i,M_01i+0.5*M_2,N_Ed*e_0/1000),MAX(M_02i,N_Ed*e_0/1000))</f>
        <v/>
      </c>
      <c r="F124" s="28" t="inlineStr">
        <is>
          <t>kNm</t>
        </is>
      </c>
      <c r="G124" s="23" t="n"/>
    </row>
    <row r="126" ht="22" customHeight="1">
      <c r="B126" s="20" t="inlineStr">
        <is>
          <t>Calculation  ·  resistance  (see the Interaction sheet)</t>
        </is>
      </c>
      <c r="C126" s="21" t="n"/>
      <c r="D126" s="21" t="n"/>
      <c r="E126" s="21" t="n"/>
      <c r="F126" s="21" t="n"/>
      <c r="G126" s="21" t="n"/>
    </row>
    <row r="127" ht="17" customHeight="1">
      <c r="B127" s="26" t="inlineStr">
        <is>
          <t>6.1(5)</t>
        </is>
      </c>
      <c r="C127" s="24" t="inlineStr">
        <is>
          <t>Axial resistance in compression  (uniform strain εc2 = 0.002)</t>
        </is>
      </c>
      <c r="D127" s="27" t="inlineStr">
        <is>
          <r>
            <rPr>
              <rFont val="Calibri"/>
              <i val="1"/>
              <color rgb="002B2B2B"/>
              <sz val="10"/>
            </rPr>
            <t>N</t>
          </r>
          <r>
            <rPr>
              <rFont val="Calibri"/>
              <i val="1"/>
              <color rgb="002B2B2B"/>
              <sz val="10"/>
              <vertAlign val="subscript"/>
            </rPr>
            <t>Rd,max</t>
          </r>
        </is>
      </c>
      <c r="E127" s="43">
        <f>INDEX(nm_N,nm_rows)</f>
        <v/>
      </c>
      <c r="F127" s="28" t="inlineStr">
        <is>
          <t>kN</t>
        </is>
      </c>
      <c r="G127" s="23" t="n"/>
    </row>
    <row r="128" ht="17" customHeight="1">
      <c r="B128" s="26" t="inlineStr">
        <is>
          <t>6.1</t>
        </is>
      </c>
      <c r="C128" s="24" t="inlineStr">
        <is>
          <t>Axial resistance in tension  −As fyd</t>
        </is>
      </c>
      <c r="D128" s="27" t="inlineStr">
        <is>
          <r>
            <rPr>
              <rFont val="Calibri"/>
              <i val="1"/>
              <color rgb="002B2B2B"/>
              <sz val="10"/>
            </rPr>
            <t>N</t>
          </r>
          <r>
            <rPr>
              <rFont val="Calibri"/>
              <i val="1"/>
              <color rgb="002B2B2B"/>
              <sz val="10"/>
              <vertAlign val="subscript"/>
            </rPr>
            <t>Rd,min</t>
          </r>
        </is>
      </c>
      <c r="E128" s="43">
        <f>INDEX(nm_N,1)</f>
        <v/>
      </c>
      <c r="F128" s="28" t="inlineStr">
        <is>
          <t>kN</t>
        </is>
      </c>
      <c r="G128" s="23" t="n"/>
    </row>
    <row r="129" ht="17" customHeight="1">
      <c r="B129" s="23" t="n"/>
      <c r="C129" s="24" t="inlineStr">
        <is>
          <t>Largest sampled moment on the curve  (scale of the chart)</t>
        </is>
      </c>
      <c r="D129" s="27" t="inlineStr">
        <is>
          <r>
            <rPr>
              <rFont val="Calibri"/>
              <i val="1"/>
              <color rgb="002B2B2B"/>
              <sz val="10"/>
            </rPr>
            <t>M</t>
          </r>
          <r>
            <rPr>
              <rFont val="Calibri"/>
              <i val="1"/>
              <color rgb="002B2B2B"/>
              <sz val="10"/>
              <vertAlign val="subscript"/>
            </rPr>
            <t>max</t>
          </r>
        </is>
      </c>
      <c r="E129" s="44">
        <f>MAX(nm_M)</f>
        <v/>
      </c>
      <c r="F129" s="28" t="inlineStr">
        <is>
          <t>kNm</t>
        </is>
      </c>
      <c r="G129" s="23" t="n"/>
    </row>
    <row r="130" ht="17" customHeight="1">
      <c r="B130" s="26" t="inlineStr">
        <is>
          <t>6.1</t>
        </is>
      </c>
      <c r="C130" s="24" t="inlineStr">
        <is>
          <t>Neutral axis depth with N = NEd  (bisection, Interaction sheet)</t>
        </is>
      </c>
      <c r="D130" s="27" t="inlineStr">
        <is>
          <r>
            <rPr>
              <rFont val="Calibri"/>
              <i val="1"/>
              <color rgb="002B2B2B"/>
              <sz val="10"/>
            </rPr>
            <t>x</t>
          </r>
        </is>
      </c>
      <c r="E130" s="49">
        <f>bis_x</f>
        <v/>
      </c>
      <c r="F130" s="28" t="inlineStr">
        <is>
          <t>mm</t>
        </is>
      </c>
      <c r="G130" s="23" t="n"/>
    </row>
    <row r="131" ht="17" customHeight="1">
      <c r="B131" s="26" t="inlineStr">
        <is>
          <t>6.1</t>
        </is>
      </c>
      <c r="C131" s="24" t="inlineStr">
        <is>
          <t>Axial force at that depth  (check: = NEd)</t>
        </is>
      </c>
      <c r="D131" s="27" t="inlineStr">
        <is>
          <r>
            <rPr>
              <rFont val="Calibri"/>
              <i val="1"/>
              <color rgb="002B2B2B"/>
              <sz val="10"/>
            </rPr>
            <t>N</t>
          </r>
        </is>
      </c>
      <c r="E131" s="44">
        <f>bis_N</f>
        <v/>
      </c>
      <c r="F131" s="28" t="inlineStr">
        <is>
          <t>kN</t>
        </is>
      </c>
      <c r="G131" s="23" t="n"/>
    </row>
    <row r="132" ht="17" customHeight="1">
      <c r="B132" s="26" t="inlineStr">
        <is>
          <t>6.1</t>
        </is>
      </c>
      <c r="C132" s="24" t="inlineStr">
        <is>
          <t>Moment resistance at NEd</t>
        </is>
      </c>
      <c r="D132" s="27" t="inlineStr">
        <is>
          <r>
            <rPr>
              <rFont val="Calibri"/>
              <i val="1"/>
              <color rgb="002B2B2B"/>
              <sz val="10"/>
            </rPr>
            <t>M</t>
          </r>
          <r>
            <rPr>
              <rFont val="Calibri"/>
              <i val="1"/>
              <color rgb="002B2B2B"/>
              <sz val="10"/>
              <vertAlign val="subscript"/>
            </rPr>
            <t>Rd</t>
          </r>
        </is>
      </c>
      <c r="E132" s="48">
        <f>IF(AND(inputs_ok,N_Ed&lt;=N_Rdmax),bis_M,NA())</f>
        <v/>
      </c>
      <c r="F132" s="28" t="inlineStr">
        <is>
          <t>kNm</t>
        </is>
      </c>
      <c r="G132" s="23" t="n"/>
    </row>
    <row r="133" ht="17" customHeight="1">
      <c r="B133" s="26" t="inlineStr">
        <is>
          <t>6.1</t>
        </is>
      </c>
      <c r="C133" s="24" t="inlineStr">
        <is>
          <t>Axial force  NEd ≤ NRd,max</t>
        </is>
      </c>
      <c r="D133" s="27" t="inlineStr">
        <is>
          <r>
            <rPr>
              <rFont val="Calibri"/>
              <i val="1"/>
              <color rgb="002B2B2B"/>
              <sz val="10"/>
            </rPr>
            <t>N</t>
          </r>
          <r>
            <rPr>
              <rFont val="Calibri"/>
              <i val="1"/>
              <color rgb="002B2B2B"/>
              <sz val="10"/>
              <vertAlign val="subscript"/>
            </rPr>
            <t>Ed</t>
          </r>
        </is>
      </c>
      <c r="E133" s="43">
        <f>N_Ed</f>
        <v/>
      </c>
      <c r="F133" s="28" t="inlineStr">
        <is>
          <t>kN</t>
        </is>
      </c>
      <c r="G133" s="32">
        <f>IF(NOT(inputs_ok),"FAIL",IF(N_Ed&lt;=N_Rdmax,"OK","FAIL"))</f>
        <v/>
      </c>
    </row>
    <row r="134" ht="17" customHeight="1">
      <c r="B134" s="26" t="inlineStr">
        <is>
          <t>6.1</t>
        </is>
      </c>
      <c r="C134" s="24" t="inlineStr">
        <is>
          <t>Moment  MEd ≤ MRd</t>
        </is>
      </c>
      <c r="D134" s="27" t="inlineStr">
        <is>
          <r>
            <rPr>
              <rFont val="Calibri"/>
              <i val="1"/>
              <color rgb="002B2B2B"/>
              <sz val="10"/>
            </rPr>
            <t>M</t>
          </r>
          <r>
            <rPr>
              <rFont val="Calibri"/>
              <i val="1"/>
              <color rgb="002B2B2B"/>
              <sz val="10"/>
              <vertAlign val="subscript"/>
            </rPr>
            <t>Ed</t>
          </r>
        </is>
      </c>
      <c r="E134" s="44">
        <f>M_Ed</f>
        <v/>
      </c>
      <c r="F134" s="28" t="inlineStr">
        <is>
          <t>kNm</t>
        </is>
      </c>
      <c r="G134" s="32">
        <f>IF(NOT(inputs_ok),"FAIL",IF(IF(res_ok,M_Ed&lt;=M_Rd,FALSE),"OK","FAIL"))</f>
        <v/>
      </c>
    </row>
    <row r="136" ht="22" customHeight="1">
      <c r="B136" s="20" t="inlineStr">
        <is>
          <t>Calculation  ·  detailing  (9.5)</t>
        </is>
      </c>
      <c r="C136" s="21" t="n"/>
      <c r="D136" s="21" t="n"/>
      <c r="E136" s="21" t="n"/>
      <c r="F136" s="21" t="n"/>
      <c r="G136" s="21" t="n"/>
    </row>
    <row r="137" ht="17" customHeight="1">
      <c r="B137" s="26" t="inlineStr">
        <is>
          <t>(9.12N)</t>
        </is>
      </c>
      <c r="C137" s="24" t="inlineStr">
        <is>
          <t>Minimum reinforcement  max(0.10 NEd / fyd; 0.002 Ac)</t>
        </is>
      </c>
      <c r="D137" s="27" t="inlineStr">
        <is>
          <r>
            <rPr>
              <rFont val="Calibri"/>
              <i val="1"/>
              <color rgb="002B2B2B"/>
              <sz val="10"/>
            </rPr>
            <t>A</t>
          </r>
          <r>
            <rPr>
              <rFont val="Calibri"/>
              <i val="1"/>
              <color rgb="002B2B2B"/>
              <sz val="10"/>
              <vertAlign val="subscript"/>
            </rPr>
            <t>s,min</t>
          </r>
        </is>
      </c>
      <c r="E137" s="43">
        <f>MAX(0.1*N_Ed*1000/f_yd,0.002*A_c)</f>
        <v/>
      </c>
      <c r="F137" s="28" t="inlineStr">
        <is>
          <t>mm²</t>
        </is>
      </c>
      <c r="G137" s="23" t="n"/>
    </row>
    <row r="138" ht="17" customHeight="1">
      <c r="B138" s="26" t="inlineStr">
        <is>
          <t>9.5.2(3)</t>
        </is>
      </c>
      <c r="C138" s="24" t="inlineStr">
        <is>
          <t>Maximum reinforcement  0.04 Ac  (outside laps)</t>
        </is>
      </c>
      <c r="D138" s="27" t="inlineStr">
        <is>
          <r>
            <rPr>
              <rFont val="Calibri"/>
              <i val="1"/>
              <color rgb="002B2B2B"/>
              <sz val="10"/>
            </rPr>
            <t>A</t>
          </r>
          <r>
            <rPr>
              <rFont val="Calibri"/>
              <i val="1"/>
              <color rgb="002B2B2B"/>
              <sz val="10"/>
              <vertAlign val="subscript"/>
            </rPr>
            <t>s,max</t>
          </r>
        </is>
      </c>
      <c r="E138" s="43">
        <f>0.04*A_c</f>
        <v/>
      </c>
      <c r="F138" s="28" t="inlineStr">
        <is>
          <t>mm²</t>
        </is>
      </c>
      <c r="G138" s="23" t="n"/>
    </row>
    <row r="139" ht="17" customHeight="1">
      <c r="B139" s="26" t="inlineStr">
        <is>
          <t>8.2(2)</t>
        </is>
      </c>
      <c r="C139" s="24" t="inlineStr">
        <is>
          <t>Minimum clear gap  max(φ; dg + 5; 20)</t>
        </is>
      </c>
      <c r="D139" s="27" t="inlineStr">
        <is>
          <r>
            <rPr>
              <rFont val="Calibri"/>
              <i val="1"/>
              <color rgb="002B2B2B"/>
              <sz val="10"/>
            </rPr>
            <t>a</t>
          </r>
          <r>
            <rPr>
              <rFont val="Calibri"/>
              <i val="1"/>
              <color rgb="002B2B2B"/>
              <sz val="10"/>
              <vertAlign val="subscript"/>
            </rPr>
            <t>min</t>
          </r>
        </is>
      </c>
      <c r="E139" s="43">
        <f>MAX(phi_c,d_g+5,20)</f>
        <v/>
      </c>
      <c r="F139" s="28" t="inlineStr">
        <is>
          <t>mm</t>
        </is>
      </c>
      <c r="G139" s="23" t="n"/>
    </row>
    <row r="140" ht="17" customHeight="1">
      <c r="B140" s="23" t="n"/>
      <c r="C140" s="24" t="inlineStr">
        <is>
          <t>Clear gap along b  (b − 2d1)/(nb − 1) − φ</t>
        </is>
      </c>
      <c r="D140" s="27" t="inlineStr">
        <is>
          <r>
            <rPr>
              <rFont val="Calibri"/>
              <i val="1"/>
              <color rgb="002B2B2B"/>
              <sz val="10"/>
            </rPr>
            <t>a</t>
          </r>
          <r>
            <rPr>
              <rFont val="Calibri"/>
              <i val="1"/>
              <color rgb="002B2B2B"/>
              <sz val="10"/>
              <vertAlign val="subscript"/>
            </rPr>
            <t>b</t>
          </r>
        </is>
      </c>
      <c r="E140" s="43">
        <f>(b_col-2*d_1)/(n_b-1)-phi_c</f>
        <v/>
      </c>
      <c r="F140" s="28" t="inlineStr">
        <is>
          <t>mm</t>
        </is>
      </c>
      <c r="G140" s="23" t="n"/>
    </row>
    <row r="141" ht="17" customHeight="1">
      <c r="B141" s="23" t="n"/>
      <c r="C141" s="24" t="inlineStr">
        <is>
          <t>Clear gap along h  (h − 2d1)/(nh − 1) − φ</t>
        </is>
      </c>
      <c r="D141" s="27" t="inlineStr">
        <is>
          <r>
            <rPr>
              <rFont val="Calibri"/>
              <i val="1"/>
              <color rgb="002B2B2B"/>
              <sz val="10"/>
            </rPr>
            <t>a</t>
          </r>
          <r>
            <rPr>
              <rFont val="Calibri"/>
              <i val="1"/>
              <color rgb="002B2B2B"/>
              <sz val="10"/>
              <vertAlign val="subscript"/>
            </rPr>
            <t>h</t>
          </r>
        </is>
      </c>
      <c r="E141" s="43">
        <f>(h_col-2*d_1)/(n_h-1)-phi_c</f>
        <v/>
      </c>
      <c r="F141" s="28" t="inlineStr">
        <is>
          <t>mm</t>
        </is>
      </c>
      <c r="G141" s="23" t="n"/>
    </row>
    <row r="142" ht="17" customHeight="1">
      <c r="B142" s="26" t="inlineStr">
        <is>
          <t>9.5.3(1)</t>
        </is>
      </c>
      <c r="C142" s="24" t="inlineStr">
        <is>
          <t>Minimum link diameter  max(6; φ / 4)</t>
        </is>
      </c>
      <c r="D142" s="27" t="inlineStr">
        <is>
          <r>
            <rPr>
              <rFont val="Calibri"/>
              <i val="1"/>
              <color rgb="002B2B2B"/>
              <sz val="10"/>
            </rPr>
            <t>φ</t>
          </r>
          <r>
            <rPr>
              <rFont val="Calibri"/>
              <i val="1"/>
              <color rgb="002B2B2B"/>
              <sz val="10"/>
              <vertAlign val="subscript"/>
            </rPr>
            <t>w,min</t>
          </r>
        </is>
      </c>
      <c r="E142" s="44">
        <f>MAX(6,phi_c/4)</f>
        <v/>
      </c>
      <c r="F142" s="28" t="inlineStr">
        <is>
          <t>mm</t>
        </is>
      </c>
      <c r="G142" s="23" t="n"/>
    </row>
    <row r="143" ht="17" customHeight="1">
      <c r="B143" s="26" t="inlineStr">
        <is>
          <t>9.5.3(3)</t>
        </is>
      </c>
      <c r="C143" s="24" t="inlineStr">
        <is>
          <t>Maximum link spacing  min(20 φ; b; h; 400)</t>
        </is>
      </c>
      <c r="D143" s="27" t="inlineStr">
        <is>
          <r>
            <rPr>
              <rFont val="Calibri"/>
              <i val="1"/>
              <color rgb="002B2B2B"/>
              <sz val="10"/>
            </rPr>
            <t>s</t>
          </r>
          <r>
            <rPr>
              <rFont val="Calibri"/>
              <i val="1"/>
              <color rgb="002B2B2B"/>
              <sz val="10"/>
              <vertAlign val="subscript"/>
            </rPr>
            <t>cl,tmax</t>
          </r>
        </is>
      </c>
      <c r="E143" s="43">
        <f>MIN(20*phi_c,b_col,h_col,400)</f>
        <v/>
      </c>
      <c r="F143" s="28" t="inlineStr">
        <is>
          <t>mm</t>
        </is>
      </c>
      <c r="G143" s="23" t="n"/>
    </row>
    <row r="144" ht="17" customHeight="1">
      <c r="B144" s="26" t="inlineStr">
        <is>
          <t>9.5.3(6)</t>
        </is>
      </c>
      <c r="C144" s="24" t="inlineStr">
        <is>
          <t>Largest clear distance from a free bar to a restrained bar</t>
        </is>
      </c>
      <c r="D144" s="27" t="inlineStr">
        <is>
          <r>
            <rPr>
              <rFont val="Calibri"/>
              <i val="1"/>
              <color rgb="002B2B2B"/>
              <sz val="10"/>
            </rPr>
            <t>s</t>
          </r>
          <r>
            <rPr>
              <rFont val="Calibri"/>
              <i val="1"/>
              <color rgb="002B2B2B"/>
              <sz val="10"/>
              <vertAlign val="subscript"/>
            </rPr>
            <t>free</t>
          </r>
        </is>
      </c>
      <c r="E144" s="43">
        <f>MAX(0,IF(ties="Every bar",0,IF(ties="Alternate bars",IF(n_b&gt;=3,1,0),INT((n_b-1)/2)))*(b_col-2*d_1)/(n_b-1)-phi_c,IF(ties="Every bar",0,IF(ties="Alternate bars",IF(n_h&gt;=3,1,0),INT((n_h-1)/2)))*(h_col-2*d_1)/(n_h-1)-phi_c)</f>
        <v/>
      </c>
      <c r="F144" s="28" t="inlineStr">
        <is>
          <t>mm</t>
        </is>
      </c>
      <c r="G144" s="26" t="inlineStr">
        <is>
          <t>Corners and tied bars restrained</t>
        </is>
      </c>
    </row>
    <row r="145" ht="17" customHeight="1">
      <c r="B145" s="26" t="inlineStr">
        <is>
          <t>(9.12N)</t>
        </is>
      </c>
      <c r="C145" s="24" t="inlineStr">
        <is>
          <t>Reinforcement  As ≥ As,min</t>
        </is>
      </c>
      <c r="D145" s="27" t="inlineStr">
        <is>
          <r>
            <rPr>
              <rFont val="Calibri"/>
              <i val="1"/>
              <color rgb="002B2B2B"/>
              <sz val="10"/>
            </rPr>
            <t>A</t>
          </r>
          <r>
            <rPr>
              <rFont val="Calibri"/>
              <i val="1"/>
              <color rgb="002B2B2B"/>
              <sz val="10"/>
              <vertAlign val="subscript"/>
            </rPr>
            <t>s</t>
          </r>
        </is>
      </c>
      <c r="E145" s="43">
        <f>A_sc</f>
        <v/>
      </c>
      <c r="F145" s="28" t="inlineStr">
        <is>
          <t>mm²</t>
        </is>
      </c>
      <c r="G145" s="32">
        <f>IF(NOT(inputs_ok),"FAIL",IF(A_sc&gt;=A_smin,"OK","FAIL"))</f>
        <v/>
      </c>
    </row>
    <row r="146" ht="17" customHeight="1">
      <c r="B146" s="26" t="inlineStr">
        <is>
          <t>9.5.2(3)</t>
        </is>
      </c>
      <c r="C146" s="24" t="inlineStr">
        <is>
          <t>Reinforcement  As ≤ As,max</t>
        </is>
      </c>
      <c r="D146" s="27" t="inlineStr">
        <is>
          <r>
            <rPr>
              <rFont val="Calibri"/>
              <i val="1"/>
              <color rgb="002B2B2B"/>
              <sz val="10"/>
            </rPr>
            <t>A</t>
          </r>
          <r>
            <rPr>
              <rFont val="Calibri"/>
              <i val="1"/>
              <color rgb="002B2B2B"/>
              <sz val="10"/>
              <vertAlign val="subscript"/>
            </rPr>
            <t>s</t>
          </r>
        </is>
      </c>
      <c r="E146" s="43">
        <f>A_sc</f>
        <v/>
      </c>
      <c r="F146" s="28" t="inlineStr">
        <is>
          <t>mm²</t>
        </is>
      </c>
      <c r="G146" s="32">
        <f>IF(NOT(inputs_ok),"FAIL",IF(A_sc&lt;=A_smax,"OK","FAIL"))</f>
        <v/>
      </c>
    </row>
    <row r="147" ht="17" customHeight="1">
      <c r="B147" s="26" t="inlineStr">
        <is>
          <t>9.5.2(1)</t>
        </is>
      </c>
      <c r="C147" s="24" t="inlineStr">
        <is>
          <t>Bar diameter  φ ≥ φmin</t>
        </is>
      </c>
      <c r="D147" s="27" t="inlineStr">
        <is>
          <r>
            <rPr>
              <rFont val="Calibri"/>
              <i val="1"/>
              <color rgb="002B2B2B"/>
              <sz val="10"/>
            </rPr>
            <t>φ</t>
          </r>
        </is>
      </c>
      <c r="E147" s="43">
        <f>phi_c</f>
        <v/>
      </c>
      <c r="F147" s="28" t="inlineStr">
        <is>
          <t>mm</t>
        </is>
      </c>
      <c r="G147" s="32">
        <f>IF(NOT(inputs_ok),"FAIL",IF(phi_c&gt;=phi_min_col,"OK","FAIL"))</f>
        <v/>
      </c>
    </row>
    <row r="148" ht="17" customHeight="1">
      <c r="B148" s="26" t="inlineStr">
        <is>
          <t>8.2(2)</t>
        </is>
      </c>
      <c r="C148" s="24" t="inlineStr">
        <is>
          <t>Clear gaps  min(ab; ah) ≥ a_min</t>
        </is>
      </c>
      <c r="D148" s="23" t="n"/>
      <c r="E148" s="43">
        <f>MIN(gap_b,gap_h)</f>
        <v/>
      </c>
      <c r="F148" s="28" t="inlineStr">
        <is>
          <t>mm</t>
        </is>
      </c>
      <c r="G148" s="32">
        <f>IF(NOT(inputs_ok),"FAIL",IF(MIN(gap_b,gap_h)&gt;=gap_min,"OK","FAIL"))</f>
        <v/>
      </c>
    </row>
    <row r="149" ht="17" customHeight="1">
      <c r="B149" s="26" t="inlineStr">
        <is>
          <t>9.5.3(1)</t>
        </is>
      </c>
      <c r="C149" s="24" t="inlineStr">
        <is>
          <t>Link diameter  φw ≥ φw,min</t>
        </is>
      </c>
      <c r="D149" s="27" t="inlineStr">
        <is>
          <r>
            <rPr>
              <rFont val="Calibri"/>
              <i val="1"/>
              <color rgb="002B2B2B"/>
              <sz val="10"/>
            </rPr>
            <t>φ</t>
          </r>
          <r>
            <rPr>
              <rFont val="Calibri"/>
              <i val="1"/>
              <color rgb="002B2B2B"/>
              <sz val="10"/>
              <vertAlign val="subscript"/>
            </rPr>
            <t>w</t>
          </r>
        </is>
      </c>
      <c r="E149" s="43">
        <f>phi_w</f>
        <v/>
      </c>
      <c r="F149" s="28" t="inlineStr">
        <is>
          <t>mm</t>
        </is>
      </c>
      <c r="G149" s="32">
        <f>IF(NOT(inputs_ok),"FAIL",IF(phi_w&gt;=phi_wmin,"OK","FAIL"))</f>
        <v/>
      </c>
    </row>
    <row r="150" ht="17" customHeight="1">
      <c r="B150" s="26" t="inlineStr">
        <is>
          <t>9.5.3(3)</t>
        </is>
      </c>
      <c r="C150" s="24" t="inlineStr">
        <is>
          <t>Link spacing  s ≤ s_cl,tmax</t>
        </is>
      </c>
      <c r="D150" s="27" t="inlineStr">
        <is>
          <r>
            <rPr>
              <rFont val="Calibri"/>
              <i val="1"/>
              <color rgb="002B2B2B"/>
              <sz val="10"/>
            </rPr>
            <t>s</t>
          </r>
        </is>
      </c>
      <c r="E150" s="43">
        <f>s_w</f>
        <v/>
      </c>
      <c r="F150" s="28" t="inlineStr">
        <is>
          <t>mm</t>
        </is>
      </c>
      <c r="G150" s="32">
        <f>IF(NOT(inputs_ok),"FAIL",IF(s_w&lt;=s_wmax,"OK","FAIL"))</f>
        <v/>
      </c>
    </row>
    <row r="151" ht="17" customHeight="1">
      <c r="B151" s="26" t="inlineStr">
        <is>
          <t>9.5.3(6)</t>
        </is>
      </c>
      <c r="C151" s="24" t="inlineStr">
        <is>
          <t>Every bar within 150 mm of a restrained bar</t>
        </is>
      </c>
      <c r="D151" s="27" t="inlineStr">
        <is>
          <r>
            <rPr>
              <rFont val="Calibri"/>
              <i val="1"/>
              <color rgb="002B2B2B"/>
              <sz val="10"/>
            </rPr>
            <t>s</t>
          </r>
          <r>
            <rPr>
              <rFont val="Calibri"/>
              <i val="1"/>
              <color rgb="002B2B2B"/>
              <sz val="10"/>
              <vertAlign val="subscript"/>
            </rPr>
            <t>free</t>
          </r>
        </is>
      </c>
      <c r="E151" s="43">
        <f>free_max</f>
        <v/>
      </c>
      <c r="F151" s="28" t="inlineStr">
        <is>
          <t>mm</t>
        </is>
      </c>
      <c r="G151" s="32">
        <f>IF(NOT(inputs_ok),"FAIL",IF(free_max&lt;=150,"OK","FAIL"))</f>
        <v/>
      </c>
    </row>
    <row r="152" ht="41.5" customHeight="1">
      <c r="B152" s="50" t="inlineStr">
        <is>
          <t>Not in the detailing status: reduce the link spacing by 0.6 within a distance equal to the larger dimension of the column above and below a beam or slab, and at laps of bars over 14 mm, with at least three links in the lap length (9.5.3(4)). φmin: UK NA 12 mm, PL NA.6 6 mm.</t>
        </is>
      </c>
    </row>
    <row r="154" ht="29" customHeight="1">
      <c r="B154" s="50"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E5:G5"/>
    <mergeCell ref="B154:G154"/>
    <mergeCell ref="B152:G152"/>
    <mergeCell ref="D2:G2"/>
    <mergeCell ref="E7:G7"/>
    <mergeCell ref="E6:G6"/>
    <mergeCell ref="C3:G3"/>
  </mergeCells>
  <conditionalFormatting sqref="G9:G155">
    <cfRule type="expression" priority="1" dxfId="0">
      <formula>G9="OK"</formula>
    </cfRule>
    <cfRule type="expression" priority="2" dxfId="1">
      <formula>G9="FAIL"</formula>
    </cfRule>
    <cfRule type="expression" priority="3" dxfId="2">
      <formula>LEFT(G9,1)="!"</formula>
    </cfRule>
  </conditionalFormatting>
  <dataValidations count="20">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Pick a value from the list." type="list" errorStyle="stop">
      <formula1>"6,8,10,12"</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Pick a value from the list." type="list" errorStyle="stop">
      <formula1>"Corner bars only,Alternate bars,Every bar"</formula1>
    </dataValidation>
    <dataValidation sqref="E21" showDropDown="0" showInputMessage="0" showErrorMessage="1" allowBlank="0" errorTitle="NA Engineering" error="Pick a value from the list." type="list" errorStyle="stop">
      <formula1>"6,8,10,12,16,20,25,32,40"</formula1>
    </dataValidation>
    <dataValidation sqref="E22 E23" showDropDown="0" showInputMessage="0" showErrorMessage="1" allowBlank="0" errorTitle="NA Engineering" error="Pick a value from the list." type="list" errorStyle="stop">
      <formula1>"2,3,4,5,6,7,8,9,10"</formula1>
    </dataValidation>
    <dataValidation sqref="E26" showDropDown="0" showInputMessage="0" showErrorMessage="1" allowBlank="0" errorTitle="NA Engineering" error="Enter a number greater than 0." type="decimal" errorStyle="stop" operator="greaterThan">
      <formula1>0</formula1>
    </dataValidation>
    <dataValidation sqref="E27" showDropDown="0" showInputMessage="0" showErrorMessage="1" allowBlank="0" errorTitle="NA Engineering" error="Enter a number ≥ 0." type="decimal" errorStyle="stop" operator="greaterThanOrEqual">
      <formula1>0</formula1>
    </dataValidation>
    <dataValidation sqref="E28" showDropDown="0" showInputMessage="0" showErrorMessage="1" allowBlank="0" errorTitle="NA Engineering" error="Enter a number ≥ -100000." type="decimal" errorStyle="stop" operator="greaterThanOrEqual">
      <formula1>-100000</formula1>
    </dataValidation>
    <dataValidation sqref="E29" showDropDown="0" showInputMessage="0" showErrorMessage="1" allowBlank="0" errorTitle="NA Engineering" error="Pick a value from the list." type="list" errorStyle="stop">
      <formula1>"Braced,Unbraced"</formula1>
    </dataValidation>
    <dataValidation sqref="E30" showDropDown="0" showInputMessage="0" showErrorMessage="1" allowBlank="0" errorTitle="NA Engineering" error="Enter a number greater than 0." type="decimal" errorStyle="stop" operator="greaterThan">
      <formula1>0</formula1>
    </dataValidation>
    <dataValidation sqref="E31" showDropDown="0" showInputMessage="0" showErrorMessage="1" allowBlank="0" errorTitle="NA Engineering" error="Enter a number greater than 0." type="decimal" errorStyle="stop" operator="greaterThan">
      <formula1>0</formula1>
    </dataValidation>
    <dataValidation sqref="E32" showDropDown="0" showInputMessage="0" showErrorMessage="1" allowBlank="0" errorTitle="NA Engineering" error="Enter a number ≥ 0." type="decimal" errorStyle="stop" operator="greaterThanOrEqual">
      <formula1>0</formula1>
    </dataValidation>
    <dataValidation sqref="E33" showDropDown="0" showInputMessage="0" showErrorMessage="1" allowBlank="0" errorTitle="NA Engineering" error="Pick a value from the list." type="list" errorStyle="stop">
      <formula1>"10,9,8"</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&amp;K8A8A8ANAE-RC-008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IB41"/>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section</t>
        </is>
      </c>
      <c r="D2" t="inlineStr">
        <is>
          <t>link</t>
        </is>
      </c>
      <c r="G2" t="inlineStr">
        <is>
          <t>bar top 0</t>
        </is>
      </c>
      <c r="J2" t="inlineStr">
        <is>
          <t>bar bottom 0</t>
        </is>
      </c>
      <c r="M2" t="inlineStr">
        <is>
          <t>bar top 1</t>
        </is>
      </c>
      <c r="P2" t="inlineStr">
        <is>
          <t>bar bottom 1</t>
        </is>
      </c>
      <c r="S2" t="inlineStr">
        <is>
          <t>bar top 2</t>
        </is>
      </c>
      <c r="V2" t="inlineStr">
        <is>
          <t>bar bottom 2</t>
        </is>
      </c>
      <c r="Y2" t="inlineStr">
        <is>
          <t>bar top 3</t>
        </is>
      </c>
      <c r="AB2" t="inlineStr">
        <is>
          <t>bar bottom 3</t>
        </is>
      </c>
      <c r="AE2" t="inlineStr">
        <is>
          <t>bar top 4</t>
        </is>
      </c>
      <c r="AH2" t="inlineStr">
        <is>
          <t>bar bottom 4</t>
        </is>
      </c>
      <c r="AK2" t="inlineStr">
        <is>
          <t>bar top 5</t>
        </is>
      </c>
      <c r="AN2" t="inlineStr">
        <is>
          <t>bar bottom 5</t>
        </is>
      </c>
      <c r="AQ2" t="inlineStr">
        <is>
          <t>bar top 6</t>
        </is>
      </c>
      <c r="AT2" t="inlineStr">
        <is>
          <t>bar bottom 6</t>
        </is>
      </c>
      <c r="AW2" t="inlineStr">
        <is>
          <t>bar top 7</t>
        </is>
      </c>
      <c r="AZ2" t="inlineStr">
        <is>
          <t>bar bottom 7</t>
        </is>
      </c>
      <c r="BC2" t="inlineStr">
        <is>
          <t>bar top 8</t>
        </is>
      </c>
      <c r="BF2" t="inlineStr">
        <is>
          <t>bar bottom 8</t>
        </is>
      </c>
      <c r="BI2" t="inlineStr">
        <is>
          <t>bar top 9</t>
        </is>
      </c>
      <c r="BL2" t="inlineStr">
        <is>
          <t>bar bottom 9</t>
        </is>
      </c>
      <c r="BO2" t="inlineStr">
        <is>
          <t>bar left 1</t>
        </is>
      </c>
      <c r="BR2" t="inlineStr">
        <is>
          <t>bar right 1</t>
        </is>
      </c>
      <c r="BU2" t="inlineStr">
        <is>
          <t>bar left 2</t>
        </is>
      </c>
      <c r="BX2" t="inlineStr">
        <is>
          <t>bar right 2</t>
        </is>
      </c>
      <c r="CA2" t="inlineStr">
        <is>
          <t>bar left 3</t>
        </is>
      </c>
      <c r="CD2" t="inlineStr">
        <is>
          <t>bar right 3</t>
        </is>
      </c>
      <c r="CG2" t="inlineStr">
        <is>
          <t>bar left 4</t>
        </is>
      </c>
      <c r="CJ2" t="inlineStr">
        <is>
          <t>bar right 4</t>
        </is>
      </c>
      <c r="CM2" t="inlineStr">
        <is>
          <t>bar left 5</t>
        </is>
      </c>
      <c r="CP2" t="inlineStr">
        <is>
          <t>bar right 5</t>
        </is>
      </c>
      <c r="CS2" t="inlineStr">
        <is>
          <t>bar left 6</t>
        </is>
      </c>
      <c r="CV2" t="inlineStr">
        <is>
          <t>bar right 6</t>
        </is>
      </c>
      <c r="CY2" t="inlineStr">
        <is>
          <t>bar left 7</t>
        </is>
      </c>
      <c r="DB2" t="inlineStr">
        <is>
          <t>bar right 7</t>
        </is>
      </c>
      <c r="DE2" t="inlineStr">
        <is>
          <t>bar left 8</t>
        </is>
      </c>
      <c r="DH2" t="inlineStr">
        <is>
          <t>bar right 8</t>
        </is>
      </c>
      <c r="DK2" t="inlineStr">
        <is>
          <t>tie b 1</t>
        </is>
      </c>
      <c r="DN2" t="inlineStr">
        <is>
          <t>tie h 1</t>
        </is>
      </c>
      <c r="DQ2" t="inlineStr">
        <is>
          <t>tie b 2</t>
        </is>
      </c>
      <c r="DT2" t="inlineStr">
        <is>
          <t>tie h 2</t>
        </is>
      </c>
      <c r="DW2" t="inlineStr">
        <is>
          <t>tie b 3</t>
        </is>
      </c>
      <c r="DZ2" t="inlineStr">
        <is>
          <t>tie h 3</t>
        </is>
      </c>
      <c r="EC2" t="inlineStr">
        <is>
          <t>tie b 4</t>
        </is>
      </c>
      <c r="EF2" t="inlineStr">
        <is>
          <t>tie h 4</t>
        </is>
      </c>
      <c r="EI2" t="inlineStr">
        <is>
          <t>tie b 5</t>
        </is>
      </c>
      <c r="EL2" t="inlineStr">
        <is>
          <t>tie h 5</t>
        </is>
      </c>
      <c r="EO2" t="inlineStr">
        <is>
          <t>tie b 6</t>
        </is>
      </c>
      <c r="ER2" t="inlineStr">
        <is>
          <t>tie h 6</t>
        </is>
      </c>
      <c r="EU2" t="inlineStr">
        <is>
          <t>tie b 7</t>
        </is>
      </c>
      <c r="EX2" t="inlineStr">
        <is>
          <t>tie h 7</t>
        </is>
      </c>
      <c r="FA2" t="inlineStr">
        <is>
          <t>tie b 8</t>
        </is>
      </c>
      <c r="FD2" t="inlineStr">
        <is>
          <t>tie h 8</t>
        </is>
      </c>
      <c r="FG2" t="inlineStr">
        <is>
          <t>neutral axis</t>
        </is>
      </c>
      <c r="FJ2" t="inlineStr">
        <is>
          <t>dim</t>
        </is>
      </c>
      <c r="FM2">
        <f>"b = "&amp;TEXT(b_col,"0")</f>
        <v/>
      </c>
      <c r="FP2" t="inlineStr">
        <is>
          <t>dim</t>
        </is>
      </c>
      <c r="FS2">
        <f>"h = "&amp;TEXT(h_col,"0")</f>
        <v/>
      </c>
      <c r="FV2" t="inlineStr">
        <is>
          <t>dim</t>
        </is>
      </c>
      <c r="FY2">
        <f>"x = "&amp;TEXT(x_Ed,"0")</f>
        <v/>
      </c>
      <c r="GB2">
        <f>n_bar&amp;" × φ"&amp;phi_c</f>
        <v/>
      </c>
      <c r="GE2">
        <f>"links φ"&amp;phi_w&amp;" @ "&amp;s_w</f>
        <v/>
      </c>
      <c r="GH2" t="inlineStr">
        <is>
          <t>compression face</t>
        </is>
      </c>
      <c r="GK2" t="inlineStr">
        <is>
          <t>frame</t>
        </is>
      </c>
      <c r="GN2" t="inlineStr">
        <is>
          <t>M axis</t>
        </is>
      </c>
      <c r="GQ2" t="inlineStr">
        <is>
          <t>N axis</t>
        </is>
      </c>
      <c r="GT2" t="inlineStr">
        <is>
          <t>curve</t>
        </is>
      </c>
      <c r="GW2" t="inlineStr">
        <is>
          <t>NEd line</t>
        </is>
      </c>
      <c r="GZ2" t="inlineStr">
        <is>
          <t>resistance</t>
        </is>
      </c>
      <c r="HC2" t="inlineStr">
        <is>
          <t>design</t>
        </is>
      </c>
      <c r="HF2" t="inlineStr">
        <is>
          <t>N (kN)</t>
        </is>
      </c>
      <c r="HI2" t="inlineStr">
        <is>
          <t>M (kNm)</t>
        </is>
      </c>
      <c r="HL2">
        <f>"NRd,max "&amp;TEXT(N_Rdmax,"0")</f>
        <v/>
      </c>
      <c r="HO2">
        <f>"NRd,min "&amp;TEXT(N_Rdmin,"0")</f>
        <v/>
      </c>
      <c r="HR2">
        <f>"NEd "&amp;TEXT(N_Ed,"0")</f>
        <v/>
      </c>
      <c r="HU2">
        <f>"MEd "&amp;TEXT(M_Ed,"0")</f>
        <v/>
      </c>
      <c r="HX2">
        <f>"MRd "&amp;TEXT(M_Rd,"0")</f>
        <v/>
      </c>
      <c r="IA2" t="inlineStr">
        <is>
          <t>frame</t>
        </is>
      </c>
    </row>
    <row r="3">
      <c r="A3">
        <f>0</f>
        <v/>
      </c>
      <c r="B3">
        <f>0</f>
        <v/>
      </c>
      <c r="D3">
        <f>(c_nom+phi_w/2)</f>
        <v/>
      </c>
      <c r="E3">
        <f>(c_nom+phi_w/2)</f>
        <v/>
      </c>
      <c r="G3">
        <f>IF(0&lt;n_b,(d_1+0*(b_col-2*d_1)/(n_b-1))+(phi_c/2)*1.000000,NA())</f>
        <v/>
      </c>
      <c r="H3">
        <f>IF(0&lt;n_b,(h_col-d_1)+(phi_c/2)*0.000000,NA())</f>
        <v/>
      </c>
      <c r="J3">
        <f>IF(0&lt;n_b,(d_1+0*(b_col-2*d_1)/(n_b-1))+(phi_c/2)*1.000000,NA())</f>
        <v/>
      </c>
      <c r="K3">
        <f>IF(0&lt;n_b,(d_1)+(phi_c/2)*0.000000,NA())</f>
        <v/>
      </c>
      <c r="M3">
        <f>IF(1&lt;n_b,(d_1+1*(b_col-2*d_1)/(n_b-1))+(phi_c/2)*1.000000,NA())</f>
        <v/>
      </c>
      <c r="N3">
        <f>IF(1&lt;n_b,(h_col-d_1)+(phi_c/2)*0.000000,NA())</f>
        <v/>
      </c>
      <c r="P3">
        <f>IF(1&lt;n_b,(d_1+1*(b_col-2*d_1)/(n_b-1))+(phi_c/2)*1.000000,NA())</f>
        <v/>
      </c>
      <c r="Q3">
        <f>IF(1&lt;n_b,(d_1)+(phi_c/2)*0.000000,NA())</f>
        <v/>
      </c>
      <c r="S3">
        <f>IF(2&lt;n_b,(d_1+2*(b_col-2*d_1)/(n_b-1))+(phi_c/2)*1.000000,NA())</f>
        <v/>
      </c>
      <c r="T3">
        <f>IF(2&lt;n_b,(h_col-d_1)+(phi_c/2)*0.000000,NA())</f>
        <v/>
      </c>
      <c r="V3">
        <f>IF(2&lt;n_b,(d_1+2*(b_col-2*d_1)/(n_b-1))+(phi_c/2)*1.000000,NA())</f>
        <v/>
      </c>
      <c r="W3">
        <f>IF(2&lt;n_b,(d_1)+(phi_c/2)*0.000000,NA())</f>
        <v/>
      </c>
      <c r="Y3">
        <f>IF(3&lt;n_b,(d_1+3*(b_col-2*d_1)/(n_b-1))+(phi_c/2)*1.000000,NA())</f>
        <v/>
      </c>
      <c r="Z3">
        <f>IF(3&lt;n_b,(h_col-d_1)+(phi_c/2)*0.000000,NA())</f>
        <v/>
      </c>
      <c r="AB3">
        <f>IF(3&lt;n_b,(d_1+3*(b_col-2*d_1)/(n_b-1))+(phi_c/2)*1.000000,NA())</f>
        <v/>
      </c>
      <c r="AC3">
        <f>IF(3&lt;n_b,(d_1)+(phi_c/2)*0.000000,NA())</f>
        <v/>
      </c>
      <c r="AE3">
        <f>IF(4&lt;n_b,(d_1+4*(b_col-2*d_1)/(n_b-1))+(phi_c/2)*1.000000,NA())</f>
        <v/>
      </c>
      <c r="AF3">
        <f>IF(4&lt;n_b,(h_col-d_1)+(phi_c/2)*0.000000,NA())</f>
        <v/>
      </c>
      <c r="AH3">
        <f>IF(4&lt;n_b,(d_1+4*(b_col-2*d_1)/(n_b-1))+(phi_c/2)*1.000000,NA())</f>
        <v/>
      </c>
      <c r="AI3">
        <f>IF(4&lt;n_b,(d_1)+(phi_c/2)*0.000000,NA())</f>
        <v/>
      </c>
      <c r="AK3">
        <f>IF(5&lt;n_b,(d_1+5*(b_col-2*d_1)/(n_b-1))+(phi_c/2)*1.000000,NA())</f>
        <v/>
      </c>
      <c r="AL3">
        <f>IF(5&lt;n_b,(h_col-d_1)+(phi_c/2)*0.000000,NA())</f>
        <v/>
      </c>
      <c r="AN3">
        <f>IF(5&lt;n_b,(d_1+5*(b_col-2*d_1)/(n_b-1))+(phi_c/2)*1.000000,NA())</f>
        <v/>
      </c>
      <c r="AO3">
        <f>IF(5&lt;n_b,(d_1)+(phi_c/2)*0.000000,NA())</f>
        <v/>
      </c>
      <c r="AQ3">
        <f>IF(6&lt;n_b,(d_1+6*(b_col-2*d_1)/(n_b-1))+(phi_c/2)*1.000000,NA())</f>
        <v/>
      </c>
      <c r="AR3">
        <f>IF(6&lt;n_b,(h_col-d_1)+(phi_c/2)*0.000000,NA())</f>
        <v/>
      </c>
      <c r="AT3">
        <f>IF(6&lt;n_b,(d_1+6*(b_col-2*d_1)/(n_b-1))+(phi_c/2)*1.000000,NA())</f>
        <v/>
      </c>
      <c r="AU3">
        <f>IF(6&lt;n_b,(d_1)+(phi_c/2)*0.000000,NA())</f>
        <v/>
      </c>
      <c r="AW3">
        <f>IF(7&lt;n_b,(d_1+7*(b_col-2*d_1)/(n_b-1))+(phi_c/2)*1.000000,NA())</f>
        <v/>
      </c>
      <c r="AX3">
        <f>IF(7&lt;n_b,(h_col-d_1)+(phi_c/2)*0.000000,NA())</f>
        <v/>
      </c>
      <c r="AZ3">
        <f>IF(7&lt;n_b,(d_1+7*(b_col-2*d_1)/(n_b-1))+(phi_c/2)*1.000000,NA())</f>
        <v/>
      </c>
      <c r="BA3">
        <f>IF(7&lt;n_b,(d_1)+(phi_c/2)*0.000000,NA())</f>
        <v/>
      </c>
      <c r="BC3">
        <f>IF(8&lt;n_b,(d_1+8*(b_col-2*d_1)/(n_b-1))+(phi_c/2)*1.000000,NA())</f>
        <v/>
      </c>
      <c r="BD3">
        <f>IF(8&lt;n_b,(h_col-d_1)+(phi_c/2)*0.000000,NA())</f>
        <v/>
      </c>
      <c r="BF3">
        <f>IF(8&lt;n_b,(d_1+8*(b_col-2*d_1)/(n_b-1))+(phi_c/2)*1.000000,NA())</f>
        <v/>
      </c>
      <c r="BG3">
        <f>IF(8&lt;n_b,(d_1)+(phi_c/2)*0.000000,NA())</f>
        <v/>
      </c>
      <c r="BI3">
        <f>IF(9&lt;n_b,(d_1+9*(b_col-2*d_1)/(n_b-1))+(phi_c/2)*1.000000,NA())</f>
        <v/>
      </c>
      <c r="BJ3">
        <f>IF(9&lt;n_b,(h_col-d_1)+(phi_c/2)*0.000000,NA())</f>
        <v/>
      </c>
      <c r="BL3">
        <f>IF(9&lt;n_b,(d_1+9*(b_col-2*d_1)/(n_b-1))+(phi_c/2)*1.000000,NA())</f>
        <v/>
      </c>
      <c r="BM3">
        <f>IF(9&lt;n_b,(d_1)+(phi_c/2)*0.000000,NA())</f>
        <v/>
      </c>
      <c r="BO3">
        <f>IF(1&lt;n_h-1,(d_1)+(phi_c/2)*1.000000,NA())</f>
        <v/>
      </c>
      <c r="BP3">
        <f>IF(1&lt;n_h-1,(h_col-d_1-1*(h_col-2*d_1)/(n_h-1))+(phi_c/2)*0.000000,NA())</f>
        <v/>
      </c>
      <c r="BR3">
        <f>IF(1&lt;n_h-1,(b_col-d_1)+(phi_c/2)*1.000000,NA())</f>
        <v/>
      </c>
      <c r="BS3">
        <f>IF(1&lt;n_h-1,(h_col-d_1-1*(h_col-2*d_1)/(n_h-1))+(phi_c/2)*0.000000,NA())</f>
        <v/>
      </c>
      <c r="BU3">
        <f>IF(2&lt;n_h-1,(d_1)+(phi_c/2)*1.000000,NA())</f>
        <v/>
      </c>
      <c r="BV3">
        <f>IF(2&lt;n_h-1,(h_col-d_1-2*(h_col-2*d_1)/(n_h-1))+(phi_c/2)*0.000000,NA())</f>
        <v/>
      </c>
      <c r="BX3">
        <f>IF(2&lt;n_h-1,(b_col-d_1)+(phi_c/2)*1.000000,NA())</f>
        <v/>
      </c>
      <c r="BY3">
        <f>IF(2&lt;n_h-1,(h_col-d_1-2*(h_col-2*d_1)/(n_h-1))+(phi_c/2)*0.000000,NA())</f>
        <v/>
      </c>
      <c r="CA3">
        <f>IF(3&lt;n_h-1,(d_1)+(phi_c/2)*1.000000,NA())</f>
        <v/>
      </c>
      <c r="CB3">
        <f>IF(3&lt;n_h-1,(h_col-d_1-3*(h_col-2*d_1)/(n_h-1))+(phi_c/2)*0.000000,NA())</f>
        <v/>
      </c>
      <c r="CD3">
        <f>IF(3&lt;n_h-1,(b_col-d_1)+(phi_c/2)*1.000000,NA())</f>
        <v/>
      </c>
      <c r="CE3">
        <f>IF(3&lt;n_h-1,(h_col-d_1-3*(h_col-2*d_1)/(n_h-1))+(phi_c/2)*0.000000,NA())</f>
        <v/>
      </c>
      <c r="CG3">
        <f>IF(4&lt;n_h-1,(d_1)+(phi_c/2)*1.000000,NA())</f>
        <v/>
      </c>
      <c r="CH3">
        <f>IF(4&lt;n_h-1,(h_col-d_1-4*(h_col-2*d_1)/(n_h-1))+(phi_c/2)*0.000000,NA())</f>
        <v/>
      </c>
      <c r="CJ3">
        <f>IF(4&lt;n_h-1,(b_col-d_1)+(phi_c/2)*1.000000,NA())</f>
        <v/>
      </c>
      <c r="CK3">
        <f>IF(4&lt;n_h-1,(h_col-d_1-4*(h_col-2*d_1)/(n_h-1))+(phi_c/2)*0.000000,NA())</f>
        <v/>
      </c>
      <c r="CM3">
        <f>IF(5&lt;n_h-1,(d_1)+(phi_c/2)*1.000000,NA())</f>
        <v/>
      </c>
      <c r="CN3">
        <f>IF(5&lt;n_h-1,(h_col-d_1-5*(h_col-2*d_1)/(n_h-1))+(phi_c/2)*0.000000,NA())</f>
        <v/>
      </c>
      <c r="CP3">
        <f>IF(5&lt;n_h-1,(b_col-d_1)+(phi_c/2)*1.000000,NA())</f>
        <v/>
      </c>
      <c r="CQ3">
        <f>IF(5&lt;n_h-1,(h_col-d_1-5*(h_col-2*d_1)/(n_h-1))+(phi_c/2)*0.000000,NA())</f>
        <v/>
      </c>
      <c r="CS3">
        <f>IF(6&lt;n_h-1,(d_1)+(phi_c/2)*1.000000,NA())</f>
        <v/>
      </c>
      <c r="CT3">
        <f>IF(6&lt;n_h-1,(h_col-d_1-6*(h_col-2*d_1)/(n_h-1))+(phi_c/2)*0.000000,NA())</f>
        <v/>
      </c>
      <c r="CV3">
        <f>IF(6&lt;n_h-1,(b_col-d_1)+(phi_c/2)*1.000000,NA())</f>
        <v/>
      </c>
      <c r="CW3">
        <f>IF(6&lt;n_h-1,(h_col-d_1-6*(h_col-2*d_1)/(n_h-1))+(phi_c/2)*0.000000,NA())</f>
        <v/>
      </c>
      <c r="CY3">
        <f>IF(7&lt;n_h-1,(d_1)+(phi_c/2)*1.000000,NA())</f>
        <v/>
      </c>
      <c r="CZ3">
        <f>IF(7&lt;n_h-1,(h_col-d_1-7*(h_col-2*d_1)/(n_h-1))+(phi_c/2)*0.000000,NA())</f>
        <v/>
      </c>
      <c r="DB3">
        <f>IF(7&lt;n_h-1,(b_col-d_1)+(phi_c/2)*1.000000,NA())</f>
        <v/>
      </c>
      <c r="DC3">
        <f>IF(7&lt;n_h-1,(h_col-d_1-7*(h_col-2*d_1)/(n_h-1))+(phi_c/2)*0.000000,NA())</f>
        <v/>
      </c>
      <c r="DE3">
        <f>IF(8&lt;n_h-1,(d_1)+(phi_c/2)*1.000000,NA())</f>
        <v/>
      </c>
      <c r="DF3">
        <f>IF(8&lt;n_h-1,(h_col-d_1-8*(h_col-2*d_1)/(n_h-1))+(phi_c/2)*0.000000,NA())</f>
        <v/>
      </c>
      <c r="DH3">
        <f>IF(8&lt;n_h-1,(b_col-d_1)+(phi_c/2)*1.000000,NA())</f>
        <v/>
      </c>
      <c r="DI3">
        <f>IF(8&lt;n_h-1,(h_col-d_1-8*(h_col-2*d_1)/(n_h-1))+(phi_c/2)*0.000000,NA())</f>
        <v/>
      </c>
      <c r="DK3">
        <f>IF(AND(1&lt;n_b-1,OR(ties="Every bar",AND(ties="Alternate bars",MOD(1,2)=0))),d_1+1*(b_col-2*d_1)/(n_b-1),NA())</f>
        <v/>
      </c>
      <c r="DL3">
        <f>d_1</f>
        <v/>
      </c>
      <c r="DN3">
        <f>d_1</f>
        <v/>
      </c>
      <c r="DO3">
        <f>IF(AND(1&lt;n_h-1,OR(ties="Every bar",AND(ties="Alternate bars",MOD(1,2)=0))),h_col-d_1-1*(h_col-2*d_1)/(n_h-1),NA())</f>
        <v/>
      </c>
      <c r="DQ3">
        <f>IF(AND(2&lt;n_b-1,OR(ties="Every bar",AND(ties="Alternate bars",MOD(2,2)=0))),d_1+2*(b_col-2*d_1)/(n_b-1),NA())</f>
        <v/>
      </c>
      <c r="DR3">
        <f>d_1</f>
        <v/>
      </c>
      <c r="DT3">
        <f>d_1</f>
        <v/>
      </c>
      <c r="DU3">
        <f>IF(AND(2&lt;n_h-1,OR(ties="Every bar",AND(ties="Alternate bars",MOD(2,2)=0))),h_col-d_1-2*(h_col-2*d_1)/(n_h-1),NA())</f>
        <v/>
      </c>
      <c r="DW3">
        <f>IF(AND(3&lt;n_b-1,OR(ties="Every bar",AND(ties="Alternate bars",MOD(3,2)=0))),d_1+3*(b_col-2*d_1)/(n_b-1),NA())</f>
        <v/>
      </c>
      <c r="DX3">
        <f>d_1</f>
        <v/>
      </c>
      <c r="DZ3">
        <f>d_1</f>
        <v/>
      </c>
      <c r="EA3">
        <f>IF(AND(3&lt;n_h-1,OR(ties="Every bar",AND(ties="Alternate bars",MOD(3,2)=0))),h_col-d_1-3*(h_col-2*d_1)/(n_h-1),NA())</f>
        <v/>
      </c>
      <c r="EC3">
        <f>IF(AND(4&lt;n_b-1,OR(ties="Every bar",AND(ties="Alternate bars",MOD(4,2)=0))),d_1+4*(b_col-2*d_1)/(n_b-1),NA())</f>
        <v/>
      </c>
      <c r="ED3">
        <f>d_1</f>
        <v/>
      </c>
      <c r="EF3">
        <f>d_1</f>
        <v/>
      </c>
      <c r="EG3">
        <f>IF(AND(4&lt;n_h-1,OR(ties="Every bar",AND(ties="Alternate bars",MOD(4,2)=0))),h_col-d_1-4*(h_col-2*d_1)/(n_h-1),NA())</f>
        <v/>
      </c>
      <c r="EI3">
        <f>IF(AND(5&lt;n_b-1,OR(ties="Every bar",AND(ties="Alternate bars",MOD(5,2)=0))),d_1+5*(b_col-2*d_1)/(n_b-1),NA())</f>
        <v/>
      </c>
      <c r="EJ3">
        <f>d_1</f>
        <v/>
      </c>
      <c r="EL3">
        <f>d_1</f>
        <v/>
      </c>
      <c r="EM3">
        <f>IF(AND(5&lt;n_h-1,OR(ties="Every bar",AND(ties="Alternate bars",MOD(5,2)=0))),h_col-d_1-5*(h_col-2*d_1)/(n_h-1),NA())</f>
        <v/>
      </c>
      <c r="EO3">
        <f>IF(AND(6&lt;n_b-1,OR(ties="Every bar",AND(ties="Alternate bars",MOD(6,2)=0))),d_1+6*(b_col-2*d_1)/(n_b-1),NA())</f>
        <v/>
      </c>
      <c r="EP3">
        <f>d_1</f>
        <v/>
      </c>
      <c r="ER3">
        <f>d_1</f>
        <v/>
      </c>
      <c r="ES3">
        <f>IF(AND(6&lt;n_h-1,OR(ties="Every bar",AND(ties="Alternate bars",MOD(6,2)=0))),h_col-d_1-6*(h_col-2*d_1)/(n_h-1),NA())</f>
        <v/>
      </c>
      <c r="EU3">
        <f>IF(AND(7&lt;n_b-1,OR(ties="Every bar",AND(ties="Alternate bars",MOD(7,2)=0))),d_1+7*(b_col-2*d_1)/(n_b-1),NA())</f>
        <v/>
      </c>
      <c r="EV3">
        <f>d_1</f>
        <v/>
      </c>
      <c r="EX3">
        <f>d_1</f>
        <v/>
      </c>
      <c r="EY3">
        <f>IF(AND(7&lt;n_h-1,OR(ties="Every bar",AND(ties="Alternate bars",MOD(7,2)=0))),h_col-d_1-7*(h_col-2*d_1)/(n_h-1),NA())</f>
        <v/>
      </c>
      <c r="FA3">
        <f>IF(AND(8&lt;n_b-1,OR(ties="Every bar",AND(ties="Alternate bars",MOD(8,2)=0))),d_1+8*(b_col-2*d_1)/(n_b-1),NA())</f>
        <v/>
      </c>
      <c r="FB3">
        <f>d_1</f>
        <v/>
      </c>
      <c r="FD3">
        <f>d_1</f>
        <v/>
      </c>
      <c r="FE3">
        <f>IF(AND(8&lt;n_h-1,OR(ties="Every bar",AND(ties="Alternate bars",MOD(8,2)=0))),h_col-d_1-8*(h_col-2*d_1)/(n_h-1),NA())</f>
        <v/>
      </c>
      <c r="FG3">
        <f>IF(AND(inputs_ok,x_Ed&lt;h_col),-0.08*b_col,NA())</f>
        <v/>
      </c>
      <c r="FH3">
        <f>h_col-x_Ed</f>
        <v/>
      </c>
      <c r="FJ3">
        <f>IF(TRUE,0,NA())</f>
        <v/>
      </c>
      <c r="FK3">
        <f>IF(TRUE,-0.08*MAX(b_col,h_col),NA())</f>
        <v/>
      </c>
      <c r="FM3">
        <f>IF(TRUE,((0)+(b_col))/2,NA())</f>
        <v/>
      </c>
      <c r="FN3">
        <f>IF(TRUE,((-0.08*MAX(b_col,h_col))+(-0.08*MAX(b_col,h_col)))/2,NA())</f>
        <v/>
      </c>
      <c r="FP3">
        <f>IF(TRUE,-0.08*MAX(b_col,h_col),NA())</f>
        <v/>
      </c>
      <c r="FQ3">
        <f>IF(TRUE,0,NA())</f>
        <v/>
      </c>
      <c r="FS3">
        <f>IF(TRUE,((-0.08*MAX(b_col,h_col))+(-0.08*MAX(b_col,h_col)))/2,NA())</f>
        <v/>
      </c>
      <c r="FT3">
        <f>IF(TRUE,((0)+(h_col))/2,NA())</f>
        <v/>
      </c>
      <c r="FV3">
        <f>IF(AND(inputs_ok,x_Ed&lt;h_col),b_col+0.08*MAX(b_col,h_col),NA())</f>
        <v/>
      </c>
      <c r="FW3">
        <f>IF(AND(inputs_ok,x_Ed&lt;h_col),h_col-x_Ed,NA())</f>
        <v/>
      </c>
      <c r="FY3">
        <f>IF(AND(inputs_ok,x_Ed&lt;h_col),((b_col+0.08*MAX(b_col,h_col))+(b_col+0.08*MAX(b_col,h_col)))/2,NA())</f>
        <v/>
      </c>
      <c r="FZ3">
        <f>IF(AND(inputs_ok,x_Ed&lt;h_col),((h_col-x_Ed)+(h_col))/2,NA())</f>
        <v/>
      </c>
      <c r="GB3">
        <f>b_col+2.2*0.08*MAX(b_col,h_col)</f>
        <v/>
      </c>
      <c r="GC3">
        <f>0.3*h_col</f>
        <v/>
      </c>
      <c r="GE3">
        <f>b_col+2.2*0.08*MAX(b_col,h_col)</f>
        <v/>
      </c>
      <c r="GF3">
        <f>0.1*h_col</f>
        <v/>
      </c>
      <c r="GH3">
        <f>b_col/2</f>
        <v/>
      </c>
      <c r="GI3">
        <f>h_col+0.5*0.08*MAX(b_col,h_col)</f>
        <v/>
      </c>
      <c r="GK3">
        <f>((-2*0.08*MAX(b_col,h_col))+(b_col+7*0.08*MAX(b_col,h_col)))/2-MAX((h_col+1.2*0.08*MAX(b_col,h_col))-(-2*0.08*MAX(b_col,h_col)),((b_col+7*0.08*MAX(b_col,h_col))-(-2*0.08*MAX(b_col,h_col)))/1.55)*0.58*1.55</f>
        <v/>
      </c>
      <c r="GL3">
        <f>((-2*0.08*MAX(b_col,h_col))+(h_col+1.2*0.08*MAX(b_col,h_col)))/2-MAX((h_col+1.2*0.08*MAX(b_col,h_col))-(-2*0.08*MAX(b_col,h_col)),((b_col+7*0.08*MAX(b_col,h_col))-(-2*0.08*MAX(b_col,h_col)))/1.55)*0.58</f>
        <v/>
      </c>
      <c r="GN3">
        <f>-0.05</f>
        <v/>
      </c>
      <c r="GO3">
        <f>0</f>
        <v/>
      </c>
      <c r="GQ3">
        <f>0</f>
        <v/>
      </c>
      <c r="GR3">
        <f>N_Rdmin/N_Rdmax-0.06</f>
        <v/>
      </c>
      <c r="GT3">
        <f>INDEX(nm_M,1)*1.5/M_pk</f>
        <v/>
      </c>
      <c r="GU3">
        <f>INDEX(nm_N,1)/N_Rdmax</f>
        <v/>
      </c>
      <c r="GW3">
        <f>IF(res_ok,0,NA())</f>
        <v/>
      </c>
      <c r="GX3">
        <f>N_Ed/N_Rdmax</f>
        <v/>
      </c>
      <c r="GZ3">
        <f>IF(res_ok,M_Rd*1.5/M_pk,NA())</f>
        <v/>
      </c>
      <c r="HA3">
        <f>N_Ed/N_Rdmax</f>
        <v/>
      </c>
      <c r="HC3">
        <f>IF(inputs_ok,M_Ed*1.5/M_pk,NA())</f>
        <v/>
      </c>
      <c r="HD3">
        <f>N_Ed/N_Rdmax</f>
        <v/>
      </c>
      <c r="HF3">
        <f>0</f>
        <v/>
      </c>
      <c r="HG3">
        <f>1.1</f>
        <v/>
      </c>
      <c r="HI3">
        <f>1.75</f>
        <v/>
      </c>
      <c r="HJ3">
        <f>0</f>
        <v/>
      </c>
      <c r="HL3">
        <f>0</f>
        <v/>
      </c>
      <c r="HM3">
        <f>1</f>
        <v/>
      </c>
      <c r="HO3">
        <f>0</f>
        <v/>
      </c>
      <c r="HP3">
        <f>N_Rdmin/N_Rdmax</f>
        <v/>
      </c>
      <c r="HR3">
        <f>0</f>
        <v/>
      </c>
      <c r="HS3">
        <f>N_Ed/N_Rdmax</f>
        <v/>
      </c>
      <c r="HU3">
        <f>IF(inputs_ok,M_Ed*1.5/M_pk,NA())</f>
        <v/>
      </c>
      <c r="HV3">
        <f>N_Ed/N_Rdmax</f>
        <v/>
      </c>
      <c r="HX3">
        <f>IF(res_ok,M_Rd*1.5/M_pk,NA())</f>
        <v/>
      </c>
      <c r="HY3">
        <f>N_Ed/N_Rdmax</f>
        <v/>
      </c>
      <c r="IA3">
        <f>((-0.5)+(2.0))/2-MAX((1.18)-(N_Rdmin/N_Rdmax-0.1),((2.0)-(-0.5))/1.55)*0.52*1.55</f>
        <v/>
      </c>
      <c r="IB3">
        <f>((N_Rdmin/N_Rdmax-0.1)+(1.18))/2-MAX((1.18)-(N_Rdmin/N_Rdmax-0.1),((2.0)-(-0.5))/1.55)*0.52</f>
        <v/>
      </c>
    </row>
    <row r="4">
      <c r="A4">
        <f>b_col</f>
        <v/>
      </c>
      <c r="B4">
        <f>0</f>
        <v/>
      </c>
      <c r="D4">
        <f>b_col-(c_nom+phi_w/2)</f>
        <v/>
      </c>
      <c r="E4">
        <f>(c_nom+phi_w/2)</f>
        <v/>
      </c>
      <c r="G4">
        <f>IF(0&lt;n_b,(d_1+0*(b_col-2*d_1)/(n_b-1))+(phi_c/2)*0.923880,NA())</f>
        <v/>
      </c>
      <c r="H4">
        <f>IF(0&lt;n_b,(h_col-d_1)+(phi_c/2)*0.382683,NA())</f>
        <v/>
      </c>
      <c r="J4">
        <f>IF(0&lt;n_b,(d_1+0*(b_col-2*d_1)/(n_b-1))+(phi_c/2)*0.923880,NA())</f>
        <v/>
      </c>
      <c r="K4">
        <f>IF(0&lt;n_b,(d_1)+(phi_c/2)*0.382683,NA())</f>
        <v/>
      </c>
      <c r="M4">
        <f>IF(1&lt;n_b,(d_1+1*(b_col-2*d_1)/(n_b-1))+(phi_c/2)*0.923880,NA())</f>
        <v/>
      </c>
      <c r="N4">
        <f>IF(1&lt;n_b,(h_col-d_1)+(phi_c/2)*0.382683,NA())</f>
        <v/>
      </c>
      <c r="P4">
        <f>IF(1&lt;n_b,(d_1+1*(b_col-2*d_1)/(n_b-1))+(phi_c/2)*0.923880,NA())</f>
        <v/>
      </c>
      <c r="Q4">
        <f>IF(1&lt;n_b,(d_1)+(phi_c/2)*0.382683,NA())</f>
        <v/>
      </c>
      <c r="S4">
        <f>IF(2&lt;n_b,(d_1+2*(b_col-2*d_1)/(n_b-1))+(phi_c/2)*0.923880,NA())</f>
        <v/>
      </c>
      <c r="T4">
        <f>IF(2&lt;n_b,(h_col-d_1)+(phi_c/2)*0.382683,NA())</f>
        <v/>
      </c>
      <c r="V4">
        <f>IF(2&lt;n_b,(d_1+2*(b_col-2*d_1)/(n_b-1))+(phi_c/2)*0.923880,NA())</f>
        <v/>
      </c>
      <c r="W4">
        <f>IF(2&lt;n_b,(d_1)+(phi_c/2)*0.382683,NA())</f>
        <v/>
      </c>
      <c r="Y4">
        <f>IF(3&lt;n_b,(d_1+3*(b_col-2*d_1)/(n_b-1))+(phi_c/2)*0.923880,NA())</f>
        <v/>
      </c>
      <c r="Z4">
        <f>IF(3&lt;n_b,(h_col-d_1)+(phi_c/2)*0.382683,NA())</f>
        <v/>
      </c>
      <c r="AB4">
        <f>IF(3&lt;n_b,(d_1+3*(b_col-2*d_1)/(n_b-1))+(phi_c/2)*0.923880,NA())</f>
        <v/>
      </c>
      <c r="AC4">
        <f>IF(3&lt;n_b,(d_1)+(phi_c/2)*0.382683,NA())</f>
        <v/>
      </c>
      <c r="AE4">
        <f>IF(4&lt;n_b,(d_1+4*(b_col-2*d_1)/(n_b-1))+(phi_c/2)*0.923880,NA())</f>
        <v/>
      </c>
      <c r="AF4">
        <f>IF(4&lt;n_b,(h_col-d_1)+(phi_c/2)*0.382683,NA())</f>
        <v/>
      </c>
      <c r="AH4">
        <f>IF(4&lt;n_b,(d_1+4*(b_col-2*d_1)/(n_b-1))+(phi_c/2)*0.923880,NA())</f>
        <v/>
      </c>
      <c r="AI4">
        <f>IF(4&lt;n_b,(d_1)+(phi_c/2)*0.382683,NA())</f>
        <v/>
      </c>
      <c r="AK4">
        <f>IF(5&lt;n_b,(d_1+5*(b_col-2*d_1)/(n_b-1))+(phi_c/2)*0.923880,NA())</f>
        <v/>
      </c>
      <c r="AL4">
        <f>IF(5&lt;n_b,(h_col-d_1)+(phi_c/2)*0.382683,NA())</f>
        <v/>
      </c>
      <c r="AN4">
        <f>IF(5&lt;n_b,(d_1+5*(b_col-2*d_1)/(n_b-1))+(phi_c/2)*0.923880,NA())</f>
        <v/>
      </c>
      <c r="AO4">
        <f>IF(5&lt;n_b,(d_1)+(phi_c/2)*0.382683,NA())</f>
        <v/>
      </c>
      <c r="AQ4">
        <f>IF(6&lt;n_b,(d_1+6*(b_col-2*d_1)/(n_b-1))+(phi_c/2)*0.923880,NA())</f>
        <v/>
      </c>
      <c r="AR4">
        <f>IF(6&lt;n_b,(h_col-d_1)+(phi_c/2)*0.382683,NA())</f>
        <v/>
      </c>
      <c r="AT4">
        <f>IF(6&lt;n_b,(d_1+6*(b_col-2*d_1)/(n_b-1))+(phi_c/2)*0.923880,NA())</f>
        <v/>
      </c>
      <c r="AU4">
        <f>IF(6&lt;n_b,(d_1)+(phi_c/2)*0.382683,NA())</f>
        <v/>
      </c>
      <c r="AW4">
        <f>IF(7&lt;n_b,(d_1+7*(b_col-2*d_1)/(n_b-1))+(phi_c/2)*0.923880,NA())</f>
        <v/>
      </c>
      <c r="AX4">
        <f>IF(7&lt;n_b,(h_col-d_1)+(phi_c/2)*0.382683,NA())</f>
        <v/>
      </c>
      <c r="AZ4">
        <f>IF(7&lt;n_b,(d_1+7*(b_col-2*d_1)/(n_b-1))+(phi_c/2)*0.923880,NA())</f>
        <v/>
      </c>
      <c r="BA4">
        <f>IF(7&lt;n_b,(d_1)+(phi_c/2)*0.382683,NA())</f>
        <v/>
      </c>
      <c r="BC4">
        <f>IF(8&lt;n_b,(d_1+8*(b_col-2*d_1)/(n_b-1))+(phi_c/2)*0.923880,NA())</f>
        <v/>
      </c>
      <c r="BD4">
        <f>IF(8&lt;n_b,(h_col-d_1)+(phi_c/2)*0.382683,NA())</f>
        <v/>
      </c>
      <c r="BF4">
        <f>IF(8&lt;n_b,(d_1+8*(b_col-2*d_1)/(n_b-1))+(phi_c/2)*0.923880,NA())</f>
        <v/>
      </c>
      <c r="BG4">
        <f>IF(8&lt;n_b,(d_1)+(phi_c/2)*0.382683,NA())</f>
        <v/>
      </c>
      <c r="BI4">
        <f>IF(9&lt;n_b,(d_1+9*(b_col-2*d_1)/(n_b-1))+(phi_c/2)*0.923880,NA())</f>
        <v/>
      </c>
      <c r="BJ4">
        <f>IF(9&lt;n_b,(h_col-d_1)+(phi_c/2)*0.382683,NA())</f>
        <v/>
      </c>
      <c r="BL4">
        <f>IF(9&lt;n_b,(d_1+9*(b_col-2*d_1)/(n_b-1))+(phi_c/2)*0.923880,NA())</f>
        <v/>
      </c>
      <c r="BM4">
        <f>IF(9&lt;n_b,(d_1)+(phi_c/2)*0.382683,NA())</f>
        <v/>
      </c>
      <c r="BO4">
        <f>IF(1&lt;n_h-1,(d_1)+(phi_c/2)*0.923880,NA())</f>
        <v/>
      </c>
      <c r="BP4">
        <f>IF(1&lt;n_h-1,(h_col-d_1-1*(h_col-2*d_1)/(n_h-1))+(phi_c/2)*0.382683,NA())</f>
        <v/>
      </c>
      <c r="BR4">
        <f>IF(1&lt;n_h-1,(b_col-d_1)+(phi_c/2)*0.923880,NA())</f>
        <v/>
      </c>
      <c r="BS4">
        <f>IF(1&lt;n_h-1,(h_col-d_1-1*(h_col-2*d_1)/(n_h-1))+(phi_c/2)*0.382683,NA())</f>
        <v/>
      </c>
      <c r="BU4">
        <f>IF(2&lt;n_h-1,(d_1)+(phi_c/2)*0.923880,NA())</f>
        <v/>
      </c>
      <c r="BV4">
        <f>IF(2&lt;n_h-1,(h_col-d_1-2*(h_col-2*d_1)/(n_h-1))+(phi_c/2)*0.382683,NA())</f>
        <v/>
      </c>
      <c r="BX4">
        <f>IF(2&lt;n_h-1,(b_col-d_1)+(phi_c/2)*0.923880,NA())</f>
        <v/>
      </c>
      <c r="BY4">
        <f>IF(2&lt;n_h-1,(h_col-d_1-2*(h_col-2*d_1)/(n_h-1))+(phi_c/2)*0.382683,NA())</f>
        <v/>
      </c>
      <c r="CA4">
        <f>IF(3&lt;n_h-1,(d_1)+(phi_c/2)*0.923880,NA())</f>
        <v/>
      </c>
      <c r="CB4">
        <f>IF(3&lt;n_h-1,(h_col-d_1-3*(h_col-2*d_1)/(n_h-1))+(phi_c/2)*0.382683,NA())</f>
        <v/>
      </c>
      <c r="CD4">
        <f>IF(3&lt;n_h-1,(b_col-d_1)+(phi_c/2)*0.923880,NA())</f>
        <v/>
      </c>
      <c r="CE4">
        <f>IF(3&lt;n_h-1,(h_col-d_1-3*(h_col-2*d_1)/(n_h-1))+(phi_c/2)*0.382683,NA())</f>
        <v/>
      </c>
      <c r="CG4">
        <f>IF(4&lt;n_h-1,(d_1)+(phi_c/2)*0.923880,NA())</f>
        <v/>
      </c>
      <c r="CH4">
        <f>IF(4&lt;n_h-1,(h_col-d_1-4*(h_col-2*d_1)/(n_h-1))+(phi_c/2)*0.382683,NA())</f>
        <v/>
      </c>
      <c r="CJ4">
        <f>IF(4&lt;n_h-1,(b_col-d_1)+(phi_c/2)*0.923880,NA())</f>
        <v/>
      </c>
      <c r="CK4">
        <f>IF(4&lt;n_h-1,(h_col-d_1-4*(h_col-2*d_1)/(n_h-1))+(phi_c/2)*0.382683,NA())</f>
        <v/>
      </c>
      <c r="CM4">
        <f>IF(5&lt;n_h-1,(d_1)+(phi_c/2)*0.923880,NA())</f>
        <v/>
      </c>
      <c r="CN4">
        <f>IF(5&lt;n_h-1,(h_col-d_1-5*(h_col-2*d_1)/(n_h-1))+(phi_c/2)*0.382683,NA())</f>
        <v/>
      </c>
      <c r="CP4">
        <f>IF(5&lt;n_h-1,(b_col-d_1)+(phi_c/2)*0.923880,NA())</f>
        <v/>
      </c>
      <c r="CQ4">
        <f>IF(5&lt;n_h-1,(h_col-d_1-5*(h_col-2*d_1)/(n_h-1))+(phi_c/2)*0.382683,NA())</f>
        <v/>
      </c>
      <c r="CS4">
        <f>IF(6&lt;n_h-1,(d_1)+(phi_c/2)*0.923880,NA())</f>
        <v/>
      </c>
      <c r="CT4">
        <f>IF(6&lt;n_h-1,(h_col-d_1-6*(h_col-2*d_1)/(n_h-1))+(phi_c/2)*0.382683,NA())</f>
        <v/>
      </c>
      <c r="CV4">
        <f>IF(6&lt;n_h-1,(b_col-d_1)+(phi_c/2)*0.923880,NA())</f>
        <v/>
      </c>
      <c r="CW4">
        <f>IF(6&lt;n_h-1,(h_col-d_1-6*(h_col-2*d_1)/(n_h-1))+(phi_c/2)*0.382683,NA())</f>
        <v/>
      </c>
      <c r="CY4">
        <f>IF(7&lt;n_h-1,(d_1)+(phi_c/2)*0.923880,NA())</f>
        <v/>
      </c>
      <c r="CZ4">
        <f>IF(7&lt;n_h-1,(h_col-d_1-7*(h_col-2*d_1)/(n_h-1))+(phi_c/2)*0.382683,NA())</f>
        <v/>
      </c>
      <c r="DB4">
        <f>IF(7&lt;n_h-1,(b_col-d_1)+(phi_c/2)*0.923880,NA())</f>
        <v/>
      </c>
      <c r="DC4">
        <f>IF(7&lt;n_h-1,(h_col-d_1-7*(h_col-2*d_1)/(n_h-1))+(phi_c/2)*0.382683,NA())</f>
        <v/>
      </c>
      <c r="DE4">
        <f>IF(8&lt;n_h-1,(d_1)+(phi_c/2)*0.923880,NA())</f>
        <v/>
      </c>
      <c r="DF4">
        <f>IF(8&lt;n_h-1,(h_col-d_1-8*(h_col-2*d_1)/(n_h-1))+(phi_c/2)*0.382683,NA())</f>
        <v/>
      </c>
      <c r="DH4">
        <f>IF(8&lt;n_h-1,(b_col-d_1)+(phi_c/2)*0.923880,NA())</f>
        <v/>
      </c>
      <c r="DI4">
        <f>IF(8&lt;n_h-1,(h_col-d_1-8*(h_col-2*d_1)/(n_h-1))+(phi_c/2)*0.382683,NA())</f>
        <v/>
      </c>
      <c r="DK4">
        <f>IF(AND(1&lt;n_b-1,OR(ties="Every bar",AND(ties="Alternate bars",MOD(1,2)=0))),d_1+1*(b_col-2*d_1)/(n_b-1),NA())</f>
        <v/>
      </c>
      <c r="DL4">
        <f>h_col-d_1</f>
        <v/>
      </c>
      <c r="DN4">
        <f>b_col-d_1</f>
        <v/>
      </c>
      <c r="DO4">
        <f>IF(AND(1&lt;n_h-1,OR(ties="Every bar",AND(ties="Alternate bars",MOD(1,2)=0))),h_col-d_1-1*(h_col-2*d_1)/(n_h-1),NA())</f>
        <v/>
      </c>
      <c r="DQ4">
        <f>IF(AND(2&lt;n_b-1,OR(ties="Every bar",AND(ties="Alternate bars",MOD(2,2)=0))),d_1+2*(b_col-2*d_1)/(n_b-1),NA())</f>
        <v/>
      </c>
      <c r="DR4">
        <f>h_col-d_1</f>
        <v/>
      </c>
      <c r="DT4">
        <f>b_col-d_1</f>
        <v/>
      </c>
      <c r="DU4">
        <f>IF(AND(2&lt;n_h-1,OR(ties="Every bar",AND(ties="Alternate bars",MOD(2,2)=0))),h_col-d_1-2*(h_col-2*d_1)/(n_h-1),NA())</f>
        <v/>
      </c>
      <c r="DW4">
        <f>IF(AND(3&lt;n_b-1,OR(ties="Every bar",AND(ties="Alternate bars",MOD(3,2)=0))),d_1+3*(b_col-2*d_1)/(n_b-1),NA())</f>
        <v/>
      </c>
      <c r="DX4">
        <f>h_col-d_1</f>
        <v/>
      </c>
      <c r="DZ4">
        <f>b_col-d_1</f>
        <v/>
      </c>
      <c r="EA4">
        <f>IF(AND(3&lt;n_h-1,OR(ties="Every bar",AND(ties="Alternate bars",MOD(3,2)=0))),h_col-d_1-3*(h_col-2*d_1)/(n_h-1),NA())</f>
        <v/>
      </c>
      <c r="EC4">
        <f>IF(AND(4&lt;n_b-1,OR(ties="Every bar",AND(ties="Alternate bars",MOD(4,2)=0))),d_1+4*(b_col-2*d_1)/(n_b-1),NA())</f>
        <v/>
      </c>
      <c r="ED4">
        <f>h_col-d_1</f>
        <v/>
      </c>
      <c r="EF4">
        <f>b_col-d_1</f>
        <v/>
      </c>
      <c r="EG4">
        <f>IF(AND(4&lt;n_h-1,OR(ties="Every bar",AND(ties="Alternate bars",MOD(4,2)=0))),h_col-d_1-4*(h_col-2*d_1)/(n_h-1),NA())</f>
        <v/>
      </c>
      <c r="EI4">
        <f>IF(AND(5&lt;n_b-1,OR(ties="Every bar",AND(ties="Alternate bars",MOD(5,2)=0))),d_1+5*(b_col-2*d_1)/(n_b-1),NA())</f>
        <v/>
      </c>
      <c r="EJ4">
        <f>h_col-d_1</f>
        <v/>
      </c>
      <c r="EL4">
        <f>b_col-d_1</f>
        <v/>
      </c>
      <c r="EM4">
        <f>IF(AND(5&lt;n_h-1,OR(ties="Every bar",AND(ties="Alternate bars",MOD(5,2)=0))),h_col-d_1-5*(h_col-2*d_1)/(n_h-1),NA())</f>
        <v/>
      </c>
      <c r="EO4">
        <f>IF(AND(6&lt;n_b-1,OR(ties="Every bar",AND(ties="Alternate bars",MOD(6,2)=0))),d_1+6*(b_col-2*d_1)/(n_b-1),NA())</f>
        <v/>
      </c>
      <c r="EP4">
        <f>h_col-d_1</f>
        <v/>
      </c>
      <c r="ER4">
        <f>b_col-d_1</f>
        <v/>
      </c>
      <c r="ES4">
        <f>IF(AND(6&lt;n_h-1,OR(ties="Every bar",AND(ties="Alternate bars",MOD(6,2)=0))),h_col-d_1-6*(h_col-2*d_1)/(n_h-1),NA())</f>
        <v/>
      </c>
      <c r="EU4">
        <f>IF(AND(7&lt;n_b-1,OR(ties="Every bar",AND(ties="Alternate bars",MOD(7,2)=0))),d_1+7*(b_col-2*d_1)/(n_b-1),NA())</f>
        <v/>
      </c>
      <c r="EV4">
        <f>h_col-d_1</f>
        <v/>
      </c>
      <c r="EX4">
        <f>b_col-d_1</f>
        <v/>
      </c>
      <c r="EY4">
        <f>IF(AND(7&lt;n_h-1,OR(ties="Every bar",AND(ties="Alternate bars",MOD(7,2)=0))),h_col-d_1-7*(h_col-2*d_1)/(n_h-1),NA())</f>
        <v/>
      </c>
      <c r="FA4">
        <f>IF(AND(8&lt;n_b-1,OR(ties="Every bar",AND(ties="Alternate bars",MOD(8,2)=0))),d_1+8*(b_col-2*d_1)/(n_b-1),NA())</f>
        <v/>
      </c>
      <c r="FB4">
        <f>h_col-d_1</f>
        <v/>
      </c>
      <c r="FD4">
        <f>b_col-d_1</f>
        <v/>
      </c>
      <c r="FE4">
        <f>IF(AND(8&lt;n_h-1,OR(ties="Every bar",AND(ties="Alternate bars",MOD(8,2)=0))),h_col-d_1-8*(h_col-2*d_1)/(n_h-1),NA())</f>
        <v/>
      </c>
      <c r="FG4">
        <f>IF(AND(inputs_ok,x_Ed&lt;h_col),1.08*b_col,NA())</f>
        <v/>
      </c>
      <c r="FH4">
        <f>h_col-x_Ed</f>
        <v/>
      </c>
      <c r="FJ4">
        <f>IF(TRUE,b_col,NA())</f>
        <v/>
      </c>
      <c r="FK4">
        <f>IF(TRUE,-0.08*MAX(b_col,h_col),NA())</f>
        <v/>
      </c>
      <c r="FP4">
        <f>IF(TRUE,-0.08*MAX(b_col,h_col),NA())</f>
        <v/>
      </c>
      <c r="FQ4">
        <f>IF(TRUE,h_col,NA())</f>
        <v/>
      </c>
      <c r="FV4">
        <f>IF(AND(inputs_ok,x_Ed&lt;h_col),b_col+0.08*MAX(b_col,h_col),NA())</f>
        <v/>
      </c>
      <c r="FW4">
        <f>IF(AND(inputs_ok,x_Ed&lt;h_col),h_col,NA())</f>
        <v/>
      </c>
      <c r="GK4">
        <f>((-2*0.08*MAX(b_col,h_col))+(b_col+7*0.08*MAX(b_col,h_col)))/2+MAX((h_col+1.2*0.08*MAX(b_col,h_col))-(-2*0.08*MAX(b_col,h_col)),((b_col+7*0.08*MAX(b_col,h_col))-(-2*0.08*MAX(b_col,h_col)))/1.55)*0.58*1.55</f>
        <v/>
      </c>
      <c r="GL4">
        <f>((-2*0.08*MAX(b_col,h_col))+(h_col+1.2*0.08*MAX(b_col,h_col)))/2+MAX((h_col+1.2*0.08*MAX(b_col,h_col))-(-2*0.08*MAX(b_col,h_col)),((b_col+7*0.08*MAX(b_col,h_col))-(-2*0.08*MAX(b_col,h_col)))/1.55)*0.58</f>
        <v/>
      </c>
      <c r="GN4">
        <f>1.75</f>
        <v/>
      </c>
      <c r="GO4">
        <f>0</f>
        <v/>
      </c>
      <c r="GQ4">
        <f>0</f>
        <v/>
      </c>
      <c r="GR4">
        <f>1.1</f>
        <v/>
      </c>
      <c r="GT4">
        <f>INDEX(nm_M,2)*1.5/M_pk</f>
        <v/>
      </c>
      <c r="GU4">
        <f>INDEX(nm_N,2)/N_Rdmax</f>
        <v/>
      </c>
      <c r="GW4">
        <f>IF(res_ok,M_Rd*1.5/M_pk,NA())</f>
        <v/>
      </c>
      <c r="GX4">
        <f>N_Ed/N_Rdmax</f>
        <v/>
      </c>
      <c r="IA4">
        <f>((-0.5)+(2.0))/2+MAX((1.18)-(N_Rdmin/N_Rdmax-0.1),((2.0)-(-0.5))/1.55)*0.52*1.55</f>
        <v/>
      </c>
      <c r="IB4">
        <f>((N_Rdmin/N_Rdmax-0.1)+(1.18))/2+MAX((1.18)-(N_Rdmin/N_Rdmax-0.1),((2.0)-(-0.5))/1.55)*0.52</f>
        <v/>
      </c>
    </row>
    <row r="5">
      <c r="A5">
        <f>b_col</f>
        <v/>
      </c>
      <c r="B5">
        <f>h_col</f>
        <v/>
      </c>
      <c r="D5">
        <f>b_col-(c_nom+phi_w/2)</f>
        <v/>
      </c>
      <c r="E5">
        <f>h_col-(c_nom+phi_w/2)</f>
        <v/>
      </c>
      <c r="G5">
        <f>IF(0&lt;n_b,(d_1+0*(b_col-2*d_1)/(n_b-1))+(phi_c/2)*0.707107,NA())</f>
        <v/>
      </c>
      <c r="H5">
        <f>IF(0&lt;n_b,(h_col-d_1)+(phi_c/2)*0.707107,NA())</f>
        <v/>
      </c>
      <c r="J5">
        <f>IF(0&lt;n_b,(d_1+0*(b_col-2*d_1)/(n_b-1))+(phi_c/2)*0.707107,NA())</f>
        <v/>
      </c>
      <c r="K5">
        <f>IF(0&lt;n_b,(d_1)+(phi_c/2)*0.707107,NA())</f>
        <v/>
      </c>
      <c r="M5">
        <f>IF(1&lt;n_b,(d_1+1*(b_col-2*d_1)/(n_b-1))+(phi_c/2)*0.707107,NA())</f>
        <v/>
      </c>
      <c r="N5">
        <f>IF(1&lt;n_b,(h_col-d_1)+(phi_c/2)*0.707107,NA())</f>
        <v/>
      </c>
      <c r="P5">
        <f>IF(1&lt;n_b,(d_1+1*(b_col-2*d_1)/(n_b-1))+(phi_c/2)*0.707107,NA())</f>
        <v/>
      </c>
      <c r="Q5">
        <f>IF(1&lt;n_b,(d_1)+(phi_c/2)*0.707107,NA())</f>
        <v/>
      </c>
      <c r="S5">
        <f>IF(2&lt;n_b,(d_1+2*(b_col-2*d_1)/(n_b-1))+(phi_c/2)*0.707107,NA())</f>
        <v/>
      </c>
      <c r="T5">
        <f>IF(2&lt;n_b,(h_col-d_1)+(phi_c/2)*0.707107,NA())</f>
        <v/>
      </c>
      <c r="V5">
        <f>IF(2&lt;n_b,(d_1+2*(b_col-2*d_1)/(n_b-1))+(phi_c/2)*0.707107,NA())</f>
        <v/>
      </c>
      <c r="W5">
        <f>IF(2&lt;n_b,(d_1)+(phi_c/2)*0.707107,NA())</f>
        <v/>
      </c>
      <c r="Y5">
        <f>IF(3&lt;n_b,(d_1+3*(b_col-2*d_1)/(n_b-1))+(phi_c/2)*0.707107,NA())</f>
        <v/>
      </c>
      <c r="Z5">
        <f>IF(3&lt;n_b,(h_col-d_1)+(phi_c/2)*0.707107,NA())</f>
        <v/>
      </c>
      <c r="AB5">
        <f>IF(3&lt;n_b,(d_1+3*(b_col-2*d_1)/(n_b-1))+(phi_c/2)*0.707107,NA())</f>
        <v/>
      </c>
      <c r="AC5">
        <f>IF(3&lt;n_b,(d_1)+(phi_c/2)*0.707107,NA())</f>
        <v/>
      </c>
      <c r="AE5">
        <f>IF(4&lt;n_b,(d_1+4*(b_col-2*d_1)/(n_b-1))+(phi_c/2)*0.707107,NA())</f>
        <v/>
      </c>
      <c r="AF5">
        <f>IF(4&lt;n_b,(h_col-d_1)+(phi_c/2)*0.707107,NA())</f>
        <v/>
      </c>
      <c r="AH5">
        <f>IF(4&lt;n_b,(d_1+4*(b_col-2*d_1)/(n_b-1))+(phi_c/2)*0.707107,NA())</f>
        <v/>
      </c>
      <c r="AI5">
        <f>IF(4&lt;n_b,(d_1)+(phi_c/2)*0.707107,NA())</f>
        <v/>
      </c>
      <c r="AK5">
        <f>IF(5&lt;n_b,(d_1+5*(b_col-2*d_1)/(n_b-1))+(phi_c/2)*0.707107,NA())</f>
        <v/>
      </c>
      <c r="AL5">
        <f>IF(5&lt;n_b,(h_col-d_1)+(phi_c/2)*0.707107,NA())</f>
        <v/>
      </c>
      <c r="AN5">
        <f>IF(5&lt;n_b,(d_1+5*(b_col-2*d_1)/(n_b-1))+(phi_c/2)*0.707107,NA())</f>
        <v/>
      </c>
      <c r="AO5">
        <f>IF(5&lt;n_b,(d_1)+(phi_c/2)*0.707107,NA())</f>
        <v/>
      </c>
      <c r="AQ5">
        <f>IF(6&lt;n_b,(d_1+6*(b_col-2*d_1)/(n_b-1))+(phi_c/2)*0.707107,NA())</f>
        <v/>
      </c>
      <c r="AR5">
        <f>IF(6&lt;n_b,(h_col-d_1)+(phi_c/2)*0.707107,NA())</f>
        <v/>
      </c>
      <c r="AT5">
        <f>IF(6&lt;n_b,(d_1+6*(b_col-2*d_1)/(n_b-1))+(phi_c/2)*0.707107,NA())</f>
        <v/>
      </c>
      <c r="AU5">
        <f>IF(6&lt;n_b,(d_1)+(phi_c/2)*0.707107,NA())</f>
        <v/>
      </c>
      <c r="AW5">
        <f>IF(7&lt;n_b,(d_1+7*(b_col-2*d_1)/(n_b-1))+(phi_c/2)*0.707107,NA())</f>
        <v/>
      </c>
      <c r="AX5">
        <f>IF(7&lt;n_b,(h_col-d_1)+(phi_c/2)*0.707107,NA())</f>
        <v/>
      </c>
      <c r="AZ5">
        <f>IF(7&lt;n_b,(d_1+7*(b_col-2*d_1)/(n_b-1))+(phi_c/2)*0.707107,NA())</f>
        <v/>
      </c>
      <c r="BA5">
        <f>IF(7&lt;n_b,(d_1)+(phi_c/2)*0.707107,NA())</f>
        <v/>
      </c>
      <c r="BC5">
        <f>IF(8&lt;n_b,(d_1+8*(b_col-2*d_1)/(n_b-1))+(phi_c/2)*0.707107,NA())</f>
        <v/>
      </c>
      <c r="BD5">
        <f>IF(8&lt;n_b,(h_col-d_1)+(phi_c/2)*0.707107,NA())</f>
        <v/>
      </c>
      <c r="BF5">
        <f>IF(8&lt;n_b,(d_1+8*(b_col-2*d_1)/(n_b-1))+(phi_c/2)*0.707107,NA())</f>
        <v/>
      </c>
      <c r="BG5">
        <f>IF(8&lt;n_b,(d_1)+(phi_c/2)*0.707107,NA())</f>
        <v/>
      </c>
      <c r="BI5">
        <f>IF(9&lt;n_b,(d_1+9*(b_col-2*d_1)/(n_b-1))+(phi_c/2)*0.707107,NA())</f>
        <v/>
      </c>
      <c r="BJ5">
        <f>IF(9&lt;n_b,(h_col-d_1)+(phi_c/2)*0.707107,NA())</f>
        <v/>
      </c>
      <c r="BL5">
        <f>IF(9&lt;n_b,(d_1+9*(b_col-2*d_1)/(n_b-1))+(phi_c/2)*0.707107,NA())</f>
        <v/>
      </c>
      <c r="BM5">
        <f>IF(9&lt;n_b,(d_1)+(phi_c/2)*0.707107,NA())</f>
        <v/>
      </c>
      <c r="BO5">
        <f>IF(1&lt;n_h-1,(d_1)+(phi_c/2)*0.707107,NA())</f>
        <v/>
      </c>
      <c r="BP5">
        <f>IF(1&lt;n_h-1,(h_col-d_1-1*(h_col-2*d_1)/(n_h-1))+(phi_c/2)*0.707107,NA())</f>
        <v/>
      </c>
      <c r="BR5">
        <f>IF(1&lt;n_h-1,(b_col-d_1)+(phi_c/2)*0.707107,NA())</f>
        <v/>
      </c>
      <c r="BS5">
        <f>IF(1&lt;n_h-1,(h_col-d_1-1*(h_col-2*d_1)/(n_h-1))+(phi_c/2)*0.707107,NA())</f>
        <v/>
      </c>
      <c r="BU5">
        <f>IF(2&lt;n_h-1,(d_1)+(phi_c/2)*0.707107,NA())</f>
        <v/>
      </c>
      <c r="BV5">
        <f>IF(2&lt;n_h-1,(h_col-d_1-2*(h_col-2*d_1)/(n_h-1))+(phi_c/2)*0.707107,NA())</f>
        <v/>
      </c>
      <c r="BX5">
        <f>IF(2&lt;n_h-1,(b_col-d_1)+(phi_c/2)*0.707107,NA())</f>
        <v/>
      </c>
      <c r="BY5">
        <f>IF(2&lt;n_h-1,(h_col-d_1-2*(h_col-2*d_1)/(n_h-1))+(phi_c/2)*0.707107,NA())</f>
        <v/>
      </c>
      <c r="CA5">
        <f>IF(3&lt;n_h-1,(d_1)+(phi_c/2)*0.707107,NA())</f>
        <v/>
      </c>
      <c r="CB5">
        <f>IF(3&lt;n_h-1,(h_col-d_1-3*(h_col-2*d_1)/(n_h-1))+(phi_c/2)*0.707107,NA())</f>
        <v/>
      </c>
      <c r="CD5">
        <f>IF(3&lt;n_h-1,(b_col-d_1)+(phi_c/2)*0.707107,NA())</f>
        <v/>
      </c>
      <c r="CE5">
        <f>IF(3&lt;n_h-1,(h_col-d_1-3*(h_col-2*d_1)/(n_h-1))+(phi_c/2)*0.707107,NA())</f>
        <v/>
      </c>
      <c r="CG5">
        <f>IF(4&lt;n_h-1,(d_1)+(phi_c/2)*0.707107,NA())</f>
        <v/>
      </c>
      <c r="CH5">
        <f>IF(4&lt;n_h-1,(h_col-d_1-4*(h_col-2*d_1)/(n_h-1))+(phi_c/2)*0.707107,NA())</f>
        <v/>
      </c>
      <c r="CJ5">
        <f>IF(4&lt;n_h-1,(b_col-d_1)+(phi_c/2)*0.707107,NA())</f>
        <v/>
      </c>
      <c r="CK5">
        <f>IF(4&lt;n_h-1,(h_col-d_1-4*(h_col-2*d_1)/(n_h-1))+(phi_c/2)*0.707107,NA())</f>
        <v/>
      </c>
      <c r="CM5">
        <f>IF(5&lt;n_h-1,(d_1)+(phi_c/2)*0.707107,NA())</f>
        <v/>
      </c>
      <c r="CN5">
        <f>IF(5&lt;n_h-1,(h_col-d_1-5*(h_col-2*d_1)/(n_h-1))+(phi_c/2)*0.707107,NA())</f>
        <v/>
      </c>
      <c r="CP5">
        <f>IF(5&lt;n_h-1,(b_col-d_1)+(phi_c/2)*0.707107,NA())</f>
        <v/>
      </c>
      <c r="CQ5">
        <f>IF(5&lt;n_h-1,(h_col-d_1-5*(h_col-2*d_1)/(n_h-1))+(phi_c/2)*0.707107,NA())</f>
        <v/>
      </c>
      <c r="CS5">
        <f>IF(6&lt;n_h-1,(d_1)+(phi_c/2)*0.707107,NA())</f>
        <v/>
      </c>
      <c r="CT5">
        <f>IF(6&lt;n_h-1,(h_col-d_1-6*(h_col-2*d_1)/(n_h-1))+(phi_c/2)*0.707107,NA())</f>
        <v/>
      </c>
      <c r="CV5">
        <f>IF(6&lt;n_h-1,(b_col-d_1)+(phi_c/2)*0.707107,NA())</f>
        <v/>
      </c>
      <c r="CW5">
        <f>IF(6&lt;n_h-1,(h_col-d_1-6*(h_col-2*d_1)/(n_h-1))+(phi_c/2)*0.707107,NA())</f>
        <v/>
      </c>
      <c r="CY5">
        <f>IF(7&lt;n_h-1,(d_1)+(phi_c/2)*0.707107,NA())</f>
        <v/>
      </c>
      <c r="CZ5">
        <f>IF(7&lt;n_h-1,(h_col-d_1-7*(h_col-2*d_1)/(n_h-1))+(phi_c/2)*0.707107,NA())</f>
        <v/>
      </c>
      <c r="DB5">
        <f>IF(7&lt;n_h-1,(b_col-d_1)+(phi_c/2)*0.707107,NA())</f>
        <v/>
      </c>
      <c r="DC5">
        <f>IF(7&lt;n_h-1,(h_col-d_1-7*(h_col-2*d_1)/(n_h-1))+(phi_c/2)*0.707107,NA())</f>
        <v/>
      </c>
      <c r="DE5">
        <f>IF(8&lt;n_h-1,(d_1)+(phi_c/2)*0.707107,NA())</f>
        <v/>
      </c>
      <c r="DF5">
        <f>IF(8&lt;n_h-1,(h_col-d_1-8*(h_col-2*d_1)/(n_h-1))+(phi_c/2)*0.707107,NA())</f>
        <v/>
      </c>
      <c r="DH5">
        <f>IF(8&lt;n_h-1,(b_col-d_1)+(phi_c/2)*0.707107,NA())</f>
        <v/>
      </c>
      <c r="DI5">
        <f>IF(8&lt;n_h-1,(h_col-d_1-8*(h_col-2*d_1)/(n_h-1))+(phi_c/2)*0.707107,NA())</f>
        <v/>
      </c>
      <c r="GT5">
        <f>INDEX(nm_M,3)*1.5/M_pk</f>
        <v/>
      </c>
      <c r="GU5">
        <f>INDEX(nm_N,3)/N_Rdmax</f>
        <v/>
      </c>
    </row>
    <row r="6">
      <c r="A6">
        <f>0</f>
        <v/>
      </c>
      <c r="B6">
        <f>h_col</f>
        <v/>
      </c>
      <c r="D6">
        <f>(c_nom+phi_w/2)</f>
        <v/>
      </c>
      <c r="E6">
        <f>h_col-(c_nom+phi_w/2)</f>
        <v/>
      </c>
      <c r="G6">
        <f>IF(0&lt;n_b,(d_1+0*(b_col-2*d_1)/(n_b-1))+(phi_c/2)*0.382683,NA())</f>
        <v/>
      </c>
      <c r="H6">
        <f>IF(0&lt;n_b,(h_col-d_1)+(phi_c/2)*0.923880,NA())</f>
        <v/>
      </c>
      <c r="J6">
        <f>IF(0&lt;n_b,(d_1+0*(b_col-2*d_1)/(n_b-1))+(phi_c/2)*0.382683,NA())</f>
        <v/>
      </c>
      <c r="K6">
        <f>IF(0&lt;n_b,(d_1)+(phi_c/2)*0.923880,NA())</f>
        <v/>
      </c>
      <c r="M6">
        <f>IF(1&lt;n_b,(d_1+1*(b_col-2*d_1)/(n_b-1))+(phi_c/2)*0.382683,NA())</f>
        <v/>
      </c>
      <c r="N6">
        <f>IF(1&lt;n_b,(h_col-d_1)+(phi_c/2)*0.923880,NA())</f>
        <v/>
      </c>
      <c r="P6">
        <f>IF(1&lt;n_b,(d_1+1*(b_col-2*d_1)/(n_b-1))+(phi_c/2)*0.382683,NA())</f>
        <v/>
      </c>
      <c r="Q6">
        <f>IF(1&lt;n_b,(d_1)+(phi_c/2)*0.923880,NA())</f>
        <v/>
      </c>
      <c r="S6">
        <f>IF(2&lt;n_b,(d_1+2*(b_col-2*d_1)/(n_b-1))+(phi_c/2)*0.382683,NA())</f>
        <v/>
      </c>
      <c r="T6">
        <f>IF(2&lt;n_b,(h_col-d_1)+(phi_c/2)*0.923880,NA())</f>
        <v/>
      </c>
      <c r="V6">
        <f>IF(2&lt;n_b,(d_1+2*(b_col-2*d_1)/(n_b-1))+(phi_c/2)*0.382683,NA())</f>
        <v/>
      </c>
      <c r="W6">
        <f>IF(2&lt;n_b,(d_1)+(phi_c/2)*0.923880,NA())</f>
        <v/>
      </c>
      <c r="Y6">
        <f>IF(3&lt;n_b,(d_1+3*(b_col-2*d_1)/(n_b-1))+(phi_c/2)*0.382683,NA())</f>
        <v/>
      </c>
      <c r="Z6">
        <f>IF(3&lt;n_b,(h_col-d_1)+(phi_c/2)*0.923880,NA())</f>
        <v/>
      </c>
      <c r="AB6">
        <f>IF(3&lt;n_b,(d_1+3*(b_col-2*d_1)/(n_b-1))+(phi_c/2)*0.382683,NA())</f>
        <v/>
      </c>
      <c r="AC6">
        <f>IF(3&lt;n_b,(d_1)+(phi_c/2)*0.923880,NA())</f>
        <v/>
      </c>
      <c r="AE6">
        <f>IF(4&lt;n_b,(d_1+4*(b_col-2*d_1)/(n_b-1))+(phi_c/2)*0.382683,NA())</f>
        <v/>
      </c>
      <c r="AF6">
        <f>IF(4&lt;n_b,(h_col-d_1)+(phi_c/2)*0.923880,NA())</f>
        <v/>
      </c>
      <c r="AH6">
        <f>IF(4&lt;n_b,(d_1+4*(b_col-2*d_1)/(n_b-1))+(phi_c/2)*0.382683,NA())</f>
        <v/>
      </c>
      <c r="AI6">
        <f>IF(4&lt;n_b,(d_1)+(phi_c/2)*0.923880,NA())</f>
        <v/>
      </c>
      <c r="AK6">
        <f>IF(5&lt;n_b,(d_1+5*(b_col-2*d_1)/(n_b-1))+(phi_c/2)*0.382683,NA())</f>
        <v/>
      </c>
      <c r="AL6">
        <f>IF(5&lt;n_b,(h_col-d_1)+(phi_c/2)*0.923880,NA())</f>
        <v/>
      </c>
      <c r="AN6">
        <f>IF(5&lt;n_b,(d_1+5*(b_col-2*d_1)/(n_b-1))+(phi_c/2)*0.382683,NA())</f>
        <v/>
      </c>
      <c r="AO6">
        <f>IF(5&lt;n_b,(d_1)+(phi_c/2)*0.923880,NA())</f>
        <v/>
      </c>
      <c r="AQ6">
        <f>IF(6&lt;n_b,(d_1+6*(b_col-2*d_1)/(n_b-1))+(phi_c/2)*0.382683,NA())</f>
        <v/>
      </c>
      <c r="AR6">
        <f>IF(6&lt;n_b,(h_col-d_1)+(phi_c/2)*0.923880,NA())</f>
        <v/>
      </c>
      <c r="AT6">
        <f>IF(6&lt;n_b,(d_1+6*(b_col-2*d_1)/(n_b-1))+(phi_c/2)*0.382683,NA())</f>
        <v/>
      </c>
      <c r="AU6">
        <f>IF(6&lt;n_b,(d_1)+(phi_c/2)*0.923880,NA())</f>
        <v/>
      </c>
      <c r="AW6">
        <f>IF(7&lt;n_b,(d_1+7*(b_col-2*d_1)/(n_b-1))+(phi_c/2)*0.382683,NA())</f>
        <v/>
      </c>
      <c r="AX6">
        <f>IF(7&lt;n_b,(h_col-d_1)+(phi_c/2)*0.923880,NA())</f>
        <v/>
      </c>
      <c r="AZ6">
        <f>IF(7&lt;n_b,(d_1+7*(b_col-2*d_1)/(n_b-1))+(phi_c/2)*0.382683,NA())</f>
        <v/>
      </c>
      <c r="BA6">
        <f>IF(7&lt;n_b,(d_1)+(phi_c/2)*0.923880,NA())</f>
        <v/>
      </c>
      <c r="BC6">
        <f>IF(8&lt;n_b,(d_1+8*(b_col-2*d_1)/(n_b-1))+(phi_c/2)*0.382683,NA())</f>
        <v/>
      </c>
      <c r="BD6">
        <f>IF(8&lt;n_b,(h_col-d_1)+(phi_c/2)*0.923880,NA())</f>
        <v/>
      </c>
      <c r="BF6">
        <f>IF(8&lt;n_b,(d_1+8*(b_col-2*d_1)/(n_b-1))+(phi_c/2)*0.382683,NA())</f>
        <v/>
      </c>
      <c r="BG6">
        <f>IF(8&lt;n_b,(d_1)+(phi_c/2)*0.923880,NA())</f>
        <v/>
      </c>
      <c r="BI6">
        <f>IF(9&lt;n_b,(d_1+9*(b_col-2*d_1)/(n_b-1))+(phi_c/2)*0.382683,NA())</f>
        <v/>
      </c>
      <c r="BJ6">
        <f>IF(9&lt;n_b,(h_col-d_1)+(phi_c/2)*0.923880,NA())</f>
        <v/>
      </c>
      <c r="BL6">
        <f>IF(9&lt;n_b,(d_1+9*(b_col-2*d_1)/(n_b-1))+(phi_c/2)*0.382683,NA())</f>
        <v/>
      </c>
      <c r="BM6">
        <f>IF(9&lt;n_b,(d_1)+(phi_c/2)*0.923880,NA())</f>
        <v/>
      </c>
      <c r="BO6">
        <f>IF(1&lt;n_h-1,(d_1)+(phi_c/2)*0.382683,NA())</f>
        <v/>
      </c>
      <c r="BP6">
        <f>IF(1&lt;n_h-1,(h_col-d_1-1*(h_col-2*d_1)/(n_h-1))+(phi_c/2)*0.923880,NA())</f>
        <v/>
      </c>
      <c r="BR6">
        <f>IF(1&lt;n_h-1,(b_col-d_1)+(phi_c/2)*0.382683,NA())</f>
        <v/>
      </c>
      <c r="BS6">
        <f>IF(1&lt;n_h-1,(h_col-d_1-1*(h_col-2*d_1)/(n_h-1))+(phi_c/2)*0.923880,NA())</f>
        <v/>
      </c>
      <c r="BU6">
        <f>IF(2&lt;n_h-1,(d_1)+(phi_c/2)*0.382683,NA())</f>
        <v/>
      </c>
      <c r="BV6">
        <f>IF(2&lt;n_h-1,(h_col-d_1-2*(h_col-2*d_1)/(n_h-1))+(phi_c/2)*0.923880,NA())</f>
        <v/>
      </c>
      <c r="BX6">
        <f>IF(2&lt;n_h-1,(b_col-d_1)+(phi_c/2)*0.382683,NA())</f>
        <v/>
      </c>
      <c r="BY6">
        <f>IF(2&lt;n_h-1,(h_col-d_1-2*(h_col-2*d_1)/(n_h-1))+(phi_c/2)*0.923880,NA())</f>
        <v/>
      </c>
      <c r="CA6">
        <f>IF(3&lt;n_h-1,(d_1)+(phi_c/2)*0.382683,NA())</f>
        <v/>
      </c>
      <c r="CB6">
        <f>IF(3&lt;n_h-1,(h_col-d_1-3*(h_col-2*d_1)/(n_h-1))+(phi_c/2)*0.923880,NA())</f>
        <v/>
      </c>
      <c r="CD6">
        <f>IF(3&lt;n_h-1,(b_col-d_1)+(phi_c/2)*0.382683,NA())</f>
        <v/>
      </c>
      <c r="CE6">
        <f>IF(3&lt;n_h-1,(h_col-d_1-3*(h_col-2*d_1)/(n_h-1))+(phi_c/2)*0.923880,NA())</f>
        <v/>
      </c>
      <c r="CG6">
        <f>IF(4&lt;n_h-1,(d_1)+(phi_c/2)*0.382683,NA())</f>
        <v/>
      </c>
      <c r="CH6">
        <f>IF(4&lt;n_h-1,(h_col-d_1-4*(h_col-2*d_1)/(n_h-1))+(phi_c/2)*0.923880,NA())</f>
        <v/>
      </c>
      <c r="CJ6">
        <f>IF(4&lt;n_h-1,(b_col-d_1)+(phi_c/2)*0.382683,NA())</f>
        <v/>
      </c>
      <c r="CK6">
        <f>IF(4&lt;n_h-1,(h_col-d_1-4*(h_col-2*d_1)/(n_h-1))+(phi_c/2)*0.923880,NA())</f>
        <v/>
      </c>
      <c r="CM6">
        <f>IF(5&lt;n_h-1,(d_1)+(phi_c/2)*0.382683,NA())</f>
        <v/>
      </c>
      <c r="CN6">
        <f>IF(5&lt;n_h-1,(h_col-d_1-5*(h_col-2*d_1)/(n_h-1))+(phi_c/2)*0.923880,NA())</f>
        <v/>
      </c>
      <c r="CP6">
        <f>IF(5&lt;n_h-1,(b_col-d_1)+(phi_c/2)*0.382683,NA())</f>
        <v/>
      </c>
      <c r="CQ6">
        <f>IF(5&lt;n_h-1,(h_col-d_1-5*(h_col-2*d_1)/(n_h-1))+(phi_c/2)*0.923880,NA())</f>
        <v/>
      </c>
      <c r="CS6">
        <f>IF(6&lt;n_h-1,(d_1)+(phi_c/2)*0.382683,NA())</f>
        <v/>
      </c>
      <c r="CT6">
        <f>IF(6&lt;n_h-1,(h_col-d_1-6*(h_col-2*d_1)/(n_h-1))+(phi_c/2)*0.923880,NA())</f>
        <v/>
      </c>
      <c r="CV6">
        <f>IF(6&lt;n_h-1,(b_col-d_1)+(phi_c/2)*0.382683,NA())</f>
        <v/>
      </c>
      <c r="CW6">
        <f>IF(6&lt;n_h-1,(h_col-d_1-6*(h_col-2*d_1)/(n_h-1))+(phi_c/2)*0.923880,NA())</f>
        <v/>
      </c>
      <c r="CY6">
        <f>IF(7&lt;n_h-1,(d_1)+(phi_c/2)*0.382683,NA())</f>
        <v/>
      </c>
      <c r="CZ6">
        <f>IF(7&lt;n_h-1,(h_col-d_1-7*(h_col-2*d_1)/(n_h-1))+(phi_c/2)*0.923880,NA())</f>
        <v/>
      </c>
      <c r="DB6">
        <f>IF(7&lt;n_h-1,(b_col-d_1)+(phi_c/2)*0.382683,NA())</f>
        <v/>
      </c>
      <c r="DC6">
        <f>IF(7&lt;n_h-1,(h_col-d_1-7*(h_col-2*d_1)/(n_h-1))+(phi_c/2)*0.923880,NA())</f>
        <v/>
      </c>
      <c r="DE6">
        <f>IF(8&lt;n_h-1,(d_1)+(phi_c/2)*0.382683,NA())</f>
        <v/>
      </c>
      <c r="DF6">
        <f>IF(8&lt;n_h-1,(h_col-d_1-8*(h_col-2*d_1)/(n_h-1))+(phi_c/2)*0.923880,NA())</f>
        <v/>
      </c>
      <c r="DH6">
        <f>IF(8&lt;n_h-1,(b_col-d_1)+(phi_c/2)*0.382683,NA())</f>
        <v/>
      </c>
      <c r="DI6">
        <f>IF(8&lt;n_h-1,(h_col-d_1-8*(h_col-2*d_1)/(n_h-1))+(phi_c/2)*0.923880,NA())</f>
        <v/>
      </c>
      <c r="GT6">
        <f>INDEX(nm_M,4)*1.5/M_pk</f>
        <v/>
      </c>
      <c r="GU6">
        <f>INDEX(nm_N,4)/N_Rdmax</f>
        <v/>
      </c>
    </row>
    <row r="7">
      <c r="A7">
        <f>0</f>
        <v/>
      </c>
      <c r="B7">
        <f>0</f>
        <v/>
      </c>
      <c r="D7">
        <f>(c_nom+phi_w/2)</f>
        <v/>
      </c>
      <c r="E7">
        <f>(c_nom+phi_w/2)</f>
        <v/>
      </c>
      <c r="G7">
        <f>IF(0&lt;n_b,(d_1+0*(b_col-2*d_1)/(n_b-1))+(phi_c/2)*0.000000,NA())</f>
        <v/>
      </c>
      <c r="H7">
        <f>IF(0&lt;n_b,(h_col-d_1)+(phi_c/2)*1.000000,NA())</f>
        <v/>
      </c>
      <c r="J7">
        <f>IF(0&lt;n_b,(d_1+0*(b_col-2*d_1)/(n_b-1))+(phi_c/2)*0.000000,NA())</f>
        <v/>
      </c>
      <c r="K7">
        <f>IF(0&lt;n_b,(d_1)+(phi_c/2)*1.000000,NA())</f>
        <v/>
      </c>
      <c r="M7">
        <f>IF(1&lt;n_b,(d_1+1*(b_col-2*d_1)/(n_b-1))+(phi_c/2)*0.000000,NA())</f>
        <v/>
      </c>
      <c r="N7">
        <f>IF(1&lt;n_b,(h_col-d_1)+(phi_c/2)*1.000000,NA())</f>
        <v/>
      </c>
      <c r="P7">
        <f>IF(1&lt;n_b,(d_1+1*(b_col-2*d_1)/(n_b-1))+(phi_c/2)*0.000000,NA())</f>
        <v/>
      </c>
      <c r="Q7">
        <f>IF(1&lt;n_b,(d_1)+(phi_c/2)*1.000000,NA())</f>
        <v/>
      </c>
      <c r="S7">
        <f>IF(2&lt;n_b,(d_1+2*(b_col-2*d_1)/(n_b-1))+(phi_c/2)*0.000000,NA())</f>
        <v/>
      </c>
      <c r="T7">
        <f>IF(2&lt;n_b,(h_col-d_1)+(phi_c/2)*1.000000,NA())</f>
        <v/>
      </c>
      <c r="V7">
        <f>IF(2&lt;n_b,(d_1+2*(b_col-2*d_1)/(n_b-1))+(phi_c/2)*0.000000,NA())</f>
        <v/>
      </c>
      <c r="W7">
        <f>IF(2&lt;n_b,(d_1)+(phi_c/2)*1.000000,NA())</f>
        <v/>
      </c>
      <c r="Y7">
        <f>IF(3&lt;n_b,(d_1+3*(b_col-2*d_1)/(n_b-1))+(phi_c/2)*0.000000,NA())</f>
        <v/>
      </c>
      <c r="Z7">
        <f>IF(3&lt;n_b,(h_col-d_1)+(phi_c/2)*1.000000,NA())</f>
        <v/>
      </c>
      <c r="AB7">
        <f>IF(3&lt;n_b,(d_1+3*(b_col-2*d_1)/(n_b-1))+(phi_c/2)*0.000000,NA())</f>
        <v/>
      </c>
      <c r="AC7">
        <f>IF(3&lt;n_b,(d_1)+(phi_c/2)*1.000000,NA())</f>
        <v/>
      </c>
      <c r="AE7">
        <f>IF(4&lt;n_b,(d_1+4*(b_col-2*d_1)/(n_b-1))+(phi_c/2)*0.000000,NA())</f>
        <v/>
      </c>
      <c r="AF7">
        <f>IF(4&lt;n_b,(h_col-d_1)+(phi_c/2)*1.000000,NA())</f>
        <v/>
      </c>
      <c r="AH7">
        <f>IF(4&lt;n_b,(d_1+4*(b_col-2*d_1)/(n_b-1))+(phi_c/2)*0.000000,NA())</f>
        <v/>
      </c>
      <c r="AI7">
        <f>IF(4&lt;n_b,(d_1)+(phi_c/2)*1.000000,NA())</f>
        <v/>
      </c>
      <c r="AK7">
        <f>IF(5&lt;n_b,(d_1+5*(b_col-2*d_1)/(n_b-1))+(phi_c/2)*0.000000,NA())</f>
        <v/>
      </c>
      <c r="AL7">
        <f>IF(5&lt;n_b,(h_col-d_1)+(phi_c/2)*1.000000,NA())</f>
        <v/>
      </c>
      <c r="AN7">
        <f>IF(5&lt;n_b,(d_1+5*(b_col-2*d_1)/(n_b-1))+(phi_c/2)*0.000000,NA())</f>
        <v/>
      </c>
      <c r="AO7">
        <f>IF(5&lt;n_b,(d_1)+(phi_c/2)*1.000000,NA())</f>
        <v/>
      </c>
      <c r="AQ7">
        <f>IF(6&lt;n_b,(d_1+6*(b_col-2*d_1)/(n_b-1))+(phi_c/2)*0.000000,NA())</f>
        <v/>
      </c>
      <c r="AR7">
        <f>IF(6&lt;n_b,(h_col-d_1)+(phi_c/2)*1.000000,NA())</f>
        <v/>
      </c>
      <c r="AT7">
        <f>IF(6&lt;n_b,(d_1+6*(b_col-2*d_1)/(n_b-1))+(phi_c/2)*0.000000,NA())</f>
        <v/>
      </c>
      <c r="AU7">
        <f>IF(6&lt;n_b,(d_1)+(phi_c/2)*1.000000,NA())</f>
        <v/>
      </c>
      <c r="AW7">
        <f>IF(7&lt;n_b,(d_1+7*(b_col-2*d_1)/(n_b-1))+(phi_c/2)*0.000000,NA())</f>
        <v/>
      </c>
      <c r="AX7">
        <f>IF(7&lt;n_b,(h_col-d_1)+(phi_c/2)*1.000000,NA())</f>
        <v/>
      </c>
      <c r="AZ7">
        <f>IF(7&lt;n_b,(d_1+7*(b_col-2*d_1)/(n_b-1))+(phi_c/2)*0.000000,NA())</f>
        <v/>
      </c>
      <c r="BA7">
        <f>IF(7&lt;n_b,(d_1)+(phi_c/2)*1.000000,NA())</f>
        <v/>
      </c>
      <c r="BC7">
        <f>IF(8&lt;n_b,(d_1+8*(b_col-2*d_1)/(n_b-1))+(phi_c/2)*0.000000,NA())</f>
        <v/>
      </c>
      <c r="BD7">
        <f>IF(8&lt;n_b,(h_col-d_1)+(phi_c/2)*1.000000,NA())</f>
        <v/>
      </c>
      <c r="BF7">
        <f>IF(8&lt;n_b,(d_1+8*(b_col-2*d_1)/(n_b-1))+(phi_c/2)*0.000000,NA())</f>
        <v/>
      </c>
      <c r="BG7">
        <f>IF(8&lt;n_b,(d_1)+(phi_c/2)*1.000000,NA())</f>
        <v/>
      </c>
      <c r="BI7">
        <f>IF(9&lt;n_b,(d_1+9*(b_col-2*d_1)/(n_b-1))+(phi_c/2)*0.000000,NA())</f>
        <v/>
      </c>
      <c r="BJ7">
        <f>IF(9&lt;n_b,(h_col-d_1)+(phi_c/2)*1.000000,NA())</f>
        <v/>
      </c>
      <c r="BL7">
        <f>IF(9&lt;n_b,(d_1+9*(b_col-2*d_1)/(n_b-1))+(phi_c/2)*0.000000,NA())</f>
        <v/>
      </c>
      <c r="BM7">
        <f>IF(9&lt;n_b,(d_1)+(phi_c/2)*1.000000,NA())</f>
        <v/>
      </c>
      <c r="BO7">
        <f>IF(1&lt;n_h-1,(d_1)+(phi_c/2)*0.000000,NA())</f>
        <v/>
      </c>
      <c r="BP7">
        <f>IF(1&lt;n_h-1,(h_col-d_1-1*(h_col-2*d_1)/(n_h-1))+(phi_c/2)*1.000000,NA())</f>
        <v/>
      </c>
      <c r="BR7">
        <f>IF(1&lt;n_h-1,(b_col-d_1)+(phi_c/2)*0.000000,NA())</f>
        <v/>
      </c>
      <c r="BS7">
        <f>IF(1&lt;n_h-1,(h_col-d_1-1*(h_col-2*d_1)/(n_h-1))+(phi_c/2)*1.000000,NA())</f>
        <v/>
      </c>
      <c r="BU7">
        <f>IF(2&lt;n_h-1,(d_1)+(phi_c/2)*0.000000,NA())</f>
        <v/>
      </c>
      <c r="BV7">
        <f>IF(2&lt;n_h-1,(h_col-d_1-2*(h_col-2*d_1)/(n_h-1))+(phi_c/2)*1.000000,NA())</f>
        <v/>
      </c>
      <c r="BX7">
        <f>IF(2&lt;n_h-1,(b_col-d_1)+(phi_c/2)*0.000000,NA())</f>
        <v/>
      </c>
      <c r="BY7">
        <f>IF(2&lt;n_h-1,(h_col-d_1-2*(h_col-2*d_1)/(n_h-1))+(phi_c/2)*1.000000,NA())</f>
        <v/>
      </c>
      <c r="CA7">
        <f>IF(3&lt;n_h-1,(d_1)+(phi_c/2)*0.000000,NA())</f>
        <v/>
      </c>
      <c r="CB7">
        <f>IF(3&lt;n_h-1,(h_col-d_1-3*(h_col-2*d_1)/(n_h-1))+(phi_c/2)*1.000000,NA())</f>
        <v/>
      </c>
      <c r="CD7">
        <f>IF(3&lt;n_h-1,(b_col-d_1)+(phi_c/2)*0.000000,NA())</f>
        <v/>
      </c>
      <c r="CE7">
        <f>IF(3&lt;n_h-1,(h_col-d_1-3*(h_col-2*d_1)/(n_h-1))+(phi_c/2)*1.000000,NA())</f>
        <v/>
      </c>
      <c r="CG7">
        <f>IF(4&lt;n_h-1,(d_1)+(phi_c/2)*0.000000,NA())</f>
        <v/>
      </c>
      <c r="CH7">
        <f>IF(4&lt;n_h-1,(h_col-d_1-4*(h_col-2*d_1)/(n_h-1))+(phi_c/2)*1.000000,NA())</f>
        <v/>
      </c>
      <c r="CJ7">
        <f>IF(4&lt;n_h-1,(b_col-d_1)+(phi_c/2)*0.000000,NA())</f>
        <v/>
      </c>
      <c r="CK7">
        <f>IF(4&lt;n_h-1,(h_col-d_1-4*(h_col-2*d_1)/(n_h-1))+(phi_c/2)*1.000000,NA())</f>
        <v/>
      </c>
      <c r="CM7">
        <f>IF(5&lt;n_h-1,(d_1)+(phi_c/2)*0.000000,NA())</f>
        <v/>
      </c>
      <c r="CN7">
        <f>IF(5&lt;n_h-1,(h_col-d_1-5*(h_col-2*d_1)/(n_h-1))+(phi_c/2)*1.000000,NA())</f>
        <v/>
      </c>
      <c r="CP7">
        <f>IF(5&lt;n_h-1,(b_col-d_1)+(phi_c/2)*0.000000,NA())</f>
        <v/>
      </c>
      <c r="CQ7">
        <f>IF(5&lt;n_h-1,(h_col-d_1-5*(h_col-2*d_1)/(n_h-1))+(phi_c/2)*1.000000,NA())</f>
        <v/>
      </c>
      <c r="CS7">
        <f>IF(6&lt;n_h-1,(d_1)+(phi_c/2)*0.000000,NA())</f>
        <v/>
      </c>
      <c r="CT7">
        <f>IF(6&lt;n_h-1,(h_col-d_1-6*(h_col-2*d_1)/(n_h-1))+(phi_c/2)*1.000000,NA())</f>
        <v/>
      </c>
      <c r="CV7">
        <f>IF(6&lt;n_h-1,(b_col-d_1)+(phi_c/2)*0.000000,NA())</f>
        <v/>
      </c>
      <c r="CW7">
        <f>IF(6&lt;n_h-1,(h_col-d_1-6*(h_col-2*d_1)/(n_h-1))+(phi_c/2)*1.000000,NA())</f>
        <v/>
      </c>
      <c r="CY7">
        <f>IF(7&lt;n_h-1,(d_1)+(phi_c/2)*0.000000,NA())</f>
        <v/>
      </c>
      <c r="CZ7">
        <f>IF(7&lt;n_h-1,(h_col-d_1-7*(h_col-2*d_1)/(n_h-1))+(phi_c/2)*1.000000,NA())</f>
        <v/>
      </c>
      <c r="DB7">
        <f>IF(7&lt;n_h-1,(b_col-d_1)+(phi_c/2)*0.000000,NA())</f>
        <v/>
      </c>
      <c r="DC7">
        <f>IF(7&lt;n_h-1,(h_col-d_1-7*(h_col-2*d_1)/(n_h-1))+(phi_c/2)*1.000000,NA())</f>
        <v/>
      </c>
      <c r="DE7">
        <f>IF(8&lt;n_h-1,(d_1)+(phi_c/2)*0.000000,NA())</f>
        <v/>
      </c>
      <c r="DF7">
        <f>IF(8&lt;n_h-1,(h_col-d_1-8*(h_col-2*d_1)/(n_h-1))+(phi_c/2)*1.000000,NA())</f>
        <v/>
      </c>
      <c r="DH7">
        <f>IF(8&lt;n_h-1,(b_col-d_1)+(phi_c/2)*0.000000,NA())</f>
        <v/>
      </c>
      <c r="DI7">
        <f>IF(8&lt;n_h-1,(h_col-d_1-8*(h_col-2*d_1)/(n_h-1))+(phi_c/2)*1.000000,NA())</f>
        <v/>
      </c>
      <c r="GT7">
        <f>INDEX(nm_M,5)*1.5/M_pk</f>
        <v/>
      </c>
      <c r="GU7">
        <f>INDEX(nm_N,5)/N_Rdmax</f>
        <v/>
      </c>
    </row>
    <row r="8">
      <c r="G8">
        <f>IF(0&lt;n_b,(d_1+0*(b_col-2*d_1)/(n_b-1))+(phi_c/2)*-0.382683,NA())</f>
        <v/>
      </c>
      <c r="H8">
        <f>IF(0&lt;n_b,(h_col-d_1)+(phi_c/2)*0.923880,NA())</f>
        <v/>
      </c>
      <c r="J8">
        <f>IF(0&lt;n_b,(d_1+0*(b_col-2*d_1)/(n_b-1))+(phi_c/2)*-0.382683,NA())</f>
        <v/>
      </c>
      <c r="K8">
        <f>IF(0&lt;n_b,(d_1)+(phi_c/2)*0.923880,NA())</f>
        <v/>
      </c>
      <c r="M8">
        <f>IF(1&lt;n_b,(d_1+1*(b_col-2*d_1)/(n_b-1))+(phi_c/2)*-0.382683,NA())</f>
        <v/>
      </c>
      <c r="N8">
        <f>IF(1&lt;n_b,(h_col-d_1)+(phi_c/2)*0.923880,NA())</f>
        <v/>
      </c>
      <c r="P8">
        <f>IF(1&lt;n_b,(d_1+1*(b_col-2*d_1)/(n_b-1))+(phi_c/2)*-0.382683,NA())</f>
        <v/>
      </c>
      <c r="Q8">
        <f>IF(1&lt;n_b,(d_1)+(phi_c/2)*0.923880,NA())</f>
        <v/>
      </c>
      <c r="S8">
        <f>IF(2&lt;n_b,(d_1+2*(b_col-2*d_1)/(n_b-1))+(phi_c/2)*-0.382683,NA())</f>
        <v/>
      </c>
      <c r="T8">
        <f>IF(2&lt;n_b,(h_col-d_1)+(phi_c/2)*0.923880,NA())</f>
        <v/>
      </c>
      <c r="V8">
        <f>IF(2&lt;n_b,(d_1+2*(b_col-2*d_1)/(n_b-1))+(phi_c/2)*-0.382683,NA())</f>
        <v/>
      </c>
      <c r="W8">
        <f>IF(2&lt;n_b,(d_1)+(phi_c/2)*0.923880,NA())</f>
        <v/>
      </c>
      <c r="Y8">
        <f>IF(3&lt;n_b,(d_1+3*(b_col-2*d_1)/(n_b-1))+(phi_c/2)*-0.382683,NA())</f>
        <v/>
      </c>
      <c r="Z8">
        <f>IF(3&lt;n_b,(h_col-d_1)+(phi_c/2)*0.923880,NA())</f>
        <v/>
      </c>
      <c r="AB8">
        <f>IF(3&lt;n_b,(d_1+3*(b_col-2*d_1)/(n_b-1))+(phi_c/2)*-0.382683,NA())</f>
        <v/>
      </c>
      <c r="AC8">
        <f>IF(3&lt;n_b,(d_1)+(phi_c/2)*0.923880,NA())</f>
        <v/>
      </c>
      <c r="AE8">
        <f>IF(4&lt;n_b,(d_1+4*(b_col-2*d_1)/(n_b-1))+(phi_c/2)*-0.382683,NA())</f>
        <v/>
      </c>
      <c r="AF8">
        <f>IF(4&lt;n_b,(h_col-d_1)+(phi_c/2)*0.923880,NA())</f>
        <v/>
      </c>
      <c r="AH8">
        <f>IF(4&lt;n_b,(d_1+4*(b_col-2*d_1)/(n_b-1))+(phi_c/2)*-0.382683,NA())</f>
        <v/>
      </c>
      <c r="AI8">
        <f>IF(4&lt;n_b,(d_1)+(phi_c/2)*0.923880,NA())</f>
        <v/>
      </c>
      <c r="AK8">
        <f>IF(5&lt;n_b,(d_1+5*(b_col-2*d_1)/(n_b-1))+(phi_c/2)*-0.382683,NA())</f>
        <v/>
      </c>
      <c r="AL8">
        <f>IF(5&lt;n_b,(h_col-d_1)+(phi_c/2)*0.923880,NA())</f>
        <v/>
      </c>
      <c r="AN8">
        <f>IF(5&lt;n_b,(d_1+5*(b_col-2*d_1)/(n_b-1))+(phi_c/2)*-0.382683,NA())</f>
        <v/>
      </c>
      <c r="AO8">
        <f>IF(5&lt;n_b,(d_1)+(phi_c/2)*0.923880,NA())</f>
        <v/>
      </c>
      <c r="AQ8">
        <f>IF(6&lt;n_b,(d_1+6*(b_col-2*d_1)/(n_b-1))+(phi_c/2)*-0.382683,NA())</f>
        <v/>
      </c>
      <c r="AR8">
        <f>IF(6&lt;n_b,(h_col-d_1)+(phi_c/2)*0.923880,NA())</f>
        <v/>
      </c>
      <c r="AT8">
        <f>IF(6&lt;n_b,(d_1+6*(b_col-2*d_1)/(n_b-1))+(phi_c/2)*-0.382683,NA())</f>
        <v/>
      </c>
      <c r="AU8">
        <f>IF(6&lt;n_b,(d_1)+(phi_c/2)*0.923880,NA())</f>
        <v/>
      </c>
      <c r="AW8">
        <f>IF(7&lt;n_b,(d_1+7*(b_col-2*d_1)/(n_b-1))+(phi_c/2)*-0.382683,NA())</f>
        <v/>
      </c>
      <c r="AX8">
        <f>IF(7&lt;n_b,(h_col-d_1)+(phi_c/2)*0.923880,NA())</f>
        <v/>
      </c>
      <c r="AZ8">
        <f>IF(7&lt;n_b,(d_1+7*(b_col-2*d_1)/(n_b-1))+(phi_c/2)*-0.382683,NA())</f>
        <v/>
      </c>
      <c r="BA8">
        <f>IF(7&lt;n_b,(d_1)+(phi_c/2)*0.923880,NA())</f>
        <v/>
      </c>
      <c r="BC8">
        <f>IF(8&lt;n_b,(d_1+8*(b_col-2*d_1)/(n_b-1))+(phi_c/2)*-0.382683,NA())</f>
        <v/>
      </c>
      <c r="BD8">
        <f>IF(8&lt;n_b,(h_col-d_1)+(phi_c/2)*0.923880,NA())</f>
        <v/>
      </c>
      <c r="BF8">
        <f>IF(8&lt;n_b,(d_1+8*(b_col-2*d_1)/(n_b-1))+(phi_c/2)*-0.382683,NA())</f>
        <v/>
      </c>
      <c r="BG8">
        <f>IF(8&lt;n_b,(d_1)+(phi_c/2)*0.923880,NA())</f>
        <v/>
      </c>
      <c r="BI8">
        <f>IF(9&lt;n_b,(d_1+9*(b_col-2*d_1)/(n_b-1))+(phi_c/2)*-0.382683,NA())</f>
        <v/>
      </c>
      <c r="BJ8">
        <f>IF(9&lt;n_b,(h_col-d_1)+(phi_c/2)*0.923880,NA())</f>
        <v/>
      </c>
      <c r="BL8">
        <f>IF(9&lt;n_b,(d_1+9*(b_col-2*d_1)/(n_b-1))+(phi_c/2)*-0.382683,NA())</f>
        <v/>
      </c>
      <c r="BM8">
        <f>IF(9&lt;n_b,(d_1)+(phi_c/2)*0.923880,NA())</f>
        <v/>
      </c>
      <c r="BO8">
        <f>IF(1&lt;n_h-1,(d_1)+(phi_c/2)*-0.382683,NA())</f>
        <v/>
      </c>
      <c r="BP8">
        <f>IF(1&lt;n_h-1,(h_col-d_1-1*(h_col-2*d_1)/(n_h-1))+(phi_c/2)*0.923880,NA())</f>
        <v/>
      </c>
      <c r="BR8">
        <f>IF(1&lt;n_h-1,(b_col-d_1)+(phi_c/2)*-0.382683,NA())</f>
        <v/>
      </c>
      <c r="BS8">
        <f>IF(1&lt;n_h-1,(h_col-d_1-1*(h_col-2*d_1)/(n_h-1))+(phi_c/2)*0.923880,NA())</f>
        <v/>
      </c>
      <c r="BU8">
        <f>IF(2&lt;n_h-1,(d_1)+(phi_c/2)*-0.382683,NA())</f>
        <v/>
      </c>
      <c r="BV8">
        <f>IF(2&lt;n_h-1,(h_col-d_1-2*(h_col-2*d_1)/(n_h-1))+(phi_c/2)*0.923880,NA())</f>
        <v/>
      </c>
      <c r="BX8">
        <f>IF(2&lt;n_h-1,(b_col-d_1)+(phi_c/2)*-0.382683,NA())</f>
        <v/>
      </c>
      <c r="BY8">
        <f>IF(2&lt;n_h-1,(h_col-d_1-2*(h_col-2*d_1)/(n_h-1))+(phi_c/2)*0.923880,NA())</f>
        <v/>
      </c>
      <c r="CA8">
        <f>IF(3&lt;n_h-1,(d_1)+(phi_c/2)*-0.382683,NA())</f>
        <v/>
      </c>
      <c r="CB8">
        <f>IF(3&lt;n_h-1,(h_col-d_1-3*(h_col-2*d_1)/(n_h-1))+(phi_c/2)*0.923880,NA())</f>
        <v/>
      </c>
      <c r="CD8">
        <f>IF(3&lt;n_h-1,(b_col-d_1)+(phi_c/2)*-0.382683,NA())</f>
        <v/>
      </c>
      <c r="CE8">
        <f>IF(3&lt;n_h-1,(h_col-d_1-3*(h_col-2*d_1)/(n_h-1))+(phi_c/2)*0.923880,NA())</f>
        <v/>
      </c>
      <c r="CG8">
        <f>IF(4&lt;n_h-1,(d_1)+(phi_c/2)*-0.382683,NA())</f>
        <v/>
      </c>
      <c r="CH8">
        <f>IF(4&lt;n_h-1,(h_col-d_1-4*(h_col-2*d_1)/(n_h-1))+(phi_c/2)*0.923880,NA())</f>
        <v/>
      </c>
      <c r="CJ8">
        <f>IF(4&lt;n_h-1,(b_col-d_1)+(phi_c/2)*-0.382683,NA())</f>
        <v/>
      </c>
      <c r="CK8">
        <f>IF(4&lt;n_h-1,(h_col-d_1-4*(h_col-2*d_1)/(n_h-1))+(phi_c/2)*0.923880,NA())</f>
        <v/>
      </c>
      <c r="CM8">
        <f>IF(5&lt;n_h-1,(d_1)+(phi_c/2)*-0.382683,NA())</f>
        <v/>
      </c>
      <c r="CN8">
        <f>IF(5&lt;n_h-1,(h_col-d_1-5*(h_col-2*d_1)/(n_h-1))+(phi_c/2)*0.923880,NA())</f>
        <v/>
      </c>
      <c r="CP8">
        <f>IF(5&lt;n_h-1,(b_col-d_1)+(phi_c/2)*-0.382683,NA())</f>
        <v/>
      </c>
      <c r="CQ8">
        <f>IF(5&lt;n_h-1,(h_col-d_1-5*(h_col-2*d_1)/(n_h-1))+(phi_c/2)*0.923880,NA())</f>
        <v/>
      </c>
      <c r="CS8">
        <f>IF(6&lt;n_h-1,(d_1)+(phi_c/2)*-0.382683,NA())</f>
        <v/>
      </c>
      <c r="CT8">
        <f>IF(6&lt;n_h-1,(h_col-d_1-6*(h_col-2*d_1)/(n_h-1))+(phi_c/2)*0.923880,NA())</f>
        <v/>
      </c>
      <c r="CV8">
        <f>IF(6&lt;n_h-1,(b_col-d_1)+(phi_c/2)*-0.382683,NA())</f>
        <v/>
      </c>
      <c r="CW8">
        <f>IF(6&lt;n_h-1,(h_col-d_1-6*(h_col-2*d_1)/(n_h-1))+(phi_c/2)*0.923880,NA())</f>
        <v/>
      </c>
      <c r="CY8">
        <f>IF(7&lt;n_h-1,(d_1)+(phi_c/2)*-0.382683,NA())</f>
        <v/>
      </c>
      <c r="CZ8">
        <f>IF(7&lt;n_h-1,(h_col-d_1-7*(h_col-2*d_1)/(n_h-1))+(phi_c/2)*0.923880,NA())</f>
        <v/>
      </c>
      <c r="DB8">
        <f>IF(7&lt;n_h-1,(b_col-d_1)+(phi_c/2)*-0.382683,NA())</f>
        <v/>
      </c>
      <c r="DC8">
        <f>IF(7&lt;n_h-1,(h_col-d_1-7*(h_col-2*d_1)/(n_h-1))+(phi_c/2)*0.923880,NA())</f>
        <v/>
      </c>
      <c r="DE8">
        <f>IF(8&lt;n_h-1,(d_1)+(phi_c/2)*-0.382683,NA())</f>
        <v/>
      </c>
      <c r="DF8">
        <f>IF(8&lt;n_h-1,(h_col-d_1-8*(h_col-2*d_1)/(n_h-1))+(phi_c/2)*0.923880,NA())</f>
        <v/>
      </c>
      <c r="DH8">
        <f>IF(8&lt;n_h-1,(b_col-d_1)+(phi_c/2)*-0.382683,NA())</f>
        <v/>
      </c>
      <c r="DI8">
        <f>IF(8&lt;n_h-1,(h_col-d_1-8*(h_col-2*d_1)/(n_h-1))+(phi_c/2)*0.923880,NA())</f>
        <v/>
      </c>
      <c r="GT8">
        <f>INDEX(nm_M,6)*1.5/M_pk</f>
        <v/>
      </c>
      <c r="GU8">
        <f>INDEX(nm_N,6)/N_Rdmax</f>
        <v/>
      </c>
    </row>
    <row r="9">
      <c r="G9">
        <f>IF(0&lt;n_b,(d_1+0*(b_col-2*d_1)/(n_b-1))+(phi_c/2)*-0.707107,NA())</f>
        <v/>
      </c>
      <c r="H9">
        <f>IF(0&lt;n_b,(h_col-d_1)+(phi_c/2)*0.707107,NA())</f>
        <v/>
      </c>
      <c r="J9">
        <f>IF(0&lt;n_b,(d_1+0*(b_col-2*d_1)/(n_b-1))+(phi_c/2)*-0.707107,NA())</f>
        <v/>
      </c>
      <c r="K9">
        <f>IF(0&lt;n_b,(d_1)+(phi_c/2)*0.707107,NA())</f>
        <v/>
      </c>
      <c r="M9">
        <f>IF(1&lt;n_b,(d_1+1*(b_col-2*d_1)/(n_b-1))+(phi_c/2)*-0.707107,NA())</f>
        <v/>
      </c>
      <c r="N9">
        <f>IF(1&lt;n_b,(h_col-d_1)+(phi_c/2)*0.707107,NA())</f>
        <v/>
      </c>
      <c r="P9">
        <f>IF(1&lt;n_b,(d_1+1*(b_col-2*d_1)/(n_b-1))+(phi_c/2)*-0.707107,NA())</f>
        <v/>
      </c>
      <c r="Q9">
        <f>IF(1&lt;n_b,(d_1)+(phi_c/2)*0.707107,NA())</f>
        <v/>
      </c>
      <c r="S9">
        <f>IF(2&lt;n_b,(d_1+2*(b_col-2*d_1)/(n_b-1))+(phi_c/2)*-0.707107,NA())</f>
        <v/>
      </c>
      <c r="T9">
        <f>IF(2&lt;n_b,(h_col-d_1)+(phi_c/2)*0.707107,NA())</f>
        <v/>
      </c>
      <c r="V9">
        <f>IF(2&lt;n_b,(d_1+2*(b_col-2*d_1)/(n_b-1))+(phi_c/2)*-0.707107,NA())</f>
        <v/>
      </c>
      <c r="W9">
        <f>IF(2&lt;n_b,(d_1)+(phi_c/2)*0.707107,NA())</f>
        <v/>
      </c>
      <c r="Y9">
        <f>IF(3&lt;n_b,(d_1+3*(b_col-2*d_1)/(n_b-1))+(phi_c/2)*-0.707107,NA())</f>
        <v/>
      </c>
      <c r="Z9">
        <f>IF(3&lt;n_b,(h_col-d_1)+(phi_c/2)*0.707107,NA())</f>
        <v/>
      </c>
      <c r="AB9">
        <f>IF(3&lt;n_b,(d_1+3*(b_col-2*d_1)/(n_b-1))+(phi_c/2)*-0.707107,NA())</f>
        <v/>
      </c>
      <c r="AC9">
        <f>IF(3&lt;n_b,(d_1)+(phi_c/2)*0.707107,NA())</f>
        <v/>
      </c>
      <c r="AE9">
        <f>IF(4&lt;n_b,(d_1+4*(b_col-2*d_1)/(n_b-1))+(phi_c/2)*-0.707107,NA())</f>
        <v/>
      </c>
      <c r="AF9">
        <f>IF(4&lt;n_b,(h_col-d_1)+(phi_c/2)*0.707107,NA())</f>
        <v/>
      </c>
      <c r="AH9">
        <f>IF(4&lt;n_b,(d_1+4*(b_col-2*d_1)/(n_b-1))+(phi_c/2)*-0.707107,NA())</f>
        <v/>
      </c>
      <c r="AI9">
        <f>IF(4&lt;n_b,(d_1)+(phi_c/2)*0.707107,NA())</f>
        <v/>
      </c>
      <c r="AK9">
        <f>IF(5&lt;n_b,(d_1+5*(b_col-2*d_1)/(n_b-1))+(phi_c/2)*-0.707107,NA())</f>
        <v/>
      </c>
      <c r="AL9">
        <f>IF(5&lt;n_b,(h_col-d_1)+(phi_c/2)*0.707107,NA())</f>
        <v/>
      </c>
      <c r="AN9">
        <f>IF(5&lt;n_b,(d_1+5*(b_col-2*d_1)/(n_b-1))+(phi_c/2)*-0.707107,NA())</f>
        <v/>
      </c>
      <c r="AO9">
        <f>IF(5&lt;n_b,(d_1)+(phi_c/2)*0.707107,NA())</f>
        <v/>
      </c>
      <c r="AQ9">
        <f>IF(6&lt;n_b,(d_1+6*(b_col-2*d_1)/(n_b-1))+(phi_c/2)*-0.707107,NA())</f>
        <v/>
      </c>
      <c r="AR9">
        <f>IF(6&lt;n_b,(h_col-d_1)+(phi_c/2)*0.707107,NA())</f>
        <v/>
      </c>
      <c r="AT9">
        <f>IF(6&lt;n_b,(d_1+6*(b_col-2*d_1)/(n_b-1))+(phi_c/2)*-0.707107,NA())</f>
        <v/>
      </c>
      <c r="AU9">
        <f>IF(6&lt;n_b,(d_1)+(phi_c/2)*0.707107,NA())</f>
        <v/>
      </c>
      <c r="AW9">
        <f>IF(7&lt;n_b,(d_1+7*(b_col-2*d_1)/(n_b-1))+(phi_c/2)*-0.707107,NA())</f>
        <v/>
      </c>
      <c r="AX9">
        <f>IF(7&lt;n_b,(h_col-d_1)+(phi_c/2)*0.707107,NA())</f>
        <v/>
      </c>
      <c r="AZ9">
        <f>IF(7&lt;n_b,(d_1+7*(b_col-2*d_1)/(n_b-1))+(phi_c/2)*-0.707107,NA())</f>
        <v/>
      </c>
      <c r="BA9">
        <f>IF(7&lt;n_b,(d_1)+(phi_c/2)*0.707107,NA())</f>
        <v/>
      </c>
      <c r="BC9">
        <f>IF(8&lt;n_b,(d_1+8*(b_col-2*d_1)/(n_b-1))+(phi_c/2)*-0.707107,NA())</f>
        <v/>
      </c>
      <c r="BD9">
        <f>IF(8&lt;n_b,(h_col-d_1)+(phi_c/2)*0.707107,NA())</f>
        <v/>
      </c>
      <c r="BF9">
        <f>IF(8&lt;n_b,(d_1+8*(b_col-2*d_1)/(n_b-1))+(phi_c/2)*-0.707107,NA())</f>
        <v/>
      </c>
      <c r="BG9">
        <f>IF(8&lt;n_b,(d_1)+(phi_c/2)*0.707107,NA())</f>
        <v/>
      </c>
      <c r="BI9">
        <f>IF(9&lt;n_b,(d_1+9*(b_col-2*d_1)/(n_b-1))+(phi_c/2)*-0.707107,NA())</f>
        <v/>
      </c>
      <c r="BJ9">
        <f>IF(9&lt;n_b,(h_col-d_1)+(phi_c/2)*0.707107,NA())</f>
        <v/>
      </c>
      <c r="BL9">
        <f>IF(9&lt;n_b,(d_1+9*(b_col-2*d_1)/(n_b-1))+(phi_c/2)*-0.707107,NA())</f>
        <v/>
      </c>
      <c r="BM9">
        <f>IF(9&lt;n_b,(d_1)+(phi_c/2)*0.707107,NA())</f>
        <v/>
      </c>
      <c r="BO9">
        <f>IF(1&lt;n_h-1,(d_1)+(phi_c/2)*-0.707107,NA())</f>
        <v/>
      </c>
      <c r="BP9">
        <f>IF(1&lt;n_h-1,(h_col-d_1-1*(h_col-2*d_1)/(n_h-1))+(phi_c/2)*0.707107,NA())</f>
        <v/>
      </c>
      <c r="BR9">
        <f>IF(1&lt;n_h-1,(b_col-d_1)+(phi_c/2)*-0.707107,NA())</f>
        <v/>
      </c>
      <c r="BS9">
        <f>IF(1&lt;n_h-1,(h_col-d_1-1*(h_col-2*d_1)/(n_h-1))+(phi_c/2)*0.707107,NA())</f>
        <v/>
      </c>
      <c r="BU9">
        <f>IF(2&lt;n_h-1,(d_1)+(phi_c/2)*-0.707107,NA())</f>
        <v/>
      </c>
      <c r="BV9">
        <f>IF(2&lt;n_h-1,(h_col-d_1-2*(h_col-2*d_1)/(n_h-1))+(phi_c/2)*0.707107,NA())</f>
        <v/>
      </c>
      <c r="BX9">
        <f>IF(2&lt;n_h-1,(b_col-d_1)+(phi_c/2)*-0.707107,NA())</f>
        <v/>
      </c>
      <c r="BY9">
        <f>IF(2&lt;n_h-1,(h_col-d_1-2*(h_col-2*d_1)/(n_h-1))+(phi_c/2)*0.707107,NA())</f>
        <v/>
      </c>
      <c r="CA9">
        <f>IF(3&lt;n_h-1,(d_1)+(phi_c/2)*-0.707107,NA())</f>
        <v/>
      </c>
      <c r="CB9">
        <f>IF(3&lt;n_h-1,(h_col-d_1-3*(h_col-2*d_1)/(n_h-1))+(phi_c/2)*0.707107,NA())</f>
        <v/>
      </c>
      <c r="CD9">
        <f>IF(3&lt;n_h-1,(b_col-d_1)+(phi_c/2)*-0.707107,NA())</f>
        <v/>
      </c>
      <c r="CE9">
        <f>IF(3&lt;n_h-1,(h_col-d_1-3*(h_col-2*d_1)/(n_h-1))+(phi_c/2)*0.707107,NA())</f>
        <v/>
      </c>
      <c r="CG9">
        <f>IF(4&lt;n_h-1,(d_1)+(phi_c/2)*-0.707107,NA())</f>
        <v/>
      </c>
      <c r="CH9">
        <f>IF(4&lt;n_h-1,(h_col-d_1-4*(h_col-2*d_1)/(n_h-1))+(phi_c/2)*0.707107,NA())</f>
        <v/>
      </c>
      <c r="CJ9">
        <f>IF(4&lt;n_h-1,(b_col-d_1)+(phi_c/2)*-0.707107,NA())</f>
        <v/>
      </c>
      <c r="CK9">
        <f>IF(4&lt;n_h-1,(h_col-d_1-4*(h_col-2*d_1)/(n_h-1))+(phi_c/2)*0.707107,NA())</f>
        <v/>
      </c>
      <c r="CM9">
        <f>IF(5&lt;n_h-1,(d_1)+(phi_c/2)*-0.707107,NA())</f>
        <v/>
      </c>
      <c r="CN9">
        <f>IF(5&lt;n_h-1,(h_col-d_1-5*(h_col-2*d_1)/(n_h-1))+(phi_c/2)*0.707107,NA())</f>
        <v/>
      </c>
      <c r="CP9">
        <f>IF(5&lt;n_h-1,(b_col-d_1)+(phi_c/2)*-0.707107,NA())</f>
        <v/>
      </c>
      <c r="CQ9">
        <f>IF(5&lt;n_h-1,(h_col-d_1-5*(h_col-2*d_1)/(n_h-1))+(phi_c/2)*0.707107,NA())</f>
        <v/>
      </c>
      <c r="CS9">
        <f>IF(6&lt;n_h-1,(d_1)+(phi_c/2)*-0.707107,NA())</f>
        <v/>
      </c>
      <c r="CT9">
        <f>IF(6&lt;n_h-1,(h_col-d_1-6*(h_col-2*d_1)/(n_h-1))+(phi_c/2)*0.707107,NA())</f>
        <v/>
      </c>
      <c r="CV9">
        <f>IF(6&lt;n_h-1,(b_col-d_1)+(phi_c/2)*-0.707107,NA())</f>
        <v/>
      </c>
      <c r="CW9">
        <f>IF(6&lt;n_h-1,(h_col-d_1-6*(h_col-2*d_1)/(n_h-1))+(phi_c/2)*0.707107,NA())</f>
        <v/>
      </c>
      <c r="CY9">
        <f>IF(7&lt;n_h-1,(d_1)+(phi_c/2)*-0.707107,NA())</f>
        <v/>
      </c>
      <c r="CZ9">
        <f>IF(7&lt;n_h-1,(h_col-d_1-7*(h_col-2*d_1)/(n_h-1))+(phi_c/2)*0.707107,NA())</f>
        <v/>
      </c>
      <c r="DB9">
        <f>IF(7&lt;n_h-1,(b_col-d_1)+(phi_c/2)*-0.707107,NA())</f>
        <v/>
      </c>
      <c r="DC9">
        <f>IF(7&lt;n_h-1,(h_col-d_1-7*(h_col-2*d_1)/(n_h-1))+(phi_c/2)*0.707107,NA())</f>
        <v/>
      </c>
      <c r="DE9">
        <f>IF(8&lt;n_h-1,(d_1)+(phi_c/2)*-0.707107,NA())</f>
        <v/>
      </c>
      <c r="DF9">
        <f>IF(8&lt;n_h-1,(h_col-d_1-8*(h_col-2*d_1)/(n_h-1))+(phi_c/2)*0.707107,NA())</f>
        <v/>
      </c>
      <c r="DH9">
        <f>IF(8&lt;n_h-1,(b_col-d_1)+(phi_c/2)*-0.707107,NA())</f>
        <v/>
      </c>
      <c r="DI9">
        <f>IF(8&lt;n_h-1,(h_col-d_1-8*(h_col-2*d_1)/(n_h-1))+(phi_c/2)*0.707107,NA())</f>
        <v/>
      </c>
      <c r="GT9">
        <f>INDEX(nm_M,7)*1.5/M_pk</f>
        <v/>
      </c>
      <c r="GU9">
        <f>INDEX(nm_N,7)/N_Rdmax</f>
        <v/>
      </c>
    </row>
    <row r="10">
      <c r="G10">
        <f>IF(0&lt;n_b,(d_1+0*(b_col-2*d_1)/(n_b-1))+(phi_c/2)*-0.923880,NA())</f>
        <v/>
      </c>
      <c r="H10">
        <f>IF(0&lt;n_b,(h_col-d_1)+(phi_c/2)*0.382683,NA())</f>
        <v/>
      </c>
      <c r="J10">
        <f>IF(0&lt;n_b,(d_1+0*(b_col-2*d_1)/(n_b-1))+(phi_c/2)*-0.923880,NA())</f>
        <v/>
      </c>
      <c r="K10">
        <f>IF(0&lt;n_b,(d_1)+(phi_c/2)*0.382683,NA())</f>
        <v/>
      </c>
      <c r="M10">
        <f>IF(1&lt;n_b,(d_1+1*(b_col-2*d_1)/(n_b-1))+(phi_c/2)*-0.923880,NA())</f>
        <v/>
      </c>
      <c r="N10">
        <f>IF(1&lt;n_b,(h_col-d_1)+(phi_c/2)*0.382683,NA())</f>
        <v/>
      </c>
      <c r="P10">
        <f>IF(1&lt;n_b,(d_1+1*(b_col-2*d_1)/(n_b-1))+(phi_c/2)*-0.923880,NA())</f>
        <v/>
      </c>
      <c r="Q10">
        <f>IF(1&lt;n_b,(d_1)+(phi_c/2)*0.382683,NA())</f>
        <v/>
      </c>
      <c r="S10">
        <f>IF(2&lt;n_b,(d_1+2*(b_col-2*d_1)/(n_b-1))+(phi_c/2)*-0.923880,NA())</f>
        <v/>
      </c>
      <c r="T10">
        <f>IF(2&lt;n_b,(h_col-d_1)+(phi_c/2)*0.382683,NA())</f>
        <v/>
      </c>
      <c r="V10">
        <f>IF(2&lt;n_b,(d_1+2*(b_col-2*d_1)/(n_b-1))+(phi_c/2)*-0.923880,NA())</f>
        <v/>
      </c>
      <c r="W10">
        <f>IF(2&lt;n_b,(d_1)+(phi_c/2)*0.382683,NA())</f>
        <v/>
      </c>
      <c r="Y10">
        <f>IF(3&lt;n_b,(d_1+3*(b_col-2*d_1)/(n_b-1))+(phi_c/2)*-0.923880,NA())</f>
        <v/>
      </c>
      <c r="Z10">
        <f>IF(3&lt;n_b,(h_col-d_1)+(phi_c/2)*0.382683,NA())</f>
        <v/>
      </c>
      <c r="AB10">
        <f>IF(3&lt;n_b,(d_1+3*(b_col-2*d_1)/(n_b-1))+(phi_c/2)*-0.923880,NA())</f>
        <v/>
      </c>
      <c r="AC10">
        <f>IF(3&lt;n_b,(d_1)+(phi_c/2)*0.382683,NA())</f>
        <v/>
      </c>
      <c r="AE10">
        <f>IF(4&lt;n_b,(d_1+4*(b_col-2*d_1)/(n_b-1))+(phi_c/2)*-0.923880,NA())</f>
        <v/>
      </c>
      <c r="AF10">
        <f>IF(4&lt;n_b,(h_col-d_1)+(phi_c/2)*0.382683,NA())</f>
        <v/>
      </c>
      <c r="AH10">
        <f>IF(4&lt;n_b,(d_1+4*(b_col-2*d_1)/(n_b-1))+(phi_c/2)*-0.923880,NA())</f>
        <v/>
      </c>
      <c r="AI10">
        <f>IF(4&lt;n_b,(d_1)+(phi_c/2)*0.382683,NA())</f>
        <v/>
      </c>
      <c r="AK10">
        <f>IF(5&lt;n_b,(d_1+5*(b_col-2*d_1)/(n_b-1))+(phi_c/2)*-0.923880,NA())</f>
        <v/>
      </c>
      <c r="AL10">
        <f>IF(5&lt;n_b,(h_col-d_1)+(phi_c/2)*0.382683,NA())</f>
        <v/>
      </c>
      <c r="AN10">
        <f>IF(5&lt;n_b,(d_1+5*(b_col-2*d_1)/(n_b-1))+(phi_c/2)*-0.923880,NA())</f>
        <v/>
      </c>
      <c r="AO10">
        <f>IF(5&lt;n_b,(d_1)+(phi_c/2)*0.382683,NA())</f>
        <v/>
      </c>
      <c r="AQ10">
        <f>IF(6&lt;n_b,(d_1+6*(b_col-2*d_1)/(n_b-1))+(phi_c/2)*-0.923880,NA())</f>
        <v/>
      </c>
      <c r="AR10">
        <f>IF(6&lt;n_b,(h_col-d_1)+(phi_c/2)*0.382683,NA())</f>
        <v/>
      </c>
      <c r="AT10">
        <f>IF(6&lt;n_b,(d_1+6*(b_col-2*d_1)/(n_b-1))+(phi_c/2)*-0.923880,NA())</f>
        <v/>
      </c>
      <c r="AU10">
        <f>IF(6&lt;n_b,(d_1)+(phi_c/2)*0.382683,NA())</f>
        <v/>
      </c>
      <c r="AW10">
        <f>IF(7&lt;n_b,(d_1+7*(b_col-2*d_1)/(n_b-1))+(phi_c/2)*-0.923880,NA())</f>
        <v/>
      </c>
      <c r="AX10">
        <f>IF(7&lt;n_b,(h_col-d_1)+(phi_c/2)*0.382683,NA())</f>
        <v/>
      </c>
      <c r="AZ10">
        <f>IF(7&lt;n_b,(d_1+7*(b_col-2*d_1)/(n_b-1))+(phi_c/2)*-0.923880,NA())</f>
        <v/>
      </c>
      <c r="BA10">
        <f>IF(7&lt;n_b,(d_1)+(phi_c/2)*0.382683,NA())</f>
        <v/>
      </c>
      <c r="BC10">
        <f>IF(8&lt;n_b,(d_1+8*(b_col-2*d_1)/(n_b-1))+(phi_c/2)*-0.923880,NA())</f>
        <v/>
      </c>
      <c r="BD10">
        <f>IF(8&lt;n_b,(h_col-d_1)+(phi_c/2)*0.382683,NA())</f>
        <v/>
      </c>
      <c r="BF10">
        <f>IF(8&lt;n_b,(d_1+8*(b_col-2*d_1)/(n_b-1))+(phi_c/2)*-0.923880,NA())</f>
        <v/>
      </c>
      <c r="BG10">
        <f>IF(8&lt;n_b,(d_1)+(phi_c/2)*0.382683,NA())</f>
        <v/>
      </c>
      <c r="BI10">
        <f>IF(9&lt;n_b,(d_1+9*(b_col-2*d_1)/(n_b-1))+(phi_c/2)*-0.923880,NA())</f>
        <v/>
      </c>
      <c r="BJ10">
        <f>IF(9&lt;n_b,(h_col-d_1)+(phi_c/2)*0.382683,NA())</f>
        <v/>
      </c>
      <c r="BL10">
        <f>IF(9&lt;n_b,(d_1+9*(b_col-2*d_1)/(n_b-1))+(phi_c/2)*-0.923880,NA())</f>
        <v/>
      </c>
      <c r="BM10">
        <f>IF(9&lt;n_b,(d_1)+(phi_c/2)*0.382683,NA())</f>
        <v/>
      </c>
      <c r="BO10">
        <f>IF(1&lt;n_h-1,(d_1)+(phi_c/2)*-0.923880,NA())</f>
        <v/>
      </c>
      <c r="BP10">
        <f>IF(1&lt;n_h-1,(h_col-d_1-1*(h_col-2*d_1)/(n_h-1))+(phi_c/2)*0.382683,NA())</f>
        <v/>
      </c>
      <c r="BR10">
        <f>IF(1&lt;n_h-1,(b_col-d_1)+(phi_c/2)*-0.923880,NA())</f>
        <v/>
      </c>
      <c r="BS10">
        <f>IF(1&lt;n_h-1,(h_col-d_1-1*(h_col-2*d_1)/(n_h-1))+(phi_c/2)*0.382683,NA())</f>
        <v/>
      </c>
      <c r="BU10">
        <f>IF(2&lt;n_h-1,(d_1)+(phi_c/2)*-0.923880,NA())</f>
        <v/>
      </c>
      <c r="BV10">
        <f>IF(2&lt;n_h-1,(h_col-d_1-2*(h_col-2*d_1)/(n_h-1))+(phi_c/2)*0.382683,NA())</f>
        <v/>
      </c>
      <c r="BX10">
        <f>IF(2&lt;n_h-1,(b_col-d_1)+(phi_c/2)*-0.923880,NA())</f>
        <v/>
      </c>
      <c r="BY10">
        <f>IF(2&lt;n_h-1,(h_col-d_1-2*(h_col-2*d_1)/(n_h-1))+(phi_c/2)*0.382683,NA())</f>
        <v/>
      </c>
      <c r="CA10">
        <f>IF(3&lt;n_h-1,(d_1)+(phi_c/2)*-0.923880,NA())</f>
        <v/>
      </c>
      <c r="CB10">
        <f>IF(3&lt;n_h-1,(h_col-d_1-3*(h_col-2*d_1)/(n_h-1))+(phi_c/2)*0.382683,NA())</f>
        <v/>
      </c>
      <c r="CD10">
        <f>IF(3&lt;n_h-1,(b_col-d_1)+(phi_c/2)*-0.923880,NA())</f>
        <v/>
      </c>
      <c r="CE10">
        <f>IF(3&lt;n_h-1,(h_col-d_1-3*(h_col-2*d_1)/(n_h-1))+(phi_c/2)*0.382683,NA())</f>
        <v/>
      </c>
      <c r="CG10">
        <f>IF(4&lt;n_h-1,(d_1)+(phi_c/2)*-0.923880,NA())</f>
        <v/>
      </c>
      <c r="CH10">
        <f>IF(4&lt;n_h-1,(h_col-d_1-4*(h_col-2*d_1)/(n_h-1))+(phi_c/2)*0.382683,NA())</f>
        <v/>
      </c>
      <c r="CJ10">
        <f>IF(4&lt;n_h-1,(b_col-d_1)+(phi_c/2)*-0.923880,NA())</f>
        <v/>
      </c>
      <c r="CK10">
        <f>IF(4&lt;n_h-1,(h_col-d_1-4*(h_col-2*d_1)/(n_h-1))+(phi_c/2)*0.382683,NA())</f>
        <v/>
      </c>
      <c r="CM10">
        <f>IF(5&lt;n_h-1,(d_1)+(phi_c/2)*-0.923880,NA())</f>
        <v/>
      </c>
      <c r="CN10">
        <f>IF(5&lt;n_h-1,(h_col-d_1-5*(h_col-2*d_1)/(n_h-1))+(phi_c/2)*0.382683,NA())</f>
        <v/>
      </c>
      <c r="CP10">
        <f>IF(5&lt;n_h-1,(b_col-d_1)+(phi_c/2)*-0.923880,NA())</f>
        <v/>
      </c>
      <c r="CQ10">
        <f>IF(5&lt;n_h-1,(h_col-d_1-5*(h_col-2*d_1)/(n_h-1))+(phi_c/2)*0.382683,NA())</f>
        <v/>
      </c>
      <c r="CS10">
        <f>IF(6&lt;n_h-1,(d_1)+(phi_c/2)*-0.923880,NA())</f>
        <v/>
      </c>
      <c r="CT10">
        <f>IF(6&lt;n_h-1,(h_col-d_1-6*(h_col-2*d_1)/(n_h-1))+(phi_c/2)*0.382683,NA())</f>
        <v/>
      </c>
      <c r="CV10">
        <f>IF(6&lt;n_h-1,(b_col-d_1)+(phi_c/2)*-0.923880,NA())</f>
        <v/>
      </c>
      <c r="CW10">
        <f>IF(6&lt;n_h-1,(h_col-d_1-6*(h_col-2*d_1)/(n_h-1))+(phi_c/2)*0.382683,NA())</f>
        <v/>
      </c>
      <c r="CY10">
        <f>IF(7&lt;n_h-1,(d_1)+(phi_c/2)*-0.923880,NA())</f>
        <v/>
      </c>
      <c r="CZ10">
        <f>IF(7&lt;n_h-1,(h_col-d_1-7*(h_col-2*d_1)/(n_h-1))+(phi_c/2)*0.382683,NA())</f>
        <v/>
      </c>
      <c r="DB10">
        <f>IF(7&lt;n_h-1,(b_col-d_1)+(phi_c/2)*-0.923880,NA())</f>
        <v/>
      </c>
      <c r="DC10">
        <f>IF(7&lt;n_h-1,(h_col-d_1-7*(h_col-2*d_1)/(n_h-1))+(phi_c/2)*0.382683,NA())</f>
        <v/>
      </c>
      <c r="DE10">
        <f>IF(8&lt;n_h-1,(d_1)+(phi_c/2)*-0.923880,NA())</f>
        <v/>
      </c>
      <c r="DF10">
        <f>IF(8&lt;n_h-1,(h_col-d_1-8*(h_col-2*d_1)/(n_h-1))+(phi_c/2)*0.382683,NA())</f>
        <v/>
      </c>
      <c r="DH10">
        <f>IF(8&lt;n_h-1,(b_col-d_1)+(phi_c/2)*-0.923880,NA())</f>
        <v/>
      </c>
      <c r="DI10">
        <f>IF(8&lt;n_h-1,(h_col-d_1-8*(h_col-2*d_1)/(n_h-1))+(phi_c/2)*0.382683,NA())</f>
        <v/>
      </c>
      <c r="GT10">
        <f>INDEX(nm_M,8)*1.5/M_pk</f>
        <v/>
      </c>
      <c r="GU10">
        <f>INDEX(nm_N,8)/N_Rdmax</f>
        <v/>
      </c>
    </row>
    <row r="11">
      <c r="G11">
        <f>IF(0&lt;n_b,(d_1+0*(b_col-2*d_1)/(n_b-1))+(phi_c/2)*-1.000000,NA())</f>
        <v/>
      </c>
      <c r="H11">
        <f>IF(0&lt;n_b,(h_col-d_1)+(phi_c/2)*0.000000,NA())</f>
        <v/>
      </c>
      <c r="J11">
        <f>IF(0&lt;n_b,(d_1+0*(b_col-2*d_1)/(n_b-1))+(phi_c/2)*-1.000000,NA())</f>
        <v/>
      </c>
      <c r="K11">
        <f>IF(0&lt;n_b,(d_1)+(phi_c/2)*0.000000,NA())</f>
        <v/>
      </c>
      <c r="M11">
        <f>IF(1&lt;n_b,(d_1+1*(b_col-2*d_1)/(n_b-1))+(phi_c/2)*-1.000000,NA())</f>
        <v/>
      </c>
      <c r="N11">
        <f>IF(1&lt;n_b,(h_col-d_1)+(phi_c/2)*0.000000,NA())</f>
        <v/>
      </c>
      <c r="P11">
        <f>IF(1&lt;n_b,(d_1+1*(b_col-2*d_1)/(n_b-1))+(phi_c/2)*-1.000000,NA())</f>
        <v/>
      </c>
      <c r="Q11">
        <f>IF(1&lt;n_b,(d_1)+(phi_c/2)*0.000000,NA())</f>
        <v/>
      </c>
      <c r="S11">
        <f>IF(2&lt;n_b,(d_1+2*(b_col-2*d_1)/(n_b-1))+(phi_c/2)*-1.000000,NA())</f>
        <v/>
      </c>
      <c r="T11">
        <f>IF(2&lt;n_b,(h_col-d_1)+(phi_c/2)*0.000000,NA())</f>
        <v/>
      </c>
      <c r="V11">
        <f>IF(2&lt;n_b,(d_1+2*(b_col-2*d_1)/(n_b-1))+(phi_c/2)*-1.000000,NA())</f>
        <v/>
      </c>
      <c r="W11">
        <f>IF(2&lt;n_b,(d_1)+(phi_c/2)*0.000000,NA())</f>
        <v/>
      </c>
      <c r="Y11">
        <f>IF(3&lt;n_b,(d_1+3*(b_col-2*d_1)/(n_b-1))+(phi_c/2)*-1.000000,NA())</f>
        <v/>
      </c>
      <c r="Z11">
        <f>IF(3&lt;n_b,(h_col-d_1)+(phi_c/2)*0.000000,NA())</f>
        <v/>
      </c>
      <c r="AB11">
        <f>IF(3&lt;n_b,(d_1+3*(b_col-2*d_1)/(n_b-1))+(phi_c/2)*-1.000000,NA())</f>
        <v/>
      </c>
      <c r="AC11">
        <f>IF(3&lt;n_b,(d_1)+(phi_c/2)*0.000000,NA())</f>
        <v/>
      </c>
      <c r="AE11">
        <f>IF(4&lt;n_b,(d_1+4*(b_col-2*d_1)/(n_b-1))+(phi_c/2)*-1.000000,NA())</f>
        <v/>
      </c>
      <c r="AF11">
        <f>IF(4&lt;n_b,(h_col-d_1)+(phi_c/2)*0.000000,NA())</f>
        <v/>
      </c>
      <c r="AH11">
        <f>IF(4&lt;n_b,(d_1+4*(b_col-2*d_1)/(n_b-1))+(phi_c/2)*-1.000000,NA())</f>
        <v/>
      </c>
      <c r="AI11">
        <f>IF(4&lt;n_b,(d_1)+(phi_c/2)*0.000000,NA())</f>
        <v/>
      </c>
      <c r="AK11">
        <f>IF(5&lt;n_b,(d_1+5*(b_col-2*d_1)/(n_b-1))+(phi_c/2)*-1.000000,NA())</f>
        <v/>
      </c>
      <c r="AL11">
        <f>IF(5&lt;n_b,(h_col-d_1)+(phi_c/2)*0.000000,NA())</f>
        <v/>
      </c>
      <c r="AN11">
        <f>IF(5&lt;n_b,(d_1+5*(b_col-2*d_1)/(n_b-1))+(phi_c/2)*-1.000000,NA())</f>
        <v/>
      </c>
      <c r="AO11">
        <f>IF(5&lt;n_b,(d_1)+(phi_c/2)*0.000000,NA())</f>
        <v/>
      </c>
      <c r="AQ11">
        <f>IF(6&lt;n_b,(d_1+6*(b_col-2*d_1)/(n_b-1))+(phi_c/2)*-1.000000,NA())</f>
        <v/>
      </c>
      <c r="AR11">
        <f>IF(6&lt;n_b,(h_col-d_1)+(phi_c/2)*0.000000,NA())</f>
        <v/>
      </c>
      <c r="AT11">
        <f>IF(6&lt;n_b,(d_1+6*(b_col-2*d_1)/(n_b-1))+(phi_c/2)*-1.000000,NA())</f>
        <v/>
      </c>
      <c r="AU11">
        <f>IF(6&lt;n_b,(d_1)+(phi_c/2)*0.000000,NA())</f>
        <v/>
      </c>
      <c r="AW11">
        <f>IF(7&lt;n_b,(d_1+7*(b_col-2*d_1)/(n_b-1))+(phi_c/2)*-1.000000,NA())</f>
        <v/>
      </c>
      <c r="AX11">
        <f>IF(7&lt;n_b,(h_col-d_1)+(phi_c/2)*0.000000,NA())</f>
        <v/>
      </c>
      <c r="AZ11">
        <f>IF(7&lt;n_b,(d_1+7*(b_col-2*d_1)/(n_b-1))+(phi_c/2)*-1.000000,NA())</f>
        <v/>
      </c>
      <c r="BA11">
        <f>IF(7&lt;n_b,(d_1)+(phi_c/2)*0.000000,NA())</f>
        <v/>
      </c>
      <c r="BC11">
        <f>IF(8&lt;n_b,(d_1+8*(b_col-2*d_1)/(n_b-1))+(phi_c/2)*-1.000000,NA())</f>
        <v/>
      </c>
      <c r="BD11">
        <f>IF(8&lt;n_b,(h_col-d_1)+(phi_c/2)*0.000000,NA())</f>
        <v/>
      </c>
      <c r="BF11">
        <f>IF(8&lt;n_b,(d_1+8*(b_col-2*d_1)/(n_b-1))+(phi_c/2)*-1.000000,NA())</f>
        <v/>
      </c>
      <c r="BG11">
        <f>IF(8&lt;n_b,(d_1)+(phi_c/2)*0.000000,NA())</f>
        <v/>
      </c>
      <c r="BI11">
        <f>IF(9&lt;n_b,(d_1+9*(b_col-2*d_1)/(n_b-1))+(phi_c/2)*-1.000000,NA())</f>
        <v/>
      </c>
      <c r="BJ11">
        <f>IF(9&lt;n_b,(h_col-d_1)+(phi_c/2)*0.000000,NA())</f>
        <v/>
      </c>
      <c r="BL11">
        <f>IF(9&lt;n_b,(d_1+9*(b_col-2*d_1)/(n_b-1))+(phi_c/2)*-1.000000,NA())</f>
        <v/>
      </c>
      <c r="BM11">
        <f>IF(9&lt;n_b,(d_1)+(phi_c/2)*0.000000,NA())</f>
        <v/>
      </c>
      <c r="BO11">
        <f>IF(1&lt;n_h-1,(d_1)+(phi_c/2)*-1.000000,NA())</f>
        <v/>
      </c>
      <c r="BP11">
        <f>IF(1&lt;n_h-1,(h_col-d_1-1*(h_col-2*d_1)/(n_h-1))+(phi_c/2)*0.000000,NA())</f>
        <v/>
      </c>
      <c r="BR11">
        <f>IF(1&lt;n_h-1,(b_col-d_1)+(phi_c/2)*-1.000000,NA())</f>
        <v/>
      </c>
      <c r="BS11">
        <f>IF(1&lt;n_h-1,(h_col-d_1-1*(h_col-2*d_1)/(n_h-1))+(phi_c/2)*0.000000,NA())</f>
        <v/>
      </c>
      <c r="BU11">
        <f>IF(2&lt;n_h-1,(d_1)+(phi_c/2)*-1.000000,NA())</f>
        <v/>
      </c>
      <c r="BV11">
        <f>IF(2&lt;n_h-1,(h_col-d_1-2*(h_col-2*d_1)/(n_h-1))+(phi_c/2)*0.000000,NA())</f>
        <v/>
      </c>
      <c r="BX11">
        <f>IF(2&lt;n_h-1,(b_col-d_1)+(phi_c/2)*-1.000000,NA())</f>
        <v/>
      </c>
      <c r="BY11">
        <f>IF(2&lt;n_h-1,(h_col-d_1-2*(h_col-2*d_1)/(n_h-1))+(phi_c/2)*0.000000,NA())</f>
        <v/>
      </c>
      <c r="CA11">
        <f>IF(3&lt;n_h-1,(d_1)+(phi_c/2)*-1.000000,NA())</f>
        <v/>
      </c>
      <c r="CB11">
        <f>IF(3&lt;n_h-1,(h_col-d_1-3*(h_col-2*d_1)/(n_h-1))+(phi_c/2)*0.000000,NA())</f>
        <v/>
      </c>
      <c r="CD11">
        <f>IF(3&lt;n_h-1,(b_col-d_1)+(phi_c/2)*-1.000000,NA())</f>
        <v/>
      </c>
      <c r="CE11">
        <f>IF(3&lt;n_h-1,(h_col-d_1-3*(h_col-2*d_1)/(n_h-1))+(phi_c/2)*0.000000,NA())</f>
        <v/>
      </c>
      <c r="CG11">
        <f>IF(4&lt;n_h-1,(d_1)+(phi_c/2)*-1.000000,NA())</f>
        <v/>
      </c>
      <c r="CH11">
        <f>IF(4&lt;n_h-1,(h_col-d_1-4*(h_col-2*d_1)/(n_h-1))+(phi_c/2)*0.000000,NA())</f>
        <v/>
      </c>
      <c r="CJ11">
        <f>IF(4&lt;n_h-1,(b_col-d_1)+(phi_c/2)*-1.000000,NA())</f>
        <v/>
      </c>
      <c r="CK11">
        <f>IF(4&lt;n_h-1,(h_col-d_1-4*(h_col-2*d_1)/(n_h-1))+(phi_c/2)*0.000000,NA())</f>
        <v/>
      </c>
      <c r="CM11">
        <f>IF(5&lt;n_h-1,(d_1)+(phi_c/2)*-1.000000,NA())</f>
        <v/>
      </c>
      <c r="CN11">
        <f>IF(5&lt;n_h-1,(h_col-d_1-5*(h_col-2*d_1)/(n_h-1))+(phi_c/2)*0.000000,NA())</f>
        <v/>
      </c>
      <c r="CP11">
        <f>IF(5&lt;n_h-1,(b_col-d_1)+(phi_c/2)*-1.000000,NA())</f>
        <v/>
      </c>
      <c r="CQ11">
        <f>IF(5&lt;n_h-1,(h_col-d_1-5*(h_col-2*d_1)/(n_h-1))+(phi_c/2)*0.000000,NA())</f>
        <v/>
      </c>
      <c r="CS11">
        <f>IF(6&lt;n_h-1,(d_1)+(phi_c/2)*-1.000000,NA())</f>
        <v/>
      </c>
      <c r="CT11">
        <f>IF(6&lt;n_h-1,(h_col-d_1-6*(h_col-2*d_1)/(n_h-1))+(phi_c/2)*0.000000,NA())</f>
        <v/>
      </c>
      <c r="CV11">
        <f>IF(6&lt;n_h-1,(b_col-d_1)+(phi_c/2)*-1.000000,NA())</f>
        <v/>
      </c>
      <c r="CW11">
        <f>IF(6&lt;n_h-1,(h_col-d_1-6*(h_col-2*d_1)/(n_h-1))+(phi_c/2)*0.000000,NA())</f>
        <v/>
      </c>
      <c r="CY11">
        <f>IF(7&lt;n_h-1,(d_1)+(phi_c/2)*-1.000000,NA())</f>
        <v/>
      </c>
      <c r="CZ11">
        <f>IF(7&lt;n_h-1,(h_col-d_1-7*(h_col-2*d_1)/(n_h-1))+(phi_c/2)*0.000000,NA())</f>
        <v/>
      </c>
      <c r="DB11">
        <f>IF(7&lt;n_h-1,(b_col-d_1)+(phi_c/2)*-1.000000,NA())</f>
        <v/>
      </c>
      <c r="DC11">
        <f>IF(7&lt;n_h-1,(h_col-d_1-7*(h_col-2*d_1)/(n_h-1))+(phi_c/2)*0.000000,NA())</f>
        <v/>
      </c>
      <c r="DE11">
        <f>IF(8&lt;n_h-1,(d_1)+(phi_c/2)*-1.000000,NA())</f>
        <v/>
      </c>
      <c r="DF11">
        <f>IF(8&lt;n_h-1,(h_col-d_1-8*(h_col-2*d_1)/(n_h-1))+(phi_c/2)*0.000000,NA())</f>
        <v/>
      </c>
      <c r="DH11">
        <f>IF(8&lt;n_h-1,(b_col-d_1)+(phi_c/2)*-1.000000,NA())</f>
        <v/>
      </c>
      <c r="DI11">
        <f>IF(8&lt;n_h-1,(h_col-d_1-8*(h_col-2*d_1)/(n_h-1))+(phi_c/2)*0.000000,NA())</f>
        <v/>
      </c>
      <c r="GT11">
        <f>INDEX(nm_M,9)*1.5/M_pk</f>
        <v/>
      </c>
      <c r="GU11">
        <f>INDEX(nm_N,9)/N_Rdmax</f>
        <v/>
      </c>
    </row>
    <row r="12">
      <c r="G12">
        <f>IF(0&lt;n_b,(d_1+0*(b_col-2*d_1)/(n_b-1))+(phi_c/2)*-0.923880,NA())</f>
        <v/>
      </c>
      <c r="H12">
        <f>IF(0&lt;n_b,(h_col-d_1)+(phi_c/2)*-0.382683,NA())</f>
        <v/>
      </c>
      <c r="J12">
        <f>IF(0&lt;n_b,(d_1+0*(b_col-2*d_1)/(n_b-1))+(phi_c/2)*-0.923880,NA())</f>
        <v/>
      </c>
      <c r="K12">
        <f>IF(0&lt;n_b,(d_1)+(phi_c/2)*-0.382683,NA())</f>
        <v/>
      </c>
      <c r="M12">
        <f>IF(1&lt;n_b,(d_1+1*(b_col-2*d_1)/(n_b-1))+(phi_c/2)*-0.923880,NA())</f>
        <v/>
      </c>
      <c r="N12">
        <f>IF(1&lt;n_b,(h_col-d_1)+(phi_c/2)*-0.382683,NA())</f>
        <v/>
      </c>
      <c r="P12">
        <f>IF(1&lt;n_b,(d_1+1*(b_col-2*d_1)/(n_b-1))+(phi_c/2)*-0.923880,NA())</f>
        <v/>
      </c>
      <c r="Q12">
        <f>IF(1&lt;n_b,(d_1)+(phi_c/2)*-0.382683,NA())</f>
        <v/>
      </c>
      <c r="S12">
        <f>IF(2&lt;n_b,(d_1+2*(b_col-2*d_1)/(n_b-1))+(phi_c/2)*-0.923880,NA())</f>
        <v/>
      </c>
      <c r="T12">
        <f>IF(2&lt;n_b,(h_col-d_1)+(phi_c/2)*-0.382683,NA())</f>
        <v/>
      </c>
      <c r="V12">
        <f>IF(2&lt;n_b,(d_1+2*(b_col-2*d_1)/(n_b-1))+(phi_c/2)*-0.923880,NA())</f>
        <v/>
      </c>
      <c r="W12">
        <f>IF(2&lt;n_b,(d_1)+(phi_c/2)*-0.382683,NA())</f>
        <v/>
      </c>
      <c r="Y12">
        <f>IF(3&lt;n_b,(d_1+3*(b_col-2*d_1)/(n_b-1))+(phi_c/2)*-0.923880,NA())</f>
        <v/>
      </c>
      <c r="Z12">
        <f>IF(3&lt;n_b,(h_col-d_1)+(phi_c/2)*-0.382683,NA())</f>
        <v/>
      </c>
      <c r="AB12">
        <f>IF(3&lt;n_b,(d_1+3*(b_col-2*d_1)/(n_b-1))+(phi_c/2)*-0.923880,NA())</f>
        <v/>
      </c>
      <c r="AC12">
        <f>IF(3&lt;n_b,(d_1)+(phi_c/2)*-0.382683,NA())</f>
        <v/>
      </c>
      <c r="AE12">
        <f>IF(4&lt;n_b,(d_1+4*(b_col-2*d_1)/(n_b-1))+(phi_c/2)*-0.923880,NA())</f>
        <v/>
      </c>
      <c r="AF12">
        <f>IF(4&lt;n_b,(h_col-d_1)+(phi_c/2)*-0.382683,NA())</f>
        <v/>
      </c>
      <c r="AH12">
        <f>IF(4&lt;n_b,(d_1+4*(b_col-2*d_1)/(n_b-1))+(phi_c/2)*-0.923880,NA())</f>
        <v/>
      </c>
      <c r="AI12">
        <f>IF(4&lt;n_b,(d_1)+(phi_c/2)*-0.382683,NA())</f>
        <v/>
      </c>
      <c r="AK12">
        <f>IF(5&lt;n_b,(d_1+5*(b_col-2*d_1)/(n_b-1))+(phi_c/2)*-0.923880,NA())</f>
        <v/>
      </c>
      <c r="AL12">
        <f>IF(5&lt;n_b,(h_col-d_1)+(phi_c/2)*-0.382683,NA())</f>
        <v/>
      </c>
      <c r="AN12">
        <f>IF(5&lt;n_b,(d_1+5*(b_col-2*d_1)/(n_b-1))+(phi_c/2)*-0.923880,NA())</f>
        <v/>
      </c>
      <c r="AO12">
        <f>IF(5&lt;n_b,(d_1)+(phi_c/2)*-0.382683,NA())</f>
        <v/>
      </c>
      <c r="AQ12">
        <f>IF(6&lt;n_b,(d_1+6*(b_col-2*d_1)/(n_b-1))+(phi_c/2)*-0.923880,NA())</f>
        <v/>
      </c>
      <c r="AR12">
        <f>IF(6&lt;n_b,(h_col-d_1)+(phi_c/2)*-0.382683,NA())</f>
        <v/>
      </c>
      <c r="AT12">
        <f>IF(6&lt;n_b,(d_1+6*(b_col-2*d_1)/(n_b-1))+(phi_c/2)*-0.923880,NA())</f>
        <v/>
      </c>
      <c r="AU12">
        <f>IF(6&lt;n_b,(d_1)+(phi_c/2)*-0.382683,NA())</f>
        <v/>
      </c>
      <c r="AW12">
        <f>IF(7&lt;n_b,(d_1+7*(b_col-2*d_1)/(n_b-1))+(phi_c/2)*-0.923880,NA())</f>
        <v/>
      </c>
      <c r="AX12">
        <f>IF(7&lt;n_b,(h_col-d_1)+(phi_c/2)*-0.382683,NA())</f>
        <v/>
      </c>
      <c r="AZ12">
        <f>IF(7&lt;n_b,(d_1+7*(b_col-2*d_1)/(n_b-1))+(phi_c/2)*-0.923880,NA())</f>
        <v/>
      </c>
      <c r="BA12">
        <f>IF(7&lt;n_b,(d_1)+(phi_c/2)*-0.382683,NA())</f>
        <v/>
      </c>
      <c r="BC12">
        <f>IF(8&lt;n_b,(d_1+8*(b_col-2*d_1)/(n_b-1))+(phi_c/2)*-0.923880,NA())</f>
        <v/>
      </c>
      <c r="BD12">
        <f>IF(8&lt;n_b,(h_col-d_1)+(phi_c/2)*-0.382683,NA())</f>
        <v/>
      </c>
      <c r="BF12">
        <f>IF(8&lt;n_b,(d_1+8*(b_col-2*d_1)/(n_b-1))+(phi_c/2)*-0.923880,NA())</f>
        <v/>
      </c>
      <c r="BG12">
        <f>IF(8&lt;n_b,(d_1)+(phi_c/2)*-0.382683,NA())</f>
        <v/>
      </c>
      <c r="BI12">
        <f>IF(9&lt;n_b,(d_1+9*(b_col-2*d_1)/(n_b-1))+(phi_c/2)*-0.923880,NA())</f>
        <v/>
      </c>
      <c r="BJ12">
        <f>IF(9&lt;n_b,(h_col-d_1)+(phi_c/2)*-0.382683,NA())</f>
        <v/>
      </c>
      <c r="BL12">
        <f>IF(9&lt;n_b,(d_1+9*(b_col-2*d_1)/(n_b-1))+(phi_c/2)*-0.923880,NA())</f>
        <v/>
      </c>
      <c r="BM12">
        <f>IF(9&lt;n_b,(d_1)+(phi_c/2)*-0.382683,NA())</f>
        <v/>
      </c>
      <c r="BO12">
        <f>IF(1&lt;n_h-1,(d_1)+(phi_c/2)*-0.923880,NA())</f>
        <v/>
      </c>
      <c r="BP12">
        <f>IF(1&lt;n_h-1,(h_col-d_1-1*(h_col-2*d_1)/(n_h-1))+(phi_c/2)*-0.382683,NA())</f>
        <v/>
      </c>
      <c r="BR12">
        <f>IF(1&lt;n_h-1,(b_col-d_1)+(phi_c/2)*-0.923880,NA())</f>
        <v/>
      </c>
      <c r="BS12">
        <f>IF(1&lt;n_h-1,(h_col-d_1-1*(h_col-2*d_1)/(n_h-1))+(phi_c/2)*-0.382683,NA())</f>
        <v/>
      </c>
      <c r="BU12">
        <f>IF(2&lt;n_h-1,(d_1)+(phi_c/2)*-0.923880,NA())</f>
        <v/>
      </c>
      <c r="BV12">
        <f>IF(2&lt;n_h-1,(h_col-d_1-2*(h_col-2*d_1)/(n_h-1))+(phi_c/2)*-0.382683,NA())</f>
        <v/>
      </c>
      <c r="BX12">
        <f>IF(2&lt;n_h-1,(b_col-d_1)+(phi_c/2)*-0.923880,NA())</f>
        <v/>
      </c>
      <c r="BY12">
        <f>IF(2&lt;n_h-1,(h_col-d_1-2*(h_col-2*d_1)/(n_h-1))+(phi_c/2)*-0.382683,NA())</f>
        <v/>
      </c>
      <c r="CA12">
        <f>IF(3&lt;n_h-1,(d_1)+(phi_c/2)*-0.923880,NA())</f>
        <v/>
      </c>
      <c r="CB12">
        <f>IF(3&lt;n_h-1,(h_col-d_1-3*(h_col-2*d_1)/(n_h-1))+(phi_c/2)*-0.382683,NA())</f>
        <v/>
      </c>
      <c r="CD12">
        <f>IF(3&lt;n_h-1,(b_col-d_1)+(phi_c/2)*-0.923880,NA())</f>
        <v/>
      </c>
      <c r="CE12">
        <f>IF(3&lt;n_h-1,(h_col-d_1-3*(h_col-2*d_1)/(n_h-1))+(phi_c/2)*-0.382683,NA())</f>
        <v/>
      </c>
      <c r="CG12">
        <f>IF(4&lt;n_h-1,(d_1)+(phi_c/2)*-0.923880,NA())</f>
        <v/>
      </c>
      <c r="CH12">
        <f>IF(4&lt;n_h-1,(h_col-d_1-4*(h_col-2*d_1)/(n_h-1))+(phi_c/2)*-0.382683,NA())</f>
        <v/>
      </c>
      <c r="CJ12">
        <f>IF(4&lt;n_h-1,(b_col-d_1)+(phi_c/2)*-0.923880,NA())</f>
        <v/>
      </c>
      <c r="CK12">
        <f>IF(4&lt;n_h-1,(h_col-d_1-4*(h_col-2*d_1)/(n_h-1))+(phi_c/2)*-0.382683,NA())</f>
        <v/>
      </c>
      <c r="CM12">
        <f>IF(5&lt;n_h-1,(d_1)+(phi_c/2)*-0.923880,NA())</f>
        <v/>
      </c>
      <c r="CN12">
        <f>IF(5&lt;n_h-1,(h_col-d_1-5*(h_col-2*d_1)/(n_h-1))+(phi_c/2)*-0.382683,NA())</f>
        <v/>
      </c>
      <c r="CP12">
        <f>IF(5&lt;n_h-1,(b_col-d_1)+(phi_c/2)*-0.923880,NA())</f>
        <v/>
      </c>
      <c r="CQ12">
        <f>IF(5&lt;n_h-1,(h_col-d_1-5*(h_col-2*d_1)/(n_h-1))+(phi_c/2)*-0.382683,NA())</f>
        <v/>
      </c>
      <c r="CS12">
        <f>IF(6&lt;n_h-1,(d_1)+(phi_c/2)*-0.923880,NA())</f>
        <v/>
      </c>
      <c r="CT12">
        <f>IF(6&lt;n_h-1,(h_col-d_1-6*(h_col-2*d_1)/(n_h-1))+(phi_c/2)*-0.382683,NA())</f>
        <v/>
      </c>
      <c r="CV12">
        <f>IF(6&lt;n_h-1,(b_col-d_1)+(phi_c/2)*-0.923880,NA())</f>
        <v/>
      </c>
      <c r="CW12">
        <f>IF(6&lt;n_h-1,(h_col-d_1-6*(h_col-2*d_1)/(n_h-1))+(phi_c/2)*-0.382683,NA())</f>
        <v/>
      </c>
      <c r="CY12">
        <f>IF(7&lt;n_h-1,(d_1)+(phi_c/2)*-0.923880,NA())</f>
        <v/>
      </c>
      <c r="CZ12">
        <f>IF(7&lt;n_h-1,(h_col-d_1-7*(h_col-2*d_1)/(n_h-1))+(phi_c/2)*-0.382683,NA())</f>
        <v/>
      </c>
      <c r="DB12">
        <f>IF(7&lt;n_h-1,(b_col-d_1)+(phi_c/2)*-0.923880,NA())</f>
        <v/>
      </c>
      <c r="DC12">
        <f>IF(7&lt;n_h-1,(h_col-d_1-7*(h_col-2*d_1)/(n_h-1))+(phi_c/2)*-0.382683,NA())</f>
        <v/>
      </c>
      <c r="DE12">
        <f>IF(8&lt;n_h-1,(d_1)+(phi_c/2)*-0.923880,NA())</f>
        <v/>
      </c>
      <c r="DF12">
        <f>IF(8&lt;n_h-1,(h_col-d_1-8*(h_col-2*d_1)/(n_h-1))+(phi_c/2)*-0.382683,NA())</f>
        <v/>
      </c>
      <c r="DH12">
        <f>IF(8&lt;n_h-1,(b_col-d_1)+(phi_c/2)*-0.923880,NA())</f>
        <v/>
      </c>
      <c r="DI12">
        <f>IF(8&lt;n_h-1,(h_col-d_1-8*(h_col-2*d_1)/(n_h-1))+(phi_c/2)*-0.382683,NA())</f>
        <v/>
      </c>
      <c r="GT12">
        <f>INDEX(nm_M,10)*1.5/M_pk</f>
        <v/>
      </c>
      <c r="GU12">
        <f>INDEX(nm_N,10)/N_Rdmax</f>
        <v/>
      </c>
    </row>
    <row r="13">
      <c r="G13">
        <f>IF(0&lt;n_b,(d_1+0*(b_col-2*d_1)/(n_b-1))+(phi_c/2)*-0.707107,NA())</f>
        <v/>
      </c>
      <c r="H13">
        <f>IF(0&lt;n_b,(h_col-d_1)+(phi_c/2)*-0.707107,NA())</f>
        <v/>
      </c>
      <c r="J13">
        <f>IF(0&lt;n_b,(d_1+0*(b_col-2*d_1)/(n_b-1))+(phi_c/2)*-0.707107,NA())</f>
        <v/>
      </c>
      <c r="K13">
        <f>IF(0&lt;n_b,(d_1)+(phi_c/2)*-0.707107,NA())</f>
        <v/>
      </c>
      <c r="M13">
        <f>IF(1&lt;n_b,(d_1+1*(b_col-2*d_1)/(n_b-1))+(phi_c/2)*-0.707107,NA())</f>
        <v/>
      </c>
      <c r="N13">
        <f>IF(1&lt;n_b,(h_col-d_1)+(phi_c/2)*-0.707107,NA())</f>
        <v/>
      </c>
      <c r="P13">
        <f>IF(1&lt;n_b,(d_1+1*(b_col-2*d_1)/(n_b-1))+(phi_c/2)*-0.707107,NA())</f>
        <v/>
      </c>
      <c r="Q13">
        <f>IF(1&lt;n_b,(d_1)+(phi_c/2)*-0.707107,NA())</f>
        <v/>
      </c>
      <c r="S13">
        <f>IF(2&lt;n_b,(d_1+2*(b_col-2*d_1)/(n_b-1))+(phi_c/2)*-0.707107,NA())</f>
        <v/>
      </c>
      <c r="T13">
        <f>IF(2&lt;n_b,(h_col-d_1)+(phi_c/2)*-0.707107,NA())</f>
        <v/>
      </c>
      <c r="V13">
        <f>IF(2&lt;n_b,(d_1+2*(b_col-2*d_1)/(n_b-1))+(phi_c/2)*-0.707107,NA())</f>
        <v/>
      </c>
      <c r="W13">
        <f>IF(2&lt;n_b,(d_1)+(phi_c/2)*-0.707107,NA())</f>
        <v/>
      </c>
      <c r="Y13">
        <f>IF(3&lt;n_b,(d_1+3*(b_col-2*d_1)/(n_b-1))+(phi_c/2)*-0.707107,NA())</f>
        <v/>
      </c>
      <c r="Z13">
        <f>IF(3&lt;n_b,(h_col-d_1)+(phi_c/2)*-0.707107,NA())</f>
        <v/>
      </c>
      <c r="AB13">
        <f>IF(3&lt;n_b,(d_1+3*(b_col-2*d_1)/(n_b-1))+(phi_c/2)*-0.707107,NA())</f>
        <v/>
      </c>
      <c r="AC13">
        <f>IF(3&lt;n_b,(d_1)+(phi_c/2)*-0.707107,NA())</f>
        <v/>
      </c>
      <c r="AE13">
        <f>IF(4&lt;n_b,(d_1+4*(b_col-2*d_1)/(n_b-1))+(phi_c/2)*-0.707107,NA())</f>
        <v/>
      </c>
      <c r="AF13">
        <f>IF(4&lt;n_b,(h_col-d_1)+(phi_c/2)*-0.707107,NA())</f>
        <v/>
      </c>
      <c r="AH13">
        <f>IF(4&lt;n_b,(d_1+4*(b_col-2*d_1)/(n_b-1))+(phi_c/2)*-0.707107,NA())</f>
        <v/>
      </c>
      <c r="AI13">
        <f>IF(4&lt;n_b,(d_1)+(phi_c/2)*-0.707107,NA())</f>
        <v/>
      </c>
      <c r="AK13">
        <f>IF(5&lt;n_b,(d_1+5*(b_col-2*d_1)/(n_b-1))+(phi_c/2)*-0.707107,NA())</f>
        <v/>
      </c>
      <c r="AL13">
        <f>IF(5&lt;n_b,(h_col-d_1)+(phi_c/2)*-0.707107,NA())</f>
        <v/>
      </c>
      <c r="AN13">
        <f>IF(5&lt;n_b,(d_1+5*(b_col-2*d_1)/(n_b-1))+(phi_c/2)*-0.707107,NA())</f>
        <v/>
      </c>
      <c r="AO13">
        <f>IF(5&lt;n_b,(d_1)+(phi_c/2)*-0.707107,NA())</f>
        <v/>
      </c>
      <c r="AQ13">
        <f>IF(6&lt;n_b,(d_1+6*(b_col-2*d_1)/(n_b-1))+(phi_c/2)*-0.707107,NA())</f>
        <v/>
      </c>
      <c r="AR13">
        <f>IF(6&lt;n_b,(h_col-d_1)+(phi_c/2)*-0.707107,NA())</f>
        <v/>
      </c>
      <c r="AT13">
        <f>IF(6&lt;n_b,(d_1+6*(b_col-2*d_1)/(n_b-1))+(phi_c/2)*-0.707107,NA())</f>
        <v/>
      </c>
      <c r="AU13">
        <f>IF(6&lt;n_b,(d_1)+(phi_c/2)*-0.707107,NA())</f>
        <v/>
      </c>
      <c r="AW13">
        <f>IF(7&lt;n_b,(d_1+7*(b_col-2*d_1)/(n_b-1))+(phi_c/2)*-0.707107,NA())</f>
        <v/>
      </c>
      <c r="AX13">
        <f>IF(7&lt;n_b,(h_col-d_1)+(phi_c/2)*-0.707107,NA())</f>
        <v/>
      </c>
      <c r="AZ13">
        <f>IF(7&lt;n_b,(d_1+7*(b_col-2*d_1)/(n_b-1))+(phi_c/2)*-0.707107,NA())</f>
        <v/>
      </c>
      <c r="BA13">
        <f>IF(7&lt;n_b,(d_1)+(phi_c/2)*-0.707107,NA())</f>
        <v/>
      </c>
      <c r="BC13">
        <f>IF(8&lt;n_b,(d_1+8*(b_col-2*d_1)/(n_b-1))+(phi_c/2)*-0.707107,NA())</f>
        <v/>
      </c>
      <c r="BD13">
        <f>IF(8&lt;n_b,(h_col-d_1)+(phi_c/2)*-0.707107,NA())</f>
        <v/>
      </c>
      <c r="BF13">
        <f>IF(8&lt;n_b,(d_1+8*(b_col-2*d_1)/(n_b-1))+(phi_c/2)*-0.707107,NA())</f>
        <v/>
      </c>
      <c r="BG13">
        <f>IF(8&lt;n_b,(d_1)+(phi_c/2)*-0.707107,NA())</f>
        <v/>
      </c>
      <c r="BI13">
        <f>IF(9&lt;n_b,(d_1+9*(b_col-2*d_1)/(n_b-1))+(phi_c/2)*-0.707107,NA())</f>
        <v/>
      </c>
      <c r="BJ13">
        <f>IF(9&lt;n_b,(h_col-d_1)+(phi_c/2)*-0.707107,NA())</f>
        <v/>
      </c>
      <c r="BL13">
        <f>IF(9&lt;n_b,(d_1+9*(b_col-2*d_1)/(n_b-1))+(phi_c/2)*-0.707107,NA())</f>
        <v/>
      </c>
      <c r="BM13">
        <f>IF(9&lt;n_b,(d_1)+(phi_c/2)*-0.707107,NA())</f>
        <v/>
      </c>
      <c r="BO13">
        <f>IF(1&lt;n_h-1,(d_1)+(phi_c/2)*-0.707107,NA())</f>
        <v/>
      </c>
      <c r="BP13">
        <f>IF(1&lt;n_h-1,(h_col-d_1-1*(h_col-2*d_1)/(n_h-1))+(phi_c/2)*-0.707107,NA())</f>
        <v/>
      </c>
      <c r="BR13">
        <f>IF(1&lt;n_h-1,(b_col-d_1)+(phi_c/2)*-0.707107,NA())</f>
        <v/>
      </c>
      <c r="BS13">
        <f>IF(1&lt;n_h-1,(h_col-d_1-1*(h_col-2*d_1)/(n_h-1))+(phi_c/2)*-0.707107,NA())</f>
        <v/>
      </c>
      <c r="BU13">
        <f>IF(2&lt;n_h-1,(d_1)+(phi_c/2)*-0.707107,NA())</f>
        <v/>
      </c>
      <c r="BV13">
        <f>IF(2&lt;n_h-1,(h_col-d_1-2*(h_col-2*d_1)/(n_h-1))+(phi_c/2)*-0.707107,NA())</f>
        <v/>
      </c>
      <c r="BX13">
        <f>IF(2&lt;n_h-1,(b_col-d_1)+(phi_c/2)*-0.707107,NA())</f>
        <v/>
      </c>
      <c r="BY13">
        <f>IF(2&lt;n_h-1,(h_col-d_1-2*(h_col-2*d_1)/(n_h-1))+(phi_c/2)*-0.707107,NA())</f>
        <v/>
      </c>
      <c r="CA13">
        <f>IF(3&lt;n_h-1,(d_1)+(phi_c/2)*-0.707107,NA())</f>
        <v/>
      </c>
      <c r="CB13">
        <f>IF(3&lt;n_h-1,(h_col-d_1-3*(h_col-2*d_1)/(n_h-1))+(phi_c/2)*-0.707107,NA())</f>
        <v/>
      </c>
      <c r="CD13">
        <f>IF(3&lt;n_h-1,(b_col-d_1)+(phi_c/2)*-0.707107,NA())</f>
        <v/>
      </c>
      <c r="CE13">
        <f>IF(3&lt;n_h-1,(h_col-d_1-3*(h_col-2*d_1)/(n_h-1))+(phi_c/2)*-0.707107,NA())</f>
        <v/>
      </c>
      <c r="CG13">
        <f>IF(4&lt;n_h-1,(d_1)+(phi_c/2)*-0.707107,NA())</f>
        <v/>
      </c>
      <c r="CH13">
        <f>IF(4&lt;n_h-1,(h_col-d_1-4*(h_col-2*d_1)/(n_h-1))+(phi_c/2)*-0.707107,NA())</f>
        <v/>
      </c>
      <c r="CJ13">
        <f>IF(4&lt;n_h-1,(b_col-d_1)+(phi_c/2)*-0.707107,NA())</f>
        <v/>
      </c>
      <c r="CK13">
        <f>IF(4&lt;n_h-1,(h_col-d_1-4*(h_col-2*d_1)/(n_h-1))+(phi_c/2)*-0.707107,NA())</f>
        <v/>
      </c>
      <c r="CM13">
        <f>IF(5&lt;n_h-1,(d_1)+(phi_c/2)*-0.707107,NA())</f>
        <v/>
      </c>
      <c r="CN13">
        <f>IF(5&lt;n_h-1,(h_col-d_1-5*(h_col-2*d_1)/(n_h-1))+(phi_c/2)*-0.707107,NA())</f>
        <v/>
      </c>
      <c r="CP13">
        <f>IF(5&lt;n_h-1,(b_col-d_1)+(phi_c/2)*-0.707107,NA())</f>
        <v/>
      </c>
      <c r="CQ13">
        <f>IF(5&lt;n_h-1,(h_col-d_1-5*(h_col-2*d_1)/(n_h-1))+(phi_c/2)*-0.707107,NA())</f>
        <v/>
      </c>
      <c r="CS13">
        <f>IF(6&lt;n_h-1,(d_1)+(phi_c/2)*-0.707107,NA())</f>
        <v/>
      </c>
      <c r="CT13">
        <f>IF(6&lt;n_h-1,(h_col-d_1-6*(h_col-2*d_1)/(n_h-1))+(phi_c/2)*-0.707107,NA())</f>
        <v/>
      </c>
      <c r="CV13">
        <f>IF(6&lt;n_h-1,(b_col-d_1)+(phi_c/2)*-0.707107,NA())</f>
        <v/>
      </c>
      <c r="CW13">
        <f>IF(6&lt;n_h-1,(h_col-d_1-6*(h_col-2*d_1)/(n_h-1))+(phi_c/2)*-0.707107,NA())</f>
        <v/>
      </c>
      <c r="CY13">
        <f>IF(7&lt;n_h-1,(d_1)+(phi_c/2)*-0.707107,NA())</f>
        <v/>
      </c>
      <c r="CZ13">
        <f>IF(7&lt;n_h-1,(h_col-d_1-7*(h_col-2*d_1)/(n_h-1))+(phi_c/2)*-0.707107,NA())</f>
        <v/>
      </c>
      <c r="DB13">
        <f>IF(7&lt;n_h-1,(b_col-d_1)+(phi_c/2)*-0.707107,NA())</f>
        <v/>
      </c>
      <c r="DC13">
        <f>IF(7&lt;n_h-1,(h_col-d_1-7*(h_col-2*d_1)/(n_h-1))+(phi_c/2)*-0.707107,NA())</f>
        <v/>
      </c>
      <c r="DE13">
        <f>IF(8&lt;n_h-1,(d_1)+(phi_c/2)*-0.707107,NA())</f>
        <v/>
      </c>
      <c r="DF13">
        <f>IF(8&lt;n_h-1,(h_col-d_1-8*(h_col-2*d_1)/(n_h-1))+(phi_c/2)*-0.707107,NA())</f>
        <v/>
      </c>
      <c r="DH13">
        <f>IF(8&lt;n_h-1,(b_col-d_1)+(phi_c/2)*-0.707107,NA())</f>
        <v/>
      </c>
      <c r="DI13">
        <f>IF(8&lt;n_h-1,(h_col-d_1-8*(h_col-2*d_1)/(n_h-1))+(phi_c/2)*-0.707107,NA())</f>
        <v/>
      </c>
      <c r="GT13">
        <f>INDEX(nm_M,11)*1.5/M_pk</f>
        <v/>
      </c>
      <c r="GU13">
        <f>INDEX(nm_N,11)/N_Rdmax</f>
        <v/>
      </c>
    </row>
    <row r="14">
      <c r="G14">
        <f>IF(0&lt;n_b,(d_1+0*(b_col-2*d_1)/(n_b-1))+(phi_c/2)*-0.382683,NA())</f>
        <v/>
      </c>
      <c r="H14">
        <f>IF(0&lt;n_b,(h_col-d_1)+(phi_c/2)*-0.923880,NA())</f>
        <v/>
      </c>
      <c r="J14">
        <f>IF(0&lt;n_b,(d_1+0*(b_col-2*d_1)/(n_b-1))+(phi_c/2)*-0.382683,NA())</f>
        <v/>
      </c>
      <c r="K14">
        <f>IF(0&lt;n_b,(d_1)+(phi_c/2)*-0.923880,NA())</f>
        <v/>
      </c>
      <c r="M14">
        <f>IF(1&lt;n_b,(d_1+1*(b_col-2*d_1)/(n_b-1))+(phi_c/2)*-0.382683,NA())</f>
        <v/>
      </c>
      <c r="N14">
        <f>IF(1&lt;n_b,(h_col-d_1)+(phi_c/2)*-0.923880,NA())</f>
        <v/>
      </c>
      <c r="P14">
        <f>IF(1&lt;n_b,(d_1+1*(b_col-2*d_1)/(n_b-1))+(phi_c/2)*-0.382683,NA())</f>
        <v/>
      </c>
      <c r="Q14">
        <f>IF(1&lt;n_b,(d_1)+(phi_c/2)*-0.923880,NA())</f>
        <v/>
      </c>
      <c r="S14">
        <f>IF(2&lt;n_b,(d_1+2*(b_col-2*d_1)/(n_b-1))+(phi_c/2)*-0.382683,NA())</f>
        <v/>
      </c>
      <c r="T14">
        <f>IF(2&lt;n_b,(h_col-d_1)+(phi_c/2)*-0.923880,NA())</f>
        <v/>
      </c>
      <c r="V14">
        <f>IF(2&lt;n_b,(d_1+2*(b_col-2*d_1)/(n_b-1))+(phi_c/2)*-0.382683,NA())</f>
        <v/>
      </c>
      <c r="W14">
        <f>IF(2&lt;n_b,(d_1)+(phi_c/2)*-0.923880,NA())</f>
        <v/>
      </c>
      <c r="Y14">
        <f>IF(3&lt;n_b,(d_1+3*(b_col-2*d_1)/(n_b-1))+(phi_c/2)*-0.382683,NA())</f>
        <v/>
      </c>
      <c r="Z14">
        <f>IF(3&lt;n_b,(h_col-d_1)+(phi_c/2)*-0.923880,NA())</f>
        <v/>
      </c>
      <c r="AB14">
        <f>IF(3&lt;n_b,(d_1+3*(b_col-2*d_1)/(n_b-1))+(phi_c/2)*-0.382683,NA())</f>
        <v/>
      </c>
      <c r="AC14">
        <f>IF(3&lt;n_b,(d_1)+(phi_c/2)*-0.923880,NA())</f>
        <v/>
      </c>
      <c r="AE14">
        <f>IF(4&lt;n_b,(d_1+4*(b_col-2*d_1)/(n_b-1))+(phi_c/2)*-0.382683,NA())</f>
        <v/>
      </c>
      <c r="AF14">
        <f>IF(4&lt;n_b,(h_col-d_1)+(phi_c/2)*-0.923880,NA())</f>
        <v/>
      </c>
      <c r="AH14">
        <f>IF(4&lt;n_b,(d_1+4*(b_col-2*d_1)/(n_b-1))+(phi_c/2)*-0.382683,NA())</f>
        <v/>
      </c>
      <c r="AI14">
        <f>IF(4&lt;n_b,(d_1)+(phi_c/2)*-0.923880,NA())</f>
        <v/>
      </c>
      <c r="AK14">
        <f>IF(5&lt;n_b,(d_1+5*(b_col-2*d_1)/(n_b-1))+(phi_c/2)*-0.382683,NA())</f>
        <v/>
      </c>
      <c r="AL14">
        <f>IF(5&lt;n_b,(h_col-d_1)+(phi_c/2)*-0.923880,NA())</f>
        <v/>
      </c>
      <c r="AN14">
        <f>IF(5&lt;n_b,(d_1+5*(b_col-2*d_1)/(n_b-1))+(phi_c/2)*-0.382683,NA())</f>
        <v/>
      </c>
      <c r="AO14">
        <f>IF(5&lt;n_b,(d_1)+(phi_c/2)*-0.923880,NA())</f>
        <v/>
      </c>
      <c r="AQ14">
        <f>IF(6&lt;n_b,(d_1+6*(b_col-2*d_1)/(n_b-1))+(phi_c/2)*-0.382683,NA())</f>
        <v/>
      </c>
      <c r="AR14">
        <f>IF(6&lt;n_b,(h_col-d_1)+(phi_c/2)*-0.923880,NA())</f>
        <v/>
      </c>
      <c r="AT14">
        <f>IF(6&lt;n_b,(d_1+6*(b_col-2*d_1)/(n_b-1))+(phi_c/2)*-0.382683,NA())</f>
        <v/>
      </c>
      <c r="AU14">
        <f>IF(6&lt;n_b,(d_1)+(phi_c/2)*-0.923880,NA())</f>
        <v/>
      </c>
      <c r="AW14">
        <f>IF(7&lt;n_b,(d_1+7*(b_col-2*d_1)/(n_b-1))+(phi_c/2)*-0.382683,NA())</f>
        <v/>
      </c>
      <c r="AX14">
        <f>IF(7&lt;n_b,(h_col-d_1)+(phi_c/2)*-0.923880,NA())</f>
        <v/>
      </c>
      <c r="AZ14">
        <f>IF(7&lt;n_b,(d_1+7*(b_col-2*d_1)/(n_b-1))+(phi_c/2)*-0.382683,NA())</f>
        <v/>
      </c>
      <c r="BA14">
        <f>IF(7&lt;n_b,(d_1)+(phi_c/2)*-0.923880,NA())</f>
        <v/>
      </c>
      <c r="BC14">
        <f>IF(8&lt;n_b,(d_1+8*(b_col-2*d_1)/(n_b-1))+(phi_c/2)*-0.382683,NA())</f>
        <v/>
      </c>
      <c r="BD14">
        <f>IF(8&lt;n_b,(h_col-d_1)+(phi_c/2)*-0.923880,NA())</f>
        <v/>
      </c>
      <c r="BF14">
        <f>IF(8&lt;n_b,(d_1+8*(b_col-2*d_1)/(n_b-1))+(phi_c/2)*-0.382683,NA())</f>
        <v/>
      </c>
      <c r="BG14">
        <f>IF(8&lt;n_b,(d_1)+(phi_c/2)*-0.923880,NA())</f>
        <v/>
      </c>
      <c r="BI14">
        <f>IF(9&lt;n_b,(d_1+9*(b_col-2*d_1)/(n_b-1))+(phi_c/2)*-0.382683,NA())</f>
        <v/>
      </c>
      <c r="BJ14">
        <f>IF(9&lt;n_b,(h_col-d_1)+(phi_c/2)*-0.923880,NA())</f>
        <v/>
      </c>
      <c r="BL14">
        <f>IF(9&lt;n_b,(d_1+9*(b_col-2*d_1)/(n_b-1))+(phi_c/2)*-0.382683,NA())</f>
        <v/>
      </c>
      <c r="BM14">
        <f>IF(9&lt;n_b,(d_1)+(phi_c/2)*-0.923880,NA())</f>
        <v/>
      </c>
      <c r="BO14">
        <f>IF(1&lt;n_h-1,(d_1)+(phi_c/2)*-0.382683,NA())</f>
        <v/>
      </c>
      <c r="BP14">
        <f>IF(1&lt;n_h-1,(h_col-d_1-1*(h_col-2*d_1)/(n_h-1))+(phi_c/2)*-0.923880,NA())</f>
        <v/>
      </c>
      <c r="BR14">
        <f>IF(1&lt;n_h-1,(b_col-d_1)+(phi_c/2)*-0.382683,NA())</f>
        <v/>
      </c>
      <c r="BS14">
        <f>IF(1&lt;n_h-1,(h_col-d_1-1*(h_col-2*d_1)/(n_h-1))+(phi_c/2)*-0.923880,NA())</f>
        <v/>
      </c>
      <c r="BU14">
        <f>IF(2&lt;n_h-1,(d_1)+(phi_c/2)*-0.382683,NA())</f>
        <v/>
      </c>
      <c r="BV14">
        <f>IF(2&lt;n_h-1,(h_col-d_1-2*(h_col-2*d_1)/(n_h-1))+(phi_c/2)*-0.923880,NA())</f>
        <v/>
      </c>
      <c r="BX14">
        <f>IF(2&lt;n_h-1,(b_col-d_1)+(phi_c/2)*-0.382683,NA())</f>
        <v/>
      </c>
      <c r="BY14">
        <f>IF(2&lt;n_h-1,(h_col-d_1-2*(h_col-2*d_1)/(n_h-1))+(phi_c/2)*-0.923880,NA())</f>
        <v/>
      </c>
      <c r="CA14">
        <f>IF(3&lt;n_h-1,(d_1)+(phi_c/2)*-0.382683,NA())</f>
        <v/>
      </c>
      <c r="CB14">
        <f>IF(3&lt;n_h-1,(h_col-d_1-3*(h_col-2*d_1)/(n_h-1))+(phi_c/2)*-0.923880,NA())</f>
        <v/>
      </c>
      <c r="CD14">
        <f>IF(3&lt;n_h-1,(b_col-d_1)+(phi_c/2)*-0.382683,NA())</f>
        <v/>
      </c>
      <c r="CE14">
        <f>IF(3&lt;n_h-1,(h_col-d_1-3*(h_col-2*d_1)/(n_h-1))+(phi_c/2)*-0.923880,NA())</f>
        <v/>
      </c>
      <c r="CG14">
        <f>IF(4&lt;n_h-1,(d_1)+(phi_c/2)*-0.382683,NA())</f>
        <v/>
      </c>
      <c r="CH14">
        <f>IF(4&lt;n_h-1,(h_col-d_1-4*(h_col-2*d_1)/(n_h-1))+(phi_c/2)*-0.923880,NA())</f>
        <v/>
      </c>
      <c r="CJ14">
        <f>IF(4&lt;n_h-1,(b_col-d_1)+(phi_c/2)*-0.382683,NA())</f>
        <v/>
      </c>
      <c r="CK14">
        <f>IF(4&lt;n_h-1,(h_col-d_1-4*(h_col-2*d_1)/(n_h-1))+(phi_c/2)*-0.923880,NA())</f>
        <v/>
      </c>
      <c r="CM14">
        <f>IF(5&lt;n_h-1,(d_1)+(phi_c/2)*-0.382683,NA())</f>
        <v/>
      </c>
      <c r="CN14">
        <f>IF(5&lt;n_h-1,(h_col-d_1-5*(h_col-2*d_1)/(n_h-1))+(phi_c/2)*-0.923880,NA())</f>
        <v/>
      </c>
      <c r="CP14">
        <f>IF(5&lt;n_h-1,(b_col-d_1)+(phi_c/2)*-0.382683,NA())</f>
        <v/>
      </c>
      <c r="CQ14">
        <f>IF(5&lt;n_h-1,(h_col-d_1-5*(h_col-2*d_1)/(n_h-1))+(phi_c/2)*-0.923880,NA())</f>
        <v/>
      </c>
      <c r="CS14">
        <f>IF(6&lt;n_h-1,(d_1)+(phi_c/2)*-0.382683,NA())</f>
        <v/>
      </c>
      <c r="CT14">
        <f>IF(6&lt;n_h-1,(h_col-d_1-6*(h_col-2*d_1)/(n_h-1))+(phi_c/2)*-0.923880,NA())</f>
        <v/>
      </c>
      <c r="CV14">
        <f>IF(6&lt;n_h-1,(b_col-d_1)+(phi_c/2)*-0.382683,NA())</f>
        <v/>
      </c>
      <c r="CW14">
        <f>IF(6&lt;n_h-1,(h_col-d_1-6*(h_col-2*d_1)/(n_h-1))+(phi_c/2)*-0.923880,NA())</f>
        <v/>
      </c>
      <c r="CY14">
        <f>IF(7&lt;n_h-1,(d_1)+(phi_c/2)*-0.382683,NA())</f>
        <v/>
      </c>
      <c r="CZ14">
        <f>IF(7&lt;n_h-1,(h_col-d_1-7*(h_col-2*d_1)/(n_h-1))+(phi_c/2)*-0.923880,NA())</f>
        <v/>
      </c>
      <c r="DB14">
        <f>IF(7&lt;n_h-1,(b_col-d_1)+(phi_c/2)*-0.382683,NA())</f>
        <v/>
      </c>
      <c r="DC14">
        <f>IF(7&lt;n_h-1,(h_col-d_1-7*(h_col-2*d_1)/(n_h-1))+(phi_c/2)*-0.923880,NA())</f>
        <v/>
      </c>
      <c r="DE14">
        <f>IF(8&lt;n_h-1,(d_1)+(phi_c/2)*-0.382683,NA())</f>
        <v/>
      </c>
      <c r="DF14">
        <f>IF(8&lt;n_h-1,(h_col-d_1-8*(h_col-2*d_1)/(n_h-1))+(phi_c/2)*-0.923880,NA())</f>
        <v/>
      </c>
      <c r="DH14">
        <f>IF(8&lt;n_h-1,(b_col-d_1)+(phi_c/2)*-0.382683,NA())</f>
        <v/>
      </c>
      <c r="DI14">
        <f>IF(8&lt;n_h-1,(h_col-d_1-8*(h_col-2*d_1)/(n_h-1))+(phi_c/2)*-0.923880,NA())</f>
        <v/>
      </c>
      <c r="GT14">
        <f>INDEX(nm_M,12)*1.5/M_pk</f>
        <v/>
      </c>
      <c r="GU14">
        <f>INDEX(nm_N,12)/N_Rdmax</f>
        <v/>
      </c>
    </row>
    <row r="15">
      <c r="G15">
        <f>IF(0&lt;n_b,(d_1+0*(b_col-2*d_1)/(n_b-1))+(phi_c/2)*-0.000000,NA())</f>
        <v/>
      </c>
      <c r="H15">
        <f>IF(0&lt;n_b,(h_col-d_1)+(phi_c/2)*-1.000000,NA())</f>
        <v/>
      </c>
      <c r="J15">
        <f>IF(0&lt;n_b,(d_1+0*(b_col-2*d_1)/(n_b-1))+(phi_c/2)*-0.000000,NA())</f>
        <v/>
      </c>
      <c r="K15">
        <f>IF(0&lt;n_b,(d_1)+(phi_c/2)*-1.000000,NA())</f>
        <v/>
      </c>
      <c r="M15">
        <f>IF(1&lt;n_b,(d_1+1*(b_col-2*d_1)/(n_b-1))+(phi_c/2)*-0.000000,NA())</f>
        <v/>
      </c>
      <c r="N15">
        <f>IF(1&lt;n_b,(h_col-d_1)+(phi_c/2)*-1.000000,NA())</f>
        <v/>
      </c>
      <c r="P15">
        <f>IF(1&lt;n_b,(d_1+1*(b_col-2*d_1)/(n_b-1))+(phi_c/2)*-0.000000,NA())</f>
        <v/>
      </c>
      <c r="Q15">
        <f>IF(1&lt;n_b,(d_1)+(phi_c/2)*-1.000000,NA())</f>
        <v/>
      </c>
      <c r="S15">
        <f>IF(2&lt;n_b,(d_1+2*(b_col-2*d_1)/(n_b-1))+(phi_c/2)*-0.000000,NA())</f>
        <v/>
      </c>
      <c r="T15">
        <f>IF(2&lt;n_b,(h_col-d_1)+(phi_c/2)*-1.000000,NA())</f>
        <v/>
      </c>
      <c r="V15">
        <f>IF(2&lt;n_b,(d_1+2*(b_col-2*d_1)/(n_b-1))+(phi_c/2)*-0.000000,NA())</f>
        <v/>
      </c>
      <c r="W15">
        <f>IF(2&lt;n_b,(d_1)+(phi_c/2)*-1.000000,NA())</f>
        <v/>
      </c>
      <c r="Y15">
        <f>IF(3&lt;n_b,(d_1+3*(b_col-2*d_1)/(n_b-1))+(phi_c/2)*-0.000000,NA())</f>
        <v/>
      </c>
      <c r="Z15">
        <f>IF(3&lt;n_b,(h_col-d_1)+(phi_c/2)*-1.000000,NA())</f>
        <v/>
      </c>
      <c r="AB15">
        <f>IF(3&lt;n_b,(d_1+3*(b_col-2*d_1)/(n_b-1))+(phi_c/2)*-0.000000,NA())</f>
        <v/>
      </c>
      <c r="AC15">
        <f>IF(3&lt;n_b,(d_1)+(phi_c/2)*-1.000000,NA())</f>
        <v/>
      </c>
      <c r="AE15">
        <f>IF(4&lt;n_b,(d_1+4*(b_col-2*d_1)/(n_b-1))+(phi_c/2)*-0.000000,NA())</f>
        <v/>
      </c>
      <c r="AF15">
        <f>IF(4&lt;n_b,(h_col-d_1)+(phi_c/2)*-1.000000,NA())</f>
        <v/>
      </c>
      <c r="AH15">
        <f>IF(4&lt;n_b,(d_1+4*(b_col-2*d_1)/(n_b-1))+(phi_c/2)*-0.000000,NA())</f>
        <v/>
      </c>
      <c r="AI15">
        <f>IF(4&lt;n_b,(d_1)+(phi_c/2)*-1.000000,NA())</f>
        <v/>
      </c>
      <c r="AK15">
        <f>IF(5&lt;n_b,(d_1+5*(b_col-2*d_1)/(n_b-1))+(phi_c/2)*-0.000000,NA())</f>
        <v/>
      </c>
      <c r="AL15">
        <f>IF(5&lt;n_b,(h_col-d_1)+(phi_c/2)*-1.000000,NA())</f>
        <v/>
      </c>
      <c r="AN15">
        <f>IF(5&lt;n_b,(d_1+5*(b_col-2*d_1)/(n_b-1))+(phi_c/2)*-0.000000,NA())</f>
        <v/>
      </c>
      <c r="AO15">
        <f>IF(5&lt;n_b,(d_1)+(phi_c/2)*-1.000000,NA())</f>
        <v/>
      </c>
      <c r="AQ15">
        <f>IF(6&lt;n_b,(d_1+6*(b_col-2*d_1)/(n_b-1))+(phi_c/2)*-0.000000,NA())</f>
        <v/>
      </c>
      <c r="AR15">
        <f>IF(6&lt;n_b,(h_col-d_1)+(phi_c/2)*-1.000000,NA())</f>
        <v/>
      </c>
      <c r="AT15">
        <f>IF(6&lt;n_b,(d_1+6*(b_col-2*d_1)/(n_b-1))+(phi_c/2)*-0.000000,NA())</f>
        <v/>
      </c>
      <c r="AU15">
        <f>IF(6&lt;n_b,(d_1)+(phi_c/2)*-1.000000,NA())</f>
        <v/>
      </c>
      <c r="AW15">
        <f>IF(7&lt;n_b,(d_1+7*(b_col-2*d_1)/(n_b-1))+(phi_c/2)*-0.000000,NA())</f>
        <v/>
      </c>
      <c r="AX15">
        <f>IF(7&lt;n_b,(h_col-d_1)+(phi_c/2)*-1.000000,NA())</f>
        <v/>
      </c>
      <c r="AZ15">
        <f>IF(7&lt;n_b,(d_1+7*(b_col-2*d_1)/(n_b-1))+(phi_c/2)*-0.000000,NA())</f>
        <v/>
      </c>
      <c r="BA15">
        <f>IF(7&lt;n_b,(d_1)+(phi_c/2)*-1.000000,NA())</f>
        <v/>
      </c>
      <c r="BC15">
        <f>IF(8&lt;n_b,(d_1+8*(b_col-2*d_1)/(n_b-1))+(phi_c/2)*-0.000000,NA())</f>
        <v/>
      </c>
      <c r="BD15">
        <f>IF(8&lt;n_b,(h_col-d_1)+(phi_c/2)*-1.000000,NA())</f>
        <v/>
      </c>
      <c r="BF15">
        <f>IF(8&lt;n_b,(d_1+8*(b_col-2*d_1)/(n_b-1))+(phi_c/2)*-0.000000,NA())</f>
        <v/>
      </c>
      <c r="BG15">
        <f>IF(8&lt;n_b,(d_1)+(phi_c/2)*-1.000000,NA())</f>
        <v/>
      </c>
      <c r="BI15">
        <f>IF(9&lt;n_b,(d_1+9*(b_col-2*d_1)/(n_b-1))+(phi_c/2)*-0.000000,NA())</f>
        <v/>
      </c>
      <c r="BJ15">
        <f>IF(9&lt;n_b,(h_col-d_1)+(phi_c/2)*-1.000000,NA())</f>
        <v/>
      </c>
      <c r="BL15">
        <f>IF(9&lt;n_b,(d_1+9*(b_col-2*d_1)/(n_b-1))+(phi_c/2)*-0.000000,NA())</f>
        <v/>
      </c>
      <c r="BM15">
        <f>IF(9&lt;n_b,(d_1)+(phi_c/2)*-1.000000,NA())</f>
        <v/>
      </c>
      <c r="BO15">
        <f>IF(1&lt;n_h-1,(d_1)+(phi_c/2)*-0.000000,NA())</f>
        <v/>
      </c>
      <c r="BP15">
        <f>IF(1&lt;n_h-1,(h_col-d_1-1*(h_col-2*d_1)/(n_h-1))+(phi_c/2)*-1.000000,NA())</f>
        <v/>
      </c>
      <c r="BR15">
        <f>IF(1&lt;n_h-1,(b_col-d_1)+(phi_c/2)*-0.000000,NA())</f>
        <v/>
      </c>
      <c r="BS15">
        <f>IF(1&lt;n_h-1,(h_col-d_1-1*(h_col-2*d_1)/(n_h-1))+(phi_c/2)*-1.000000,NA())</f>
        <v/>
      </c>
      <c r="BU15">
        <f>IF(2&lt;n_h-1,(d_1)+(phi_c/2)*-0.000000,NA())</f>
        <v/>
      </c>
      <c r="BV15">
        <f>IF(2&lt;n_h-1,(h_col-d_1-2*(h_col-2*d_1)/(n_h-1))+(phi_c/2)*-1.000000,NA())</f>
        <v/>
      </c>
      <c r="BX15">
        <f>IF(2&lt;n_h-1,(b_col-d_1)+(phi_c/2)*-0.000000,NA())</f>
        <v/>
      </c>
      <c r="BY15">
        <f>IF(2&lt;n_h-1,(h_col-d_1-2*(h_col-2*d_1)/(n_h-1))+(phi_c/2)*-1.000000,NA())</f>
        <v/>
      </c>
      <c r="CA15">
        <f>IF(3&lt;n_h-1,(d_1)+(phi_c/2)*-0.000000,NA())</f>
        <v/>
      </c>
      <c r="CB15">
        <f>IF(3&lt;n_h-1,(h_col-d_1-3*(h_col-2*d_1)/(n_h-1))+(phi_c/2)*-1.000000,NA())</f>
        <v/>
      </c>
      <c r="CD15">
        <f>IF(3&lt;n_h-1,(b_col-d_1)+(phi_c/2)*-0.000000,NA())</f>
        <v/>
      </c>
      <c r="CE15">
        <f>IF(3&lt;n_h-1,(h_col-d_1-3*(h_col-2*d_1)/(n_h-1))+(phi_c/2)*-1.000000,NA())</f>
        <v/>
      </c>
      <c r="CG15">
        <f>IF(4&lt;n_h-1,(d_1)+(phi_c/2)*-0.000000,NA())</f>
        <v/>
      </c>
      <c r="CH15">
        <f>IF(4&lt;n_h-1,(h_col-d_1-4*(h_col-2*d_1)/(n_h-1))+(phi_c/2)*-1.000000,NA())</f>
        <v/>
      </c>
      <c r="CJ15">
        <f>IF(4&lt;n_h-1,(b_col-d_1)+(phi_c/2)*-0.000000,NA())</f>
        <v/>
      </c>
      <c r="CK15">
        <f>IF(4&lt;n_h-1,(h_col-d_1-4*(h_col-2*d_1)/(n_h-1))+(phi_c/2)*-1.000000,NA())</f>
        <v/>
      </c>
      <c r="CM15">
        <f>IF(5&lt;n_h-1,(d_1)+(phi_c/2)*-0.000000,NA())</f>
        <v/>
      </c>
      <c r="CN15">
        <f>IF(5&lt;n_h-1,(h_col-d_1-5*(h_col-2*d_1)/(n_h-1))+(phi_c/2)*-1.000000,NA())</f>
        <v/>
      </c>
      <c r="CP15">
        <f>IF(5&lt;n_h-1,(b_col-d_1)+(phi_c/2)*-0.000000,NA())</f>
        <v/>
      </c>
      <c r="CQ15">
        <f>IF(5&lt;n_h-1,(h_col-d_1-5*(h_col-2*d_1)/(n_h-1))+(phi_c/2)*-1.000000,NA())</f>
        <v/>
      </c>
      <c r="CS15">
        <f>IF(6&lt;n_h-1,(d_1)+(phi_c/2)*-0.000000,NA())</f>
        <v/>
      </c>
      <c r="CT15">
        <f>IF(6&lt;n_h-1,(h_col-d_1-6*(h_col-2*d_1)/(n_h-1))+(phi_c/2)*-1.000000,NA())</f>
        <v/>
      </c>
      <c r="CV15">
        <f>IF(6&lt;n_h-1,(b_col-d_1)+(phi_c/2)*-0.000000,NA())</f>
        <v/>
      </c>
      <c r="CW15">
        <f>IF(6&lt;n_h-1,(h_col-d_1-6*(h_col-2*d_1)/(n_h-1))+(phi_c/2)*-1.000000,NA())</f>
        <v/>
      </c>
      <c r="CY15">
        <f>IF(7&lt;n_h-1,(d_1)+(phi_c/2)*-0.000000,NA())</f>
        <v/>
      </c>
      <c r="CZ15">
        <f>IF(7&lt;n_h-1,(h_col-d_1-7*(h_col-2*d_1)/(n_h-1))+(phi_c/2)*-1.000000,NA())</f>
        <v/>
      </c>
      <c r="DB15">
        <f>IF(7&lt;n_h-1,(b_col-d_1)+(phi_c/2)*-0.000000,NA())</f>
        <v/>
      </c>
      <c r="DC15">
        <f>IF(7&lt;n_h-1,(h_col-d_1-7*(h_col-2*d_1)/(n_h-1))+(phi_c/2)*-1.000000,NA())</f>
        <v/>
      </c>
      <c r="DE15">
        <f>IF(8&lt;n_h-1,(d_1)+(phi_c/2)*-0.000000,NA())</f>
        <v/>
      </c>
      <c r="DF15">
        <f>IF(8&lt;n_h-1,(h_col-d_1-8*(h_col-2*d_1)/(n_h-1))+(phi_c/2)*-1.000000,NA())</f>
        <v/>
      </c>
      <c r="DH15">
        <f>IF(8&lt;n_h-1,(b_col-d_1)+(phi_c/2)*-0.000000,NA())</f>
        <v/>
      </c>
      <c r="DI15">
        <f>IF(8&lt;n_h-1,(h_col-d_1-8*(h_col-2*d_1)/(n_h-1))+(phi_c/2)*-1.000000,NA())</f>
        <v/>
      </c>
      <c r="GT15">
        <f>INDEX(nm_M,13)*1.5/M_pk</f>
        <v/>
      </c>
      <c r="GU15">
        <f>INDEX(nm_N,13)/N_Rdmax</f>
        <v/>
      </c>
    </row>
    <row r="16">
      <c r="G16">
        <f>IF(0&lt;n_b,(d_1+0*(b_col-2*d_1)/(n_b-1))+(phi_c/2)*0.382683,NA())</f>
        <v/>
      </c>
      <c r="H16">
        <f>IF(0&lt;n_b,(h_col-d_1)+(phi_c/2)*-0.923880,NA())</f>
        <v/>
      </c>
      <c r="J16">
        <f>IF(0&lt;n_b,(d_1+0*(b_col-2*d_1)/(n_b-1))+(phi_c/2)*0.382683,NA())</f>
        <v/>
      </c>
      <c r="K16">
        <f>IF(0&lt;n_b,(d_1)+(phi_c/2)*-0.923880,NA())</f>
        <v/>
      </c>
      <c r="M16">
        <f>IF(1&lt;n_b,(d_1+1*(b_col-2*d_1)/(n_b-1))+(phi_c/2)*0.382683,NA())</f>
        <v/>
      </c>
      <c r="N16">
        <f>IF(1&lt;n_b,(h_col-d_1)+(phi_c/2)*-0.923880,NA())</f>
        <v/>
      </c>
      <c r="P16">
        <f>IF(1&lt;n_b,(d_1+1*(b_col-2*d_1)/(n_b-1))+(phi_c/2)*0.382683,NA())</f>
        <v/>
      </c>
      <c r="Q16">
        <f>IF(1&lt;n_b,(d_1)+(phi_c/2)*-0.923880,NA())</f>
        <v/>
      </c>
      <c r="S16">
        <f>IF(2&lt;n_b,(d_1+2*(b_col-2*d_1)/(n_b-1))+(phi_c/2)*0.382683,NA())</f>
        <v/>
      </c>
      <c r="T16">
        <f>IF(2&lt;n_b,(h_col-d_1)+(phi_c/2)*-0.923880,NA())</f>
        <v/>
      </c>
      <c r="V16">
        <f>IF(2&lt;n_b,(d_1+2*(b_col-2*d_1)/(n_b-1))+(phi_c/2)*0.382683,NA())</f>
        <v/>
      </c>
      <c r="W16">
        <f>IF(2&lt;n_b,(d_1)+(phi_c/2)*-0.923880,NA())</f>
        <v/>
      </c>
      <c r="Y16">
        <f>IF(3&lt;n_b,(d_1+3*(b_col-2*d_1)/(n_b-1))+(phi_c/2)*0.382683,NA())</f>
        <v/>
      </c>
      <c r="Z16">
        <f>IF(3&lt;n_b,(h_col-d_1)+(phi_c/2)*-0.923880,NA())</f>
        <v/>
      </c>
      <c r="AB16">
        <f>IF(3&lt;n_b,(d_1+3*(b_col-2*d_1)/(n_b-1))+(phi_c/2)*0.382683,NA())</f>
        <v/>
      </c>
      <c r="AC16">
        <f>IF(3&lt;n_b,(d_1)+(phi_c/2)*-0.923880,NA())</f>
        <v/>
      </c>
      <c r="AE16">
        <f>IF(4&lt;n_b,(d_1+4*(b_col-2*d_1)/(n_b-1))+(phi_c/2)*0.382683,NA())</f>
        <v/>
      </c>
      <c r="AF16">
        <f>IF(4&lt;n_b,(h_col-d_1)+(phi_c/2)*-0.923880,NA())</f>
        <v/>
      </c>
      <c r="AH16">
        <f>IF(4&lt;n_b,(d_1+4*(b_col-2*d_1)/(n_b-1))+(phi_c/2)*0.382683,NA())</f>
        <v/>
      </c>
      <c r="AI16">
        <f>IF(4&lt;n_b,(d_1)+(phi_c/2)*-0.923880,NA())</f>
        <v/>
      </c>
      <c r="AK16">
        <f>IF(5&lt;n_b,(d_1+5*(b_col-2*d_1)/(n_b-1))+(phi_c/2)*0.382683,NA())</f>
        <v/>
      </c>
      <c r="AL16">
        <f>IF(5&lt;n_b,(h_col-d_1)+(phi_c/2)*-0.923880,NA())</f>
        <v/>
      </c>
      <c r="AN16">
        <f>IF(5&lt;n_b,(d_1+5*(b_col-2*d_1)/(n_b-1))+(phi_c/2)*0.382683,NA())</f>
        <v/>
      </c>
      <c r="AO16">
        <f>IF(5&lt;n_b,(d_1)+(phi_c/2)*-0.923880,NA())</f>
        <v/>
      </c>
      <c r="AQ16">
        <f>IF(6&lt;n_b,(d_1+6*(b_col-2*d_1)/(n_b-1))+(phi_c/2)*0.382683,NA())</f>
        <v/>
      </c>
      <c r="AR16">
        <f>IF(6&lt;n_b,(h_col-d_1)+(phi_c/2)*-0.923880,NA())</f>
        <v/>
      </c>
      <c r="AT16">
        <f>IF(6&lt;n_b,(d_1+6*(b_col-2*d_1)/(n_b-1))+(phi_c/2)*0.382683,NA())</f>
        <v/>
      </c>
      <c r="AU16">
        <f>IF(6&lt;n_b,(d_1)+(phi_c/2)*-0.923880,NA())</f>
        <v/>
      </c>
      <c r="AW16">
        <f>IF(7&lt;n_b,(d_1+7*(b_col-2*d_1)/(n_b-1))+(phi_c/2)*0.382683,NA())</f>
        <v/>
      </c>
      <c r="AX16">
        <f>IF(7&lt;n_b,(h_col-d_1)+(phi_c/2)*-0.923880,NA())</f>
        <v/>
      </c>
      <c r="AZ16">
        <f>IF(7&lt;n_b,(d_1+7*(b_col-2*d_1)/(n_b-1))+(phi_c/2)*0.382683,NA())</f>
        <v/>
      </c>
      <c r="BA16">
        <f>IF(7&lt;n_b,(d_1)+(phi_c/2)*-0.923880,NA())</f>
        <v/>
      </c>
      <c r="BC16">
        <f>IF(8&lt;n_b,(d_1+8*(b_col-2*d_1)/(n_b-1))+(phi_c/2)*0.382683,NA())</f>
        <v/>
      </c>
      <c r="BD16">
        <f>IF(8&lt;n_b,(h_col-d_1)+(phi_c/2)*-0.923880,NA())</f>
        <v/>
      </c>
      <c r="BF16">
        <f>IF(8&lt;n_b,(d_1+8*(b_col-2*d_1)/(n_b-1))+(phi_c/2)*0.382683,NA())</f>
        <v/>
      </c>
      <c r="BG16">
        <f>IF(8&lt;n_b,(d_1)+(phi_c/2)*-0.923880,NA())</f>
        <v/>
      </c>
      <c r="BI16">
        <f>IF(9&lt;n_b,(d_1+9*(b_col-2*d_1)/(n_b-1))+(phi_c/2)*0.382683,NA())</f>
        <v/>
      </c>
      <c r="BJ16">
        <f>IF(9&lt;n_b,(h_col-d_1)+(phi_c/2)*-0.923880,NA())</f>
        <v/>
      </c>
      <c r="BL16">
        <f>IF(9&lt;n_b,(d_1+9*(b_col-2*d_1)/(n_b-1))+(phi_c/2)*0.382683,NA())</f>
        <v/>
      </c>
      <c r="BM16">
        <f>IF(9&lt;n_b,(d_1)+(phi_c/2)*-0.923880,NA())</f>
        <v/>
      </c>
      <c r="BO16">
        <f>IF(1&lt;n_h-1,(d_1)+(phi_c/2)*0.382683,NA())</f>
        <v/>
      </c>
      <c r="BP16">
        <f>IF(1&lt;n_h-1,(h_col-d_1-1*(h_col-2*d_1)/(n_h-1))+(phi_c/2)*-0.923880,NA())</f>
        <v/>
      </c>
      <c r="BR16">
        <f>IF(1&lt;n_h-1,(b_col-d_1)+(phi_c/2)*0.382683,NA())</f>
        <v/>
      </c>
      <c r="BS16">
        <f>IF(1&lt;n_h-1,(h_col-d_1-1*(h_col-2*d_1)/(n_h-1))+(phi_c/2)*-0.923880,NA())</f>
        <v/>
      </c>
      <c r="BU16">
        <f>IF(2&lt;n_h-1,(d_1)+(phi_c/2)*0.382683,NA())</f>
        <v/>
      </c>
      <c r="BV16">
        <f>IF(2&lt;n_h-1,(h_col-d_1-2*(h_col-2*d_1)/(n_h-1))+(phi_c/2)*-0.923880,NA())</f>
        <v/>
      </c>
      <c r="BX16">
        <f>IF(2&lt;n_h-1,(b_col-d_1)+(phi_c/2)*0.382683,NA())</f>
        <v/>
      </c>
      <c r="BY16">
        <f>IF(2&lt;n_h-1,(h_col-d_1-2*(h_col-2*d_1)/(n_h-1))+(phi_c/2)*-0.923880,NA())</f>
        <v/>
      </c>
      <c r="CA16">
        <f>IF(3&lt;n_h-1,(d_1)+(phi_c/2)*0.382683,NA())</f>
        <v/>
      </c>
      <c r="CB16">
        <f>IF(3&lt;n_h-1,(h_col-d_1-3*(h_col-2*d_1)/(n_h-1))+(phi_c/2)*-0.923880,NA())</f>
        <v/>
      </c>
      <c r="CD16">
        <f>IF(3&lt;n_h-1,(b_col-d_1)+(phi_c/2)*0.382683,NA())</f>
        <v/>
      </c>
      <c r="CE16">
        <f>IF(3&lt;n_h-1,(h_col-d_1-3*(h_col-2*d_1)/(n_h-1))+(phi_c/2)*-0.923880,NA())</f>
        <v/>
      </c>
      <c r="CG16">
        <f>IF(4&lt;n_h-1,(d_1)+(phi_c/2)*0.382683,NA())</f>
        <v/>
      </c>
      <c r="CH16">
        <f>IF(4&lt;n_h-1,(h_col-d_1-4*(h_col-2*d_1)/(n_h-1))+(phi_c/2)*-0.923880,NA())</f>
        <v/>
      </c>
      <c r="CJ16">
        <f>IF(4&lt;n_h-1,(b_col-d_1)+(phi_c/2)*0.382683,NA())</f>
        <v/>
      </c>
      <c r="CK16">
        <f>IF(4&lt;n_h-1,(h_col-d_1-4*(h_col-2*d_1)/(n_h-1))+(phi_c/2)*-0.923880,NA())</f>
        <v/>
      </c>
      <c r="CM16">
        <f>IF(5&lt;n_h-1,(d_1)+(phi_c/2)*0.382683,NA())</f>
        <v/>
      </c>
      <c r="CN16">
        <f>IF(5&lt;n_h-1,(h_col-d_1-5*(h_col-2*d_1)/(n_h-1))+(phi_c/2)*-0.923880,NA())</f>
        <v/>
      </c>
      <c r="CP16">
        <f>IF(5&lt;n_h-1,(b_col-d_1)+(phi_c/2)*0.382683,NA())</f>
        <v/>
      </c>
      <c r="CQ16">
        <f>IF(5&lt;n_h-1,(h_col-d_1-5*(h_col-2*d_1)/(n_h-1))+(phi_c/2)*-0.923880,NA())</f>
        <v/>
      </c>
      <c r="CS16">
        <f>IF(6&lt;n_h-1,(d_1)+(phi_c/2)*0.382683,NA())</f>
        <v/>
      </c>
      <c r="CT16">
        <f>IF(6&lt;n_h-1,(h_col-d_1-6*(h_col-2*d_1)/(n_h-1))+(phi_c/2)*-0.923880,NA())</f>
        <v/>
      </c>
      <c r="CV16">
        <f>IF(6&lt;n_h-1,(b_col-d_1)+(phi_c/2)*0.382683,NA())</f>
        <v/>
      </c>
      <c r="CW16">
        <f>IF(6&lt;n_h-1,(h_col-d_1-6*(h_col-2*d_1)/(n_h-1))+(phi_c/2)*-0.923880,NA())</f>
        <v/>
      </c>
      <c r="CY16">
        <f>IF(7&lt;n_h-1,(d_1)+(phi_c/2)*0.382683,NA())</f>
        <v/>
      </c>
      <c r="CZ16">
        <f>IF(7&lt;n_h-1,(h_col-d_1-7*(h_col-2*d_1)/(n_h-1))+(phi_c/2)*-0.923880,NA())</f>
        <v/>
      </c>
      <c r="DB16">
        <f>IF(7&lt;n_h-1,(b_col-d_1)+(phi_c/2)*0.382683,NA())</f>
        <v/>
      </c>
      <c r="DC16">
        <f>IF(7&lt;n_h-1,(h_col-d_1-7*(h_col-2*d_1)/(n_h-1))+(phi_c/2)*-0.923880,NA())</f>
        <v/>
      </c>
      <c r="DE16">
        <f>IF(8&lt;n_h-1,(d_1)+(phi_c/2)*0.382683,NA())</f>
        <v/>
      </c>
      <c r="DF16">
        <f>IF(8&lt;n_h-1,(h_col-d_1-8*(h_col-2*d_1)/(n_h-1))+(phi_c/2)*-0.923880,NA())</f>
        <v/>
      </c>
      <c r="DH16">
        <f>IF(8&lt;n_h-1,(b_col-d_1)+(phi_c/2)*0.382683,NA())</f>
        <v/>
      </c>
      <c r="DI16">
        <f>IF(8&lt;n_h-1,(h_col-d_1-8*(h_col-2*d_1)/(n_h-1))+(phi_c/2)*-0.923880,NA())</f>
        <v/>
      </c>
      <c r="GT16">
        <f>INDEX(nm_M,14)*1.5/M_pk</f>
        <v/>
      </c>
      <c r="GU16">
        <f>INDEX(nm_N,14)/N_Rdmax</f>
        <v/>
      </c>
    </row>
    <row r="17">
      <c r="G17">
        <f>IF(0&lt;n_b,(d_1+0*(b_col-2*d_1)/(n_b-1))+(phi_c/2)*0.707107,NA())</f>
        <v/>
      </c>
      <c r="H17">
        <f>IF(0&lt;n_b,(h_col-d_1)+(phi_c/2)*-0.707107,NA())</f>
        <v/>
      </c>
      <c r="J17">
        <f>IF(0&lt;n_b,(d_1+0*(b_col-2*d_1)/(n_b-1))+(phi_c/2)*0.707107,NA())</f>
        <v/>
      </c>
      <c r="K17">
        <f>IF(0&lt;n_b,(d_1)+(phi_c/2)*-0.707107,NA())</f>
        <v/>
      </c>
      <c r="M17">
        <f>IF(1&lt;n_b,(d_1+1*(b_col-2*d_1)/(n_b-1))+(phi_c/2)*0.707107,NA())</f>
        <v/>
      </c>
      <c r="N17">
        <f>IF(1&lt;n_b,(h_col-d_1)+(phi_c/2)*-0.707107,NA())</f>
        <v/>
      </c>
      <c r="P17">
        <f>IF(1&lt;n_b,(d_1+1*(b_col-2*d_1)/(n_b-1))+(phi_c/2)*0.707107,NA())</f>
        <v/>
      </c>
      <c r="Q17">
        <f>IF(1&lt;n_b,(d_1)+(phi_c/2)*-0.707107,NA())</f>
        <v/>
      </c>
      <c r="S17">
        <f>IF(2&lt;n_b,(d_1+2*(b_col-2*d_1)/(n_b-1))+(phi_c/2)*0.707107,NA())</f>
        <v/>
      </c>
      <c r="T17">
        <f>IF(2&lt;n_b,(h_col-d_1)+(phi_c/2)*-0.707107,NA())</f>
        <v/>
      </c>
      <c r="V17">
        <f>IF(2&lt;n_b,(d_1+2*(b_col-2*d_1)/(n_b-1))+(phi_c/2)*0.707107,NA())</f>
        <v/>
      </c>
      <c r="W17">
        <f>IF(2&lt;n_b,(d_1)+(phi_c/2)*-0.707107,NA())</f>
        <v/>
      </c>
      <c r="Y17">
        <f>IF(3&lt;n_b,(d_1+3*(b_col-2*d_1)/(n_b-1))+(phi_c/2)*0.707107,NA())</f>
        <v/>
      </c>
      <c r="Z17">
        <f>IF(3&lt;n_b,(h_col-d_1)+(phi_c/2)*-0.707107,NA())</f>
        <v/>
      </c>
      <c r="AB17">
        <f>IF(3&lt;n_b,(d_1+3*(b_col-2*d_1)/(n_b-1))+(phi_c/2)*0.707107,NA())</f>
        <v/>
      </c>
      <c r="AC17">
        <f>IF(3&lt;n_b,(d_1)+(phi_c/2)*-0.707107,NA())</f>
        <v/>
      </c>
      <c r="AE17">
        <f>IF(4&lt;n_b,(d_1+4*(b_col-2*d_1)/(n_b-1))+(phi_c/2)*0.707107,NA())</f>
        <v/>
      </c>
      <c r="AF17">
        <f>IF(4&lt;n_b,(h_col-d_1)+(phi_c/2)*-0.707107,NA())</f>
        <v/>
      </c>
      <c r="AH17">
        <f>IF(4&lt;n_b,(d_1+4*(b_col-2*d_1)/(n_b-1))+(phi_c/2)*0.707107,NA())</f>
        <v/>
      </c>
      <c r="AI17">
        <f>IF(4&lt;n_b,(d_1)+(phi_c/2)*-0.707107,NA())</f>
        <v/>
      </c>
      <c r="AK17">
        <f>IF(5&lt;n_b,(d_1+5*(b_col-2*d_1)/(n_b-1))+(phi_c/2)*0.707107,NA())</f>
        <v/>
      </c>
      <c r="AL17">
        <f>IF(5&lt;n_b,(h_col-d_1)+(phi_c/2)*-0.707107,NA())</f>
        <v/>
      </c>
      <c r="AN17">
        <f>IF(5&lt;n_b,(d_1+5*(b_col-2*d_1)/(n_b-1))+(phi_c/2)*0.707107,NA())</f>
        <v/>
      </c>
      <c r="AO17">
        <f>IF(5&lt;n_b,(d_1)+(phi_c/2)*-0.707107,NA())</f>
        <v/>
      </c>
      <c r="AQ17">
        <f>IF(6&lt;n_b,(d_1+6*(b_col-2*d_1)/(n_b-1))+(phi_c/2)*0.707107,NA())</f>
        <v/>
      </c>
      <c r="AR17">
        <f>IF(6&lt;n_b,(h_col-d_1)+(phi_c/2)*-0.707107,NA())</f>
        <v/>
      </c>
      <c r="AT17">
        <f>IF(6&lt;n_b,(d_1+6*(b_col-2*d_1)/(n_b-1))+(phi_c/2)*0.707107,NA())</f>
        <v/>
      </c>
      <c r="AU17">
        <f>IF(6&lt;n_b,(d_1)+(phi_c/2)*-0.707107,NA())</f>
        <v/>
      </c>
      <c r="AW17">
        <f>IF(7&lt;n_b,(d_1+7*(b_col-2*d_1)/(n_b-1))+(phi_c/2)*0.707107,NA())</f>
        <v/>
      </c>
      <c r="AX17">
        <f>IF(7&lt;n_b,(h_col-d_1)+(phi_c/2)*-0.707107,NA())</f>
        <v/>
      </c>
      <c r="AZ17">
        <f>IF(7&lt;n_b,(d_1+7*(b_col-2*d_1)/(n_b-1))+(phi_c/2)*0.707107,NA())</f>
        <v/>
      </c>
      <c r="BA17">
        <f>IF(7&lt;n_b,(d_1)+(phi_c/2)*-0.707107,NA())</f>
        <v/>
      </c>
      <c r="BC17">
        <f>IF(8&lt;n_b,(d_1+8*(b_col-2*d_1)/(n_b-1))+(phi_c/2)*0.707107,NA())</f>
        <v/>
      </c>
      <c r="BD17">
        <f>IF(8&lt;n_b,(h_col-d_1)+(phi_c/2)*-0.707107,NA())</f>
        <v/>
      </c>
      <c r="BF17">
        <f>IF(8&lt;n_b,(d_1+8*(b_col-2*d_1)/(n_b-1))+(phi_c/2)*0.707107,NA())</f>
        <v/>
      </c>
      <c r="BG17">
        <f>IF(8&lt;n_b,(d_1)+(phi_c/2)*-0.707107,NA())</f>
        <v/>
      </c>
      <c r="BI17">
        <f>IF(9&lt;n_b,(d_1+9*(b_col-2*d_1)/(n_b-1))+(phi_c/2)*0.707107,NA())</f>
        <v/>
      </c>
      <c r="BJ17">
        <f>IF(9&lt;n_b,(h_col-d_1)+(phi_c/2)*-0.707107,NA())</f>
        <v/>
      </c>
      <c r="BL17">
        <f>IF(9&lt;n_b,(d_1+9*(b_col-2*d_1)/(n_b-1))+(phi_c/2)*0.707107,NA())</f>
        <v/>
      </c>
      <c r="BM17">
        <f>IF(9&lt;n_b,(d_1)+(phi_c/2)*-0.707107,NA())</f>
        <v/>
      </c>
      <c r="BO17">
        <f>IF(1&lt;n_h-1,(d_1)+(phi_c/2)*0.707107,NA())</f>
        <v/>
      </c>
      <c r="BP17">
        <f>IF(1&lt;n_h-1,(h_col-d_1-1*(h_col-2*d_1)/(n_h-1))+(phi_c/2)*-0.707107,NA())</f>
        <v/>
      </c>
      <c r="BR17">
        <f>IF(1&lt;n_h-1,(b_col-d_1)+(phi_c/2)*0.707107,NA())</f>
        <v/>
      </c>
      <c r="BS17">
        <f>IF(1&lt;n_h-1,(h_col-d_1-1*(h_col-2*d_1)/(n_h-1))+(phi_c/2)*-0.707107,NA())</f>
        <v/>
      </c>
      <c r="BU17">
        <f>IF(2&lt;n_h-1,(d_1)+(phi_c/2)*0.707107,NA())</f>
        <v/>
      </c>
      <c r="BV17">
        <f>IF(2&lt;n_h-1,(h_col-d_1-2*(h_col-2*d_1)/(n_h-1))+(phi_c/2)*-0.707107,NA())</f>
        <v/>
      </c>
      <c r="BX17">
        <f>IF(2&lt;n_h-1,(b_col-d_1)+(phi_c/2)*0.707107,NA())</f>
        <v/>
      </c>
      <c r="BY17">
        <f>IF(2&lt;n_h-1,(h_col-d_1-2*(h_col-2*d_1)/(n_h-1))+(phi_c/2)*-0.707107,NA())</f>
        <v/>
      </c>
      <c r="CA17">
        <f>IF(3&lt;n_h-1,(d_1)+(phi_c/2)*0.707107,NA())</f>
        <v/>
      </c>
      <c r="CB17">
        <f>IF(3&lt;n_h-1,(h_col-d_1-3*(h_col-2*d_1)/(n_h-1))+(phi_c/2)*-0.707107,NA())</f>
        <v/>
      </c>
      <c r="CD17">
        <f>IF(3&lt;n_h-1,(b_col-d_1)+(phi_c/2)*0.707107,NA())</f>
        <v/>
      </c>
      <c r="CE17">
        <f>IF(3&lt;n_h-1,(h_col-d_1-3*(h_col-2*d_1)/(n_h-1))+(phi_c/2)*-0.707107,NA())</f>
        <v/>
      </c>
      <c r="CG17">
        <f>IF(4&lt;n_h-1,(d_1)+(phi_c/2)*0.707107,NA())</f>
        <v/>
      </c>
      <c r="CH17">
        <f>IF(4&lt;n_h-1,(h_col-d_1-4*(h_col-2*d_1)/(n_h-1))+(phi_c/2)*-0.707107,NA())</f>
        <v/>
      </c>
      <c r="CJ17">
        <f>IF(4&lt;n_h-1,(b_col-d_1)+(phi_c/2)*0.707107,NA())</f>
        <v/>
      </c>
      <c r="CK17">
        <f>IF(4&lt;n_h-1,(h_col-d_1-4*(h_col-2*d_1)/(n_h-1))+(phi_c/2)*-0.707107,NA())</f>
        <v/>
      </c>
      <c r="CM17">
        <f>IF(5&lt;n_h-1,(d_1)+(phi_c/2)*0.707107,NA())</f>
        <v/>
      </c>
      <c r="CN17">
        <f>IF(5&lt;n_h-1,(h_col-d_1-5*(h_col-2*d_1)/(n_h-1))+(phi_c/2)*-0.707107,NA())</f>
        <v/>
      </c>
      <c r="CP17">
        <f>IF(5&lt;n_h-1,(b_col-d_1)+(phi_c/2)*0.707107,NA())</f>
        <v/>
      </c>
      <c r="CQ17">
        <f>IF(5&lt;n_h-1,(h_col-d_1-5*(h_col-2*d_1)/(n_h-1))+(phi_c/2)*-0.707107,NA())</f>
        <v/>
      </c>
      <c r="CS17">
        <f>IF(6&lt;n_h-1,(d_1)+(phi_c/2)*0.707107,NA())</f>
        <v/>
      </c>
      <c r="CT17">
        <f>IF(6&lt;n_h-1,(h_col-d_1-6*(h_col-2*d_1)/(n_h-1))+(phi_c/2)*-0.707107,NA())</f>
        <v/>
      </c>
      <c r="CV17">
        <f>IF(6&lt;n_h-1,(b_col-d_1)+(phi_c/2)*0.707107,NA())</f>
        <v/>
      </c>
      <c r="CW17">
        <f>IF(6&lt;n_h-1,(h_col-d_1-6*(h_col-2*d_1)/(n_h-1))+(phi_c/2)*-0.707107,NA())</f>
        <v/>
      </c>
      <c r="CY17">
        <f>IF(7&lt;n_h-1,(d_1)+(phi_c/2)*0.707107,NA())</f>
        <v/>
      </c>
      <c r="CZ17">
        <f>IF(7&lt;n_h-1,(h_col-d_1-7*(h_col-2*d_1)/(n_h-1))+(phi_c/2)*-0.707107,NA())</f>
        <v/>
      </c>
      <c r="DB17">
        <f>IF(7&lt;n_h-1,(b_col-d_1)+(phi_c/2)*0.707107,NA())</f>
        <v/>
      </c>
      <c r="DC17">
        <f>IF(7&lt;n_h-1,(h_col-d_1-7*(h_col-2*d_1)/(n_h-1))+(phi_c/2)*-0.707107,NA())</f>
        <v/>
      </c>
      <c r="DE17">
        <f>IF(8&lt;n_h-1,(d_1)+(phi_c/2)*0.707107,NA())</f>
        <v/>
      </c>
      <c r="DF17">
        <f>IF(8&lt;n_h-1,(h_col-d_1-8*(h_col-2*d_1)/(n_h-1))+(phi_c/2)*-0.707107,NA())</f>
        <v/>
      </c>
      <c r="DH17">
        <f>IF(8&lt;n_h-1,(b_col-d_1)+(phi_c/2)*0.707107,NA())</f>
        <v/>
      </c>
      <c r="DI17">
        <f>IF(8&lt;n_h-1,(h_col-d_1-8*(h_col-2*d_1)/(n_h-1))+(phi_c/2)*-0.707107,NA())</f>
        <v/>
      </c>
      <c r="GT17">
        <f>INDEX(nm_M,15)*1.5/M_pk</f>
        <v/>
      </c>
      <c r="GU17">
        <f>INDEX(nm_N,15)/N_Rdmax</f>
        <v/>
      </c>
    </row>
    <row r="18">
      <c r="G18">
        <f>IF(0&lt;n_b,(d_1+0*(b_col-2*d_1)/(n_b-1))+(phi_c/2)*0.923880,NA())</f>
        <v/>
      </c>
      <c r="H18">
        <f>IF(0&lt;n_b,(h_col-d_1)+(phi_c/2)*-0.382683,NA())</f>
        <v/>
      </c>
      <c r="J18">
        <f>IF(0&lt;n_b,(d_1+0*(b_col-2*d_1)/(n_b-1))+(phi_c/2)*0.923880,NA())</f>
        <v/>
      </c>
      <c r="K18">
        <f>IF(0&lt;n_b,(d_1)+(phi_c/2)*-0.382683,NA())</f>
        <v/>
      </c>
      <c r="M18">
        <f>IF(1&lt;n_b,(d_1+1*(b_col-2*d_1)/(n_b-1))+(phi_c/2)*0.923880,NA())</f>
        <v/>
      </c>
      <c r="N18">
        <f>IF(1&lt;n_b,(h_col-d_1)+(phi_c/2)*-0.382683,NA())</f>
        <v/>
      </c>
      <c r="P18">
        <f>IF(1&lt;n_b,(d_1+1*(b_col-2*d_1)/(n_b-1))+(phi_c/2)*0.923880,NA())</f>
        <v/>
      </c>
      <c r="Q18">
        <f>IF(1&lt;n_b,(d_1)+(phi_c/2)*-0.382683,NA())</f>
        <v/>
      </c>
      <c r="S18">
        <f>IF(2&lt;n_b,(d_1+2*(b_col-2*d_1)/(n_b-1))+(phi_c/2)*0.923880,NA())</f>
        <v/>
      </c>
      <c r="T18">
        <f>IF(2&lt;n_b,(h_col-d_1)+(phi_c/2)*-0.382683,NA())</f>
        <v/>
      </c>
      <c r="V18">
        <f>IF(2&lt;n_b,(d_1+2*(b_col-2*d_1)/(n_b-1))+(phi_c/2)*0.923880,NA())</f>
        <v/>
      </c>
      <c r="W18">
        <f>IF(2&lt;n_b,(d_1)+(phi_c/2)*-0.382683,NA())</f>
        <v/>
      </c>
      <c r="Y18">
        <f>IF(3&lt;n_b,(d_1+3*(b_col-2*d_1)/(n_b-1))+(phi_c/2)*0.923880,NA())</f>
        <v/>
      </c>
      <c r="Z18">
        <f>IF(3&lt;n_b,(h_col-d_1)+(phi_c/2)*-0.382683,NA())</f>
        <v/>
      </c>
      <c r="AB18">
        <f>IF(3&lt;n_b,(d_1+3*(b_col-2*d_1)/(n_b-1))+(phi_c/2)*0.923880,NA())</f>
        <v/>
      </c>
      <c r="AC18">
        <f>IF(3&lt;n_b,(d_1)+(phi_c/2)*-0.382683,NA())</f>
        <v/>
      </c>
      <c r="AE18">
        <f>IF(4&lt;n_b,(d_1+4*(b_col-2*d_1)/(n_b-1))+(phi_c/2)*0.923880,NA())</f>
        <v/>
      </c>
      <c r="AF18">
        <f>IF(4&lt;n_b,(h_col-d_1)+(phi_c/2)*-0.382683,NA())</f>
        <v/>
      </c>
      <c r="AH18">
        <f>IF(4&lt;n_b,(d_1+4*(b_col-2*d_1)/(n_b-1))+(phi_c/2)*0.923880,NA())</f>
        <v/>
      </c>
      <c r="AI18">
        <f>IF(4&lt;n_b,(d_1)+(phi_c/2)*-0.382683,NA())</f>
        <v/>
      </c>
      <c r="AK18">
        <f>IF(5&lt;n_b,(d_1+5*(b_col-2*d_1)/(n_b-1))+(phi_c/2)*0.923880,NA())</f>
        <v/>
      </c>
      <c r="AL18">
        <f>IF(5&lt;n_b,(h_col-d_1)+(phi_c/2)*-0.382683,NA())</f>
        <v/>
      </c>
      <c r="AN18">
        <f>IF(5&lt;n_b,(d_1+5*(b_col-2*d_1)/(n_b-1))+(phi_c/2)*0.923880,NA())</f>
        <v/>
      </c>
      <c r="AO18">
        <f>IF(5&lt;n_b,(d_1)+(phi_c/2)*-0.382683,NA())</f>
        <v/>
      </c>
      <c r="AQ18">
        <f>IF(6&lt;n_b,(d_1+6*(b_col-2*d_1)/(n_b-1))+(phi_c/2)*0.923880,NA())</f>
        <v/>
      </c>
      <c r="AR18">
        <f>IF(6&lt;n_b,(h_col-d_1)+(phi_c/2)*-0.382683,NA())</f>
        <v/>
      </c>
      <c r="AT18">
        <f>IF(6&lt;n_b,(d_1+6*(b_col-2*d_1)/(n_b-1))+(phi_c/2)*0.923880,NA())</f>
        <v/>
      </c>
      <c r="AU18">
        <f>IF(6&lt;n_b,(d_1)+(phi_c/2)*-0.382683,NA())</f>
        <v/>
      </c>
      <c r="AW18">
        <f>IF(7&lt;n_b,(d_1+7*(b_col-2*d_1)/(n_b-1))+(phi_c/2)*0.923880,NA())</f>
        <v/>
      </c>
      <c r="AX18">
        <f>IF(7&lt;n_b,(h_col-d_1)+(phi_c/2)*-0.382683,NA())</f>
        <v/>
      </c>
      <c r="AZ18">
        <f>IF(7&lt;n_b,(d_1+7*(b_col-2*d_1)/(n_b-1))+(phi_c/2)*0.923880,NA())</f>
        <v/>
      </c>
      <c r="BA18">
        <f>IF(7&lt;n_b,(d_1)+(phi_c/2)*-0.382683,NA())</f>
        <v/>
      </c>
      <c r="BC18">
        <f>IF(8&lt;n_b,(d_1+8*(b_col-2*d_1)/(n_b-1))+(phi_c/2)*0.923880,NA())</f>
        <v/>
      </c>
      <c r="BD18">
        <f>IF(8&lt;n_b,(h_col-d_1)+(phi_c/2)*-0.382683,NA())</f>
        <v/>
      </c>
      <c r="BF18">
        <f>IF(8&lt;n_b,(d_1+8*(b_col-2*d_1)/(n_b-1))+(phi_c/2)*0.923880,NA())</f>
        <v/>
      </c>
      <c r="BG18">
        <f>IF(8&lt;n_b,(d_1)+(phi_c/2)*-0.382683,NA())</f>
        <v/>
      </c>
      <c r="BI18">
        <f>IF(9&lt;n_b,(d_1+9*(b_col-2*d_1)/(n_b-1))+(phi_c/2)*0.923880,NA())</f>
        <v/>
      </c>
      <c r="BJ18">
        <f>IF(9&lt;n_b,(h_col-d_1)+(phi_c/2)*-0.382683,NA())</f>
        <v/>
      </c>
      <c r="BL18">
        <f>IF(9&lt;n_b,(d_1+9*(b_col-2*d_1)/(n_b-1))+(phi_c/2)*0.923880,NA())</f>
        <v/>
      </c>
      <c r="BM18">
        <f>IF(9&lt;n_b,(d_1)+(phi_c/2)*-0.382683,NA())</f>
        <v/>
      </c>
      <c r="BO18">
        <f>IF(1&lt;n_h-1,(d_1)+(phi_c/2)*0.923880,NA())</f>
        <v/>
      </c>
      <c r="BP18">
        <f>IF(1&lt;n_h-1,(h_col-d_1-1*(h_col-2*d_1)/(n_h-1))+(phi_c/2)*-0.382683,NA())</f>
        <v/>
      </c>
      <c r="BR18">
        <f>IF(1&lt;n_h-1,(b_col-d_1)+(phi_c/2)*0.923880,NA())</f>
        <v/>
      </c>
      <c r="BS18">
        <f>IF(1&lt;n_h-1,(h_col-d_1-1*(h_col-2*d_1)/(n_h-1))+(phi_c/2)*-0.382683,NA())</f>
        <v/>
      </c>
      <c r="BU18">
        <f>IF(2&lt;n_h-1,(d_1)+(phi_c/2)*0.923880,NA())</f>
        <v/>
      </c>
      <c r="BV18">
        <f>IF(2&lt;n_h-1,(h_col-d_1-2*(h_col-2*d_1)/(n_h-1))+(phi_c/2)*-0.382683,NA())</f>
        <v/>
      </c>
      <c r="BX18">
        <f>IF(2&lt;n_h-1,(b_col-d_1)+(phi_c/2)*0.923880,NA())</f>
        <v/>
      </c>
      <c r="BY18">
        <f>IF(2&lt;n_h-1,(h_col-d_1-2*(h_col-2*d_1)/(n_h-1))+(phi_c/2)*-0.382683,NA())</f>
        <v/>
      </c>
      <c r="CA18">
        <f>IF(3&lt;n_h-1,(d_1)+(phi_c/2)*0.923880,NA())</f>
        <v/>
      </c>
      <c r="CB18">
        <f>IF(3&lt;n_h-1,(h_col-d_1-3*(h_col-2*d_1)/(n_h-1))+(phi_c/2)*-0.382683,NA())</f>
        <v/>
      </c>
      <c r="CD18">
        <f>IF(3&lt;n_h-1,(b_col-d_1)+(phi_c/2)*0.923880,NA())</f>
        <v/>
      </c>
      <c r="CE18">
        <f>IF(3&lt;n_h-1,(h_col-d_1-3*(h_col-2*d_1)/(n_h-1))+(phi_c/2)*-0.382683,NA())</f>
        <v/>
      </c>
      <c r="CG18">
        <f>IF(4&lt;n_h-1,(d_1)+(phi_c/2)*0.923880,NA())</f>
        <v/>
      </c>
      <c r="CH18">
        <f>IF(4&lt;n_h-1,(h_col-d_1-4*(h_col-2*d_1)/(n_h-1))+(phi_c/2)*-0.382683,NA())</f>
        <v/>
      </c>
      <c r="CJ18">
        <f>IF(4&lt;n_h-1,(b_col-d_1)+(phi_c/2)*0.923880,NA())</f>
        <v/>
      </c>
      <c r="CK18">
        <f>IF(4&lt;n_h-1,(h_col-d_1-4*(h_col-2*d_1)/(n_h-1))+(phi_c/2)*-0.382683,NA())</f>
        <v/>
      </c>
      <c r="CM18">
        <f>IF(5&lt;n_h-1,(d_1)+(phi_c/2)*0.923880,NA())</f>
        <v/>
      </c>
      <c r="CN18">
        <f>IF(5&lt;n_h-1,(h_col-d_1-5*(h_col-2*d_1)/(n_h-1))+(phi_c/2)*-0.382683,NA())</f>
        <v/>
      </c>
      <c r="CP18">
        <f>IF(5&lt;n_h-1,(b_col-d_1)+(phi_c/2)*0.923880,NA())</f>
        <v/>
      </c>
      <c r="CQ18">
        <f>IF(5&lt;n_h-1,(h_col-d_1-5*(h_col-2*d_1)/(n_h-1))+(phi_c/2)*-0.382683,NA())</f>
        <v/>
      </c>
      <c r="CS18">
        <f>IF(6&lt;n_h-1,(d_1)+(phi_c/2)*0.923880,NA())</f>
        <v/>
      </c>
      <c r="CT18">
        <f>IF(6&lt;n_h-1,(h_col-d_1-6*(h_col-2*d_1)/(n_h-1))+(phi_c/2)*-0.382683,NA())</f>
        <v/>
      </c>
      <c r="CV18">
        <f>IF(6&lt;n_h-1,(b_col-d_1)+(phi_c/2)*0.923880,NA())</f>
        <v/>
      </c>
      <c r="CW18">
        <f>IF(6&lt;n_h-1,(h_col-d_1-6*(h_col-2*d_1)/(n_h-1))+(phi_c/2)*-0.382683,NA())</f>
        <v/>
      </c>
      <c r="CY18">
        <f>IF(7&lt;n_h-1,(d_1)+(phi_c/2)*0.923880,NA())</f>
        <v/>
      </c>
      <c r="CZ18">
        <f>IF(7&lt;n_h-1,(h_col-d_1-7*(h_col-2*d_1)/(n_h-1))+(phi_c/2)*-0.382683,NA())</f>
        <v/>
      </c>
      <c r="DB18">
        <f>IF(7&lt;n_h-1,(b_col-d_1)+(phi_c/2)*0.923880,NA())</f>
        <v/>
      </c>
      <c r="DC18">
        <f>IF(7&lt;n_h-1,(h_col-d_1-7*(h_col-2*d_1)/(n_h-1))+(phi_c/2)*-0.382683,NA())</f>
        <v/>
      </c>
      <c r="DE18">
        <f>IF(8&lt;n_h-1,(d_1)+(phi_c/2)*0.923880,NA())</f>
        <v/>
      </c>
      <c r="DF18">
        <f>IF(8&lt;n_h-1,(h_col-d_1-8*(h_col-2*d_1)/(n_h-1))+(phi_c/2)*-0.382683,NA())</f>
        <v/>
      </c>
      <c r="DH18">
        <f>IF(8&lt;n_h-1,(b_col-d_1)+(phi_c/2)*0.923880,NA())</f>
        <v/>
      </c>
      <c r="DI18">
        <f>IF(8&lt;n_h-1,(h_col-d_1-8*(h_col-2*d_1)/(n_h-1))+(phi_c/2)*-0.382683,NA())</f>
        <v/>
      </c>
      <c r="GT18">
        <f>INDEX(nm_M,16)*1.5/M_pk</f>
        <v/>
      </c>
      <c r="GU18">
        <f>INDEX(nm_N,16)/N_Rdmax</f>
        <v/>
      </c>
    </row>
    <row r="19">
      <c r="G19">
        <f>IF(0&lt;n_b,(d_1+0*(b_col-2*d_1)/(n_b-1))+(phi_c/2)*1.000000,NA())</f>
        <v/>
      </c>
      <c r="H19">
        <f>IF(0&lt;n_b,(h_col-d_1)+(phi_c/2)*-0.000000,NA())</f>
        <v/>
      </c>
      <c r="J19">
        <f>IF(0&lt;n_b,(d_1+0*(b_col-2*d_1)/(n_b-1))+(phi_c/2)*1.000000,NA())</f>
        <v/>
      </c>
      <c r="K19">
        <f>IF(0&lt;n_b,(d_1)+(phi_c/2)*-0.000000,NA())</f>
        <v/>
      </c>
      <c r="M19">
        <f>IF(1&lt;n_b,(d_1+1*(b_col-2*d_1)/(n_b-1))+(phi_c/2)*1.000000,NA())</f>
        <v/>
      </c>
      <c r="N19">
        <f>IF(1&lt;n_b,(h_col-d_1)+(phi_c/2)*-0.000000,NA())</f>
        <v/>
      </c>
      <c r="P19">
        <f>IF(1&lt;n_b,(d_1+1*(b_col-2*d_1)/(n_b-1))+(phi_c/2)*1.000000,NA())</f>
        <v/>
      </c>
      <c r="Q19">
        <f>IF(1&lt;n_b,(d_1)+(phi_c/2)*-0.000000,NA())</f>
        <v/>
      </c>
      <c r="S19">
        <f>IF(2&lt;n_b,(d_1+2*(b_col-2*d_1)/(n_b-1))+(phi_c/2)*1.000000,NA())</f>
        <v/>
      </c>
      <c r="T19">
        <f>IF(2&lt;n_b,(h_col-d_1)+(phi_c/2)*-0.000000,NA())</f>
        <v/>
      </c>
      <c r="V19">
        <f>IF(2&lt;n_b,(d_1+2*(b_col-2*d_1)/(n_b-1))+(phi_c/2)*1.000000,NA())</f>
        <v/>
      </c>
      <c r="W19">
        <f>IF(2&lt;n_b,(d_1)+(phi_c/2)*-0.000000,NA())</f>
        <v/>
      </c>
      <c r="Y19">
        <f>IF(3&lt;n_b,(d_1+3*(b_col-2*d_1)/(n_b-1))+(phi_c/2)*1.000000,NA())</f>
        <v/>
      </c>
      <c r="Z19">
        <f>IF(3&lt;n_b,(h_col-d_1)+(phi_c/2)*-0.000000,NA())</f>
        <v/>
      </c>
      <c r="AB19">
        <f>IF(3&lt;n_b,(d_1+3*(b_col-2*d_1)/(n_b-1))+(phi_c/2)*1.000000,NA())</f>
        <v/>
      </c>
      <c r="AC19">
        <f>IF(3&lt;n_b,(d_1)+(phi_c/2)*-0.000000,NA())</f>
        <v/>
      </c>
      <c r="AE19">
        <f>IF(4&lt;n_b,(d_1+4*(b_col-2*d_1)/(n_b-1))+(phi_c/2)*1.000000,NA())</f>
        <v/>
      </c>
      <c r="AF19">
        <f>IF(4&lt;n_b,(h_col-d_1)+(phi_c/2)*-0.000000,NA())</f>
        <v/>
      </c>
      <c r="AH19">
        <f>IF(4&lt;n_b,(d_1+4*(b_col-2*d_1)/(n_b-1))+(phi_c/2)*1.000000,NA())</f>
        <v/>
      </c>
      <c r="AI19">
        <f>IF(4&lt;n_b,(d_1)+(phi_c/2)*-0.000000,NA())</f>
        <v/>
      </c>
      <c r="AK19">
        <f>IF(5&lt;n_b,(d_1+5*(b_col-2*d_1)/(n_b-1))+(phi_c/2)*1.000000,NA())</f>
        <v/>
      </c>
      <c r="AL19">
        <f>IF(5&lt;n_b,(h_col-d_1)+(phi_c/2)*-0.000000,NA())</f>
        <v/>
      </c>
      <c r="AN19">
        <f>IF(5&lt;n_b,(d_1+5*(b_col-2*d_1)/(n_b-1))+(phi_c/2)*1.000000,NA())</f>
        <v/>
      </c>
      <c r="AO19">
        <f>IF(5&lt;n_b,(d_1)+(phi_c/2)*-0.000000,NA())</f>
        <v/>
      </c>
      <c r="AQ19">
        <f>IF(6&lt;n_b,(d_1+6*(b_col-2*d_1)/(n_b-1))+(phi_c/2)*1.000000,NA())</f>
        <v/>
      </c>
      <c r="AR19">
        <f>IF(6&lt;n_b,(h_col-d_1)+(phi_c/2)*-0.000000,NA())</f>
        <v/>
      </c>
      <c r="AT19">
        <f>IF(6&lt;n_b,(d_1+6*(b_col-2*d_1)/(n_b-1))+(phi_c/2)*1.000000,NA())</f>
        <v/>
      </c>
      <c r="AU19">
        <f>IF(6&lt;n_b,(d_1)+(phi_c/2)*-0.000000,NA())</f>
        <v/>
      </c>
      <c r="AW19">
        <f>IF(7&lt;n_b,(d_1+7*(b_col-2*d_1)/(n_b-1))+(phi_c/2)*1.000000,NA())</f>
        <v/>
      </c>
      <c r="AX19">
        <f>IF(7&lt;n_b,(h_col-d_1)+(phi_c/2)*-0.000000,NA())</f>
        <v/>
      </c>
      <c r="AZ19">
        <f>IF(7&lt;n_b,(d_1+7*(b_col-2*d_1)/(n_b-1))+(phi_c/2)*1.000000,NA())</f>
        <v/>
      </c>
      <c r="BA19">
        <f>IF(7&lt;n_b,(d_1)+(phi_c/2)*-0.000000,NA())</f>
        <v/>
      </c>
      <c r="BC19">
        <f>IF(8&lt;n_b,(d_1+8*(b_col-2*d_1)/(n_b-1))+(phi_c/2)*1.000000,NA())</f>
        <v/>
      </c>
      <c r="BD19">
        <f>IF(8&lt;n_b,(h_col-d_1)+(phi_c/2)*-0.000000,NA())</f>
        <v/>
      </c>
      <c r="BF19">
        <f>IF(8&lt;n_b,(d_1+8*(b_col-2*d_1)/(n_b-1))+(phi_c/2)*1.000000,NA())</f>
        <v/>
      </c>
      <c r="BG19">
        <f>IF(8&lt;n_b,(d_1)+(phi_c/2)*-0.000000,NA())</f>
        <v/>
      </c>
      <c r="BI19">
        <f>IF(9&lt;n_b,(d_1+9*(b_col-2*d_1)/(n_b-1))+(phi_c/2)*1.000000,NA())</f>
        <v/>
      </c>
      <c r="BJ19">
        <f>IF(9&lt;n_b,(h_col-d_1)+(phi_c/2)*-0.000000,NA())</f>
        <v/>
      </c>
      <c r="BL19">
        <f>IF(9&lt;n_b,(d_1+9*(b_col-2*d_1)/(n_b-1))+(phi_c/2)*1.000000,NA())</f>
        <v/>
      </c>
      <c r="BM19">
        <f>IF(9&lt;n_b,(d_1)+(phi_c/2)*-0.000000,NA())</f>
        <v/>
      </c>
      <c r="BO19">
        <f>IF(1&lt;n_h-1,(d_1)+(phi_c/2)*1.000000,NA())</f>
        <v/>
      </c>
      <c r="BP19">
        <f>IF(1&lt;n_h-1,(h_col-d_1-1*(h_col-2*d_1)/(n_h-1))+(phi_c/2)*-0.000000,NA())</f>
        <v/>
      </c>
      <c r="BR19">
        <f>IF(1&lt;n_h-1,(b_col-d_1)+(phi_c/2)*1.000000,NA())</f>
        <v/>
      </c>
      <c r="BS19">
        <f>IF(1&lt;n_h-1,(h_col-d_1-1*(h_col-2*d_1)/(n_h-1))+(phi_c/2)*-0.000000,NA())</f>
        <v/>
      </c>
      <c r="BU19">
        <f>IF(2&lt;n_h-1,(d_1)+(phi_c/2)*1.000000,NA())</f>
        <v/>
      </c>
      <c r="BV19">
        <f>IF(2&lt;n_h-1,(h_col-d_1-2*(h_col-2*d_1)/(n_h-1))+(phi_c/2)*-0.000000,NA())</f>
        <v/>
      </c>
      <c r="BX19">
        <f>IF(2&lt;n_h-1,(b_col-d_1)+(phi_c/2)*1.000000,NA())</f>
        <v/>
      </c>
      <c r="BY19">
        <f>IF(2&lt;n_h-1,(h_col-d_1-2*(h_col-2*d_1)/(n_h-1))+(phi_c/2)*-0.000000,NA())</f>
        <v/>
      </c>
      <c r="CA19">
        <f>IF(3&lt;n_h-1,(d_1)+(phi_c/2)*1.000000,NA())</f>
        <v/>
      </c>
      <c r="CB19">
        <f>IF(3&lt;n_h-1,(h_col-d_1-3*(h_col-2*d_1)/(n_h-1))+(phi_c/2)*-0.000000,NA())</f>
        <v/>
      </c>
      <c r="CD19">
        <f>IF(3&lt;n_h-1,(b_col-d_1)+(phi_c/2)*1.000000,NA())</f>
        <v/>
      </c>
      <c r="CE19">
        <f>IF(3&lt;n_h-1,(h_col-d_1-3*(h_col-2*d_1)/(n_h-1))+(phi_c/2)*-0.000000,NA())</f>
        <v/>
      </c>
      <c r="CG19">
        <f>IF(4&lt;n_h-1,(d_1)+(phi_c/2)*1.000000,NA())</f>
        <v/>
      </c>
      <c r="CH19">
        <f>IF(4&lt;n_h-1,(h_col-d_1-4*(h_col-2*d_1)/(n_h-1))+(phi_c/2)*-0.000000,NA())</f>
        <v/>
      </c>
      <c r="CJ19">
        <f>IF(4&lt;n_h-1,(b_col-d_1)+(phi_c/2)*1.000000,NA())</f>
        <v/>
      </c>
      <c r="CK19">
        <f>IF(4&lt;n_h-1,(h_col-d_1-4*(h_col-2*d_1)/(n_h-1))+(phi_c/2)*-0.000000,NA())</f>
        <v/>
      </c>
      <c r="CM19">
        <f>IF(5&lt;n_h-1,(d_1)+(phi_c/2)*1.000000,NA())</f>
        <v/>
      </c>
      <c r="CN19">
        <f>IF(5&lt;n_h-1,(h_col-d_1-5*(h_col-2*d_1)/(n_h-1))+(phi_c/2)*-0.000000,NA())</f>
        <v/>
      </c>
      <c r="CP19">
        <f>IF(5&lt;n_h-1,(b_col-d_1)+(phi_c/2)*1.000000,NA())</f>
        <v/>
      </c>
      <c r="CQ19">
        <f>IF(5&lt;n_h-1,(h_col-d_1-5*(h_col-2*d_1)/(n_h-1))+(phi_c/2)*-0.000000,NA())</f>
        <v/>
      </c>
      <c r="CS19">
        <f>IF(6&lt;n_h-1,(d_1)+(phi_c/2)*1.000000,NA())</f>
        <v/>
      </c>
      <c r="CT19">
        <f>IF(6&lt;n_h-1,(h_col-d_1-6*(h_col-2*d_1)/(n_h-1))+(phi_c/2)*-0.000000,NA())</f>
        <v/>
      </c>
      <c r="CV19">
        <f>IF(6&lt;n_h-1,(b_col-d_1)+(phi_c/2)*1.000000,NA())</f>
        <v/>
      </c>
      <c r="CW19">
        <f>IF(6&lt;n_h-1,(h_col-d_1-6*(h_col-2*d_1)/(n_h-1))+(phi_c/2)*-0.000000,NA())</f>
        <v/>
      </c>
      <c r="CY19">
        <f>IF(7&lt;n_h-1,(d_1)+(phi_c/2)*1.000000,NA())</f>
        <v/>
      </c>
      <c r="CZ19">
        <f>IF(7&lt;n_h-1,(h_col-d_1-7*(h_col-2*d_1)/(n_h-1))+(phi_c/2)*-0.000000,NA())</f>
        <v/>
      </c>
      <c r="DB19">
        <f>IF(7&lt;n_h-1,(b_col-d_1)+(phi_c/2)*1.000000,NA())</f>
        <v/>
      </c>
      <c r="DC19">
        <f>IF(7&lt;n_h-1,(h_col-d_1-7*(h_col-2*d_1)/(n_h-1))+(phi_c/2)*-0.000000,NA())</f>
        <v/>
      </c>
      <c r="DE19">
        <f>IF(8&lt;n_h-1,(d_1)+(phi_c/2)*1.000000,NA())</f>
        <v/>
      </c>
      <c r="DF19">
        <f>IF(8&lt;n_h-1,(h_col-d_1-8*(h_col-2*d_1)/(n_h-1))+(phi_c/2)*-0.000000,NA())</f>
        <v/>
      </c>
      <c r="DH19">
        <f>IF(8&lt;n_h-1,(b_col-d_1)+(phi_c/2)*1.000000,NA())</f>
        <v/>
      </c>
      <c r="DI19">
        <f>IF(8&lt;n_h-1,(h_col-d_1-8*(h_col-2*d_1)/(n_h-1))+(phi_c/2)*-0.000000,NA())</f>
        <v/>
      </c>
      <c r="GT19">
        <f>INDEX(nm_M,17)*1.5/M_pk</f>
        <v/>
      </c>
      <c r="GU19">
        <f>INDEX(nm_N,17)/N_Rdmax</f>
        <v/>
      </c>
    </row>
    <row r="20">
      <c r="GT20">
        <f>INDEX(nm_M,18)*1.5/M_pk</f>
        <v/>
      </c>
      <c r="GU20">
        <f>INDEX(nm_N,18)/N_Rdmax</f>
        <v/>
      </c>
    </row>
    <row r="21">
      <c r="GT21">
        <f>INDEX(nm_M,19)*1.5/M_pk</f>
        <v/>
      </c>
      <c r="GU21">
        <f>INDEX(nm_N,19)/N_Rdmax</f>
        <v/>
      </c>
    </row>
    <row r="22">
      <c r="GT22">
        <f>INDEX(nm_M,20)*1.5/M_pk</f>
        <v/>
      </c>
      <c r="GU22">
        <f>INDEX(nm_N,20)/N_Rdmax</f>
        <v/>
      </c>
    </row>
    <row r="23">
      <c r="GT23">
        <f>INDEX(nm_M,21)*1.5/M_pk</f>
        <v/>
      </c>
      <c r="GU23">
        <f>INDEX(nm_N,21)/N_Rdmax</f>
        <v/>
      </c>
    </row>
    <row r="24">
      <c r="GT24">
        <f>INDEX(nm_M,22)*1.5/M_pk</f>
        <v/>
      </c>
      <c r="GU24">
        <f>INDEX(nm_N,22)/N_Rdmax</f>
        <v/>
      </c>
    </row>
    <row r="25">
      <c r="GT25">
        <f>INDEX(nm_M,23)*1.5/M_pk</f>
        <v/>
      </c>
      <c r="GU25">
        <f>INDEX(nm_N,23)/N_Rdmax</f>
        <v/>
      </c>
    </row>
    <row r="26">
      <c r="GT26">
        <f>INDEX(nm_M,24)*1.5/M_pk</f>
        <v/>
      </c>
      <c r="GU26">
        <f>INDEX(nm_N,24)/N_Rdmax</f>
        <v/>
      </c>
    </row>
    <row r="27">
      <c r="GT27">
        <f>INDEX(nm_M,25)*1.5/M_pk</f>
        <v/>
      </c>
      <c r="GU27">
        <f>INDEX(nm_N,25)/N_Rdmax</f>
        <v/>
      </c>
    </row>
    <row r="28">
      <c r="GT28">
        <f>INDEX(nm_M,26)*1.5/M_pk</f>
        <v/>
      </c>
      <c r="GU28">
        <f>INDEX(nm_N,26)/N_Rdmax</f>
        <v/>
      </c>
    </row>
    <row r="29">
      <c r="GT29">
        <f>INDEX(nm_M,27)*1.5/M_pk</f>
        <v/>
      </c>
      <c r="GU29">
        <f>INDEX(nm_N,27)/N_Rdmax</f>
        <v/>
      </c>
    </row>
    <row r="30">
      <c r="GT30">
        <f>INDEX(nm_M,28)*1.5/M_pk</f>
        <v/>
      </c>
      <c r="GU30">
        <f>INDEX(nm_N,28)/N_Rdmax</f>
        <v/>
      </c>
    </row>
    <row r="31">
      <c r="GT31">
        <f>INDEX(nm_M,29)*1.5/M_pk</f>
        <v/>
      </c>
      <c r="GU31">
        <f>INDEX(nm_N,29)/N_Rdmax</f>
        <v/>
      </c>
    </row>
    <row r="32">
      <c r="GT32">
        <f>INDEX(nm_M,30)*1.5/M_pk</f>
        <v/>
      </c>
      <c r="GU32">
        <f>INDEX(nm_N,30)/N_Rdmax</f>
        <v/>
      </c>
    </row>
    <row r="33">
      <c r="GT33">
        <f>INDEX(nm_M,31)*1.5/M_pk</f>
        <v/>
      </c>
      <c r="GU33">
        <f>INDEX(nm_N,31)/N_Rdmax</f>
        <v/>
      </c>
    </row>
    <row r="34">
      <c r="GT34">
        <f>INDEX(nm_M,32)*1.5/M_pk</f>
        <v/>
      </c>
      <c r="GU34">
        <f>INDEX(nm_N,32)/N_Rdmax</f>
        <v/>
      </c>
    </row>
    <row r="35">
      <c r="GT35">
        <f>INDEX(nm_M,33)*1.5/M_pk</f>
        <v/>
      </c>
      <c r="GU35">
        <f>INDEX(nm_N,33)/N_Rdmax</f>
        <v/>
      </c>
    </row>
    <row r="36">
      <c r="GT36">
        <f>INDEX(nm_M,34)*1.5/M_pk</f>
        <v/>
      </c>
      <c r="GU36">
        <f>INDEX(nm_N,34)/N_Rdmax</f>
        <v/>
      </c>
    </row>
    <row r="37">
      <c r="GT37">
        <f>INDEX(nm_M,35)*1.5/M_pk</f>
        <v/>
      </c>
      <c r="GU37">
        <f>INDEX(nm_N,35)/N_Rdmax</f>
        <v/>
      </c>
    </row>
    <row r="38">
      <c r="GT38">
        <f>INDEX(nm_M,36)*1.5/M_pk</f>
        <v/>
      </c>
      <c r="GU38">
        <f>INDEX(nm_N,36)/N_Rdmax</f>
        <v/>
      </c>
    </row>
    <row r="39">
      <c r="GT39">
        <f>INDEX(nm_M,37)*1.5/M_pk</f>
        <v/>
      </c>
      <c r="GU39">
        <f>INDEX(nm_N,37)/N_Rdmax</f>
        <v/>
      </c>
    </row>
    <row r="40">
      <c r="GT40">
        <f>INDEX(nm_M,38)*1.5/M_pk</f>
        <v/>
      </c>
      <c r="GU40">
        <f>INDEX(nm_N,38)/N_Rdmax</f>
        <v/>
      </c>
    </row>
    <row r="41">
      <c r="GT41">
        <f>INDEX(nm_M,39)*1.5/M_pk</f>
        <v/>
      </c>
      <c r="GU41">
        <f>INDEX(nm_N,39)/N_Rdmax</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T112"/>
  <sheetViews>
    <sheetView showGridLines="0" tabSelected="0" workbookViewId="0">
      <selection activeCell="A1" sqref="A1"/>
    </sheetView>
  </sheetViews>
  <sheetFormatPr baseColWidth="8" defaultRowHeight="15"/>
  <cols>
    <col width="2" customWidth="1" min="1" max="1"/>
    <col width="6" customWidth="1" min="2" max="2"/>
    <col width="12" customWidth="1" min="3" max="3"/>
    <col width="12" customWidth="1" min="4" max="4"/>
    <col width="14" customWidth="1" min="5" max="5"/>
    <col width="14" customWidth="1" min="6" max="6"/>
    <col width="12" customWidth="1" min="7" max="7"/>
    <col width="12" customWidth="1" min="8" max="8"/>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s>
  <sheetData>
    <row r="2">
      <c r="B2" s="51" t="inlineStr">
        <is>
          <t>N-M interaction  ·  strain compatibility, EN 1992-1-1 §6.1</t>
        </is>
      </c>
    </row>
    <row r="3" ht="64" customHeight="1">
      <c r="B3" s="52" t="inlineStr">
        <is>
          <t>Parabola-rectangle of 3.1.7(1), (3.17): εc2 = 0.002, εcu2 = 0.0035, n = 2, fcd = αcc fck / γc, no tension. Strain limits of 6.1(5), Fig. 6.1: 0.0035 at the compressed face while x ≤ h; once the whole section is compressed, 0.002 at 3h/7 from that face, down to the uniform 0.002. Bars elastic-plastic, Es = 200 GPa, horizontal branch (3.2.7(2)b); the concrete displaced by the bars is deducted at the concrete stress at each bar centre. zc: depth in compression, min(x, h). M about the centroid of the gross section, compression positive.</t>
        </is>
      </c>
    </row>
    <row r="5">
      <c r="J5">
        <f>IF(1&lt;=n_h,d_1+(1-1)*(h_col-2*d_1)/(n_h-1),h_col/2)</f>
        <v/>
      </c>
      <c r="K5">
        <f>IF(2&lt;=n_h,d_1+(2-1)*(h_col-2*d_1)/(n_h-1),h_col/2)</f>
        <v/>
      </c>
      <c r="L5">
        <f>IF(3&lt;=n_h,d_1+(3-1)*(h_col-2*d_1)/(n_h-1),h_col/2)</f>
        <v/>
      </c>
      <c r="M5">
        <f>IF(4&lt;=n_h,d_1+(4-1)*(h_col-2*d_1)/(n_h-1),h_col/2)</f>
        <v/>
      </c>
      <c r="N5">
        <f>IF(5&lt;=n_h,d_1+(5-1)*(h_col-2*d_1)/(n_h-1),h_col/2)</f>
        <v/>
      </c>
      <c r="O5">
        <f>IF(6&lt;=n_h,d_1+(6-1)*(h_col-2*d_1)/(n_h-1),h_col/2)</f>
        <v/>
      </c>
      <c r="P5">
        <f>IF(7&lt;=n_h,d_1+(7-1)*(h_col-2*d_1)/(n_h-1),h_col/2)</f>
        <v/>
      </c>
      <c r="Q5">
        <f>IF(8&lt;=n_h,d_1+(8-1)*(h_col-2*d_1)/(n_h-1),h_col/2)</f>
        <v/>
      </c>
      <c r="R5">
        <f>IF(9&lt;=n_h,d_1+(9-1)*(h_col-2*d_1)/(n_h-1),h_col/2)</f>
        <v/>
      </c>
      <c r="S5">
        <f>IF(10&lt;=n_h,d_1+(10-1)*(h_col-2*d_1)/(n_h-1),h_col/2)</f>
        <v/>
      </c>
    </row>
    <row r="6">
      <c r="J6">
        <f>IF(1&gt;n_h,0,IF(OR(1=1,1=n_h),n_b,2))*PI()*phi_c^2/4</f>
        <v/>
      </c>
      <c r="K6">
        <f>IF(2&gt;n_h,0,IF(OR(2=1,2=n_h),n_b,2))*PI()*phi_c^2/4</f>
        <v/>
      </c>
      <c r="L6">
        <f>IF(3&gt;n_h,0,IF(OR(3=1,3=n_h),n_b,2))*PI()*phi_c^2/4</f>
        <v/>
      </c>
      <c r="M6">
        <f>IF(4&gt;n_h,0,IF(OR(4=1,4=n_h),n_b,2))*PI()*phi_c^2/4</f>
        <v/>
      </c>
      <c r="N6">
        <f>IF(5&gt;n_h,0,IF(OR(5=1,5=n_h),n_b,2))*PI()*phi_c^2/4</f>
        <v/>
      </c>
      <c r="O6">
        <f>IF(6&gt;n_h,0,IF(OR(6=1,6=n_h),n_b,2))*PI()*phi_c^2/4</f>
        <v/>
      </c>
      <c r="P6">
        <f>IF(7&gt;n_h,0,IF(OR(7=1,7=n_h),n_b,2))*PI()*phi_c^2/4</f>
        <v/>
      </c>
      <c r="Q6">
        <f>IF(8&gt;n_h,0,IF(OR(8=1,8=n_h),n_b,2))*PI()*phi_c^2/4</f>
        <v/>
      </c>
      <c r="R6">
        <f>IF(9&gt;n_h,0,IF(OR(9=1,9=n_h),n_b,2))*PI()*phi_c^2/4</f>
        <v/>
      </c>
      <c r="S6">
        <f>IF(10&gt;n_h,0,IF(OR(10=1,10=n_h),n_b,2))*PI()*phi_c^2/4</f>
        <v/>
      </c>
    </row>
    <row r="7">
      <c r="J7">
        <f>h_col/2-J5</f>
        <v/>
      </c>
      <c r="K7">
        <f>h_col/2-K5</f>
        <v/>
      </c>
      <c r="L7">
        <f>h_col/2-L5</f>
        <v/>
      </c>
      <c r="M7">
        <f>h_col/2-M5</f>
        <v/>
      </c>
      <c r="N7">
        <f>h_col/2-N5</f>
        <v/>
      </c>
      <c r="O7">
        <f>h_col/2-O5</f>
        <v/>
      </c>
      <c r="P7">
        <f>h_col/2-P5</f>
        <v/>
      </c>
      <c r="Q7">
        <f>h_col/2-Q5</f>
        <v/>
      </c>
      <c r="R7">
        <f>h_col/2-R5</f>
        <v/>
      </c>
      <c r="S7">
        <f>h_col/2-S5</f>
        <v/>
      </c>
    </row>
    <row r="9">
      <c r="B9" s="53" t="inlineStr"/>
      <c r="C9" s="53" t="inlineStr">
        <is>
          <t>x (mm)</t>
        </is>
      </c>
      <c r="D9" s="53" t="inlineStr">
        <is>
          <t>zc (mm)</t>
        </is>
      </c>
      <c r="E9" s="53" t="inlineStr">
        <is>
          <t>N (kN)</t>
        </is>
      </c>
      <c r="F9" s="53" t="inlineStr">
        <is>
          <t>M (kNm)</t>
        </is>
      </c>
    </row>
    <row r="10">
      <c r="B10" s="54" t="n">
        <v>1</v>
      </c>
      <c r="C10" s="55" t="inlineStr">
        <is>
          <t>tension</t>
        </is>
      </c>
      <c r="D10" s="54" t="n">
        <v>0</v>
      </c>
      <c r="E10" s="56">
        <f>-A_sc*f_yd/1000</f>
        <v/>
      </c>
      <c r="F10" s="56">
        <f>-f_yd*SUMPRODUCT($J$6:$S$6,$J$7:$S$7)/1E6</f>
        <v/>
      </c>
    </row>
    <row r="11">
      <c r="B11" s="54" t="n">
        <v>2</v>
      </c>
      <c r="C11" s="55">
        <f>0.01*h_col</f>
        <v/>
      </c>
      <c r="D11" s="54">
        <f>MIN($C11,h_col)</f>
        <v/>
      </c>
      <c r="E11" s="56">
        <f>(f_cd*b_col*$D11*(3/7+4/7*(1-$T11^2/3))+SUMPRODUCT($J$6:$S$6,$J11:$S11))/1000</f>
        <v/>
      </c>
      <c r="F11" s="56">
        <f>(f_cd*b_col*(3/14*$D11*(h_col-3/7*$D11)+4/7*$D11*(h_col/2-3/7*$D11)*(1-$T11^2/3)-16/49*$D11^2*(1/2-$T11^2/4))+SUMPRODUCT($J$6:$S$6,$J11:$S11,$J$7:$S$7))/1E6</f>
        <v/>
      </c>
      <c r="J11">
        <f>MAX(-f_yd,MIN(f_yd,200000*0.002*(1-$T11*(7*J$5-3*$D11)/(4*$D11))))-f_cd*(1-MIN(1,MAX(0,$T11*(7*J$5-3*$D11)/(4*$D11)))^2)</f>
        <v/>
      </c>
      <c r="K11">
        <f>MAX(-f_yd,MIN(f_yd,200000*0.002*(1-$T11*(7*K$5-3*$D11)/(4*$D11))))-f_cd*(1-MIN(1,MAX(0,$T11*(7*K$5-3*$D11)/(4*$D11)))^2)</f>
        <v/>
      </c>
      <c r="L11">
        <f>MAX(-f_yd,MIN(f_yd,200000*0.002*(1-$T11*(7*L$5-3*$D11)/(4*$D11))))-f_cd*(1-MIN(1,MAX(0,$T11*(7*L$5-3*$D11)/(4*$D11)))^2)</f>
        <v/>
      </c>
      <c r="M11">
        <f>MAX(-f_yd,MIN(f_yd,200000*0.002*(1-$T11*(7*M$5-3*$D11)/(4*$D11))))-f_cd*(1-MIN(1,MAX(0,$T11*(7*M$5-3*$D11)/(4*$D11)))^2)</f>
        <v/>
      </c>
      <c r="N11">
        <f>MAX(-f_yd,MIN(f_yd,200000*0.002*(1-$T11*(7*N$5-3*$D11)/(4*$D11))))-f_cd*(1-MIN(1,MAX(0,$T11*(7*N$5-3*$D11)/(4*$D11)))^2)</f>
        <v/>
      </c>
      <c r="O11">
        <f>MAX(-f_yd,MIN(f_yd,200000*0.002*(1-$T11*(7*O$5-3*$D11)/(4*$D11))))-f_cd*(1-MIN(1,MAX(0,$T11*(7*O$5-3*$D11)/(4*$D11)))^2)</f>
        <v/>
      </c>
      <c r="P11">
        <f>MAX(-f_yd,MIN(f_yd,200000*0.002*(1-$T11*(7*P$5-3*$D11)/(4*$D11))))-f_cd*(1-MIN(1,MAX(0,$T11*(7*P$5-3*$D11)/(4*$D11)))^2)</f>
        <v/>
      </c>
      <c r="Q11">
        <f>MAX(-f_yd,MIN(f_yd,200000*0.002*(1-$T11*(7*Q$5-3*$D11)/(4*$D11))))-f_cd*(1-MIN(1,MAX(0,$T11*(7*Q$5-3*$D11)/(4*$D11)))^2)</f>
        <v/>
      </c>
      <c r="R11">
        <f>MAX(-f_yd,MIN(f_yd,200000*0.002*(1-$T11*(7*R$5-3*$D11)/(4*$D11))))-f_cd*(1-MIN(1,MAX(0,$T11*(7*R$5-3*$D11)/(4*$D11)))^2)</f>
        <v/>
      </c>
      <c r="S11">
        <f>MAX(-f_yd,MIN(f_yd,200000*0.002*(1-$T11*(7*S$5-3*$D11)/(4*$D11))))-f_cd*(1-MIN(1,MAX(0,$T11*(7*S$5-3*$D11)/(4*$D11)))^2)</f>
        <v/>
      </c>
      <c r="T11">
        <f>IF($C11&lt;=h_col,1,4/7*h_col/($C11-3/7*h_col))</f>
        <v/>
      </c>
    </row>
    <row r="12">
      <c r="B12" s="54" t="n">
        <v>3</v>
      </c>
      <c r="C12" s="55">
        <f>0.03*h_col</f>
        <v/>
      </c>
      <c r="D12" s="54">
        <f>MIN($C12,h_col)</f>
        <v/>
      </c>
      <c r="E12" s="56">
        <f>(f_cd*b_col*$D12*(3/7+4/7*(1-$T12^2/3))+SUMPRODUCT($J$6:$S$6,$J12:$S12))/1000</f>
        <v/>
      </c>
      <c r="F12" s="56">
        <f>(f_cd*b_col*(3/14*$D12*(h_col-3/7*$D12)+4/7*$D12*(h_col/2-3/7*$D12)*(1-$T12^2/3)-16/49*$D12^2*(1/2-$T12^2/4))+SUMPRODUCT($J$6:$S$6,$J12:$S12,$J$7:$S$7))/1E6</f>
        <v/>
      </c>
      <c r="J12">
        <f>MAX(-f_yd,MIN(f_yd,200000*0.002*(1-$T12*(7*J$5-3*$D12)/(4*$D12))))-f_cd*(1-MIN(1,MAX(0,$T12*(7*J$5-3*$D12)/(4*$D12)))^2)</f>
        <v/>
      </c>
      <c r="K12">
        <f>MAX(-f_yd,MIN(f_yd,200000*0.002*(1-$T12*(7*K$5-3*$D12)/(4*$D12))))-f_cd*(1-MIN(1,MAX(0,$T12*(7*K$5-3*$D12)/(4*$D12)))^2)</f>
        <v/>
      </c>
      <c r="L12">
        <f>MAX(-f_yd,MIN(f_yd,200000*0.002*(1-$T12*(7*L$5-3*$D12)/(4*$D12))))-f_cd*(1-MIN(1,MAX(0,$T12*(7*L$5-3*$D12)/(4*$D12)))^2)</f>
        <v/>
      </c>
      <c r="M12">
        <f>MAX(-f_yd,MIN(f_yd,200000*0.002*(1-$T12*(7*M$5-3*$D12)/(4*$D12))))-f_cd*(1-MIN(1,MAX(0,$T12*(7*M$5-3*$D12)/(4*$D12)))^2)</f>
        <v/>
      </c>
      <c r="N12">
        <f>MAX(-f_yd,MIN(f_yd,200000*0.002*(1-$T12*(7*N$5-3*$D12)/(4*$D12))))-f_cd*(1-MIN(1,MAX(0,$T12*(7*N$5-3*$D12)/(4*$D12)))^2)</f>
        <v/>
      </c>
      <c r="O12">
        <f>MAX(-f_yd,MIN(f_yd,200000*0.002*(1-$T12*(7*O$5-3*$D12)/(4*$D12))))-f_cd*(1-MIN(1,MAX(0,$T12*(7*O$5-3*$D12)/(4*$D12)))^2)</f>
        <v/>
      </c>
      <c r="P12">
        <f>MAX(-f_yd,MIN(f_yd,200000*0.002*(1-$T12*(7*P$5-3*$D12)/(4*$D12))))-f_cd*(1-MIN(1,MAX(0,$T12*(7*P$5-3*$D12)/(4*$D12)))^2)</f>
        <v/>
      </c>
      <c r="Q12">
        <f>MAX(-f_yd,MIN(f_yd,200000*0.002*(1-$T12*(7*Q$5-3*$D12)/(4*$D12))))-f_cd*(1-MIN(1,MAX(0,$T12*(7*Q$5-3*$D12)/(4*$D12)))^2)</f>
        <v/>
      </c>
      <c r="R12">
        <f>MAX(-f_yd,MIN(f_yd,200000*0.002*(1-$T12*(7*R$5-3*$D12)/(4*$D12))))-f_cd*(1-MIN(1,MAX(0,$T12*(7*R$5-3*$D12)/(4*$D12)))^2)</f>
        <v/>
      </c>
      <c r="S12">
        <f>MAX(-f_yd,MIN(f_yd,200000*0.002*(1-$T12*(7*S$5-3*$D12)/(4*$D12))))-f_cd*(1-MIN(1,MAX(0,$T12*(7*S$5-3*$D12)/(4*$D12)))^2)</f>
        <v/>
      </c>
      <c r="T12">
        <f>IF($C12&lt;=h_col,1,4/7*h_col/($C12-3/7*h_col))</f>
        <v/>
      </c>
    </row>
    <row r="13">
      <c r="B13" s="54" t="n">
        <v>4</v>
      </c>
      <c r="C13" s="55">
        <f>0.05*h_col</f>
        <v/>
      </c>
      <c r="D13" s="54">
        <f>MIN($C13,h_col)</f>
        <v/>
      </c>
      <c r="E13" s="56">
        <f>(f_cd*b_col*$D13*(3/7+4/7*(1-$T13^2/3))+SUMPRODUCT($J$6:$S$6,$J13:$S13))/1000</f>
        <v/>
      </c>
      <c r="F13" s="56">
        <f>(f_cd*b_col*(3/14*$D13*(h_col-3/7*$D13)+4/7*$D13*(h_col/2-3/7*$D13)*(1-$T13^2/3)-16/49*$D13^2*(1/2-$T13^2/4))+SUMPRODUCT($J$6:$S$6,$J13:$S13,$J$7:$S$7))/1E6</f>
        <v/>
      </c>
      <c r="J13">
        <f>MAX(-f_yd,MIN(f_yd,200000*0.002*(1-$T13*(7*J$5-3*$D13)/(4*$D13))))-f_cd*(1-MIN(1,MAX(0,$T13*(7*J$5-3*$D13)/(4*$D13)))^2)</f>
        <v/>
      </c>
      <c r="K13">
        <f>MAX(-f_yd,MIN(f_yd,200000*0.002*(1-$T13*(7*K$5-3*$D13)/(4*$D13))))-f_cd*(1-MIN(1,MAX(0,$T13*(7*K$5-3*$D13)/(4*$D13)))^2)</f>
        <v/>
      </c>
      <c r="L13">
        <f>MAX(-f_yd,MIN(f_yd,200000*0.002*(1-$T13*(7*L$5-3*$D13)/(4*$D13))))-f_cd*(1-MIN(1,MAX(0,$T13*(7*L$5-3*$D13)/(4*$D13)))^2)</f>
        <v/>
      </c>
      <c r="M13">
        <f>MAX(-f_yd,MIN(f_yd,200000*0.002*(1-$T13*(7*M$5-3*$D13)/(4*$D13))))-f_cd*(1-MIN(1,MAX(0,$T13*(7*M$5-3*$D13)/(4*$D13)))^2)</f>
        <v/>
      </c>
      <c r="N13">
        <f>MAX(-f_yd,MIN(f_yd,200000*0.002*(1-$T13*(7*N$5-3*$D13)/(4*$D13))))-f_cd*(1-MIN(1,MAX(0,$T13*(7*N$5-3*$D13)/(4*$D13)))^2)</f>
        <v/>
      </c>
      <c r="O13">
        <f>MAX(-f_yd,MIN(f_yd,200000*0.002*(1-$T13*(7*O$5-3*$D13)/(4*$D13))))-f_cd*(1-MIN(1,MAX(0,$T13*(7*O$5-3*$D13)/(4*$D13)))^2)</f>
        <v/>
      </c>
      <c r="P13">
        <f>MAX(-f_yd,MIN(f_yd,200000*0.002*(1-$T13*(7*P$5-3*$D13)/(4*$D13))))-f_cd*(1-MIN(1,MAX(0,$T13*(7*P$5-3*$D13)/(4*$D13)))^2)</f>
        <v/>
      </c>
      <c r="Q13">
        <f>MAX(-f_yd,MIN(f_yd,200000*0.002*(1-$T13*(7*Q$5-3*$D13)/(4*$D13))))-f_cd*(1-MIN(1,MAX(0,$T13*(7*Q$5-3*$D13)/(4*$D13)))^2)</f>
        <v/>
      </c>
      <c r="R13">
        <f>MAX(-f_yd,MIN(f_yd,200000*0.002*(1-$T13*(7*R$5-3*$D13)/(4*$D13))))-f_cd*(1-MIN(1,MAX(0,$T13*(7*R$5-3*$D13)/(4*$D13)))^2)</f>
        <v/>
      </c>
      <c r="S13">
        <f>MAX(-f_yd,MIN(f_yd,200000*0.002*(1-$T13*(7*S$5-3*$D13)/(4*$D13))))-f_cd*(1-MIN(1,MAX(0,$T13*(7*S$5-3*$D13)/(4*$D13)))^2)</f>
        <v/>
      </c>
      <c r="T13">
        <f>IF($C13&lt;=h_col,1,4/7*h_col/($C13-3/7*h_col))</f>
        <v/>
      </c>
    </row>
    <row r="14">
      <c r="B14" s="54" t="n">
        <v>5</v>
      </c>
      <c r="C14" s="55">
        <f>0.075*h_col</f>
        <v/>
      </c>
      <c r="D14" s="54">
        <f>MIN($C14,h_col)</f>
        <v/>
      </c>
      <c r="E14" s="56">
        <f>(f_cd*b_col*$D14*(3/7+4/7*(1-$T14^2/3))+SUMPRODUCT($J$6:$S$6,$J14:$S14))/1000</f>
        <v/>
      </c>
      <c r="F14" s="56">
        <f>(f_cd*b_col*(3/14*$D14*(h_col-3/7*$D14)+4/7*$D14*(h_col/2-3/7*$D14)*(1-$T14^2/3)-16/49*$D14^2*(1/2-$T14^2/4))+SUMPRODUCT($J$6:$S$6,$J14:$S14,$J$7:$S$7))/1E6</f>
        <v/>
      </c>
      <c r="J14">
        <f>MAX(-f_yd,MIN(f_yd,200000*0.002*(1-$T14*(7*J$5-3*$D14)/(4*$D14))))-f_cd*(1-MIN(1,MAX(0,$T14*(7*J$5-3*$D14)/(4*$D14)))^2)</f>
        <v/>
      </c>
      <c r="K14">
        <f>MAX(-f_yd,MIN(f_yd,200000*0.002*(1-$T14*(7*K$5-3*$D14)/(4*$D14))))-f_cd*(1-MIN(1,MAX(0,$T14*(7*K$5-3*$D14)/(4*$D14)))^2)</f>
        <v/>
      </c>
      <c r="L14">
        <f>MAX(-f_yd,MIN(f_yd,200000*0.002*(1-$T14*(7*L$5-3*$D14)/(4*$D14))))-f_cd*(1-MIN(1,MAX(0,$T14*(7*L$5-3*$D14)/(4*$D14)))^2)</f>
        <v/>
      </c>
      <c r="M14">
        <f>MAX(-f_yd,MIN(f_yd,200000*0.002*(1-$T14*(7*M$5-3*$D14)/(4*$D14))))-f_cd*(1-MIN(1,MAX(0,$T14*(7*M$5-3*$D14)/(4*$D14)))^2)</f>
        <v/>
      </c>
      <c r="N14">
        <f>MAX(-f_yd,MIN(f_yd,200000*0.002*(1-$T14*(7*N$5-3*$D14)/(4*$D14))))-f_cd*(1-MIN(1,MAX(0,$T14*(7*N$5-3*$D14)/(4*$D14)))^2)</f>
        <v/>
      </c>
      <c r="O14">
        <f>MAX(-f_yd,MIN(f_yd,200000*0.002*(1-$T14*(7*O$5-3*$D14)/(4*$D14))))-f_cd*(1-MIN(1,MAX(0,$T14*(7*O$5-3*$D14)/(4*$D14)))^2)</f>
        <v/>
      </c>
      <c r="P14">
        <f>MAX(-f_yd,MIN(f_yd,200000*0.002*(1-$T14*(7*P$5-3*$D14)/(4*$D14))))-f_cd*(1-MIN(1,MAX(0,$T14*(7*P$5-3*$D14)/(4*$D14)))^2)</f>
        <v/>
      </c>
      <c r="Q14">
        <f>MAX(-f_yd,MIN(f_yd,200000*0.002*(1-$T14*(7*Q$5-3*$D14)/(4*$D14))))-f_cd*(1-MIN(1,MAX(0,$T14*(7*Q$5-3*$D14)/(4*$D14)))^2)</f>
        <v/>
      </c>
      <c r="R14">
        <f>MAX(-f_yd,MIN(f_yd,200000*0.002*(1-$T14*(7*R$5-3*$D14)/(4*$D14))))-f_cd*(1-MIN(1,MAX(0,$T14*(7*R$5-3*$D14)/(4*$D14)))^2)</f>
        <v/>
      </c>
      <c r="S14">
        <f>MAX(-f_yd,MIN(f_yd,200000*0.002*(1-$T14*(7*S$5-3*$D14)/(4*$D14))))-f_cd*(1-MIN(1,MAX(0,$T14*(7*S$5-3*$D14)/(4*$D14)))^2)</f>
        <v/>
      </c>
      <c r="T14">
        <f>IF($C14&lt;=h_col,1,4/7*h_col/($C14-3/7*h_col))</f>
        <v/>
      </c>
    </row>
    <row r="15">
      <c r="B15" s="54" t="n">
        <v>6</v>
      </c>
      <c r="C15" s="55">
        <f>0.1*h_col</f>
        <v/>
      </c>
      <c r="D15" s="54">
        <f>MIN($C15,h_col)</f>
        <v/>
      </c>
      <c r="E15" s="56">
        <f>(f_cd*b_col*$D15*(3/7+4/7*(1-$T15^2/3))+SUMPRODUCT($J$6:$S$6,$J15:$S15))/1000</f>
        <v/>
      </c>
      <c r="F15" s="56">
        <f>(f_cd*b_col*(3/14*$D15*(h_col-3/7*$D15)+4/7*$D15*(h_col/2-3/7*$D15)*(1-$T15^2/3)-16/49*$D15^2*(1/2-$T15^2/4))+SUMPRODUCT($J$6:$S$6,$J15:$S15,$J$7:$S$7))/1E6</f>
        <v/>
      </c>
      <c r="J15">
        <f>MAX(-f_yd,MIN(f_yd,200000*0.002*(1-$T15*(7*J$5-3*$D15)/(4*$D15))))-f_cd*(1-MIN(1,MAX(0,$T15*(7*J$5-3*$D15)/(4*$D15)))^2)</f>
        <v/>
      </c>
      <c r="K15">
        <f>MAX(-f_yd,MIN(f_yd,200000*0.002*(1-$T15*(7*K$5-3*$D15)/(4*$D15))))-f_cd*(1-MIN(1,MAX(0,$T15*(7*K$5-3*$D15)/(4*$D15)))^2)</f>
        <v/>
      </c>
      <c r="L15">
        <f>MAX(-f_yd,MIN(f_yd,200000*0.002*(1-$T15*(7*L$5-3*$D15)/(4*$D15))))-f_cd*(1-MIN(1,MAX(0,$T15*(7*L$5-3*$D15)/(4*$D15)))^2)</f>
        <v/>
      </c>
      <c r="M15">
        <f>MAX(-f_yd,MIN(f_yd,200000*0.002*(1-$T15*(7*M$5-3*$D15)/(4*$D15))))-f_cd*(1-MIN(1,MAX(0,$T15*(7*M$5-3*$D15)/(4*$D15)))^2)</f>
        <v/>
      </c>
      <c r="N15">
        <f>MAX(-f_yd,MIN(f_yd,200000*0.002*(1-$T15*(7*N$5-3*$D15)/(4*$D15))))-f_cd*(1-MIN(1,MAX(0,$T15*(7*N$5-3*$D15)/(4*$D15)))^2)</f>
        <v/>
      </c>
      <c r="O15">
        <f>MAX(-f_yd,MIN(f_yd,200000*0.002*(1-$T15*(7*O$5-3*$D15)/(4*$D15))))-f_cd*(1-MIN(1,MAX(0,$T15*(7*O$5-3*$D15)/(4*$D15)))^2)</f>
        <v/>
      </c>
      <c r="P15">
        <f>MAX(-f_yd,MIN(f_yd,200000*0.002*(1-$T15*(7*P$5-3*$D15)/(4*$D15))))-f_cd*(1-MIN(1,MAX(0,$T15*(7*P$5-3*$D15)/(4*$D15)))^2)</f>
        <v/>
      </c>
      <c r="Q15">
        <f>MAX(-f_yd,MIN(f_yd,200000*0.002*(1-$T15*(7*Q$5-3*$D15)/(4*$D15))))-f_cd*(1-MIN(1,MAX(0,$T15*(7*Q$5-3*$D15)/(4*$D15)))^2)</f>
        <v/>
      </c>
      <c r="R15">
        <f>MAX(-f_yd,MIN(f_yd,200000*0.002*(1-$T15*(7*R$5-3*$D15)/(4*$D15))))-f_cd*(1-MIN(1,MAX(0,$T15*(7*R$5-3*$D15)/(4*$D15)))^2)</f>
        <v/>
      </c>
      <c r="S15">
        <f>MAX(-f_yd,MIN(f_yd,200000*0.002*(1-$T15*(7*S$5-3*$D15)/(4*$D15))))-f_cd*(1-MIN(1,MAX(0,$T15*(7*S$5-3*$D15)/(4*$D15)))^2)</f>
        <v/>
      </c>
      <c r="T15">
        <f>IF($C15&lt;=h_col,1,4/7*h_col/($C15-3/7*h_col))</f>
        <v/>
      </c>
    </row>
    <row r="16">
      <c r="B16" s="54" t="n">
        <v>7</v>
      </c>
      <c r="C16" s="55">
        <f>0.125*h_col</f>
        <v/>
      </c>
      <c r="D16" s="54">
        <f>MIN($C16,h_col)</f>
        <v/>
      </c>
      <c r="E16" s="56">
        <f>(f_cd*b_col*$D16*(3/7+4/7*(1-$T16^2/3))+SUMPRODUCT($J$6:$S$6,$J16:$S16))/1000</f>
        <v/>
      </c>
      <c r="F16" s="56">
        <f>(f_cd*b_col*(3/14*$D16*(h_col-3/7*$D16)+4/7*$D16*(h_col/2-3/7*$D16)*(1-$T16^2/3)-16/49*$D16^2*(1/2-$T16^2/4))+SUMPRODUCT($J$6:$S$6,$J16:$S16,$J$7:$S$7))/1E6</f>
        <v/>
      </c>
      <c r="J16">
        <f>MAX(-f_yd,MIN(f_yd,200000*0.002*(1-$T16*(7*J$5-3*$D16)/(4*$D16))))-f_cd*(1-MIN(1,MAX(0,$T16*(7*J$5-3*$D16)/(4*$D16)))^2)</f>
        <v/>
      </c>
      <c r="K16">
        <f>MAX(-f_yd,MIN(f_yd,200000*0.002*(1-$T16*(7*K$5-3*$D16)/(4*$D16))))-f_cd*(1-MIN(1,MAX(0,$T16*(7*K$5-3*$D16)/(4*$D16)))^2)</f>
        <v/>
      </c>
      <c r="L16">
        <f>MAX(-f_yd,MIN(f_yd,200000*0.002*(1-$T16*(7*L$5-3*$D16)/(4*$D16))))-f_cd*(1-MIN(1,MAX(0,$T16*(7*L$5-3*$D16)/(4*$D16)))^2)</f>
        <v/>
      </c>
      <c r="M16">
        <f>MAX(-f_yd,MIN(f_yd,200000*0.002*(1-$T16*(7*M$5-3*$D16)/(4*$D16))))-f_cd*(1-MIN(1,MAX(0,$T16*(7*M$5-3*$D16)/(4*$D16)))^2)</f>
        <v/>
      </c>
      <c r="N16">
        <f>MAX(-f_yd,MIN(f_yd,200000*0.002*(1-$T16*(7*N$5-3*$D16)/(4*$D16))))-f_cd*(1-MIN(1,MAX(0,$T16*(7*N$5-3*$D16)/(4*$D16)))^2)</f>
        <v/>
      </c>
      <c r="O16">
        <f>MAX(-f_yd,MIN(f_yd,200000*0.002*(1-$T16*(7*O$5-3*$D16)/(4*$D16))))-f_cd*(1-MIN(1,MAX(0,$T16*(7*O$5-3*$D16)/(4*$D16)))^2)</f>
        <v/>
      </c>
      <c r="P16">
        <f>MAX(-f_yd,MIN(f_yd,200000*0.002*(1-$T16*(7*P$5-3*$D16)/(4*$D16))))-f_cd*(1-MIN(1,MAX(0,$T16*(7*P$5-3*$D16)/(4*$D16)))^2)</f>
        <v/>
      </c>
      <c r="Q16">
        <f>MAX(-f_yd,MIN(f_yd,200000*0.002*(1-$T16*(7*Q$5-3*$D16)/(4*$D16))))-f_cd*(1-MIN(1,MAX(0,$T16*(7*Q$5-3*$D16)/(4*$D16)))^2)</f>
        <v/>
      </c>
      <c r="R16">
        <f>MAX(-f_yd,MIN(f_yd,200000*0.002*(1-$T16*(7*R$5-3*$D16)/(4*$D16))))-f_cd*(1-MIN(1,MAX(0,$T16*(7*R$5-3*$D16)/(4*$D16)))^2)</f>
        <v/>
      </c>
      <c r="S16">
        <f>MAX(-f_yd,MIN(f_yd,200000*0.002*(1-$T16*(7*S$5-3*$D16)/(4*$D16))))-f_cd*(1-MIN(1,MAX(0,$T16*(7*S$5-3*$D16)/(4*$D16)))^2)</f>
        <v/>
      </c>
      <c r="T16">
        <f>IF($C16&lt;=h_col,1,4/7*h_col/($C16-3/7*h_col))</f>
        <v/>
      </c>
    </row>
    <row r="17">
      <c r="B17" s="54" t="n">
        <v>8</v>
      </c>
      <c r="C17" s="55">
        <f>0.15*h_col</f>
        <v/>
      </c>
      <c r="D17" s="54">
        <f>MIN($C17,h_col)</f>
        <v/>
      </c>
      <c r="E17" s="56">
        <f>(f_cd*b_col*$D17*(3/7+4/7*(1-$T17^2/3))+SUMPRODUCT($J$6:$S$6,$J17:$S17))/1000</f>
        <v/>
      </c>
      <c r="F17" s="56">
        <f>(f_cd*b_col*(3/14*$D17*(h_col-3/7*$D17)+4/7*$D17*(h_col/2-3/7*$D17)*(1-$T17^2/3)-16/49*$D17^2*(1/2-$T17^2/4))+SUMPRODUCT($J$6:$S$6,$J17:$S17,$J$7:$S$7))/1E6</f>
        <v/>
      </c>
      <c r="J17">
        <f>MAX(-f_yd,MIN(f_yd,200000*0.002*(1-$T17*(7*J$5-3*$D17)/(4*$D17))))-f_cd*(1-MIN(1,MAX(0,$T17*(7*J$5-3*$D17)/(4*$D17)))^2)</f>
        <v/>
      </c>
      <c r="K17">
        <f>MAX(-f_yd,MIN(f_yd,200000*0.002*(1-$T17*(7*K$5-3*$D17)/(4*$D17))))-f_cd*(1-MIN(1,MAX(0,$T17*(7*K$5-3*$D17)/(4*$D17)))^2)</f>
        <v/>
      </c>
      <c r="L17">
        <f>MAX(-f_yd,MIN(f_yd,200000*0.002*(1-$T17*(7*L$5-3*$D17)/(4*$D17))))-f_cd*(1-MIN(1,MAX(0,$T17*(7*L$5-3*$D17)/(4*$D17)))^2)</f>
        <v/>
      </c>
      <c r="M17">
        <f>MAX(-f_yd,MIN(f_yd,200000*0.002*(1-$T17*(7*M$5-3*$D17)/(4*$D17))))-f_cd*(1-MIN(1,MAX(0,$T17*(7*M$5-3*$D17)/(4*$D17)))^2)</f>
        <v/>
      </c>
      <c r="N17">
        <f>MAX(-f_yd,MIN(f_yd,200000*0.002*(1-$T17*(7*N$5-3*$D17)/(4*$D17))))-f_cd*(1-MIN(1,MAX(0,$T17*(7*N$5-3*$D17)/(4*$D17)))^2)</f>
        <v/>
      </c>
      <c r="O17">
        <f>MAX(-f_yd,MIN(f_yd,200000*0.002*(1-$T17*(7*O$5-3*$D17)/(4*$D17))))-f_cd*(1-MIN(1,MAX(0,$T17*(7*O$5-3*$D17)/(4*$D17)))^2)</f>
        <v/>
      </c>
      <c r="P17">
        <f>MAX(-f_yd,MIN(f_yd,200000*0.002*(1-$T17*(7*P$5-3*$D17)/(4*$D17))))-f_cd*(1-MIN(1,MAX(0,$T17*(7*P$5-3*$D17)/(4*$D17)))^2)</f>
        <v/>
      </c>
      <c r="Q17">
        <f>MAX(-f_yd,MIN(f_yd,200000*0.002*(1-$T17*(7*Q$5-3*$D17)/(4*$D17))))-f_cd*(1-MIN(1,MAX(0,$T17*(7*Q$5-3*$D17)/(4*$D17)))^2)</f>
        <v/>
      </c>
      <c r="R17">
        <f>MAX(-f_yd,MIN(f_yd,200000*0.002*(1-$T17*(7*R$5-3*$D17)/(4*$D17))))-f_cd*(1-MIN(1,MAX(0,$T17*(7*R$5-3*$D17)/(4*$D17)))^2)</f>
        <v/>
      </c>
      <c r="S17">
        <f>MAX(-f_yd,MIN(f_yd,200000*0.002*(1-$T17*(7*S$5-3*$D17)/(4*$D17))))-f_cd*(1-MIN(1,MAX(0,$T17*(7*S$5-3*$D17)/(4*$D17)))^2)</f>
        <v/>
      </c>
      <c r="T17">
        <f>IF($C17&lt;=h_col,1,4/7*h_col/($C17-3/7*h_col))</f>
        <v/>
      </c>
    </row>
    <row r="18">
      <c r="B18" s="54" t="n">
        <v>9</v>
      </c>
      <c r="C18" s="55">
        <f>0.2*h_col</f>
        <v/>
      </c>
      <c r="D18" s="54">
        <f>MIN($C18,h_col)</f>
        <v/>
      </c>
      <c r="E18" s="56">
        <f>(f_cd*b_col*$D18*(3/7+4/7*(1-$T18^2/3))+SUMPRODUCT($J$6:$S$6,$J18:$S18))/1000</f>
        <v/>
      </c>
      <c r="F18" s="56">
        <f>(f_cd*b_col*(3/14*$D18*(h_col-3/7*$D18)+4/7*$D18*(h_col/2-3/7*$D18)*(1-$T18^2/3)-16/49*$D18^2*(1/2-$T18^2/4))+SUMPRODUCT($J$6:$S$6,$J18:$S18,$J$7:$S$7))/1E6</f>
        <v/>
      </c>
      <c r="J18">
        <f>MAX(-f_yd,MIN(f_yd,200000*0.002*(1-$T18*(7*J$5-3*$D18)/(4*$D18))))-f_cd*(1-MIN(1,MAX(0,$T18*(7*J$5-3*$D18)/(4*$D18)))^2)</f>
        <v/>
      </c>
      <c r="K18">
        <f>MAX(-f_yd,MIN(f_yd,200000*0.002*(1-$T18*(7*K$5-3*$D18)/(4*$D18))))-f_cd*(1-MIN(1,MAX(0,$T18*(7*K$5-3*$D18)/(4*$D18)))^2)</f>
        <v/>
      </c>
      <c r="L18">
        <f>MAX(-f_yd,MIN(f_yd,200000*0.002*(1-$T18*(7*L$5-3*$D18)/(4*$D18))))-f_cd*(1-MIN(1,MAX(0,$T18*(7*L$5-3*$D18)/(4*$D18)))^2)</f>
        <v/>
      </c>
      <c r="M18">
        <f>MAX(-f_yd,MIN(f_yd,200000*0.002*(1-$T18*(7*M$5-3*$D18)/(4*$D18))))-f_cd*(1-MIN(1,MAX(0,$T18*(7*M$5-3*$D18)/(4*$D18)))^2)</f>
        <v/>
      </c>
      <c r="N18">
        <f>MAX(-f_yd,MIN(f_yd,200000*0.002*(1-$T18*(7*N$5-3*$D18)/(4*$D18))))-f_cd*(1-MIN(1,MAX(0,$T18*(7*N$5-3*$D18)/(4*$D18)))^2)</f>
        <v/>
      </c>
      <c r="O18">
        <f>MAX(-f_yd,MIN(f_yd,200000*0.002*(1-$T18*(7*O$5-3*$D18)/(4*$D18))))-f_cd*(1-MIN(1,MAX(0,$T18*(7*O$5-3*$D18)/(4*$D18)))^2)</f>
        <v/>
      </c>
      <c r="P18">
        <f>MAX(-f_yd,MIN(f_yd,200000*0.002*(1-$T18*(7*P$5-3*$D18)/(4*$D18))))-f_cd*(1-MIN(1,MAX(0,$T18*(7*P$5-3*$D18)/(4*$D18)))^2)</f>
        <v/>
      </c>
      <c r="Q18">
        <f>MAX(-f_yd,MIN(f_yd,200000*0.002*(1-$T18*(7*Q$5-3*$D18)/(4*$D18))))-f_cd*(1-MIN(1,MAX(0,$T18*(7*Q$5-3*$D18)/(4*$D18)))^2)</f>
        <v/>
      </c>
      <c r="R18">
        <f>MAX(-f_yd,MIN(f_yd,200000*0.002*(1-$T18*(7*R$5-3*$D18)/(4*$D18))))-f_cd*(1-MIN(1,MAX(0,$T18*(7*R$5-3*$D18)/(4*$D18)))^2)</f>
        <v/>
      </c>
      <c r="S18">
        <f>MAX(-f_yd,MIN(f_yd,200000*0.002*(1-$T18*(7*S$5-3*$D18)/(4*$D18))))-f_cd*(1-MIN(1,MAX(0,$T18*(7*S$5-3*$D18)/(4*$D18)))^2)</f>
        <v/>
      </c>
      <c r="T18">
        <f>IF($C18&lt;=h_col,1,4/7*h_col/($C18-3/7*h_col))</f>
        <v/>
      </c>
    </row>
    <row r="19">
      <c r="B19" s="54" t="n">
        <v>10</v>
      </c>
      <c r="C19" s="55">
        <f>0.25*h_col</f>
        <v/>
      </c>
      <c r="D19" s="54">
        <f>MIN($C19,h_col)</f>
        <v/>
      </c>
      <c r="E19" s="56">
        <f>(f_cd*b_col*$D19*(3/7+4/7*(1-$T19^2/3))+SUMPRODUCT($J$6:$S$6,$J19:$S19))/1000</f>
        <v/>
      </c>
      <c r="F19" s="56">
        <f>(f_cd*b_col*(3/14*$D19*(h_col-3/7*$D19)+4/7*$D19*(h_col/2-3/7*$D19)*(1-$T19^2/3)-16/49*$D19^2*(1/2-$T19^2/4))+SUMPRODUCT($J$6:$S$6,$J19:$S19,$J$7:$S$7))/1E6</f>
        <v/>
      </c>
      <c r="J19">
        <f>MAX(-f_yd,MIN(f_yd,200000*0.002*(1-$T19*(7*J$5-3*$D19)/(4*$D19))))-f_cd*(1-MIN(1,MAX(0,$T19*(7*J$5-3*$D19)/(4*$D19)))^2)</f>
        <v/>
      </c>
      <c r="K19">
        <f>MAX(-f_yd,MIN(f_yd,200000*0.002*(1-$T19*(7*K$5-3*$D19)/(4*$D19))))-f_cd*(1-MIN(1,MAX(0,$T19*(7*K$5-3*$D19)/(4*$D19)))^2)</f>
        <v/>
      </c>
      <c r="L19">
        <f>MAX(-f_yd,MIN(f_yd,200000*0.002*(1-$T19*(7*L$5-3*$D19)/(4*$D19))))-f_cd*(1-MIN(1,MAX(0,$T19*(7*L$5-3*$D19)/(4*$D19)))^2)</f>
        <v/>
      </c>
      <c r="M19">
        <f>MAX(-f_yd,MIN(f_yd,200000*0.002*(1-$T19*(7*M$5-3*$D19)/(4*$D19))))-f_cd*(1-MIN(1,MAX(0,$T19*(7*M$5-3*$D19)/(4*$D19)))^2)</f>
        <v/>
      </c>
      <c r="N19">
        <f>MAX(-f_yd,MIN(f_yd,200000*0.002*(1-$T19*(7*N$5-3*$D19)/(4*$D19))))-f_cd*(1-MIN(1,MAX(0,$T19*(7*N$5-3*$D19)/(4*$D19)))^2)</f>
        <v/>
      </c>
      <c r="O19">
        <f>MAX(-f_yd,MIN(f_yd,200000*0.002*(1-$T19*(7*O$5-3*$D19)/(4*$D19))))-f_cd*(1-MIN(1,MAX(0,$T19*(7*O$5-3*$D19)/(4*$D19)))^2)</f>
        <v/>
      </c>
      <c r="P19">
        <f>MAX(-f_yd,MIN(f_yd,200000*0.002*(1-$T19*(7*P$5-3*$D19)/(4*$D19))))-f_cd*(1-MIN(1,MAX(0,$T19*(7*P$5-3*$D19)/(4*$D19)))^2)</f>
        <v/>
      </c>
      <c r="Q19">
        <f>MAX(-f_yd,MIN(f_yd,200000*0.002*(1-$T19*(7*Q$5-3*$D19)/(4*$D19))))-f_cd*(1-MIN(1,MAX(0,$T19*(7*Q$5-3*$D19)/(4*$D19)))^2)</f>
        <v/>
      </c>
      <c r="R19">
        <f>MAX(-f_yd,MIN(f_yd,200000*0.002*(1-$T19*(7*R$5-3*$D19)/(4*$D19))))-f_cd*(1-MIN(1,MAX(0,$T19*(7*R$5-3*$D19)/(4*$D19)))^2)</f>
        <v/>
      </c>
      <c r="S19">
        <f>MAX(-f_yd,MIN(f_yd,200000*0.002*(1-$T19*(7*S$5-3*$D19)/(4*$D19))))-f_cd*(1-MIN(1,MAX(0,$T19*(7*S$5-3*$D19)/(4*$D19)))^2)</f>
        <v/>
      </c>
      <c r="T19">
        <f>IF($C19&lt;=h_col,1,4/7*h_col/($C19-3/7*h_col))</f>
        <v/>
      </c>
    </row>
    <row r="20">
      <c r="B20" s="54" t="n">
        <v>11</v>
      </c>
      <c r="C20" s="55">
        <f>0.3*h_col</f>
        <v/>
      </c>
      <c r="D20" s="54">
        <f>MIN($C20,h_col)</f>
        <v/>
      </c>
      <c r="E20" s="56">
        <f>(f_cd*b_col*$D20*(3/7+4/7*(1-$T20^2/3))+SUMPRODUCT($J$6:$S$6,$J20:$S20))/1000</f>
        <v/>
      </c>
      <c r="F20" s="56">
        <f>(f_cd*b_col*(3/14*$D20*(h_col-3/7*$D20)+4/7*$D20*(h_col/2-3/7*$D20)*(1-$T20^2/3)-16/49*$D20^2*(1/2-$T20^2/4))+SUMPRODUCT($J$6:$S$6,$J20:$S20,$J$7:$S$7))/1E6</f>
        <v/>
      </c>
      <c r="J20">
        <f>MAX(-f_yd,MIN(f_yd,200000*0.002*(1-$T20*(7*J$5-3*$D20)/(4*$D20))))-f_cd*(1-MIN(1,MAX(0,$T20*(7*J$5-3*$D20)/(4*$D20)))^2)</f>
        <v/>
      </c>
      <c r="K20">
        <f>MAX(-f_yd,MIN(f_yd,200000*0.002*(1-$T20*(7*K$5-3*$D20)/(4*$D20))))-f_cd*(1-MIN(1,MAX(0,$T20*(7*K$5-3*$D20)/(4*$D20)))^2)</f>
        <v/>
      </c>
      <c r="L20">
        <f>MAX(-f_yd,MIN(f_yd,200000*0.002*(1-$T20*(7*L$5-3*$D20)/(4*$D20))))-f_cd*(1-MIN(1,MAX(0,$T20*(7*L$5-3*$D20)/(4*$D20)))^2)</f>
        <v/>
      </c>
      <c r="M20">
        <f>MAX(-f_yd,MIN(f_yd,200000*0.002*(1-$T20*(7*M$5-3*$D20)/(4*$D20))))-f_cd*(1-MIN(1,MAX(0,$T20*(7*M$5-3*$D20)/(4*$D20)))^2)</f>
        <v/>
      </c>
      <c r="N20">
        <f>MAX(-f_yd,MIN(f_yd,200000*0.002*(1-$T20*(7*N$5-3*$D20)/(4*$D20))))-f_cd*(1-MIN(1,MAX(0,$T20*(7*N$5-3*$D20)/(4*$D20)))^2)</f>
        <v/>
      </c>
      <c r="O20">
        <f>MAX(-f_yd,MIN(f_yd,200000*0.002*(1-$T20*(7*O$5-3*$D20)/(4*$D20))))-f_cd*(1-MIN(1,MAX(0,$T20*(7*O$5-3*$D20)/(4*$D20)))^2)</f>
        <v/>
      </c>
      <c r="P20">
        <f>MAX(-f_yd,MIN(f_yd,200000*0.002*(1-$T20*(7*P$5-3*$D20)/(4*$D20))))-f_cd*(1-MIN(1,MAX(0,$T20*(7*P$5-3*$D20)/(4*$D20)))^2)</f>
        <v/>
      </c>
      <c r="Q20">
        <f>MAX(-f_yd,MIN(f_yd,200000*0.002*(1-$T20*(7*Q$5-3*$D20)/(4*$D20))))-f_cd*(1-MIN(1,MAX(0,$T20*(7*Q$5-3*$D20)/(4*$D20)))^2)</f>
        <v/>
      </c>
      <c r="R20">
        <f>MAX(-f_yd,MIN(f_yd,200000*0.002*(1-$T20*(7*R$5-3*$D20)/(4*$D20))))-f_cd*(1-MIN(1,MAX(0,$T20*(7*R$5-3*$D20)/(4*$D20)))^2)</f>
        <v/>
      </c>
      <c r="S20">
        <f>MAX(-f_yd,MIN(f_yd,200000*0.002*(1-$T20*(7*S$5-3*$D20)/(4*$D20))))-f_cd*(1-MIN(1,MAX(0,$T20*(7*S$5-3*$D20)/(4*$D20)))^2)</f>
        <v/>
      </c>
      <c r="T20">
        <f>IF($C20&lt;=h_col,1,4/7*h_col/($C20-3/7*h_col))</f>
        <v/>
      </c>
    </row>
    <row r="21">
      <c r="B21" s="54" t="n">
        <v>12</v>
      </c>
      <c r="C21" s="55">
        <f>0.35*h_col</f>
        <v/>
      </c>
      <c r="D21" s="54">
        <f>MIN($C21,h_col)</f>
        <v/>
      </c>
      <c r="E21" s="56">
        <f>(f_cd*b_col*$D21*(3/7+4/7*(1-$T21^2/3))+SUMPRODUCT($J$6:$S$6,$J21:$S21))/1000</f>
        <v/>
      </c>
      <c r="F21" s="56">
        <f>(f_cd*b_col*(3/14*$D21*(h_col-3/7*$D21)+4/7*$D21*(h_col/2-3/7*$D21)*(1-$T21^2/3)-16/49*$D21^2*(1/2-$T21^2/4))+SUMPRODUCT($J$6:$S$6,$J21:$S21,$J$7:$S$7))/1E6</f>
        <v/>
      </c>
      <c r="J21">
        <f>MAX(-f_yd,MIN(f_yd,200000*0.002*(1-$T21*(7*J$5-3*$D21)/(4*$D21))))-f_cd*(1-MIN(1,MAX(0,$T21*(7*J$5-3*$D21)/(4*$D21)))^2)</f>
        <v/>
      </c>
      <c r="K21">
        <f>MAX(-f_yd,MIN(f_yd,200000*0.002*(1-$T21*(7*K$5-3*$D21)/(4*$D21))))-f_cd*(1-MIN(1,MAX(0,$T21*(7*K$5-3*$D21)/(4*$D21)))^2)</f>
        <v/>
      </c>
      <c r="L21">
        <f>MAX(-f_yd,MIN(f_yd,200000*0.002*(1-$T21*(7*L$5-3*$D21)/(4*$D21))))-f_cd*(1-MIN(1,MAX(0,$T21*(7*L$5-3*$D21)/(4*$D21)))^2)</f>
        <v/>
      </c>
      <c r="M21">
        <f>MAX(-f_yd,MIN(f_yd,200000*0.002*(1-$T21*(7*M$5-3*$D21)/(4*$D21))))-f_cd*(1-MIN(1,MAX(0,$T21*(7*M$5-3*$D21)/(4*$D21)))^2)</f>
        <v/>
      </c>
      <c r="N21">
        <f>MAX(-f_yd,MIN(f_yd,200000*0.002*(1-$T21*(7*N$5-3*$D21)/(4*$D21))))-f_cd*(1-MIN(1,MAX(0,$T21*(7*N$5-3*$D21)/(4*$D21)))^2)</f>
        <v/>
      </c>
      <c r="O21">
        <f>MAX(-f_yd,MIN(f_yd,200000*0.002*(1-$T21*(7*O$5-3*$D21)/(4*$D21))))-f_cd*(1-MIN(1,MAX(0,$T21*(7*O$5-3*$D21)/(4*$D21)))^2)</f>
        <v/>
      </c>
      <c r="P21">
        <f>MAX(-f_yd,MIN(f_yd,200000*0.002*(1-$T21*(7*P$5-3*$D21)/(4*$D21))))-f_cd*(1-MIN(1,MAX(0,$T21*(7*P$5-3*$D21)/(4*$D21)))^2)</f>
        <v/>
      </c>
      <c r="Q21">
        <f>MAX(-f_yd,MIN(f_yd,200000*0.002*(1-$T21*(7*Q$5-3*$D21)/(4*$D21))))-f_cd*(1-MIN(1,MAX(0,$T21*(7*Q$5-3*$D21)/(4*$D21)))^2)</f>
        <v/>
      </c>
      <c r="R21">
        <f>MAX(-f_yd,MIN(f_yd,200000*0.002*(1-$T21*(7*R$5-3*$D21)/(4*$D21))))-f_cd*(1-MIN(1,MAX(0,$T21*(7*R$5-3*$D21)/(4*$D21)))^2)</f>
        <v/>
      </c>
      <c r="S21">
        <f>MAX(-f_yd,MIN(f_yd,200000*0.002*(1-$T21*(7*S$5-3*$D21)/(4*$D21))))-f_cd*(1-MIN(1,MAX(0,$T21*(7*S$5-3*$D21)/(4*$D21)))^2)</f>
        <v/>
      </c>
      <c r="T21">
        <f>IF($C21&lt;=h_col,1,4/7*h_col/($C21-3/7*h_col))</f>
        <v/>
      </c>
    </row>
    <row r="22">
      <c r="B22" s="54" t="n">
        <v>13</v>
      </c>
      <c r="C22" s="55">
        <f>0.4*h_col</f>
        <v/>
      </c>
      <c r="D22" s="54">
        <f>MIN($C22,h_col)</f>
        <v/>
      </c>
      <c r="E22" s="56">
        <f>(f_cd*b_col*$D22*(3/7+4/7*(1-$T22^2/3))+SUMPRODUCT($J$6:$S$6,$J22:$S22))/1000</f>
        <v/>
      </c>
      <c r="F22" s="56">
        <f>(f_cd*b_col*(3/14*$D22*(h_col-3/7*$D22)+4/7*$D22*(h_col/2-3/7*$D22)*(1-$T22^2/3)-16/49*$D22^2*(1/2-$T22^2/4))+SUMPRODUCT($J$6:$S$6,$J22:$S22,$J$7:$S$7))/1E6</f>
        <v/>
      </c>
      <c r="J22">
        <f>MAX(-f_yd,MIN(f_yd,200000*0.002*(1-$T22*(7*J$5-3*$D22)/(4*$D22))))-f_cd*(1-MIN(1,MAX(0,$T22*(7*J$5-3*$D22)/(4*$D22)))^2)</f>
        <v/>
      </c>
      <c r="K22">
        <f>MAX(-f_yd,MIN(f_yd,200000*0.002*(1-$T22*(7*K$5-3*$D22)/(4*$D22))))-f_cd*(1-MIN(1,MAX(0,$T22*(7*K$5-3*$D22)/(4*$D22)))^2)</f>
        <v/>
      </c>
      <c r="L22">
        <f>MAX(-f_yd,MIN(f_yd,200000*0.002*(1-$T22*(7*L$5-3*$D22)/(4*$D22))))-f_cd*(1-MIN(1,MAX(0,$T22*(7*L$5-3*$D22)/(4*$D22)))^2)</f>
        <v/>
      </c>
      <c r="M22">
        <f>MAX(-f_yd,MIN(f_yd,200000*0.002*(1-$T22*(7*M$5-3*$D22)/(4*$D22))))-f_cd*(1-MIN(1,MAX(0,$T22*(7*M$5-3*$D22)/(4*$D22)))^2)</f>
        <v/>
      </c>
      <c r="N22">
        <f>MAX(-f_yd,MIN(f_yd,200000*0.002*(1-$T22*(7*N$5-3*$D22)/(4*$D22))))-f_cd*(1-MIN(1,MAX(0,$T22*(7*N$5-3*$D22)/(4*$D22)))^2)</f>
        <v/>
      </c>
      <c r="O22">
        <f>MAX(-f_yd,MIN(f_yd,200000*0.002*(1-$T22*(7*O$5-3*$D22)/(4*$D22))))-f_cd*(1-MIN(1,MAX(0,$T22*(7*O$5-3*$D22)/(4*$D22)))^2)</f>
        <v/>
      </c>
      <c r="P22">
        <f>MAX(-f_yd,MIN(f_yd,200000*0.002*(1-$T22*(7*P$5-3*$D22)/(4*$D22))))-f_cd*(1-MIN(1,MAX(0,$T22*(7*P$5-3*$D22)/(4*$D22)))^2)</f>
        <v/>
      </c>
      <c r="Q22">
        <f>MAX(-f_yd,MIN(f_yd,200000*0.002*(1-$T22*(7*Q$5-3*$D22)/(4*$D22))))-f_cd*(1-MIN(1,MAX(0,$T22*(7*Q$5-3*$D22)/(4*$D22)))^2)</f>
        <v/>
      </c>
      <c r="R22">
        <f>MAX(-f_yd,MIN(f_yd,200000*0.002*(1-$T22*(7*R$5-3*$D22)/(4*$D22))))-f_cd*(1-MIN(1,MAX(0,$T22*(7*R$5-3*$D22)/(4*$D22)))^2)</f>
        <v/>
      </c>
      <c r="S22">
        <f>MAX(-f_yd,MIN(f_yd,200000*0.002*(1-$T22*(7*S$5-3*$D22)/(4*$D22))))-f_cd*(1-MIN(1,MAX(0,$T22*(7*S$5-3*$D22)/(4*$D22)))^2)</f>
        <v/>
      </c>
      <c r="T22">
        <f>IF($C22&lt;=h_col,1,4/7*h_col/($C22-3/7*h_col))</f>
        <v/>
      </c>
    </row>
    <row r="23">
      <c r="B23" s="54" t="n">
        <v>14</v>
      </c>
      <c r="C23" s="55">
        <f>0.45*h_col</f>
        <v/>
      </c>
      <c r="D23" s="54">
        <f>MIN($C23,h_col)</f>
        <v/>
      </c>
      <c r="E23" s="56">
        <f>(f_cd*b_col*$D23*(3/7+4/7*(1-$T23^2/3))+SUMPRODUCT($J$6:$S$6,$J23:$S23))/1000</f>
        <v/>
      </c>
      <c r="F23" s="56">
        <f>(f_cd*b_col*(3/14*$D23*(h_col-3/7*$D23)+4/7*$D23*(h_col/2-3/7*$D23)*(1-$T23^2/3)-16/49*$D23^2*(1/2-$T23^2/4))+SUMPRODUCT($J$6:$S$6,$J23:$S23,$J$7:$S$7))/1E6</f>
        <v/>
      </c>
      <c r="J23">
        <f>MAX(-f_yd,MIN(f_yd,200000*0.002*(1-$T23*(7*J$5-3*$D23)/(4*$D23))))-f_cd*(1-MIN(1,MAX(0,$T23*(7*J$5-3*$D23)/(4*$D23)))^2)</f>
        <v/>
      </c>
      <c r="K23">
        <f>MAX(-f_yd,MIN(f_yd,200000*0.002*(1-$T23*(7*K$5-3*$D23)/(4*$D23))))-f_cd*(1-MIN(1,MAX(0,$T23*(7*K$5-3*$D23)/(4*$D23)))^2)</f>
        <v/>
      </c>
      <c r="L23">
        <f>MAX(-f_yd,MIN(f_yd,200000*0.002*(1-$T23*(7*L$5-3*$D23)/(4*$D23))))-f_cd*(1-MIN(1,MAX(0,$T23*(7*L$5-3*$D23)/(4*$D23)))^2)</f>
        <v/>
      </c>
      <c r="M23">
        <f>MAX(-f_yd,MIN(f_yd,200000*0.002*(1-$T23*(7*M$5-3*$D23)/(4*$D23))))-f_cd*(1-MIN(1,MAX(0,$T23*(7*M$5-3*$D23)/(4*$D23)))^2)</f>
        <v/>
      </c>
      <c r="N23">
        <f>MAX(-f_yd,MIN(f_yd,200000*0.002*(1-$T23*(7*N$5-3*$D23)/(4*$D23))))-f_cd*(1-MIN(1,MAX(0,$T23*(7*N$5-3*$D23)/(4*$D23)))^2)</f>
        <v/>
      </c>
      <c r="O23">
        <f>MAX(-f_yd,MIN(f_yd,200000*0.002*(1-$T23*(7*O$5-3*$D23)/(4*$D23))))-f_cd*(1-MIN(1,MAX(0,$T23*(7*O$5-3*$D23)/(4*$D23)))^2)</f>
        <v/>
      </c>
      <c r="P23">
        <f>MAX(-f_yd,MIN(f_yd,200000*0.002*(1-$T23*(7*P$5-3*$D23)/(4*$D23))))-f_cd*(1-MIN(1,MAX(0,$T23*(7*P$5-3*$D23)/(4*$D23)))^2)</f>
        <v/>
      </c>
      <c r="Q23">
        <f>MAX(-f_yd,MIN(f_yd,200000*0.002*(1-$T23*(7*Q$5-3*$D23)/(4*$D23))))-f_cd*(1-MIN(1,MAX(0,$T23*(7*Q$5-3*$D23)/(4*$D23)))^2)</f>
        <v/>
      </c>
      <c r="R23">
        <f>MAX(-f_yd,MIN(f_yd,200000*0.002*(1-$T23*(7*R$5-3*$D23)/(4*$D23))))-f_cd*(1-MIN(1,MAX(0,$T23*(7*R$5-3*$D23)/(4*$D23)))^2)</f>
        <v/>
      </c>
      <c r="S23">
        <f>MAX(-f_yd,MIN(f_yd,200000*0.002*(1-$T23*(7*S$5-3*$D23)/(4*$D23))))-f_cd*(1-MIN(1,MAX(0,$T23*(7*S$5-3*$D23)/(4*$D23)))^2)</f>
        <v/>
      </c>
      <c r="T23">
        <f>IF($C23&lt;=h_col,1,4/7*h_col/($C23-3/7*h_col))</f>
        <v/>
      </c>
    </row>
    <row r="24">
      <c r="B24" s="54" t="n">
        <v>15</v>
      </c>
      <c r="C24" s="55">
        <f>0.5*h_col</f>
        <v/>
      </c>
      <c r="D24" s="54">
        <f>MIN($C24,h_col)</f>
        <v/>
      </c>
      <c r="E24" s="56">
        <f>(f_cd*b_col*$D24*(3/7+4/7*(1-$T24^2/3))+SUMPRODUCT($J$6:$S$6,$J24:$S24))/1000</f>
        <v/>
      </c>
      <c r="F24" s="56">
        <f>(f_cd*b_col*(3/14*$D24*(h_col-3/7*$D24)+4/7*$D24*(h_col/2-3/7*$D24)*(1-$T24^2/3)-16/49*$D24^2*(1/2-$T24^2/4))+SUMPRODUCT($J$6:$S$6,$J24:$S24,$J$7:$S$7))/1E6</f>
        <v/>
      </c>
      <c r="J24">
        <f>MAX(-f_yd,MIN(f_yd,200000*0.002*(1-$T24*(7*J$5-3*$D24)/(4*$D24))))-f_cd*(1-MIN(1,MAX(0,$T24*(7*J$5-3*$D24)/(4*$D24)))^2)</f>
        <v/>
      </c>
      <c r="K24">
        <f>MAX(-f_yd,MIN(f_yd,200000*0.002*(1-$T24*(7*K$5-3*$D24)/(4*$D24))))-f_cd*(1-MIN(1,MAX(0,$T24*(7*K$5-3*$D24)/(4*$D24)))^2)</f>
        <v/>
      </c>
      <c r="L24">
        <f>MAX(-f_yd,MIN(f_yd,200000*0.002*(1-$T24*(7*L$5-3*$D24)/(4*$D24))))-f_cd*(1-MIN(1,MAX(0,$T24*(7*L$5-3*$D24)/(4*$D24)))^2)</f>
        <v/>
      </c>
      <c r="M24">
        <f>MAX(-f_yd,MIN(f_yd,200000*0.002*(1-$T24*(7*M$5-3*$D24)/(4*$D24))))-f_cd*(1-MIN(1,MAX(0,$T24*(7*M$5-3*$D24)/(4*$D24)))^2)</f>
        <v/>
      </c>
      <c r="N24">
        <f>MAX(-f_yd,MIN(f_yd,200000*0.002*(1-$T24*(7*N$5-3*$D24)/(4*$D24))))-f_cd*(1-MIN(1,MAX(0,$T24*(7*N$5-3*$D24)/(4*$D24)))^2)</f>
        <v/>
      </c>
      <c r="O24">
        <f>MAX(-f_yd,MIN(f_yd,200000*0.002*(1-$T24*(7*O$5-3*$D24)/(4*$D24))))-f_cd*(1-MIN(1,MAX(0,$T24*(7*O$5-3*$D24)/(4*$D24)))^2)</f>
        <v/>
      </c>
      <c r="P24">
        <f>MAX(-f_yd,MIN(f_yd,200000*0.002*(1-$T24*(7*P$5-3*$D24)/(4*$D24))))-f_cd*(1-MIN(1,MAX(0,$T24*(7*P$5-3*$D24)/(4*$D24)))^2)</f>
        <v/>
      </c>
      <c r="Q24">
        <f>MAX(-f_yd,MIN(f_yd,200000*0.002*(1-$T24*(7*Q$5-3*$D24)/(4*$D24))))-f_cd*(1-MIN(1,MAX(0,$T24*(7*Q$5-3*$D24)/(4*$D24)))^2)</f>
        <v/>
      </c>
      <c r="R24">
        <f>MAX(-f_yd,MIN(f_yd,200000*0.002*(1-$T24*(7*R$5-3*$D24)/(4*$D24))))-f_cd*(1-MIN(1,MAX(0,$T24*(7*R$5-3*$D24)/(4*$D24)))^2)</f>
        <v/>
      </c>
      <c r="S24">
        <f>MAX(-f_yd,MIN(f_yd,200000*0.002*(1-$T24*(7*S$5-3*$D24)/(4*$D24))))-f_cd*(1-MIN(1,MAX(0,$T24*(7*S$5-3*$D24)/(4*$D24)))^2)</f>
        <v/>
      </c>
      <c r="T24">
        <f>IF($C24&lt;=h_col,1,4/7*h_col/($C24-3/7*h_col))</f>
        <v/>
      </c>
    </row>
    <row r="25">
      <c r="B25" s="54" t="n">
        <v>16</v>
      </c>
      <c r="C25" s="55">
        <f>0.55*h_col</f>
        <v/>
      </c>
      <c r="D25" s="54">
        <f>MIN($C25,h_col)</f>
        <v/>
      </c>
      <c r="E25" s="56">
        <f>(f_cd*b_col*$D25*(3/7+4/7*(1-$T25^2/3))+SUMPRODUCT($J$6:$S$6,$J25:$S25))/1000</f>
        <v/>
      </c>
      <c r="F25" s="56">
        <f>(f_cd*b_col*(3/14*$D25*(h_col-3/7*$D25)+4/7*$D25*(h_col/2-3/7*$D25)*(1-$T25^2/3)-16/49*$D25^2*(1/2-$T25^2/4))+SUMPRODUCT($J$6:$S$6,$J25:$S25,$J$7:$S$7))/1E6</f>
        <v/>
      </c>
      <c r="J25">
        <f>MAX(-f_yd,MIN(f_yd,200000*0.002*(1-$T25*(7*J$5-3*$D25)/(4*$D25))))-f_cd*(1-MIN(1,MAX(0,$T25*(7*J$5-3*$D25)/(4*$D25)))^2)</f>
        <v/>
      </c>
      <c r="K25">
        <f>MAX(-f_yd,MIN(f_yd,200000*0.002*(1-$T25*(7*K$5-3*$D25)/(4*$D25))))-f_cd*(1-MIN(1,MAX(0,$T25*(7*K$5-3*$D25)/(4*$D25)))^2)</f>
        <v/>
      </c>
      <c r="L25">
        <f>MAX(-f_yd,MIN(f_yd,200000*0.002*(1-$T25*(7*L$5-3*$D25)/(4*$D25))))-f_cd*(1-MIN(1,MAX(0,$T25*(7*L$5-3*$D25)/(4*$D25)))^2)</f>
        <v/>
      </c>
      <c r="M25">
        <f>MAX(-f_yd,MIN(f_yd,200000*0.002*(1-$T25*(7*M$5-3*$D25)/(4*$D25))))-f_cd*(1-MIN(1,MAX(0,$T25*(7*M$5-3*$D25)/(4*$D25)))^2)</f>
        <v/>
      </c>
      <c r="N25">
        <f>MAX(-f_yd,MIN(f_yd,200000*0.002*(1-$T25*(7*N$5-3*$D25)/(4*$D25))))-f_cd*(1-MIN(1,MAX(0,$T25*(7*N$5-3*$D25)/(4*$D25)))^2)</f>
        <v/>
      </c>
      <c r="O25">
        <f>MAX(-f_yd,MIN(f_yd,200000*0.002*(1-$T25*(7*O$5-3*$D25)/(4*$D25))))-f_cd*(1-MIN(1,MAX(0,$T25*(7*O$5-3*$D25)/(4*$D25)))^2)</f>
        <v/>
      </c>
      <c r="P25">
        <f>MAX(-f_yd,MIN(f_yd,200000*0.002*(1-$T25*(7*P$5-3*$D25)/(4*$D25))))-f_cd*(1-MIN(1,MAX(0,$T25*(7*P$5-3*$D25)/(4*$D25)))^2)</f>
        <v/>
      </c>
      <c r="Q25">
        <f>MAX(-f_yd,MIN(f_yd,200000*0.002*(1-$T25*(7*Q$5-3*$D25)/(4*$D25))))-f_cd*(1-MIN(1,MAX(0,$T25*(7*Q$5-3*$D25)/(4*$D25)))^2)</f>
        <v/>
      </c>
      <c r="R25">
        <f>MAX(-f_yd,MIN(f_yd,200000*0.002*(1-$T25*(7*R$5-3*$D25)/(4*$D25))))-f_cd*(1-MIN(1,MAX(0,$T25*(7*R$5-3*$D25)/(4*$D25)))^2)</f>
        <v/>
      </c>
      <c r="S25">
        <f>MAX(-f_yd,MIN(f_yd,200000*0.002*(1-$T25*(7*S$5-3*$D25)/(4*$D25))))-f_cd*(1-MIN(1,MAX(0,$T25*(7*S$5-3*$D25)/(4*$D25)))^2)</f>
        <v/>
      </c>
      <c r="T25">
        <f>IF($C25&lt;=h_col,1,4/7*h_col/($C25-3/7*h_col))</f>
        <v/>
      </c>
    </row>
    <row r="26">
      <c r="B26" s="54" t="n">
        <v>17</v>
      </c>
      <c r="C26" s="55">
        <f>0.6*h_col</f>
        <v/>
      </c>
      <c r="D26" s="54">
        <f>MIN($C26,h_col)</f>
        <v/>
      </c>
      <c r="E26" s="56">
        <f>(f_cd*b_col*$D26*(3/7+4/7*(1-$T26^2/3))+SUMPRODUCT($J$6:$S$6,$J26:$S26))/1000</f>
        <v/>
      </c>
      <c r="F26" s="56">
        <f>(f_cd*b_col*(3/14*$D26*(h_col-3/7*$D26)+4/7*$D26*(h_col/2-3/7*$D26)*(1-$T26^2/3)-16/49*$D26^2*(1/2-$T26^2/4))+SUMPRODUCT($J$6:$S$6,$J26:$S26,$J$7:$S$7))/1E6</f>
        <v/>
      </c>
      <c r="J26">
        <f>MAX(-f_yd,MIN(f_yd,200000*0.002*(1-$T26*(7*J$5-3*$D26)/(4*$D26))))-f_cd*(1-MIN(1,MAX(0,$T26*(7*J$5-3*$D26)/(4*$D26)))^2)</f>
        <v/>
      </c>
      <c r="K26">
        <f>MAX(-f_yd,MIN(f_yd,200000*0.002*(1-$T26*(7*K$5-3*$D26)/(4*$D26))))-f_cd*(1-MIN(1,MAX(0,$T26*(7*K$5-3*$D26)/(4*$D26)))^2)</f>
        <v/>
      </c>
      <c r="L26">
        <f>MAX(-f_yd,MIN(f_yd,200000*0.002*(1-$T26*(7*L$5-3*$D26)/(4*$D26))))-f_cd*(1-MIN(1,MAX(0,$T26*(7*L$5-3*$D26)/(4*$D26)))^2)</f>
        <v/>
      </c>
      <c r="M26">
        <f>MAX(-f_yd,MIN(f_yd,200000*0.002*(1-$T26*(7*M$5-3*$D26)/(4*$D26))))-f_cd*(1-MIN(1,MAX(0,$T26*(7*M$5-3*$D26)/(4*$D26)))^2)</f>
        <v/>
      </c>
      <c r="N26">
        <f>MAX(-f_yd,MIN(f_yd,200000*0.002*(1-$T26*(7*N$5-3*$D26)/(4*$D26))))-f_cd*(1-MIN(1,MAX(0,$T26*(7*N$5-3*$D26)/(4*$D26)))^2)</f>
        <v/>
      </c>
      <c r="O26">
        <f>MAX(-f_yd,MIN(f_yd,200000*0.002*(1-$T26*(7*O$5-3*$D26)/(4*$D26))))-f_cd*(1-MIN(1,MAX(0,$T26*(7*O$5-3*$D26)/(4*$D26)))^2)</f>
        <v/>
      </c>
      <c r="P26">
        <f>MAX(-f_yd,MIN(f_yd,200000*0.002*(1-$T26*(7*P$5-3*$D26)/(4*$D26))))-f_cd*(1-MIN(1,MAX(0,$T26*(7*P$5-3*$D26)/(4*$D26)))^2)</f>
        <v/>
      </c>
      <c r="Q26">
        <f>MAX(-f_yd,MIN(f_yd,200000*0.002*(1-$T26*(7*Q$5-3*$D26)/(4*$D26))))-f_cd*(1-MIN(1,MAX(0,$T26*(7*Q$5-3*$D26)/(4*$D26)))^2)</f>
        <v/>
      </c>
      <c r="R26">
        <f>MAX(-f_yd,MIN(f_yd,200000*0.002*(1-$T26*(7*R$5-3*$D26)/(4*$D26))))-f_cd*(1-MIN(1,MAX(0,$T26*(7*R$5-3*$D26)/(4*$D26)))^2)</f>
        <v/>
      </c>
      <c r="S26">
        <f>MAX(-f_yd,MIN(f_yd,200000*0.002*(1-$T26*(7*S$5-3*$D26)/(4*$D26))))-f_cd*(1-MIN(1,MAX(0,$T26*(7*S$5-3*$D26)/(4*$D26)))^2)</f>
        <v/>
      </c>
      <c r="T26">
        <f>IF($C26&lt;=h_col,1,4/7*h_col/($C26-3/7*h_col))</f>
        <v/>
      </c>
    </row>
    <row r="27">
      <c r="B27" s="54" t="n">
        <v>18</v>
      </c>
      <c r="C27" s="55">
        <f>0.65*h_col</f>
        <v/>
      </c>
      <c r="D27" s="54">
        <f>MIN($C27,h_col)</f>
        <v/>
      </c>
      <c r="E27" s="56">
        <f>(f_cd*b_col*$D27*(3/7+4/7*(1-$T27^2/3))+SUMPRODUCT($J$6:$S$6,$J27:$S27))/1000</f>
        <v/>
      </c>
      <c r="F27" s="56">
        <f>(f_cd*b_col*(3/14*$D27*(h_col-3/7*$D27)+4/7*$D27*(h_col/2-3/7*$D27)*(1-$T27^2/3)-16/49*$D27^2*(1/2-$T27^2/4))+SUMPRODUCT($J$6:$S$6,$J27:$S27,$J$7:$S$7))/1E6</f>
        <v/>
      </c>
      <c r="J27">
        <f>MAX(-f_yd,MIN(f_yd,200000*0.002*(1-$T27*(7*J$5-3*$D27)/(4*$D27))))-f_cd*(1-MIN(1,MAX(0,$T27*(7*J$5-3*$D27)/(4*$D27)))^2)</f>
        <v/>
      </c>
      <c r="K27">
        <f>MAX(-f_yd,MIN(f_yd,200000*0.002*(1-$T27*(7*K$5-3*$D27)/(4*$D27))))-f_cd*(1-MIN(1,MAX(0,$T27*(7*K$5-3*$D27)/(4*$D27)))^2)</f>
        <v/>
      </c>
      <c r="L27">
        <f>MAX(-f_yd,MIN(f_yd,200000*0.002*(1-$T27*(7*L$5-3*$D27)/(4*$D27))))-f_cd*(1-MIN(1,MAX(0,$T27*(7*L$5-3*$D27)/(4*$D27)))^2)</f>
        <v/>
      </c>
      <c r="M27">
        <f>MAX(-f_yd,MIN(f_yd,200000*0.002*(1-$T27*(7*M$5-3*$D27)/(4*$D27))))-f_cd*(1-MIN(1,MAX(0,$T27*(7*M$5-3*$D27)/(4*$D27)))^2)</f>
        <v/>
      </c>
      <c r="N27">
        <f>MAX(-f_yd,MIN(f_yd,200000*0.002*(1-$T27*(7*N$5-3*$D27)/(4*$D27))))-f_cd*(1-MIN(1,MAX(0,$T27*(7*N$5-3*$D27)/(4*$D27)))^2)</f>
        <v/>
      </c>
      <c r="O27">
        <f>MAX(-f_yd,MIN(f_yd,200000*0.002*(1-$T27*(7*O$5-3*$D27)/(4*$D27))))-f_cd*(1-MIN(1,MAX(0,$T27*(7*O$5-3*$D27)/(4*$D27)))^2)</f>
        <v/>
      </c>
      <c r="P27">
        <f>MAX(-f_yd,MIN(f_yd,200000*0.002*(1-$T27*(7*P$5-3*$D27)/(4*$D27))))-f_cd*(1-MIN(1,MAX(0,$T27*(7*P$5-3*$D27)/(4*$D27)))^2)</f>
        <v/>
      </c>
      <c r="Q27">
        <f>MAX(-f_yd,MIN(f_yd,200000*0.002*(1-$T27*(7*Q$5-3*$D27)/(4*$D27))))-f_cd*(1-MIN(1,MAX(0,$T27*(7*Q$5-3*$D27)/(4*$D27)))^2)</f>
        <v/>
      </c>
      <c r="R27">
        <f>MAX(-f_yd,MIN(f_yd,200000*0.002*(1-$T27*(7*R$5-3*$D27)/(4*$D27))))-f_cd*(1-MIN(1,MAX(0,$T27*(7*R$5-3*$D27)/(4*$D27)))^2)</f>
        <v/>
      </c>
      <c r="S27">
        <f>MAX(-f_yd,MIN(f_yd,200000*0.002*(1-$T27*(7*S$5-3*$D27)/(4*$D27))))-f_cd*(1-MIN(1,MAX(0,$T27*(7*S$5-3*$D27)/(4*$D27)))^2)</f>
        <v/>
      </c>
      <c r="T27">
        <f>IF($C27&lt;=h_col,1,4/7*h_col/($C27-3/7*h_col))</f>
        <v/>
      </c>
    </row>
    <row r="28">
      <c r="B28" s="54" t="n">
        <v>19</v>
      </c>
      <c r="C28" s="55">
        <f>0.7*h_col</f>
        <v/>
      </c>
      <c r="D28" s="54">
        <f>MIN($C28,h_col)</f>
        <v/>
      </c>
      <c r="E28" s="56">
        <f>(f_cd*b_col*$D28*(3/7+4/7*(1-$T28^2/3))+SUMPRODUCT($J$6:$S$6,$J28:$S28))/1000</f>
        <v/>
      </c>
      <c r="F28" s="56">
        <f>(f_cd*b_col*(3/14*$D28*(h_col-3/7*$D28)+4/7*$D28*(h_col/2-3/7*$D28)*(1-$T28^2/3)-16/49*$D28^2*(1/2-$T28^2/4))+SUMPRODUCT($J$6:$S$6,$J28:$S28,$J$7:$S$7))/1E6</f>
        <v/>
      </c>
      <c r="J28">
        <f>MAX(-f_yd,MIN(f_yd,200000*0.002*(1-$T28*(7*J$5-3*$D28)/(4*$D28))))-f_cd*(1-MIN(1,MAX(0,$T28*(7*J$5-3*$D28)/(4*$D28)))^2)</f>
        <v/>
      </c>
      <c r="K28">
        <f>MAX(-f_yd,MIN(f_yd,200000*0.002*(1-$T28*(7*K$5-3*$D28)/(4*$D28))))-f_cd*(1-MIN(1,MAX(0,$T28*(7*K$5-3*$D28)/(4*$D28)))^2)</f>
        <v/>
      </c>
      <c r="L28">
        <f>MAX(-f_yd,MIN(f_yd,200000*0.002*(1-$T28*(7*L$5-3*$D28)/(4*$D28))))-f_cd*(1-MIN(1,MAX(0,$T28*(7*L$5-3*$D28)/(4*$D28)))^2)</f>
        <v/>
      </c>
      <c r="M28">
        <f>MAX(-f_yd,MIN(f_yd,200000*0.002*(1-$T28*(7*M$5-3*$D28)/(4*$D28))))-f_cd*(1-MIN(1,MAX(0,$T28*(7*M$5-3*$D28)/(4*$D28)))^2)</f>
        <v/>
      </c>
      <c r="N28">
        <f>MAX(-f_yd,MIN(f_yd,200000*0.002*(1-$T28*(7*N$5-3*$D28)/(4*$D28))))-f_cd*(1-MIN(1,MAX(0,$T28*(7*N$5-3*$D28)/(4*$D28)))^2)</f>
        <v/>
      </c>
      <c r="O28">
        <f>MAX(-f_yd,MIN(f_yd,200000*0.002*(1-$T28*(7*O$5-3*$D28)/(4*$D28))))-f_cd*(1-MIN(1,MAX(0,$T28*(7*O$5-3*$D28)/(4*$D28)))^2)</f>
        <v/>
      </c>
      <c r="P28">
        <f>MAX(-f_yd,MIN(f_yd,200000*0.002*(1-$T28*(7*P$5-3*$D28)/(4*$D28))))-f_cd*(1-MIN(1,MAX(0,$T28*(7*P$5-3*$D28)/(4*$D28)))^2)</f>
        <v/>
      </c>
      <c r="Q28">
        <f>MAX(-f_yd,MIN(f_yd,200000*0.002*(1-$T28*(7*Q$5-3*$D28)/(4*$D28))))-f_cd*(1-MIN(1,MAX(0,$T28*(7*Q$5-3*$D28)/(4*$D28)))^2)</f>
        <v/>
      </c>
      <c r="R28">
        <f>MAX(-f_yd,MIN(f_yd,200000*0.002*(1-$T28*(7*R$5-3*$D28)/(4*$D28))))-f_cd*(1-MIN(1,MAX(0,$T28*(7*R$5-3*$D28)/(4*$D28)))^2)</f>
        <v/>
      </c>
      <c r="S28">
        <f>MAX(-f_yd,MIN(f_yd,200000*0.002*(1-$T28*(7*S$5-3*$D28)/(4*$D28))))-f_cd*(1-MIN(1,MAX(0,$T28*(7*S$5-3*$D28)/(4*$D28)))^2)</f>
        <v/>
      </c>
      <c r="T28">
        <f>IF($C28&lt;=h_col,1,4/7*h_col/($C28-3/7*h_col))</f>
        <v/>
      </c>
    </row>
    <row r="29">
      <c r="B29" s="54" t="n">
        <v>20</v>
      </c>
      <c r="C29" s="55">
        <f>0.75*h_col</f>
        <v/>
      </c>
      <c r="D29" s="54">
        <f>MIN($C29,h_col)</f>
        <v/>
      </c>
      <c r="E29" s="56">
        <f>(f_cd*b_col*$D29*(3/7+4/7*(1-$T29^2/3))+SUMPRODUCT($J$6:$S$6,$J29:$S29))/1000</f>
        <v/>
      </c>
      <c r="F29" s="56">
        <f>(f_cd*b_col*(3/14*$D29*(h_col-3/7*$D29)+4/7*$D29*(h_col/2-3/7*$D29)*(1-$T29^2/3)-16/49*$D29^2*(1/2-$T29^2/4))+SUMPRODUCT($J$6:$S$6,$J29:$S29,$J$7:$S$7))/1E6</f>
        <v/>
      </c>
      <c r="J29">
        <f>MAX(-f_yd,MIN(f_yd,200000*0.002*(1-$T29*(7*J$5-3*$D29)/(4*$D29))))-f_cd*(1-MIN(1,MAX(0,$T29*(7*J$5-3*$D29)/(4*$D29)))^2)</f>
        <v/>
      </c>
      <c r="K29">
        <f>MAX(-f_yd,MIN(f_yd,200000*0.002*(1-$T29*(7*K$5-3*$D29)/(4*$D29))))-f_cd*(1-MIN(1,MAX(0,$T29*(7*K$5-3*$D29)/(4*$D29)))^2)</f>
        <v/>
      </c>
      <c r="L29">
        <f>MAX(-f_yd,MIN(f_yd,200000*0.002*(1-$T29*(7*L$5-3*$D29)/(4*$D29))))-f_cd*(1-MIN(1,MAX(0,$T29*(7*L$5-3*$D29)/(4*$D29)))^2)</f>
        <v/>
      </c>
      <c r="M29">
        <f>MAX(-f_yd,MIN(f_yd,200000*0.002*(1-$T29*(7*M$5-3*$D29)/(4*$D29))))-f_cd*(1-MIN(1,MAX(0,$T29*(7*M$5-3*$D29)/(4*$D29)))^2)</f>
        <v/>
      </c>
      <c r="N29">
        <f>MAX(-f_yd,MIN(f_yd,200000*0.002*(1-$T29*(7*N$5-3*$D29)/(4*$D29))))-f_cd*(1-MIN(1,MAX(0,$T29*(7*N$5-3*$D29)/(4*$D29)))^2)</f>
        <v/>
      </c>
      <c r="O29">
        <f>MAX(-f_yd,MIN(f_yd,200000*0.002*(1-$T29*(7*O$5-3*$D29)/(4*$D29))))-f_cd*(1-MIN(1,MAX(0,$T29*(7*O$5-3*$D29)/(4*$D29)))^2)</f>
        <v/>
      </c>
      <c r="P29">
        <f>MAX(-f_yd,MIN(f_yd,200000*0.002*(1-$T29*(7*P$5-3*$D29)/(4*$D29))))-f_cd*(1-MIN(1,MAX(0,$T29*(7*P$5-3*$D29)/(4*$D29)))^2)</f>
        <v/>
      </c>
      <c r="Q29">
        <f>MAX(-f_yd,MIN(f_yd,200000*0.002*(1-$T29*(7*Q$5-3*$D29)/(4*$D29))))-f_cd*(1-MIN(1,MAX(0,$T29*(7*Q$5-3*$D29)/(4*$D29)))^2)</f>
        <v/>
      </c>
      <c r="R29">
        <f>MAX(-f_yd,MIN(f_yd,200000*0.002*(1-$T29*(7*R$5-3*$D29)/(4*$D29))))-f_cd*(1-MIN(1,MAX(0,$T29*(7*R$5-3*$D29)/(4*$D29)))^2)</f>
        <v/>
      </c>
      <c r="S29">
        <f>MAX(-f_yd,MIN(f_yd,200000*0.002*(1-$T29*(7*S$5-3*$D29)/(4*$D29))))-f_cd*(1-MIN(1,MAX(0,$T29*(7*S$5-3*$D29)/(4*$D29)))^2)</f>
        <v/>
      </c>
      <c r="T29">
        <f>IF($C29&lt;=h_col,1,4/7*h_col/($C29-3/7*h_col))</f>
        <v/>
      </c>
    </row>
    <row r="30">
      <c r="B30" s="54" t="n">
        <v>21</v>
      </c>
      <c r="C30" s="55">
        <f>0.8*h_col</f>
        <v/>
      </c>
      <c r="D30" s="54">
        <f>MIN($C30,h_col)</f>
        <v/>
      </c>
      <c r="E30" s="56">
        <f>(f_cd*b_col*$D30*(3/7+4/7*(1-$T30^2/3))+SUMPRODUCT($J$6:$S$6,$J30:$S30))/1000</f>
        <v/>
      </c>
      <c r="F30" s="56">
        <f>(f_cd*b_col*(3/14*$D30*(h_col-3/7*$D30)+4/7*$D30*(h_col/2-3/7*$D30)*(1-$T30^2/3)-16/49*$D30^2*(1/2-$T30^2/4))+SUMPRODUCT($J$6:$S$6,$J30:$S30,$J$7:$S$7))/1E6</f>
        <v/>
      </c>
      <c r="J30">
        <f>MAX(-f_yd,MIN(f_yd,200000*0.002*(1-$T30*(7*J$5-3*$D30)/(4*$D30))))-f_cd*(1-MIN(1,MAX(0,$T30*(7*J$5-3*$D30)/(4*$D30)))^2)</f>
        <v/>
      </c>
      <c r="K30">
        <f>MAX(-f_yd,MIN(f_yd,200000*0.002*(1-$T30*(7*K$5-3*$D30)/(4*$D30))))-f_cd*(1-MIN(1,MAX(0,$T30*(7*K$5-3*$D30)/(4*$D30)))^2)</f>
        <v/>
      </c>
      <c r="L30">
        <f>MAX(-f_yd,MIN(f_yd,200000*0.002*(1-$T30*(7*L$5-3*$D30)/(4*$D30))))-f_cd*(1-MIN(1,MAX(0,$T30*(7*L$5-3*$D30)/(4*$D30)))^2)</f>
        <v/>
      </c>
      <c r="M30">
        <f>MAX(-f_yd,MIN(f_yd,200000*0.002*(1-$T30*(7*M$5-3*$D30)/(4*$D30))))-f_cd*(1-MIN(1,MAX(0,$T30*(7*M$5-3*$D30)/(4*$D30)))^2)</f>
        <v/>
      </c>
      <c r="N30">
        <f>MAX(-f_yd,MIN(f_yd,200000*0.002*(1-$T30*(7*N$5-3*$D30)/(4*$D30))))-f_cd*(1-MIN(1,MAX(0,$T30*(7*N$5-3*$D30)/(4*$D30)))^2)</f>
        <v/>
      </c>
      <c r="O30">
        <f>MAX(-f_yd,MIN(f_yd,200000*0.002*(1-$T30*(7*O$5-3*$D30)/(4*$D30))))-f_cd*(1-MIN(1,MAX(0,$T30*(7*O$5-3*$D30)/(4*$D30)))^2)</f>
        <v/>
      </c>
      <c r="P30">
        <f>MAX(-f_yd,MIN(f_yd,200000*0.002*(1-$T30*(7*P$5-3*$D30)/(4*$D30))))-f_cd*(1-MIN(1,MAX(0,$T30*(7*P$5-3*$D30)/(4*$D30)))^2)</f>
        <v/>
      </c>
      <c r="Q30">
        <f>MAX(-f_yd,MIN(f_yd,200000*0.002*(1-$T30*(7*Q$5-3*$D30)/(4*$D30))))-f_cd*(1-MIN(1,MAX(0,$T30*(7*Q$5-3*$D30)/(4*$D30)))^2)</f>
        <v/>
      </c>
      <c r="R30">
        <f>MAX(-f_yd,MIN(f_yd,200000*0.002*(1-$T30*(7*R$5-3*$D30)/(4*$D30))))-f_cd*(1-MIN(1,MAX(0,$T30*(7*R$5-3*$D30)/(4*$D30)))^2)</f>
        <v/>
      </c>
      <c r="S30">
        <f>MAX(-f_yd,MIN(f_yd,200000*0.002*(1-$T30*(7*S$5-3*$D30)/(4*$D30))))-f_cd*(1-MIN(1,MAX(0,$T30*(7*S$5-3*$D30)/(4*$D30)))^2)</f>
        <v/>
      </c>
      <c r="T30">
        <f>IF($C30&lt;=h_col,1,4/7*h_col/($C30-3/7*h_col))</f>
        <v/>
      </c>
    </row>
    <row r="31">
      <c r="B31" s="54" t="n">
        <v>22</v>
      </c>
      <c r="C31" s="55">
        <f>0.85*h_col</f>
        <v/>
      </c>
      <c r="D31" s="54">
        <f>MIN($C31,h_col)</f>
        <v/>
      </c>
      <c r="E31" s="56">
        <f>(f_cd*b_col*$D31*(3/7+4/7*(1-$T31^2/3))+SUMPRODUCT($J$6:$S$6,$J31:$S31))/1000</f>
        <v/>
      </c>
      <c r="F31" s="56">
        <f>(f_cd*b_col*(3/14*$D31*(h_col-3/7*$D31)+4/7*$D31*(h_col/2-3/7*$D31)*(1-$T31^2/3)-16/49*$D31^2*(1/2-$T31^2/4))+SUMPRODUCT($J$6:$S$6,$J31:$S31,$J$7:$S$7))/1E6</f>
        <v/>
      </c>
      <c r="J31">
        <f>MAX(-f_yd,MIN(f_yd,200000*0.002*(1-$T31*(7*J$5-3*$D31)/(4*$D31))))-f_cd*(1-MIN(1,MAX(0,$T31*(7*J$5-3*$D31)/(4*$D31)))^2)</f>
        <v/>
      </c>
      <c r="K31">
        <f>MAX(-f_yd,MIN(f_yd,200000*0.002*(1-$T31*(7*K$5-3*$D31)/(4*$D31))))-f_cd*(1-MIN(1,MAX(0,$T31*(7*K$5-3*$D31)/(4*$D31)))^2)</f>
        <v/>
      </c>
      <c r="L31">
        <f>MAX(-f_yd,MIN(f_yd,200000*0.002*(1-$T31*(7*L$5-3*$D31)/(4*$D31))))-f_cd*(1-MIN(1,MAX(0,$T31*(7*L$5-3*$D31)/(4*$D31)))^2)</f>
        <v/>
      </c>
      <c r="M31">
        <f>MAX(-f_yd,MIN(f_yd,200000*0.002*(1-$T31*(7*M$5-3*$D31)/(4*$D31))))-f_cd*(1-MIN(1,MAX(0,$T31*(7*M$5-3*$D31)/(4*$D31)))^2)</f>
        <v/>
      </c>
      <c r="N31">
        <f>MAX(-f_yd,MIN(f_yd,200000*0.002*(1-$T31*(7*N$5-3*$D31)/(4*$D31))))-f_cd*(1-MIN(1,MAX(0,$T31*(7*N$5-3*$D31)/(4*$D31)))^2)</f>
        <v/>
      </c>
      <c r="O31">
        <f>MAX(-f_yd,MIN(f_yd,200000*0.002*(1-$T31*(7*O$5-3*$D31)/(4*$D31))))-f_cd*(1-MIN(1,MAX(0,$T31*(7*O$5-3*$D31)/(4*$D31)))^2)</f>
        <v/>
      </c>
      <c r="P31">
        <f>MAX(-f_yd,MIN(f_yd,200000*0.002*(1-$T31*(7*P$5-3*$D31)/(4*$D31))))-f_cd*(1-MIN(1,MAX(0,$T31*(7*P$5-3*$D31)/(4*$D31)))^2)</f>
        <v/>
      </c>
      <c r="Q31">
        <f>MAX(-f_yd,MIN(f_yd,200000*0.002*(1-$T31*(7*Q$5-3*$D31)/(4*$D31))))-f_cd*(1-MIN(1,MAX(0,$T31*(7*Q$5-3*$D31)/(4*$D31)))^2)</f>
        <v/>
      </c>
      <c r="R31">
        <f>MAX(-f_yd,MIN(f_yd,200000*0.002*(1-$T31*(7*R$5-3*$D31)/(4*$D31))))-f_cd*(1-MIN(1,MAX(0,$T31*(7*R$5-3*$D31)/(4*$D31)))^2)</f>
        <v/>
      </c>
      <c r="S31">
        <f>MAX(-f_yd,MIN(f_yd,200000*0.002*(1-$T31*(7*S$5-3*$D31)/(4*$D31))))-f_cd*(1-MIN(1,MAX(0,$T31*(7*S$5-3*$D31)/(4*$D31)))^2)</f>
        <v/>
      </c>
      <c r="T31">
        <f>IF($C31&lt;=h_col,1,4/7*h_col/($C31-3/7*h_col))</f>
        <v/>
      </c>
    </row>
    <row r="32">
      <c r="B32" s="54" t="n">
        <v>23</v>
      </c>
      <c r="C32" s="55">
        <f>0.9*h_col</f>
        <v/>
      </c>
      <c r="D32" s="54">
        <f>MIN($C32,h_col)</f>
        <v/>
      </c>
      <c r="E32" s="56">
        <f>(f_cd*b_col*$D32*(3/7+4/7*(1-$T32^2/3))+SUMPRODUCT($J$6:$S$6,$J32:$S32))/1000</f>
        <v/>
      </c>
      <c r="F32" s="56">
        <f>(f_cd*b_col*(3/14*$D32*(h_col-3/7*$D32)+4/7*$D32*(h_col/2-3/7*$D32)*(1-$T32^2/3)-16/49*$D32^2*(1/2-$T32^2/4))+SUMPRODUCT($J$6:$S$6,$J32:$S32,$J$7:$S$7))/1E6</f>
        <v/>
      </c>
      <c r="J32">
        <f>MAX(-f_yd,MIN(f_yd,200000*0.002*(1-$T32*(7*J$5-3*$D32)/(4*$D32))))-f_cd*(1-MIN(1,MAX(0,$T32*(7*J$5-3*$D32)/(4*$D32)))^2)</f>
        <v/>
      </c>
      <c r="K32">
        <f>MAX(-f_yd,MIN(f_yd,200000*0.002*(1-$T32*(7*K$5-3*$D32)/(4*$D32))))-f_cd*(1-MIN(1,MAX(0,$T32*(7*K$5-3*$D32)/(4*$D32)))^2)</f>
        <v/>
      </c>
      <c r="L32">
        <f>MAX(-f_yd,MIN(f_yd,200000*0.002*(1-$T32*(7*L$5-3*$D32)/(4*$D32))))-f_cd*(1-MIN(1,MAX(0,$T32*(7*L$5-3*$D32)/(4*$D32)))^2)</f>
        <v/>
      </c>
      <c r="M32">
        <f>MAX(-f_yd,MIN(f_yd,200000*0.002*(1-$T32*(7*M$5-3*$D32)/(4*$D32))))-f_cd*(1-MIN(1,MAX(0,$T32*(7*M$5-3*$D32)/(4*$D32)))^2)</f>
        <v/>
      </c>
      <c r="N32">
        <f>MAX(-f_yd,MIN(f_yd,200000*0.002*(1-$T32*(7*N$5-3*$D32)/(4*$D32))))-f_cd*(1-MIN(1,MAX(0,$T32*(7*N$5-3*$D32)/(4*$D32)))^2)</f>
        <v/>
      </c>
      <c r="O32">
        <f>MAX(-f_yd,MIN(f_yd,200000*0.002*(1-$T32*(7*O$5-3*$D32)/(4*$D32))))-f_cd*(1-MIN(1,MAX(0,$T32*(7*O$5-3*$D32)/(4*$D32)))^2)</f>
        <v/>
      </c>
      <c r="P32">
        <f>MAX(-f_yd,MIN(f_yd,200000*0.002*(1-$T32*(7*P$5-3*$D32)/(4*$D32))))-f_cd*(1-MIN(1,MAX(0,$T32*(7*P$5-3*$D32)/(4*$D32)))^2)</f>
        <v/>
      </c>
      <c r="Q32">
        <f>MAX(-f_yd,MIN(f_yd,200000*0.002*(1-$T32*(7*Q$5-3*$D32)/(4*$D32))))-f_cd*(1-MIN(1,MAX(0,$T32*(7*Q$5-3*$D32)/(4*$D32)))^2)</f>
        <v/>
      </c>
      <c r="R32">
        <f>MAX(-f_yd,MIN(f_yd,200000*0.002*(1-$T32*(7*R$5-3*$D32)/(4*$D32))))-f_cd*(1-MIN(1,MAX(0,$T32*(7*R$5-3*$D32)/(4*$D32)))^2)</f>
        <v/>
      </c>
      <c r="S32">
        <f>MAX(-f_yd,MIN(f_yd,200000*0.002*(1-$T32*(7*S$5-3*$D32)/(4*$D32))))-f_cd*(1-MIN(1,MAX(0,$T32*(7*S$5-3*$D32)/(4*$D32)))^2)</f>
        <v/>
      </c>
      <c r="T32">
        <f>IF($C32&lt;=h_col,1,4/7*h_col/($C32-3/7*h_col))</f>
        <v/>
      </c>
    </row>
    <row r="33">
      <c r="B33" s="54" t="n">
        <v>24</v>
      </c>
      <c r="C33" s="55">
        <f>0.95*h_col</f>
        <v/>
      </c>
      <c r="D33" s="54">
        <f>MIN($C33,h_col)</f>
        <v/>
      </c>
      <c r="E33" s="56">
        <f>(f_cd*b_col*$D33*(3/7+4/7*(1-$T33^2/3))+SUMPRODUCT($J$6:$S$6,$J33:$S33))/1000</f>
        <v/>
      </c>
      <c r="F33" s="56">
        <f>(f_cd*b_col*(3/14*$D33*(h_col-3/7*$D33)+4/7*$D33*(h_col/2-3/7*$D33)*(1-$T33^2/3)-16/49*$D33^2*(1/2-$T33^2/4))+SUMPRODUCT($J$6:$S$6,$J33:$S33,$J$7:$S$7))/1E6</f>
        <v/>
      </c>
      <c r="J33">
        <f>MAX(-f_yd,MIN(f_yd,200000*0.002*(1-$T33*(7*J$5-3*$D33)/(4*$D33))))-f_cd*(1-MIN(1,MAX(0,$T33*(7*J$5-3*$D33)/(4*$D33)))^2)</f>
        <v/>
      </c>
      <c r="K33">
        <f>MAX(-f_yd,MIN(f_yd,200000*0.002*(1-$T33*(7*K$5-3*$D33)/(4*$D33))))-f_cd*(1-MIN(1,MAX(0,$T33*(7*K$5-3*$D33)/(4*$D33)))^2)</f>
        <v/>
      </c>
      <c r="L33">
        <f>MAX(-f_yd,MIN(f_yd,200000*0.002*(1-$T33*(7*L$5-3*$D33)/(4*$D33))))-f_cd*(1-MIN(1,MAX(0,$T33*(7*L$5-3*$D33)/(4*$D33)))^2)</f>
        <v/>
      </c>
      <c r="M33">
        <f>MAX(-f_yd,MIN(f_yd,200000*0.002*(1-$T33*(7*M$5-3*$D33)/(4*$D33))))-f_cd*(1-MIN(1,MAX(0,$T33*(7*M$5-3*$D33)/(4*$D33)))^2)</f>
        <v/>
      </c>
      <c r="N33">
        <f>MAX(-f_yd,MIN(f_yd,200000*0.002*(1-$T33*(7*N$5-3*$D33)/(4*$D33))))-f_cd*(1-MIN(1,MAX(0,$T33*(7*N$5-3*$D33)/(4*$D33)))^2)</f>
        <v/>
      </c>
      <c r="O33">
        <f>MAX(-f_yd,MIN(f_yd,200000*0.002*(1-$T33*(7*O$5-3*$D33)/(4*$D33))))-f_cd*(1-MIN(1,MAX(0,$T33*(7*O$5-3*$D33)/(4*$D33)))^2)</f>
        <v/>
      </c>
      <c r="P33">
        <f>MAX(-f_yd,MIN(f_yd,200000*0.002*(1-$T33*(7*P$5-3*$D33)/(4*$D33))))-f_cd*(1-MIN(1,MAX(0,$T33*(7*P$5-3*$D33)/(4*$D33)))^2)</f>
        <v/>
      </c>
      <c r="Q33">
        <f>MAX(-f_yd,MIN(f_yd,200000*0.002*(1-$T33*(7*Q$5-3*$D33)/(4*$D33))))-f_cd*(1-MIN(1,MAX(0,$T33*(7*Q$5-3*$D33)/(4*$D33)))^2)</f>
        <v/>
      </c>
      <c r="R33">
        <f>MAX(-f_yd,MIN(f_yd,200000*0.002*(1-$T33*(7*R$5-3*$D33)/(4*$D33))))-f_cd*(1-MIN(1,MAX(0,$T33*(7*R$5-3*$D33)/(4*$D33)))^2)</f>
        <v/>
      </c>
      <c r="S33">
        <f>MAX(-f_yd,MIN(f_yd,200000*0.002*(1-$T33*(7*S$5-3*$D33)/(4*$D33))))-f_cd*(1-MIN(1,MAX(0,$T33*(7*S$5-3*$D33)/(4*$D33)))^2)</f>
        <v/>
      </c>
      <c r="T33">
        <f>IF($C33&lt;=h_col,1,4/7*h_col/($C33-3/7*h_col))</f>
        <v/>
      </c>
    </row>
    <row r="34">
      <c r="B34" s="54" t="n">
        <v>25</v>
      </c>
      <c r="C34" s="55">
        <f>1.0*h_col</f>
        <v/>
      </c>
      <c r="D34" s="54">
        <f>MIN($C34,h_col)</f>
        <v/>
      </c>
      <c r="E34" s="56">
        <f>(f_cd*b_col*$D34*(3/7+4/7*(1-$T34^2/3))+SUMPRODUCT($J$6:$S$6,$J34:$S34))/1000</f>
        <v/>
      </c>
      <c r="F34" s="56">
        <f>(f_cd*b_col*(3/14*$D34*(h_col-3/7*$D34)+4/7*$D34*(h_col/2-3/7*$D34)*(1-$T34^2/3)-16/49*$D34^2*(1/2-$T34^2/4))+SUMPRODUCT($J$6:$S$6,$J34:$S34,$J$7:$S$7))/1E6</f>
        <v/>
      </c>
      <c r="J34">
        <f>MAX(-f_yd,MIN(f_yd,200000*0.002*(1-$T34*(7*J$5-3*$D34)/(4*$D34))))-f_cd*(1-MIN(1,MAX(0,$T34*(7*J$5-3*$D34)/(4*$D34)))^2)</f>
        <v/>
      </c>
      <c r="K34">
        <f>MAX(-f_yd,MIN(f_yd,200000*0.002*(1-$T34*(7*K$5-3*$D34)/(4*$D34))))-f_cd*(1-MIN(1,MAX(0,$T34*(7*K$5-3*$D34)/(4*$D34)))^2)</f>
        <v/>
      </c>
      <c r="L34">
        <f>MAX(-f_yd,MIN(f_yd,200000*0.002*(1-$T34*(7*L$5-3*$D34)/(4*$D34))))-f_cd*(1-MIN(1,MAX(0,$T34*(7*L$5-3*$D34)/(4*$D34)))^2)</f>
        <v/>
      </c>
      <c r="M34">
        <f>MAX(-f_yd,MIN(f_yd,200000*0.002*(1-$T34*(7*M$5-3*$D34)/(4*$D34))))-f_cd*(1-MIN(1,MAX(0,$T34*(7*M$5-3*$D34)/(4*$D34)))^2)</f>
        <v/>
      </c>
      <c r="N34">
        <f>MAX(-f_yd,MIN(f_yd,200000*0.002*(1-$T34*(7*N$5-3*$D34)/(4*$D34))))-f_cd*(1-MIN(1,MAX(0,$T34*(7*N$5-3*$D34)/(4*$D34)))^2)</f>
        <v/>
      </c>
      <c r="O34">
        <f>MAX(-f_yd,MIN(f_yd,200000*0.002*(1-$T34*(7*O$5-3*$D34)/(4*$D34))))-f_cd*(1-MIN(1,MAX(0,$T34*(7*O$5-3*$D34)/(4*$D34)))^2)</f>
        <v/>
      </c>
      <c r="P34">
        <f>MAX(-f_yd,MIN(f_yd,200000*0.002*(1-$T34*(7*P$5-3*$D34)/(4*$D34))))-f_cd*(1-MIN(1,MAX(0,$T34*(7*P$5-3*$D34)/(4*$D34)))^2)</f>
        <v/>
      </c>
      <c r="Q34">
        <f>MAX(-f_yd,MIN(f_yd,200000*0.002*(1-$T34*(7*Q$5-3*$D34)/(4*$D34))))-f_cd*(1-MIN(1,MAX(0,$T34*(7*Q$5-3*$D34)/(4*$D34)))^2)</f>
        <v/>
      </c>
      <c r="R34">
        <f>MAX(-f_yd,MIN(f_yd,200000*0.002*(1-$T34*(7*R$5-3*$D34)/(4*$D34))))-f_cd*(1-MIN(1,MAX(0,$T34*(7*R$5-3*$D34)/(4*$D34)))^2)</f>
        <v/>
      </c>
      <c r="S34">
        <f>MAX(-f_yd,MIN(f_yd,200000*0.002*(1-$T34*(7*S$5-3*$D34)/(4*$D34))))-f_cd*(1-MIN(1,MAX(0,$T34*(7*S$5-3*$D34)/(4*$D34)))^2)</f>
        <v/>
      </c>
      <c r="T34">
        <f>IF($C34&lt;=h_col,1,4/7*h_col/($C34-3/7*h_col))</f>
        <v/>
      </c>
    </row>
    <row r="35">
      <c r="B35" s="54" t="n">
        <v>26</v>
      </c>
      <c r="C35" s="55">
        <f>1.05*h_col</f>
        <v/>
      </c>
      <c r="D35" s="54">
        <f>MIN($C35,h_col)</f>
        <v/>
      </c>
      <c r="E35" s="56">
        <f>(f_cd*b_col*$D35*(3/7+4/7*(1-$T35^2/3))+SUMPRODUCT($J$6:$S$6,$J35:$S35))/1000</f>
        <v/>
      </c>
      <c r="F35" s="56">
        <f>(f_cd*b_col*(3/14*$D35*(h_col-3/7*$D35)+4/7*$D35*(h_col/2-3/7*$D35)*(1-$T35^2/3)-16/49*$D35^2*(1/2-$T35^2/4))+SUMPRODUCT($J$6:$S$6,$J35:$S35,$J$7:$S$7))/1E6</f>
        <v/>
      </c>
      <c r="J35">
        <f>MAX(-f_yd,MIN(f_yd,200000*0.002*(1-$T35*(7*J$5-3*$D35)/(4*$D35))))-f_cd*(1-MIN(1,MAX(0,$T35*(7*J$5-3*$D35)/(4*$D35)))^2)</f>
        <v/>
      </c>
      <c r="K35">
        <f>MAX(-f_yd,MIN(f_yd,200000*0.002*(1-$T35*(7*K$5-3*$D35)/(4*$D35))))-f_cd*(1-MIN(1,MAX(0,$T35*(7*K$5-3*$D35)/(4*$D35)))^2)</f>
        <v/>
      </c>
      <c r="L35">
        <f>MAX(-f_yd,MIN(f_yd,200000*0.002*(1-$T35*(7*L$5-3*$D35)/(4*$D35))))-f_cd*(1-MIN(1,MAX(0,$T35*(7*L$5-3*$D35)/(4*$D35)))^2)</f>
        <v/>
      </c>
      <c r="M35">
        <f>MAX(-f_yd,MIN(f_yd,200000*0.002*(1-$T35*(7*M$5-3*$D35)/(4*$D35))))-f_cd*(1-MIN(1,MAX(0,$T35*(7*M$5-3*$D35)/(4*$D35)))^2)</f>
        <v/>
      </c>
      <c r="N35">
        <f>MAX(-f_yd,MIN(f_yd,200000*0.002*(1-$T35*(7*N$5-3*$D35)/(4*$D35))))-f_cd*(1-MIN(1,MAX(0,$T35*(7*N$5-3*$D35)/(4*$D35)))^2)</f>
        <v/>
      </c>
      <c r="O35">
        <f>MAX(-f_yd,MIN(f_yd,200000*0.002*(1-$T35*(7*O$5-3*$D35)/(4*$D35))))-f_cd*(1-MIN(1,MAX(0,$T35*(7*O$5-3*$D35)/(4*$D35)))^2)</f>
        <v/>
      </c>
      <c r="P35">
        <f>MAX(-f_yd,MIN(f_yd,200000*0.002*(1-$T35*(7*P$5-3*$D35)/(4*$D35))))-f_cd*(1-MIN(1,MAX(0,$T35*(7*P$5-3*$D35)/(4*$D35)))^2)</f>
        <v/>
      </c>
      <c r="Q35">
        <f>MAX(-f_yd,MIN(f_yd,200000*0.002*(1-$T35*(7*Q$5-3*$D35)/(4*$D35))))-f_cd*(1-MIN(1,MAX(0,$T35*(7*Q$5-3*$D35)/(4*$D35)))^2)</f>
        <v/>
      </c>
      <c r="R35">
        <f>MAX(-f_yd,MIN(f_yd,200000*0.002*(1-$T35*(7*R$5-3*$D35)/(4*$D35))))-f_cd*(1-MIN(1,MAX(0,$T35*(7*R$5-3*$D35)/(4*$D35)))^2)</f>
        <v/>
      </c>
      <c r="S35">
        <f>MAX(-f_yd,MIN(f_yd,200000*0.002*(1-$T35*(7*S$5-3*$D35)/(4*$D35))))-f_cd*(1-MIN(1,MAX(0,$T35*(7*S$5-3*$D35)/(4*$D35)))^2)</f>
        <v/>
      </c>
      <c r="T35">
        <f>IF($C35&lt;=h_col,1,4/7*h_col/($C35-3/7*h_col))</f>
        <v/>
      </c>
    </row>
    <row r="36">
      <c r="B36" s="54" t="n">
        <v>27</v>
      </c>
      <c r="C36" s="55">
        <f>1.1*h_col</f>
        <v/>
      </c>
      <c r="D36" s="54">
        <f>MIN($C36,h_col)</f>
        <v/>
      </c>
      <c r="E36" s="56">
        <f>(f_cd*b_col*$D36*(3/7+4/7*(1-$T36^2/3))+SUMPRODUCT($J$6:$S$6,$J36:$S36))/1000</f>
        <v/>
      </c>
      <c r="F36" s="56">
        <f>(f_cd*b_col*(3/14*$D36*(h_col-3/7*$D36)+4/7*$D36*(h_col/2-3/7*$D36)*(1-$T36^2/3)-16/49*$D36^2*(1/2-$T36^2/4))+SUMPRODUCT($J$6:$S$6,$J36:$S36,$J$7:$S$7))/1E6</f>
        <v/>
      </c>
      <c r="J36">
        <f>MAX(-f_yd,MIN(f_yd,200000*0.002*(1-$T36*(7*J$5-3*$D36)/(4*$D36))))-f_cd*(1-MIN(1,MAX(0,$T36*(7*J$5-3*$D36)/(4*$D36)))^2)</f>
        <v/>
      </c>
      <c r="K36">
        <f>MAX(-f_yd,MIN(f_yd,200000*0.002*(1-$T36*(7*K$5-3*$D36)/(4*$D36))))-f_cd*(1-MIN(1,MAX(0,$T36*(7*K$5-3*$D36)/(4*$D36)))^2)</f>
        <v/>
      </c>
      <c r="L36">
        <f>MAX(-f_yd,MIN(f_yd,200000*0.002*(1-$T36*(7*L$5-3*$D36)/(4*$D36))))-f_cd*(1-MIN(1,MAX(0,$T36*(7*L$5-3*$D36)/(4*$D36)))^2)</f>
        <v/>
      </c>
      <c r="M36">
        <f>MAX(-f_yd,MIN(f_yd,200000*0.002*(1-$T36*(7*M$5-3*$D36)/(4*$D36))))-f_cd*(1-MIN(1,MAX(0,$T36*(7*M$5-3*$D36)/(4*$D36)))^2)</f>
        <v/>
      </c>
      <c r="N36">
        <f>MAX(-f_yd,MIN(f_yd,200000*0.002*(1-$T36*(7*N$5-3*$D36)/(4*$D36))))-f_cd*(1-MIN(1,MAX(0,$T36*(7*N$5-3*$D36)/(4*$D36)))^2)</f>
        <v/>
      </c>
      <c r="O36">
        <f>MAX(-f_yd,MIN(f_yd,200000*0.002*(1-$T36*(7*O$5-3*$D36)/(4*$D36))))-f_cd*(1-MIN(1,MAX(0,$T36*(7*O$5-3*$D36)/(4*$D36)))^2)</f>
        <v/>
      </c>
      <c r="P36">
        <f>MAX(-f_yd,MIN(f_yd,200000*0.002*(1-$T36*(7*P$5-3*$D36)/(4*$D36))))-f_cd*(1-MIN(1,MAX(0,$T36*(7*P$5-3*$D36)/(4*$D36)))^2)</f>
        <v/>
      </c>
      <c r="Q36">
        <f>MAX(-f_yd,MIN(f_yd,200000*0.002*(1-$T36*(7*Q$5-3*$D36)/(4*$D36))))-f_cd*(1-MIN(1,MAX(0,$T36*(7*Q$5-3*$D36)/(4*$D36)))^2)</f>
        <v/>
      </c>
      <c r="R36">
        <f>MAX(-f_yd,MIN(f_yd,200000*0.002*(1-$T36*(7*R$5-3*$D36)/(4*$D36))))-f_cd*(1-MIN(1,MAX(0,$T36*(7*R$5-3*$D36)/(4*$D36)))^2)</f>
        <v/>
      </c>
      <c r="S36">
        <f>MAX(-f_yd,MIN(f_yd,200000*0.002*(1-$T36*(7*S$5-3*$D36)/(4*$D36))))-f_cd*(1-MIN(1,MAX(0,$T36*(7*S$5-3*$D36)/(4*$D36)))^2)</f>
        <v/>
      </c>
      <c r="T36">
        <f>IF($C36&lt;=h_col,1,4/7*h_col/($C36-3/7*h_col))</f>
        <v/>
      </c>
    </row>
    <row r="37">
      <c r="B37" s="54" t="n">
        <v>28</v>
      </c>
      <c r="C37" s="55">
        <f>1.2*h_col</f>
        <v/>
      </c>
      <c r="D37" s="54">
        <f>MIN($C37,h_col)</f>
        <v/>
      </c>
      <c r="E37" s="56">
        <f>(f_cd*b_col*$D37*(3/7+4/7*(1-$T37^2/3))+SUMPRODUCT($J$6:$S$6,$J37:$S37))/1000</f>
        <v/>
      </c>
      <c r="F37" s="56">
        <f>(f_cd*b_col*(3/14*$D37*(h_col-3/7*$D37)+4/7*$D37*(h_col/2-3/7*$D37)*(1-$T37^2/3)-16/49*$D37^2*(1/2-$T37^2/4))+SUMPRODUCT($J$6:$S$6,$J37:$S37,$J$7:$S$7))/1E6</f>
        <v/>
      </c>
      <c r="J37">
        <f>MAX(-f_yd,MIN(f_yd,200000*0.002*(1-$T37*(7*J$5-3*$D37)/(4*$D37))))-f_cd*(1-MIN(1,MAX(0,$T37*(7*J$5-3*$D37)/(4*$D37)))^2)</f>
        <v/>
      </c>
      <c r="K37">
        <f>MAX(-f_yd,MIN(f_yd,200000*0.002*(1-$T37*(7*K$5-3*$D37)/(4*$D37))))-f_cd*(1-MIN(1,MAX(0,$T37*(7*K$5-3*$D37)/(4*$D37)))^2)</f>
        <v/>
      </c>
      <c r="L37">
        <f>MAX(-f_yd,MIN(f_yd,200000*0.002*(1-$T37*(7*L$5-3*$D37)/(4*$D37))))-f_cd*(1-MIN(1,MAX(0,$T37*(7*L$5-3*$D37)/(4*$D37)))^2)</f>
        <v/>
      </c>
      <c r="M37">
        <f>MAX(-f_yd,MIN(f_yd,200000*0.002*(1-$T37*(7*M$5-3*$D37)/(4*$D37))))-f_cd*(1-MIN(1,MAX(0,$T37*(7*M$5-3*$D37)/(4*$D37)))^2)</f>
        <v/>
      </c>
      <c r="N37">
        <f>MAX(-f_yd,MIN(f_yd,200000*0.002*(1-$T37*(7*N$5-3*$D37)/(4*$D37))))-f_cd*(1-MIN(1,MAX(0,$T37*(7*N$5-3*$D37)/(4*$D37)))^2)</f>
        <v/>
      </c>
      <c r="O37">
        <f>MAX(-f_yd,MIN(f_yd,200000*0.002*(1-$T37*(7*O$5-3*$D37)/(4*$D37))))-f_cd*(1-MIN(1,MAX(0,$T37*(7*O$5-3*$D37)/(4*$D37)))^2)</f>
        <v/>
      </c>
      <c r="P37">
        <f>MAX(-f_yd,MIN(f_yd,200000*0.002*(1-$T37*(7*P$5-3*$D37)/(4*$D37))))-f_cd*(1-MIN(1,MAX(0,$T37*(7*P$5-3*$D37)/(4*$D37)))^2)</f>
        <v/>
      </c>
      <c r="Q37">
        <f>MAX(-f_yd,MIN(f_yd,200000*0.002*(1-$T37*(7*Q$5-3*$D37)/(4*$D37))))-f_cd*(1-MIN(1,MAX(0,$T37*(7*Q$5-3*$D37)/(4*$D37)))^2)</f>
        <v/>
      </c>
      <c r="R37">
        <f>MAX(-f_yd,MIN(f_yd,200000*0.002*(1-$T37*(7*R$5-3*$D37)/(4*$D37))))-f_cd*(1-MIN(1,MAX(0,$T37*(7*R$5-3*$D37)/(4*$D37)))^2)</f>
        <v/>
      </c>
      <c r="S37">
        <f>MAX(-f_yd,MIN(f_yd,200000*0.002*(1-$T37*(7*S$5-3*$D37)/(4*$D37))))-f_cd*(1-MIN(1,MAX(0,$T37*(7*S$5-3*$D37)/(4*$D37)))^2)</f>
        <v/>
      </c>
      <c r="T37">
        <f>IF($C37&lt;=h_col,1,4/7*h_col/($C37-3/7*h_col))</f>
        <v/>
      </c>
    </row>
    <row r="38">
      <c r="B38" s="54" t="n">
        <v>29</v>
      </c>
      <c r="C38" s="55">
        <f>1.35*h_col</f>
        <v/>
      </c>
      <c r="D38" s="54">
        <f>MIN($C38,h_col)</f>
        <v/>
      </c>
      <c r="E38" s="56">
        <f>(f_cd*b_col*$D38*(3/7+4/7*(1-$T38^2/3))+SUMPRODUCT($J$6:$S$6,$J38:$S38))/1000</f>
        <v/>
      </c>
      <c r="F38" s="56">
        <f>(f_cd*b_col*(3/14*$D38*(h_col-3/7*$D38)+4/7*$D38*(h_col/2-3/7*$D38)*(1-$T38^2/3)-16/49*$D38^2*(1/2-$T38^2/4))+SUMPRODUCT($J$6:$S$6,$J38:$S38,$J$7:$S$7))/1E6</f>
        <v/>
      </c>
      <c r="J38">
        <f>MAX(-f_yd,MIN(f_yd,200000*0.002*(1-$T38*(7*J$5-3*$D38)/(4*$D38))))-f_cd*(1-MIN(1,MAX(0,$T38*(7*J$5-3*$D38)/(4*$D38)))^2)</f>
        <v/>
      </c>
      <c r="K38">
        <f>MAX(-f_yd,MIN(f_yd,200000*0.002*(1-$T38*(7*K$5-3*$D38)/(4*$D38))))-f_cd*(1-MIN(1,MAX(0,$T38*(7*K$5-3*$D38)/(4*$D38)))^2)</f>
        <v/>
      </c>
      <c r="L38">
        <f>MAX(-f_yd,MIN(f_yd,200000*0.002*(1-$T38*(7*L$5-3*$D38)/(4*$D38))))-f_cd*(1-MIN(1,MAX(0,$T38*(7*L$5-3*$D38)/(4*$D38)))^2)</f>
        <v/>
      </c>
      <c r="M38">
        <f>MAX(-f_yd,MIN(f_yd,200000*0.002*(1-$T38*(7*M$5-3*$D38)/(4*$D38))))-f_cd*(1-MIN(1,MAX(0,$T38*(7*M$5-3*$D38)/(4*$D38)))^2)</f>
        <v/>
      </c>
      <c r="N38">
        <f>MAX(-f_yd,MIN(f_yd,200000*0.002*(1-$T38*(7*N$5-3*$D38)/(4*$D38))))-f_cd*(1-MIN(1,MAX(0,$T38*(7*N$5-3*$D38)/(4*$D38)))^2)</f>
        <v/>
      </c>
      <c r="O38">
        <f>MAX(-f_yd,MIN(f_yd,200000*0.002*(1-$T38*(7*O$5-3*$D38)/(4*$D38))))-f_cd*(1-MIN(1,MAX(0,$T38*(7*O$5-3*$D38)/(4*$D38)))^2)</f>
        <v/>
      </c>
      <c r="P38">
        <f>MAX(-f_yd,MIN(f_yd,200000*0.002*(1-$T38*(7*P$5-3*$D38)/(4*$D38))))-f_cd*(1-MIN(1,MAX(0,$T38*(7*P$5-3*$D38)/(4*$D38)))^2)</f>
        <v/>
      </c>
      <c r="Q38">
        <f>MAX(-f_yd,MIN(f_yd,200000*0.002*(1-$T38*(7*Q$5-3*$D38)/(4*$D38))))-f_cd*(1-MIN(1,MAX(0,$T38*(7*Q$5-3*$D38)/(4*$D38)))^2)</f>
        <v/>
      </c>
      <c r="R38">
        <f>MAX(-f_yd,MIN(f_yd,200000*0.002*(1-$T38*(7*R$5-3*$D38)/(4*$D38))))-f_cd*(1-MIN(1,MAX(0,$T38*(7*R$5-3*$D38)/(4*$D38)))^2)</f>
        <v/>
      </c>
      <c r="S38">
        <f>MAX(-f_yd,MIN(f_yd,200000*0.002*(1-$T38*(7*S$5-3*$D38)/(4*$D38))))-f_cd*(1-MIN(1,MAX(0,$T38*(7*S$5-3*$D38)/(4*$D38)))^2)</f>
        <v/>
      </c>
      <c r="T38">
        <f>IF($C38&lt;=h_col,1,4/7*h_col/($C38-3/7*h_col))</f>
        <v/>
      </c>
    </row>
    <row r="39">
      <c r="B39" s="54" t="n">
        <v>30</v>
      </c>
      <c r="C39" s="55">
        <f>1.5*h_col</f>
        <v/>
      </c>
      <c r="D39" s="54">
        <f>MIN($C39,h_col)</f>
        <v/>
      </c>
      <c r="E39" s="56">
        <f>(f_cd*b_col*$D39*(3/7+4/7*(1-$T39^2/3))+SUMPRODUCT($J$6:$S$6,$J39:$S39))/1000</f>
        <v/>
      </c>
      <c r="F39" s="56">
        <f>(f_cd*b_col*(3/14*$D39*(h_col-3/7*$D39)+4/7*$D39*(h_col/2-3/7*$D39)*(1-$T39^2/3)-16/49*$D39^2*(1/2-$T39^2/4))+SUMPRODUCT($J$6:$S$6,$J39:$S39,$J$7:$S$7))/1E6</f>
        <v/>
      </c>
      <c r="J39">
        <f>MAX(-f_yd,MIN(f_yd,200000*0.002*(1-$T39*(7*J$5-3*$D39)/(4*$D39))))-f_cd*(1-MIN(1,MAX(0,$T39*(7*J$5-3*$D39)/(4*$D39)))^2)</f>
        <v/>
      </c>
      <c r="K39">
        <f>MAX(-f_yd,MIN(f_yd,200000*0.002*(1-$T39*(7*K$5-3*$D39)/(4*$D39))))-f_cd*(1-MIN(1,MAX(0,$T39*(7*K$5-3*$D39)/(4*$D39)))^2)</f>
        <v/>
      </c>
      <c r="L39">
        <f>MAX(-f_yd,MIN(f_yd,200000*0.002*(1-$T39*(7*L$5-3*$D39)/(4*$D39))))-f_cd*(1-MIN(1,MAX(0,$T39*(7*L$5-3*$D39)/(4*$D39)))^2)</f>
        <v/>
      </c>
      <c r="M39">
        <f>MAX(-f_yd,MIN(f_yd,200000*0.002*(1-$T39*(7*M$5-3*$D39)/(4*$D39))))-f_cd*(1-MIN(1,MAX(0,$T39*(7*M$5-3*$D39)/(4*$D39)))^2)</f>
        <v/>
      </c>
      <c r="N39">
        <f>MAX(-f_yd,MIN(f_yd,200000*0.002*(1-$T39*(7*N$5-3*$D39)/(4*$D39))))-f_cd*(1-MIN(1,MAX(0,$T39*(7*N$5-3*$D39)/(4*$D39)))^2)</f>
        <v/>
      </c>
      <c r="O39">
        <f>MAX(-f_yd,MIN(f_yd,200000*0.002*(1-$T39*(7*O$5-3*$D39)/(4*$D39))))-f_cd*(1-MIN(1,MAX(0,$T39*(7*O$5-3*$D39)/(4*$D39)))^2)</f>
        <v/>
      </c>
      <c r="P39">
        <f>MAX(-f_yd,MIN(f_yd,200000*0.002*(1-$T39*(7*P$5-3*$D39)/(4*$D39))))-f_cd*(1-MIN(1,MAX(0,$T39*(7*P$5-3*$D39)/(4*$D39)))^2)</f>
        <v/>
      </c>
      <c r="Q39">
        <f>MAX(-f_yd,MIN(f_yd,200000*0.002*(1-$T39*(7*Q$5-3*$D39)/(4*$D39))))-f_cd*(1-MIN(1,MAX(0,$T39*(7*Q$5-3*$D39)/(4*$D39)))^2)</f>
        <v/>
      </c>
      <c r="R39">
        <f>MAX(-f_yd,MIN(f_yd,200000*0.002*(1-$T39*(7*R$5-3*$D39)/(4*$D39))))-f_cd*(1-MIN(1,MAX(0,$T39*(7*R$5-3*$D39)/(4*$D39)))^2)</f>
        <v/>
      </c>
      <c r="S39">
        <f>MAX(-f_yd,MIN(f_yd,200000*0.002*(1-$T39*(7*S$5-3*$D39)/(4*$D39))))-f_cd*(1-MIN(1,MAX(0,$T39*(7*S$5-3*$D39)/(4*$D39)))^2)</f>
        <v/>
      </c>
      <c r="T39">
        <f>IF($C39&lt;=h_col,1,4/7*h_col/($C39-3/7*h_col))</f>
        <v/>
      </c>
    </row>
    <row r="40">
      <c r="B40" s="54" t="n">
        <v>31</v>
      </c>
      <c r="C40" s="55">
        <f>1.75*h_col</f>
        <v/>
      </c>
      <c r="D40" s="54">
        <f>MIN($C40,h_col)</f>
        <v/>
      </c>
      <c r="E40" s="56">
        <f>(f_cd*b_col*$D40*(3/7+4/7*(1-$T40^2/3))+SUMPRODUCT($J$6:$S$6,$J40:$S40))/1000</f>
        <v/>
      </c>
      <c r="F40" s="56">
        <f>(f_cd*b_col*(3/14*$D40*(h_col-3/7*$D40)+4/7*$D40*(h_col/2-3/7*$D40)*(1-$T40^2/3)-16/49*$D40^2*(1/2-$T40^2/4))+SUMPRODUCT($J$6:$S$6,$J40:$S40,$J$7:$S$7))/1E6</f>
        <v/>
      </c>
      <c r="J40">
        <f>MAX(-f_yd,MIN(f_yd,200000*0.002*(1-$T40*(7*J$5-3*$D40)/(4*$D40))))-f_cd*(1-MIN(1,MAX(0,$T40*(7*J$5-3*$D40)/(4*$D40)))^2)</f>
        <v/>
      </c>
      <c r="K40">
        <f>MAX(-f_yd,MIN(f_yd,200000*0.002*(1-$T40*(7*K$5-3*$D40)/(4*$D40))))-f_cd*(1-MIN(1,MAX(0,$T40*(7*K$5-3*$D40)/(4*$D40)))^2)</f>
        <v/>
      </c>
      <c r="L40">
        <f>MAX(-f_yd,MIN(f_yd,200000*0.002*(1-$T40*(7*L$5-3*$D40)/(4*$D40))))-f_cd*(1-MIN(1,MAX(0,$T40*(7*L$5-3*$D40)/(4*$D40)))^2)</f>
        <v/>
      </c>
      <c r="M40">
        <f>MAX(-f_yd,MIN(f_yd,200000*0.002*(1-$T40*(7*M$5-3*$D40)/(4*$D40))))-f_cd*(1-MIN(1,MAX(0,$T40*(7*M$5-3*$D40)/(4*$D40)))^2)</f>
        <v/>
      </c>
      <c r="N40">
        <f>MAX(-f_yd,MIN(f_yd,200000*0.002*(1-$T40*(7*N$5-3*$D40)/(4*$D40))))-f_cd*(1-MIN(1,MAX(0,$T40*(7*N$5-3*$D40)/(4*$D40)))^2)</f>
        <v/>
      </c>
      <c r="O40">
        <f>MAX(-f_yd,MIN(f_yd,200000*0.002*(1-$T40*(7*O$5-3*$D40)/(4*$D40))))-f_cd*(1-MIN(1,MAX(0,$T40*(7*O$5-3*$D40)/(4*$D40)))^2)</f>
        <v/>
      </c>
      <c r="P40">
        <f>MAX(-f_yd,MIN(f_yd,200000*0.002*(1-$T40*(7*P$5-3*$D40)/(4*$D40))))-f_cd*(1-MIN(1,MAX(0,$T40*(7*P$5-3*$D40)/(4*$D40)))^2)</f>
        <v/>
      </c>
      <c r="Q40">
        <f>MAX(-f_yd,MIN(f_yd,200000*0.002*(1-$T40*(7*Q$5-3*$D40)/(4*$D40))))-f_cd*(1-MIN(1,MAX(0,$T40*(7*Q$5-3*$D40)/(4*$D40)))^2)</f>
        <v/>
      </c>
      <c r="R40">
        <f>MAX(-f_yd,MIN(f_yd,200000*0.002*(1-$T40*(7*R$5-3*$D40)/(4*$D40))))-f_cd*(1-MIN(1,MAX(0,$T40*(7*R$5-3*$D40)/(4*$D40)))^2)</f>
        <v/>
      </c>
      <c r="S40">
        <f>MAX(-f_yd,MIN(f_yd,200000*0.002*(1-$T40*(7*S$5-3*$D40)/(4*$D40))))-f_cd*(1-MIN(1,MAX(0,$T40*(7*S$5-3*$D40)/(4*$D40)))^2)</f>
        <v/>
      </c>
      <c r="T40">
        <f>IF($C40&lt;=h_col,1,4/7*h_col/($C40-3/7*h_col))</f>
        <v/>
      </c>
    </row>
    <row r="41">
      <c r="B41" s="54" t="n">
        <v>32</v>
      </c>
      <c r="C41" s="55">
        <f>2*h_col</f>
        <v/>
      </c>
      <c r="D41" s="54">
        <f>MIN($C41,h_col)</f>
        <v/>
      </c>
      <c r="E41" s="56">
        <f>(f_cd*b_col*$D41*(3/7+4/7*(1-$T41^2/3))+SUMPRODUCT($J$6:$S$6,$J41:$S41))/1000</f>
        <v/>
      </c>
      <c r="F41" s="56">
        <f>(f_cd*b_col*(3/14*$D41*(h_col-3/7*$D41)+4/7*$D41*(h_col/2-3/7*$D41)*(1-$T41^2/3)-16/49*$D41^2*(1/2-$T41^2/4))+SUMPRODUCT($J$6:$S$6,$J41:$S41,$J$7:$S$7))/1E6</f>
        <v/>
      </c>
      <c r="J41">
        <f>MAX(-f_yd,MIN(f_yd,200000*0.002*(1-$T41*(7*J$5-3*$D41)/(4*$D41))))-f_cd*(1-MIN(1,MAX(0,$T41*(7*J$5-3*$D41)/(4*$D41)))^2)</f>
        <v/>
      </c>
      <c r="K41">
        <f>MAX(-f_yd,MIN(f_yd,200000*0.002*(1-$T41*(7*K$5-3*$D41)/(4*$D41))))-f_cd*(1-MIN(1,MAX(0,$T41*(7*K$5-3*$D41)/(4*$D41)))^2)</f>
        <v/>
      </c>
      <c r="L41">
        <f>MAX(-f_yd,MIN(f_yd,200000*0.002*(1-$T41*(7*L$5-3*$D41)/(4*$D41))))-f_cd*(1-MIN(1,MAX(0,$T41*(7*L$5-3*$D41)/(4*$D41)))^2)</f>
        <v/>
      </c>
      <c r="M41">
        <f>MAX(-f_yd,MIN(f_yd,200000*0.002*(1-$T41*(7*M$5-3*$D41)/(4*$D41))))-f_cd*(1-MIN(1,MAX(0,$T41*(7*M$5-3*$D41)/(4*$D41)))^2)</f>
        <v/>
      </c>
      <c r="N41">
        <f>MAX(-f_yd,MIN(f_yd,200000*0.002*(1-$T41*(7*N$5-3*$D41)/(4*$D41))))-f_cd*(1-MIN(1,MAX(0,$T41*(7*N$5-3*$D41)/(4*$D41)))^2)</f>
        <v/>
      </c>
      <c r="O41">
        <f>MAX(-f_yd,MIN(f_yd,200000*0.002*(1-$T41*(7*O$5-3*$D41)/(4*$D41))))-f_cd*(1-MIN(1,MAX(0,$T41*(7*O$5-3*$D41)/(4*$D41)))^2)</f>
        <v/>
      </c>
      <c r="P41">
        <f>MAX(-f_yd,MIN(f_yd,200000*0.002*(1-$T41*(7*P$5-3*$D41)/(4*$D41))))-f_cd*(1-MIN(1,MAX(0,$T41*(7*P$5-3*$D41)/(4*$D41)))^2)</f>
        <v/>
      </c>
      <c r="Q41">
        <f>MAX(-f_yd,MIN(f_yd,200000*0.002*(1-$T41*(7*Q$5-3*$D41)/(4*$D41))))-f_cd*(1-MIN(1,MAX(0,$T41*(7*Q$5-3*$D41)/(4*$D41)))^2)</f>
        <v/>
      </c>
      <c r="R41">
        <f>MAX(-f_yd,MIN(f_yd,200000*0.002*(1-$T41*(7*R$5-3*$D41)/(4*$D41))))-f_cd*(1-MIN(1,MAX(0,$T41*(7*R$5-3*$D41)/(4*$D41)))^2)</f>
        <v/>
      </c>
      <c r="S41">
        <f>MAX(-f_yd,MIN(f_yd,200000*0.002*(1-$T41*(7*S$5-3*$D41)/(4*$D41))))-f_cd*(1-MIN(1,MAX(0,$T41*(7*S$5-3*$D41)/(4*$D41)))^2)</f>
        <v/>
      </c>
      <c r="T41">
        <f>IF($C41&lt;=h_col,1,4/7*h_col/($C41-3/7*h_col))</f>
        <v/>
      </c>
    </row>
    <row r="42">
      <c r="B42" s="54" t="n">
        <v>33</v>
      </c>
      <c r="C42" s="55">
        <f>2.5*h_col</f>
        <v/>
      </c>
      <c r="D42" s="54">
        <f>MIN($C42,h_col)</f>
        <v/>
      </c>
      <c r="E42" s="56">
        <f>(f_cd*b_col*$D42*(3/7+4/7*(1-$T42^2/3))+SUMPRODUCT($J$6:$S$6,$J42:$S42))/1000</f>
        <v/>
      </c>
      <c r="F42" s="56">
        <f>(f_cd*b_col*(3/14*$D42*(h_col-3/7*$D42)+4/7*$D42*(h_col/2-3/7*$D42)*(1-$T42^2/3)-16/49*$D42^2*(1/2-$T42^2/4))+SUMPRODUCT($J$6:$S$6,$J42:$S42,$J$7:$S$7))/1E6</f>
        <v/>
      </c>
      <c r="J42">
        <f>MAX(-f_yd,MIN(f_yd,200000*0.002*(1-$T42*(7*J$5-3*$D42)/(4*$D42))))-f_cd*(1-MIN(1,MAX(0,$T42*(7*J$5-3*$D42)/(4*$D42)))^2)</f>
        <v/>
      </c>
      <c r="K42">
        <f>MAX(-f_yd,MIN(f_yd,200000*0.002*(1-$T42*(7*K$5-3*$D42)/(4*$D42))))-f_cd*(1-MIN(1,MAX(0,$T42*(7*K$5-3*$D42)/(4*$D42)))^2)</f>
        <v/>
      </c>
      <c r="L42">
        <f>MAX(-f_yd,MIN(f_yd,200000*0.002*(1-$T42*(7*L$5-3*$D42)/(4*$D42))))-f_cd*(1-MIN(1,MAX(0,$T42*(7*L$5-3*$D42)/(4*$D42)))^2)</f>
        <v/>
      </c>
      <c r="M42">
        <f>MAX(-f_yd,MIN(f_yd,200000*0.002*(1-$T42*(7*M$5-3*$D42)/(4*$D42))))-f_cd*(1-MIN(1,MAX(0,$T42*(7*M$5-3*$D42)/(4*$D42)))^2)</f>
        <v/>
      </c>
      <c r="N42">
        <f>MAX(-f_yd,MIN(f_yd,200000*0.002*(1-$T42*(7*N$5-3*$D42)/(4*$D42))))-f_cd*(1-MIN(1,MAX(0,$T42*(7*N$5-3*$D42)/(4*$D42)))^2)</f>
        <v/>
      </c>
      <c r="O42">
        <f>MAX(-f_yd,MIN(f_yd,200000*0.002*(1-$T42*(7*O$5-3*$D42)/(4*$D42))))-f_cd*(1-MIN(1,MAX(0,$T42*(7*O$5-3*$D42)/(4*$D42)))^2)</f>
        <v/>
      </c>
      <c r="P42">
        <f>MAX(-f_yd,MIN(f_yd,200000*0.002*(1-$T42*(7*P$5-3*$D42)/(4*$D42))))-f_cd*(1-MIN(1,MAX(0,$T42*(7*P$5-3*$D42)/(4*$D42)))^2)</f>
        <v/>
      </c>
      <c r="Q42">
        <f>MAX(-f_yd,MIN(f_yd,200000*0.002*(1-$T42*(7*Q$5-3*$D42)/(4*$D42))))-f_cd*(1-MIN(1,MAX(0,$T42*(7*Q$5-3*$D42)/(4*$D42)))^2)</f>
        <v/>
      </c>
      <c r="R42">
        <f>MAX(-f_yd,MIN(f_yd,200000*0.002*(1-$T42*(7*R$5-3*$D42)/(4*$D42))))-f_cd*(1-MIN(1,MAX(0,$T42*(7*R$5-3*$D42)/(4*$D42)))^2)</f>
        <v/>
      </c>
      <c r="S42">
        <f>MAX(-f_yd,MIN(f_yd,200000*0.002*(1-$T42*(7*S$5-3*$D42)/(4*$D42))))-f_cd*(1-MIN(1,MAX(0,$T42*(7*S$5-3*$D42)/(4*$D42)))^2)</f>
        <v/>
      </c>
      <c r="T42">
        <f>IF($C42&lt;=h_col,1,4/7*h_col/($C42-3/7*h_col))</f>
        <v/>
      </c>
    </row>
    <row r="43">
      <c r="B43" s="54" t="n">
        <v>34</v>
      </c>
      <c r="C43" s="55">
        <f>3*h_col</f>
        <v/>
      </c>
      <c r="D43" s="54">
        <f>MIN($C43,h_col)</f>
        <v/>
      </c>
      <c r="E43" s="56">
        <f>(f_cd*b_col*$D43*(3/7+4/7*(1-$T43^2/3))+SUMPRODUCT($J$6:$S$6,$J43:$S43))/1000</f>
        <v/>
      </c>
      <c r="F43" s="56">
        <f>(f_cd*b_col*(3/14*$D43*(h_col-3/7*$D43)+4/7*$D43*(h_col/2-3/7*$D43)*(1-$T43^2/3)-16/49*$D43^2*(1/2-$T43^2/4))+SUMPRODUCT($J$6:$S$6,$J43:$S43,$J$7:$S$7))/1E6</f>
        <v/>
      </c>
      <c r="J43">
        <f>MAX(-f_yd,MIN(f_yd,200000*0.002*(1-$T43*(7*J$5-3*$D43)/(4*$D43))))-f_cd*(1-MIN(1,MAX(0,$T43*(7*J$5-3*$D43)/(4*$D43)))^2)</f>
        <v/>
      </c>
      <c r="K43">
        <f>MAX(-f_yd,MIN(f_yd,200000*0.002*(1-$T43*(7*K$5-3*$D43)/(4*$D43))))-f_cd*(1-MIN(1,MAX(0,$T43*(7*K$5-3*$D43)/(4*$D43)))^2)</f>
        <v/>
      </c>
      <c r="L43">
        <f>MAX(-f_yd,MIN(f_yd,200000*0.002*(1-$T43*(7*L$5-3*$D43)/(4*$D43))))-f_cd*(1-MIN(1,MAX(0,$T43*(7*L$5-3*$D43)/(4*$D43)))^2)</f>
        <v/>
      </c>
      <c r="M43">
        <f>MAX(-f_yd,MIN(f_yd,200000*0.002*(1-$T43*(7*M$5-3*$D43)/(4*$D43))))-f_cd*(1-MIN(1,MAX(0,$T43*(7*M$5-3*$D43)/(4*$D43)))^2)</f>
        <v/>
      </c>
      <c r="N43">
        <f>MAX(-f_yd,MIN(f_yd,200000*0.002*(1-$T43*(7*N$5-3*$D43)/(4*$D43))))-f_cd*(1-MIN(1,MAX(0,$T43*(7*N$5-3*$D43)/(4*$D43)))^2)</f>
        <v/>
      </c>
      <c r="O43">
        <f>MAX(-f_yd,MIN(f_yd,200000*0.002*(1-$T43*(7*O$5-3*$D43)/(4*$D43))))-f_cd*(1-MIN(1,MAX(0,$T43*(7*O$5-3*$D43)/(4*$D43)))^2)</f>
        <v/>
      </c>
      <c r="P43">
        <f>MAX(-f_yd,MIN(f_yd,200000*0.002*(1-$T43*(7*P$5-3*$D43)/(4*$D43))))-f_cd*(1-MIN(1,MAX(0,$T43*(7*P$5-3*$D43)/(4*$D43)))^2)</f>
        <v/>
      </c>
      <c r="Q43">
        <f>MAX(-f_yd,MIN(f_yd,200000*0.002*(1-$T43*(7*Q$5-3*$D43)/(4*$D43))))-f_cd*(1-MIN(1,MAX(0,$T43*(7*Q$5-3*$D43)/(4*$D43)))^2)</f>
        <v/>
      </c>
      <c r="R43">
        <f>MAX(-f_yd,MIN(f_yd,200000*0.002*(1-$T43*(7*R$5-3*$D43)/(4*$D43))))-f_cd*(1-MIN(1,MAX(0,$T43*(7*R$5-3*$D43)/(4*$D43)))^2)</f>
        <v/>
      </c>
      <c r="S43">
        <f>MAX(-f_yd,MIN(f_yd,200000*0.002*(1-$T43*(7*S$5-3*$D43)/(4*$D43))))-f_cd*(1-MIN(1,MAX(0,$T43*(7*S$5-3*$D43)/(4*$D43)))^2)</f>
        <v/>
      </c>
      <c r="T43">
        <f>IF($C43&lt;=h_col,1,4/7*h_col/($C43-3/7*h_col))</f>
        <v/>
      </c>
    </row>
    <row r="44">
      <c r="B44" s="54" t="n">
        <v>35</v>
      </c>
      <c r="C44" s="55">
        <f>4*h_col</f>
        <v/>
      </c>
      <c r="D44" s="54">
        <f>MIN($C44,h_col)</f>
        <v/>
      </c>
      <c r="E44" s="56">
        <f>(f_cd*b_col*$D44*(3/7+4/7*(1-$T44^2/3))+SUMPRODUCT($J$6:$S$6,$J44:$S44))/1000</f>
        <v/>
      </c>
      <c r="F44" s="56">
        <f>(f_cd*b_col*(3/14*$D44*(h_col-3/7*$D44)+4/7*$D44*(h_col/2-3/7*$D44)*(1-$T44^2/3)-16/49*$D44^2*(1/2-$T44^2/4))+SUMPRODUCT($J$6:$S$6,$J44:$S44,$J$7:$S$7))/1E6</f>
        <v/>
      </c>
      <c r="J44">
        <f>MAX(-f_yd,MIN(f_yd,200000*0.002*(1-$T44*(7*J$5-3*$D44)/(4*$D44))))-f_cd*(1-MIN(1,MAX(0,$T44*(7*J$5-3*$D44)/(4*$D44)))^2)</f>
        <v/>
      </c>
      <c r="K44">
        <f>MAX(-f_yd,MIN(f_yd,200000*0.002*(1-$T44*(7*K$5-3*$D44)/(4*$D44))))-f_cd*(1-MIN(1,MAX(0,$T44*(7*K$5-3*$D44)/(4*$D44)))^2)</f>
        <v/>
      </c>
      <c r="L44">
        <f>MAX(-f_yd,MIN(f_yd,200000*0.002*(1-$T44*(7*L$5-3*$D44)/(4*$D44))))-f_cd*(1-MIN(1,MAX(0,$T44*(7*L$5-3*$D44)/(4*$D44)))^2)</f>
        <v/>
      </c>
      <c r="M44">
        <f>MAX(-f_yd,MIN(f_yd,200000*0.002*(1-$T44*(7*M$5-3*$D44)/(4*$D44))))-f_cd*(1-MIN(1,MAX(0,$T44*(7*M$5-3*$D44)/(4*$D44)))^2)</f>
        <v/>
      </c>
      <c r="N44">
        <f>MAX(-f_yd,MIN(f_yd,200000*0.002*(1-$T44*(7*N$5-3*$D44)/(4*$D44))))-f_cd*(1-MIN(1,MAX(0,$T44*(7*N$5-3*$D44)/(4*$D44)))^2)</f>
        <v/>
      </c>
      <c r="O44">
        <f>MAX(-f_yd,MIN(f_yd,200000*0.002*(1-$T44*(7*O$5-3*$D44)/(4*$D44))))-f_cd*(1-MIN(1,MAX(0,$T44*(7*O$5-3*$D44)/(4*$D44)))^2)</f>
        <v/>
      </c>
      <c r="P44">
        <f>MAX(-f_yd,MIN(f_yd,200000*0.002*(1-$T44*(7*P$5-3*$D44)/(4*$D44))))-f_cd*(1-MIN(1,MAX(0,$T44*(7*P$5-3*$D44)/(4*$D44)))^2)</f>
        <v/>
      </c>
      <c r="Q44">
        <f>MAX(-f_yd,MIN(f_yd,200000*0.002*(1-$T44*(7*Q$5-3*$D44)/(4*$D44))))-f_cd*(1-MIN(1,MAX(0,$T44*(7*Q$5-3*$D44)/(4*$D44)))^2)</f>
        <v/>
      </c>
      <c r="R44">
        <f>MAX(-f_yd,MIN(f_yd,200000*0.002*(1-$T44*(7*R$5-3*$D44)/(4*$D44))))-f_cd*(1-MIN(1,MAX(0,$T44*(7*R$5-3*$D44)/(4*$D44)))^2)</f>
        <v/>
      </c>
      <c r="S44">
        <f>MAX(-f_yd,MIN(f_yd,200000*0.002*(1-$T44*(7*S$5-3*$D44)/(4*$D44))))-f_cd*(1-MIN(1,MAX(0,$T44*(7*S$5-3*$D44)/(4*$D44)))^2)</f>
        <v/>
      </c>
      <c r="T44">
        <f>IF($C44&lt;=h_col,1,4/7*h_col/($C44-3/7*h_col))</f>
        <v/>
      </c>
    </row>
    <row r="45">
      <c r="B45" s="54" t="n">
        <v>36</v>
      </c>
      <c r="C45" s="55">
        <f>6*h_col</f>
        <v/>
      </c>
      <c r="D45" s="54">
        <f>MIN($C45,h_col)</f>
        <v/>
      </c>
      <c r="E45" s="56">
        <f>(f_cd*b_col*$D45*(3/7+4/7*(1-$T45^2/3))+SUMPRODUCT($J$6:$S$6,$J45:$S45))/1000</f>
        <v/>
      </c>
      <c r="F45" s="56">
        <f>(f_cd*b_col*(3/14*$D45*(h_col-3/7*$D45)+4/7*$D45*(h_col/2-3/7*$D45)*(1-$T45^2/3)-16/49*$D45^2*(1/2-$T45^2/4))+SUMPRODUCT($J$6:$S$6,$J45:$S45,$J$7:$S$7))/1E6</f>
        <v/>
      </c>
      <c r="J45">
        <f>MAX(-f_yd,MIN(f_yd,200000*0.002*(1-$T45*(7*J$5-3*$D45)/(4*$D45))))-f_cd*(1-MIN(1,MAX(0,$T45*(7*J$5-3*$D45)/(4*$D45)))^2)</f>
        <v/>
      </c>
      <c r="K45">
        <f>MAX(-f_yd,MIN(f_yd,200000*0.002*(1-$T45*(7*K$5-3*$D45)/(4*$D45))))-f_cd*(1-MIN(1,MAX(0,$T45*(7*K$5-3*$D45)/(4*$D45)))^2)</f>
        <v/>
      </c>
      <c r="L45">
        <f>MAX(-f_yd,MIN(f_yd,200000*0.002*(1-$T45*(7*L$5-3*$D45)/(4*$D45))))-f_cd*(1-MIN(1,MAX(0,$T45*(7*L$5-3*$D45)/(4*$D45)))^2)</f>
        <v/>
      </c>
      <c r="M45">
        <f>MAX(-f_yd,MIN(f_yd,200000*0.002*(1-$T45*(7*M$5-3*$D45)/(4*$D45))))-f_cd*(1-MIN(1,MAX(0,$T45*(7*M$5-3*$D45)/(4*$D45)))^2)</f>
        <v/>
      </c>
      <c r="N45">
        <f>MAX(-f_yd,MIN(f_yd,200000*0.002*(1-$T45*(7*N$5-3*$D45)/(4*$D45))))-f_cd*(1-MIN(1,MAX(0,$T45*(7*N$5-3*$D45)/(4*$D45)))^2)</f>
        <v/>
      </c>
      <c r="O45">
        <f>MAX(-f_yd,MIN(f_yd,200000*0.002*(1-$T45*(7*O$5-3*$D45)/(4*$D45))))-f_cd*(1-MIN(1,MAX(0,$T45*(7*O$5-3*$D45)/(4*$D45)))^2)</f>
        <v/>
      </c>
      <c r="P45">
        <f>MAX(-f_yd,MIN(f_yd,200000*0.002*(1-$T45*(7*P$5-3*$D45)/(4*$D45))))-f_cd*(1-MIN(1,MAX(0,$T45*(7*P$5-3*$D45)/(4*$D45)))^2)</f>
        <v/>
      </c>
      <c r="Q45">
        <f>MAX(-f_yd,MIN(f_yd,200000*0.002*(1-$T45*(7*Q$5-3*$D45)/(4*$D45))))-f_cd*(1-MIN(1,MAX(0,$T45*(7*Q$5-3*$D45)/(4*$D45)))^2)</f>
        <v/>
      </c>
      <c r="R45">
        <f>MAX(-f_yd,MIN(f_yd,200000*0.002*(1-$T45*(7*R$5-3*$D45)/(4*$D45))))-f_cd*(1-MIN(1,MAX(0,$T45*(7*R$5-3*$D45)/(4*$D45)))^2)</f>
        <v/>
      </c>
      <c r="S45">
        <f>MAX(-f_yd,MIN(f_yd,200000*0.002*(1-$T45*(7*S$5-3*$D45)/(4*$D45))))-f_cd*(1-MIN(1,MAX(0,$T45*(7*S$5-3*$D45)/(4*$D45)))^2)</f>
        <v/>
      </c>
      <c r="T45">
        <f>IF($C45&lt;=h_col,1,4/7*h_col/($C45-3/7*h_col))</f>
        <v/>
      </c>
    </row>
    <row r="46">
      <c r="B46" s="54" t="n">
        <v>37</v>
      </c>
      <c r="C46" s="55">
        <f>10*h_col</f>
        <v/>
      </c>
      <c r="D46" s="54">
        <f>MIN($C46,h_col)</f>
        <v/>
      </c>
      <c r="E46" s="56">
        <f>(f_cd*b_col*$D46*(3/7+4/7*(1-$T46^2/3))+SUMPRODUCT($J$6:$S$6,$J46:$S46))/1000</f>
        <v/>
      </c>
      <c r="F46" s="56">
        <f>(f_cd*b_col*(3/14*$D46*(h_col-3/7*$D46)+4/7*$D46*(h_col/2-3/7*$D46)*(1-$T46^2/3)-16/49*$D46^2*(1/2-$T46^2/4))+SUMPRODUCT($J$6:$S$6,$J46:$S46,$J$7:$S$7))/1E6</f>
        <v/>
      </c>
      <c r="J46">
        <f>MAX(-f_yd,MIN(f_yd,200000*0.002*(1-$T46*(7*J$5-3*$D46)/(4*$D46))))-f_cd*(1-MIN(1,MAX(0,$T46*(7*J$5-3*$D46)/(4*$D46)))^2)</f>
        <v/>
      </c>
      <c r="K46">
        <f>MAX(-f_yd,MIN(f_yd,200000*0.002*(1-$T46*(7*K$5-3*$D46)/(4*$D46))))-f_cd*(1-MIN(1,MAX(0,$T46*(7*K$5-3*$D46)/(4*$D46)))^2)</f>
        <v/>
      </c>
      <c r="L46">
        <f>MAX(-f_yd,MIN(f_yd,200000*0.002*(1-$T46*(7*L$5-3*$D46)/(4*$D46))))-f_cd*(1-MIN(1,MAX(0,$T46*(7*L$5-3*$D46)/(4*$D46)))^2)</f>
        <v/>
      </c>
      <c r="M46">
        <f>MAX(-f_yd,MIN(f_yd,200000*0.002*(1-$T46*(7*M$5-3*$D46)/(4*$D46))))-f_cd*(1-MIN(1,MAX(0,$T46*(7*M$5-3*$D46)/(4*$D46)))^2)</f>
        <v/>
      </c>
      <c r="N46">
        <f>MAX(-f_yd,MIN(f_yd,200000*0.002*(1-$T46*(7*N$5-3*$D46)/(4*$D46))))-f_cd*(1-MIN(1,MAX(0,$T46*(7*N$5-3*$D46)/(4*$D46)))^2)</f>
        <v/>
      </c>
      <c r="O46">
        <f>MAX(-f_yd,MIN(f_yd,200000*0.002*(1-$T46*(7*O$5-3*$D46)/(4*$D46))))-f_cd*(1-MIN(1,MAX(0,$T46*(7*O$5-3*$D46)/(4*$D46)))^2)</f>
        <v/>
      </c>
      <c r="P46">
        <f>MAX(-f_yd,MIN(f_yd,200000*0.002*(1-$T46*(7*P$5-3*$D46)/(4*$D46))))-f_cd*(1-MIN(1,MAX(0,$T46*(7*P$5-3*$D46)/(4*$D46)))^2)</f>
        <v/>
      </c>
      <c r="Q46">
        <f>MAX(-f_yd,MIN(f_yd,200000*0.002*(1-$T46*(7*Q$5-3*$D46)/(4*$D46))))-f_cd*(1-MIN(1,MAX(0,$T46*(7*Q$5-3*$D46)/(4*$D46)))^2)</f>
        <v/>
      </c>
      <c r="R46">
        <f>MAX(-f_yd,MIN(f_yd,200000*0.002*(1-$T46*(7*R$5-3*$D46)/(4*$D46))))-f_cd*(1-MIN(1,MAX(0,$T46*(7*R$5-3*$D46)/(4*$D46)))^2)</f>
        <v/>
      </c>
      <c r="S46">
        <f>MAX(-f_yd,MIN(f_yd,200000*0.002*(1-$T46*(7*S$5-3*$D46)/(4*$D46))))-f_cd*(1-MIN(1,MAX(0,$T46*(7*S$5-3*$D46)/(4*$D46)))^2)</f>
        <v/>
      </c>
      <c r="T46">
        <f>IF($C46&lt;=h_col,1,4/7*h_col/($C46-3/7*h_col))</f>
        <v/>
      </c>
    </row>
    <row r="47">
      <c r="B47" s="54" t="n">
        <v>38</v>
      </c>
      <c r="C47" s="55">
        <f>25*h_col</f>
        <v/>
      </c>
      <c r="D47" s="54">
        <f>MIN($C47,h_col)</f>
        <v/>
      </c>
      <c r="E47" s="56">
        <f>(f_cd*b_col*$D47*(3/7+4/7*(1-$T47^2/3))+SUMPRODUCT($J$6:$S$6,$J47:$S47))/1000</f>
        <v/>
      </c>
      <c r="F47" s="56">
        <f>(f_cd*b_col*(3/14*$D47*(h_col-3/7*$D47)+4/7*$D47*(h_col/2-3/7*$D47)*(1-$T47^2/3)-16/49*$D47^2*(1/2-$T47^2/4))+SUMPRODUCT($J$6:$S$6,$J47:$S47,$J$7:$S$7))/1E6</f>
        <v/>
      </c>
      <c r="J47">
        <f>MAX(-f_yd,MIN(f_yd,200000*0.002*(1-$T47*(7*J$5-3*$D47)/(4*$D47))))-f_cd*(1-MIN(1,MAX(0,$T47*(7*J$5-3*$D47)/(4*$D47)))^2)</f>
        <v/>
      </c>
      <c r="K47">
        <f>MAX(-f_yd,MIN(f_yd,200000*0.002*(1-$T47*(7*K$5-3*$D47)/(4*$D47))))-f_cd*(1-MIN(1,MAX(0,$T47*(7*K$5-3*$D47)/(4*$D47)))^2)</f>
        <v/>
      </c>
      <c r="L47">
        <f>MAX(-f_yd,MIN(f_yd,200000*0.002*(1-$T47*(7*L$5-3*$D47)/(4*$D47))))-f_cd*(1-MIN(1,MAX(0,$T47*(7*L$5-3*$D47)/(4*$D47)))^2)</f>
        <v/>
      </c>
      <c r="M47">
        <f>MAX(-f_yd,MIN(f_yd,200000*0.002*(1-$T47*(7*M$5-3*$D47)/(4*$D47))))-f_cd*(1-MIN(1,MAX(0,$T47*(7*M$5-3*$D47)/(4*$D47)))^2)</f>
        <v/>
      </c>
      <c r="N47">
        <f>MAX(-f_yd,MIN(f_yd,200000*0.002*(1-$T47*(7*N$5-3*$D47)/(4*$D47))))-f_cd*(1-MIN(1,MAX(0,$T47*(7*N$5-3*$D47)/(4*$D47)))^2)</f>
        <v/>
      </c>
      <c r="O47">
        <f>MAX(-f_yd,MIN(f_yd,200000*0.002*(1-$T47*(7*O$5-3*$D47)/(4*$D47))))-f_cd*(1-MIN(1,MAX(0,$T47*(7*O$5-3*$D47)/(4*$D47)))^2)</f>
        <v/>
      </c>
      <c r="P47">
        <f>MAX(-f_yd,MIN(f_yd,200000*0.002*(1-$T47*(7*P$5-3*$D47)/(4*$D47))))-f_cd*(1-MIN(1,MAX(0,$T47*(7*P$5-3*$D47)/(4*$D47)))^2)</f>
        <v/>
      </c>
      <c r="Q47">
        <f>MAX(-f_yd,MIN(f_yd,200000*0.002*(1-$T47*(7*Q$5-3*$D47)/(4*$D47))))-f_cd*(1-MIN(1,MAX(0,$T47*(7*Q$5-3*$D47)/(4*$D47)))^2)</f>
        <v/>
      </c>
      <c r="R47">
        <f>MAX(-f_yd,MIN(f_yd,200000*0.002*(1-$T47*(7*R$5-3*$D47)/(4*$D47))))-f_cd*(1-MIN(1,MAX(0,$T47*(7*R$5-3*$D47)/(4*$D47)))^2)</f>
        <v/>
      </c>
      <c r="S47">
        <f>MAX(-f_yd,MIN(f_yd,200000*0.002*(1-$T47*(7*S$5-3*$D47)/(4*$D47))))-f_cd*(1-MIN(1,MAX(0,$T47*(7*S$5-3*$D47)/(4*$D47)))^2)</f>
        <v/>
      </c>
      <c r="T47">
        <f>IF($C47&lt;=h_col,1,4/7*h_col/($C47-3/7*h_col))</f>
        <v/>
      </c>
    </row>
    <row r="48">
      <c r="B48" s="54" t="n">
        <v>39</v>
      </c>
      <c r="C48" s="57">
        <f>IF($T48&gt;=1,$D48,3/7*h_col+4/7*h_col/MAX($T48,1E-12))</f>
        <v/>
      </c>
      <c r="D48" s="54">
        <f>h_col</f>
        <v/>
      </c>
      <c r="E48" s="56">
        <f>(f_cd*b_col*$D48*(3/7+4/7*(1-$T48^2/3))+SUMPRODUCT($J$6:$S$6,$J48:$S48))/1000</f>
        <v/>
      </c>
      <c r="F48" s="56">
        <f>(f_cd*b_col*(3/14*$D48*(h_col-3/7*$D48)+4/7*$D48*(h_col/2-3/7*$D48)*(1-$T48^2/3)-16/49*$D48^2*(1/2-$T48^2/4))+SUMPRODUCT($J$6:$S$6,$J48:$S48,$J$7:$S$7))/1E6</f>
        <v/>
      </c>
      <c r="J48">
        <f>MAX(-f_yd,MIN(f_yd,200000*0.002*(1-$T48*(7*J$5-3*$D48)/(4*$D48))))-f_cd*(1-MIN(1,MAX(0,$T48*(7*J$5-3*$D48)/(4*$D48)))^2)</f>
        <v/>
      </c>
      <c r="K48">
        <f>MAX(-f_yd,MIN(f_yd,200000*0.002*(1-$T48*(7*K$5-3*$D48)/(4*$D48))))-f_cd*(1-MIN(1,MAX(0,$T48*(7*K$5-3*$D48)/(4*$D48)))^2)</f>
        <v/>
      </c>
      <c r="L48">
        <f>MAX(-f_yd,MIN(f_yd,200000*0.002*(1-$T48*(7*L$5-3*$D48)/(4*$D48))))-f_cd*(1-MIN(1,MAX(0,$T48*(7*L$5-3*$D48)/(4*$D48)))^2)</f>
        <v/>
      </c>
      <c r="M48">
        <f>MAX(-f_yd,MIN(f_yd,200000*0.002*(1-$T48*(7*M$5-3*$D48)/(4*$D48))))-f_cd*(1-MIN(1,MAX(0,$T48*(7*M$5-3*$D48)/(4*$D48)))^2)</f>
        <v/>
      </c>
      <c r="N48">
        <f>MAX(-f_yd,MIN(f_yd,200000*0.002*(1-$T48*(7*N$5-3*$D48)/(4*$D48))))-f_cd*(1-MIN(1,MAX(0,$T48*(7*N$5-3*$D48)/(4*$D48)))^2)</f>
        <v/>
      </c>
      <c r="O48">
        <f>MAX(-f_yd,MIN(f_yd,200000*0.002*(1-$T48*(7*O$5-3*$D48)/(4*$D48))))-f_cd*(1-MIN(1,MAX(0,$T48*(7*O$5-3*$D48)/(4*$D48)))^2)</f>
        <v/>
      </c>
      <c r="P48">
        <f>MAX(-f_yd,MIN(f_yd,200000*0.002*(1-$T48*(7*P$5-3*$D48)/(4*$D48))))-f_cd*(1-MIN(1,MAX(0,$T48*(7*P$5-3*$D48)/(4*$D48)))^2)</f>
        <v/>
      </c>
      <c r="Q48">
        <f>MAX(-f_yd,MIN(f_yd,200000*0.002*(1-$T48*(7*Q$5-3*$D48)/(4*$D48))))-f_cd*(1-MIN(1,MAX(0,$T48*(7*Q$5-3*$D48)/(4*$D48)))^2)</f>
        <v/>
      </c>
      <c r="R48">
        <f>MAX(-f_yd,MIN(f_yd,200000*0.002*(1-$T48*(7*R$5-3*$D48)/(4*$D48))))-f_cd*(1-MIN(1,MAX(0,$T48*(7*R$5-3*$D48)/(4*$D48)))^2)</f>
        <v/>
      </c>
      <c r="S48">
        <f>MAX(-f_yd,MIN(f_yd,200000*0.002*(1-$T48*(7*S$5-3*$D48)/(4*$D48))))-f_cd*(1-MIN(1,MAX(0,$T48*(7*S$5-3*$D48)/(4*$D48)))^2)</f>
        <v/>
      </c>
      <c r="T48" t="n">
        <v>0</v>
      </c>
    </row>
    <row r="50">
      <c r="B50" s="58" t="inlineStr">
        <is>
          <t>The table draws the curve. MRd at NEd below: bisection on the strain state s (0 to 1: x = s h; 1 to 2: t = 2 − s, whole section compressed, uniform strain at s = 2) until N = NEd. With the bars symmetrical N rises with s, so the root is unique.</t>
        </is>
      </c>
    </row>
    <row r="52">
      <c r="B52" s="53" t="inlineStr">
        <is>
          <t>step</t>
        </is>
      </c>
      <c r="C52" s="53" t="inlineStr">
        <is>
          <t>s low</t>
        </is>
      </c>
      <c r="D52" s="53" t="inlineStr">
        <is>
          <t>s high</t>
        </is>
      </c>
      <c r="E52" s="53" t="inlineStr">
        <is>
          <t>x (mm)</t>
        </is>
      </c>
      <c r="F52" s="53" t="inlineStr">
        <is>
          <t>zc (mm)</t>
        </is>
      </c>
      <c r="G52" s="53" t="inlineStr">
        <is>
          <t>N (kN)</t>
        </is>
      </c>
      <c r="H52" s="53" t="inlineStr">
        <is>
          <t>M (kNm)</t>
        </is>
      </c>
    </row>
    <row r="53">
      <c r="B53" s="59" t="n">
        <v>1</v>
      </c>
      <c r="C53" s="60" t="n">
        <v>0</v>
      </c>
      <c r="D53" s="60" t="n">
        <v>2</v>
      </c>
      <c r="E53" s="61">
        <f>IF($T53&gt;=1,$F53,3/7*h_col+4/7*h_col/MAX($T53,1E-12))</f>
        <v/>
      </c>
      <c r="F53" s="62">
        <f>h_col*MIN((($C53+$D53)/2),1)</f>
        <v/>
      </c>
      <c r="G53" s="62">
        <f>(f_cd*b_col*$F53*(3/7+4/7*(1-$T53^2/3))+SUMPRODUCT($J$6:$S$6,$J53:$S53))/1000</f>
        <v/>
      </c>
      <c r="H53" s="62">
        <f>(f_cd*b_col*(3/14*$F53*(h_col-3/7*$F53)+4/7*$F53*(h_col/2-3/7*$F53)*(1-$T53^2/3)-16/49*$F53^2*(1/2-$T53^2/4))+SUMPRODUCT($J$6:$S$6,$J53:$S53,$J$7:$S$7))/1E6</f>
        <v/>
      </c>
      <c r="J53">
        <f>MAX(-f_yd,MIN(f_yd,200000*0.002*(1-$T53*(7*J$5-3*$F53)/(4*$F53))))-f_cd*(1-MIN(1,MAX(0,$T53*(7*J$5-3*$F53)/(4*$F53)))^2)</f>
        <v/>
      </c>
      <c r="K53">
        <f>MAX(-f_yd,MIN(f_yd,200000*0.002*(1-$T53*(7*K$5-3*$F53)/(4*$F53))))-f_cd*(1-MIN(1,MAX(0,$T53*(7*K$5-3*$F53)/(4*$F53)))^2)</f>
        <v/>
      </c>
      <c r="L53">
        <f>MAX(-f_yd,MIN(f_yd,200000*0.002*(1-$T53*(7*L$5-3*$F53)/(4*$F53))))-f_cd*(1-MIN(1,MAX(0,$T53*(7*L$5-3*$F53)/(4*$F53)))^2)</f>
        <v/>
      </c>
      <c r="M53">
        <f>MAX(-f_yd,MIN(f_yd,200000*0.002*(1-$T53*(7*M$5-3*$F53)/(4*$F53))))-f_cd*(1-MIN(1,MAX(0,$T53*(7*M$5-3*$F53)/(4*$F53)))^2)</f>
        <v/>
      </c>
      <c r="N53">
        <f>MAX(-f_yd,MIN(f_yd,200000*0.002*(1-$T53*(7*N$5-3*$F53)/(4*$F53))))-f_cd*(1-MIN(1,MAX(0,$T53*(7*N$5-3*$F53)/(4*$F53)))^2)</f>
        <v/>
      </c>
      <c r="O53">
        <f>MAX(-f_yd,MIN(f_yd,200000*0.002*(1-$T53*(7*O$5-3*$F53)/(4*$F53))))-f_cd*(1-MIN(1,MAX(0,$T53*(7*O$5-3*$F53)/(4*$F53)))^2)</f>
        <v/>
      </c>
      <c r="P53">
        <f>MAX(-f_yd,MIN(f_yd,200000*0.002*(1-$T53*(7*P$5-3*$F53)/(4*$F53))))-f_cd*(1-MIN(1,MAX(0,$T53*(7*P$5-3*$F53)/(4*$F53)))^2)</f>
        <v/>
      </c>
      <c r="Q53">
        <f>MAX(-f_yd,MIN(f_yd,200000*0.002*(1-$T53*(7*Q$5-3*$F53)/(4*$F53))))-f_cd*(1-MIN(1,MAX(0,$T53*(7*Q$5-3*$F53)/(4*$F53)))^2)</f>
        <v/>
      </c>
      <c r="R53">
        <f>MAX(-f_yd,MIN(f_yd,200000*0.002*(1-$T53*(7*R$5-3*$F53)/(4*$F53))))-f_cd*(1-MIN(1,MAX(0,$T53*(7*R$5-3*$F53)/(4*$F53)))^2)</f>
        <v/>
      </c>
      <c r="S53">
        <f>MAX(-f_yd,MIN(f_yd,200000*0.002*(1-$T53*(7*S$5-3*$F53)/(4*$F53))))-f_cd*(1-MIN(1,MAX(0,$T53*(7*S$5-3*$F53)/(4*$F53)))^2)</f>
        <v/>
      </c>
      <c r="T53">
        <f>MIN(1,2-(($C53+$D53)/2))</f>
        <v/>
      </c>
    </row>
    <row r="54">
      <c r="B54" s="59" t="n">
        <v>2</v>
      </c>
      <c r="C54" s="60">
        <f>IF($G53&lt;N_Ed,($C53+$D53)/2,$C53)</f>
        <v/>
      </c>
      <c r="D54" s="60">
        <f>IF($G53&lt;N_Ed,$D53,($C53+$D53)/2)</f>
        <v/>
      </c>
      <c r="E54" s="61">
        <f>IF($T54&gt;=1,$F54,3/7*h_col+4/7*h_col/MAX($T54,1E-12))</f>
        <v/>
      </c>
      <c r="F54" s="62">
        <f>h_col*MIN((($C54+$D54)/2),1)</f>
        <v/>
      </c>
      <c r="G54" s="62">
        <f>(f_cd*b_col*$F54*(3/7+4/7*(1-$T54^2/3))+SUMPRODUCT($J$6:$S$6,$J54:$S54))/1000</f>
        <v/>
      </c>
      <c r="H54" s="62">
        <f>(f_cd*b_col*(3/14*$F54*(h_col-3/7*$F54)+4/7*$F54*(h_col/2-3/7*$F54)*(1-$T54^2/3)-16/49*$F54^2*(1/2-$T54^2/4))+SUMPRODUCT($J$6:$S$6,$J54:$S54,$J$7:$S$7))/1E6</f>
        <v/>
      </c>
      <c r="J54">
        <f>MAX(-f_yd,MIN(f_yd,200000*0.002*(1-$T54*(7*J$5-3*$F54)/(4*$F54))))-f_cd*(1-MIN(1,MAX(0,$T54*(7*J$5-3*$F54)/(4*$F54)))^2)</f>
        <v/>
      </c>
      <c r="K54">
        <f>MAX(-f_yd,MIN(f_yd,200000*0.002*(1-$T54*(7*K$5-3*$F54)/(4*$F54))))-f_cd*(1-MIN(1,MAX(0,$T54*(7*K$5-3*$F54)/(4*$F54)))^2)</f>
        <v/>
      </c>
      <c r="L54">
        <f>MAX(-f_yd,MIN(f_yd,200000*0.002*(1-$T54*(7*L$5-3*$F54)/(4*$F54))))-f_cd*(1-MIN(1,MAX(0,$T54*(7*L$5-3*$F54)/(4*$F54)))^2)</f>
        <v/>
      </c>
      <c r="M54">
        <f>MAX(-f_yd,MIN(f_yd,200000*0.002*(1-$T54*(7*M$5-3*$F54)/(4*$F54))))-f_cd*(1-MIN(1,MAX(0,$T54*(7*M$5-3*$F54)/(4*$F54)))^2)</f>
        <v/>
      </c>
      <c r="N54">
        <f>MAX(-f_yd,MIN(f_yd,200000*0.002*(1-$T54*(7*N$5-3*$F54)/(4*$F54))))-f_cd*(1-MIN(1,MAX(0,$T54*(7*N$5-3*$F54)/(4*$F54)))^2)</f>
        <v/>
      </c>
      <c r="O54">
        <f>MAX(-f_yd,MIN(f_yd,200000*0.002*(1-$T54*(7*O$5-3*$F54)/(4*$F54))))-f_cd*(1-MIN(1,MAX(0,$T54*(7*O$5-3*$F54)/(4*$F54)))^2)</f>
        <v/>
      </c>
      <c r="P54">
        <f>MAX(-f_yd,MIN(f_yd,200000*0.002*(1-$T54*(7*P$5-3*$F54)/(4*$F54))))-f_cd*(1-MIN(1,MAX(0,$T54*(7*P$5-3*$F54)/(4*$F54)))^2)</f>
        <v/>
      </c>
      <c r="Q54">
        <f>MAX(-f_yd,MIN(f_yd,200000*0.002*(1-$T54*(7*Q$5-3*$F54)/(4*$F54))))-f_cd*(1-MIN(1,MAX(0,$T54*(7*Q$5-3*$F54)/(4*$F54)))^2)</f>
        <v/>
      </c>
      <c r="R54">
        <f>MAX(-f_yd,MIN(f_yd,200000*0.002*(1-$T54*(7*R$5-3*$F54)/(4*$F54))))-f_cd*(1-MIN(1,MAX(0,$T54*(7*R$5-3*$F54)/(4*$F54)))^2)</f>
        <v/>
      </c>
      <c r="S54">
        <f>MAX(-f_yd,MIN(f_yd,200000*0.002*(1-$T54*(7*S$5-3*$F54)/(4*$F54))))-f_cd*(1-MIN(1,MAX(0,$T54*(7*S$5-3*$F54)/(4*$F54)))^2)</f>
        <v/>
      </c>
      <c r="T54">
        <f>MIN(1,2-(($C54+$D54)/2))</f>
        <v/>
      </c>
    </row>
    <row r="55">
      <c r="B55" s="59" t="n">
        <v>3</v>
      </c>
      <c r="C55" s="60">
        <f>IF($G54&lt;N_Ed,($C54+$D54)/2,$C54)</f>
        <v/>
      </c>
      <c r="D55" s="60">
        <f>IF($G54&lt;N_Ed,$D54,($C54+$D54)/2)</f>
        <v/>
      </c>
      <c r="E55" s="61">
        <f>IF($T55&gt;=1,$F55,3/7*h_col+4/7*h_col/MAX($T55,1E-12))</f>
        <v/>
      </c>
      <c r="F55" s="62">
        <f>h_col*MIN((($C55+$D55)/2),1)</f>
        <v/>
      </c>
      <c r="G55" s="62">
        <f>(f_cd*b_col*$F55*(3/7+4/7*(1-$T55^2/3))+SUMPRODUCT($J$6:$S$6,$J55:$S55))/1000</f>
        <v/>
      </c>
      <c r="H55" s="62">
        <f>(f_cd*b_col*(3/14*$F55*(h_col-3/7*$F55)+4/7*$F55*(h_col/2-3/7*$F55)*(1-$T55^2/3)-16/49*$F55^2*(1/2-$T55^2/4))+SUMPRODUCT($J$6:$S$6,$J55:$S55,$J$7:$S$7))/1E6</f>
        <v/>
      </c>
      <c r="J55">
        <f>MAX(-f_yd,MIN(f_yd,200000*0.002*(1-$T55*(7*J$5-3*$F55)/(4*$F55))))-f_cd*(1-MIN(1,MAX(0,$T55*(7*J$5-3*$F55)/(4*$F55)))^2)</f>
        <v/>
      </c>
      <c r="K55">
        <f>MAX(-f_yd,MIN(f_yd,200000*0.002*(1-$T55*(7*K$5-3*$F55)/(4*$F55))))-f_cd*(1-MIN(1,MAX(0,$T55*(7*K$5-3*$F55)/(4*$F55)))^2)</f>
        <v/>
      </c>
      <c r="L55">
        <f>MAX(-f_yd,MIN(f_yd,200000*0.002*(1-$T55*(7*L$5-3*$F55)/(4*$F55))))-f_cd*(1-MIN(1,MAX(0,$T55*(7*L$5-3*$F55)/(4*$F55)))^2)</f>
        <v/>
      </c>
      <c r="M55">
        <f>MAX(-f_yd,MIN(f_yd,200000*0.002*(1-$T55*(7*M$5-3*$F55)/(4*$F55))))-f_cd*(1-MIN(1,MAX(0,$T55*(7*M$5-3*$F55)/(4*$F55)))^2)</f>
        <v/>
      </c>
      <c r="N55">
        <f>MAX(-f_yd,MIN(f_yd,200000*0.002*(1-$T55*(7*N$5-3*$F55)/(4*$F55))))-f_cd*(1-MIN(1,MAX(0,$T55*(7*N$5-3*$F55)/(4*$F55)))^2)</f>
        <v/>
      </c>
      <c r="O55">
        <f>MAX(-f_yd,MIN(f_yd,200000*0.002*(1-$T55*(7*O$5-3*$F55)/(4*$F55))))-f_cd*(1-MIN(1,MAX(0,$T55*(7*O$5-3*$F55)/(4*$F55)))^2)</f>
        <v/>
      </c>
      <c r="P55">
        <f>MAX(-f_yd,MIN(f_yd,200000*0.002*(1-$T55*(7*P$5-3*$F55)/(4*$F55))))-f_cd*(1-MIN(1,MAX(0,$T55*(7*P$5-3*$F55)/(4*$F55)))^2)</f>
        <v/>
      </c>
      <c r="Q55">
        <f>MAX(-f_yd,MIN(f_yd,200000*0.002*(1-$T55*(7*Q$5-3*$F55)/(4*$F55))))-f_cd*(1-MIN(1,MAX(0,$T55*(7*Q$5-3*$F55)/(4*$F55)))^2)</f>
        <v/>
      </c>
      <c r="R55">
        <f>MAX(-f_yd,MIN(f_yd,200000*0.002*(1-$T55*(7*R$5-3*$F55)/(4*$F55))))-f_cd*(1-MIN(1,MAX(0,$T55*(7*R$5-3*$F55)/(4*$F55)))^2)</f>
        <v/>
      </c>
      <c r="S55">
        <f>MAX(-f_yd,MIN(f_yd,200000*0.002*(1-$T55*(7*S$5-3*$F55)/(4*$F55))))-f_cd*(1-MIN(1,MAX(0,$T55*(7*S$5-3*$F55)/(4*$F55)))^2)</f>
        <v/>
      </c>
      <c r="T55">
        <f>MIN(1,2-(($C55+$D55)/2))</f>
        <v/>
      </c>
    </row>
    <row r="56">
      <c r="B56" s="59" t="n">
        <v>4</v>
      </c>
      <c r="C56" s="60">
        <f>IF($G55&lt;N_Ed,($C55+$D55)/2,$C55)</f>
        <v/>
      </c>
      <c r="D56" s="60">
        <f>IF($G55&lt;N_Ed,$D55,($C55+$D55)/2)</f>
        <v/>
      </c>
      <c r="E56" s="61">
        <f>IF($T56&gt;=1,$F56,3/7*h_col+4/7*h_col/MAX($T56,1E-12))</f>
        <v/>
      </c>
      <c r="F56" s="62">
        <f>h_col*MIN((($C56+$D56)/2),1)</f>
        <v/>
      </c>
      <c r="G56" s="62">
        <f>(f_cd*b_col*$F56*(3/7+4/7*(1-$T56^2/3))+SUMPRODUCT($J$6:$S$6,$J56:$S56))/1000</f>
        <v/>
      </c>
      <c r="H56" s="62">
        <f>(f_cd*b_col*(3/14*$F56*(h_col-3/7*$F56)+4/7*$F56*(h_col/2-3/7*$F56)*(1-$T56^2/3)-16/49*$F56^2*(1/2-$T56^2/4))+SUMPRODUCT($J$6:$S$6,$J56:$S56,$J$7:$S$7))/1E6</f>
        <v/>
      </c>
      <c r="J56">
        <f>MAX(-f_yd,MIN(f_yd,200000*0.002*(1-$T56*(7*J$5-3*$F56)/(4*$F56))))-f_cd*(1-MIN(1,MAX(0,$T56*(7*J$5-3*$F56)/(4*$F56)))^2)</f>
        <v/>
      </c>
      <c r="K56">
        <f>MAX(-f_yd,MIN(f_yd,200000*0.002*(1-$T56*(7*K$5-3*$F56)/(4*$F56))))-f_cd*(1-MIN(1,MAX(0,$T56*(7*K$5-3*$F56)/(4*$F56)))^2)</f>
        <v/>
      </c>
      <c r="L56">
        <f>MAX(-f_yd,MIN(f_yd,200000*0.002*(1-$T56*(7*L$5-3*$F56)/(4*$F56))))-f_cd*(1-MIN(1,MAX(0,$T56*(7*L$5-3*$F56)/(4*$F56)))^2)</f>
        <v/>
      </c>
      <c r="M56">
        <f>MAX(-f_yd,MIN(f_yd,200000*0.002*(1-$T56*(7*M$5-3*$F56)/(4*$F56))))-f_cd*(1-MIN(1,MAX(0,$T56*(7*M$5-3*$F56)/(4*$F56)))^2)</f>
        <v/>
      </c>
      <c r="N56">
        <f>MAX(-f_yd,MIN(f_yd,200000*0.002*(1-$T56*(7*N$5-3*$F56)/(4*$F56))))-f_cd*(1-MIN(1,MAX(0,$T56*(7*N$5-3*$F56)/(4*$F56)))^2)</f>
        <v/>
      </c>
      <c r="O56">
        <f>MAX(-f_yd,MIN(f_yd,200000*0.002*(1-$T56*(7*O$5-3*$F56)/(4*$F56))))-f_cd*(1-MIN(1,MAX(0,$T56*(7*O$5-3*$F56)/(4*$F56)))^2)</f>
        <v/>
      </c>
      <c r="P56">
        <f>MAX(-f_yd,MIN(f_yd,200000*0.002*(1-$T56*(7*P$5-3*$F56)/(4*$F56))))-f_cd*(1-MIN(1,MAX(0,$T56*(7*P$5-3*$F56)/(4*$F56)))^2)</f>
        <v/>
      </c>
      <c r="Q56">
        <f>MAX(-f_yd,MIN(f_yd,200000*0.002*(1-$T56*(7*Q$5-3*$F56)/(4*$F56))))-f_cd*(1-MIN(1,MAX(0,$T56*(7*Q$5-3*$F56)/(4*$F56)))^2)</f>
        <v/>
      </c>
      <c r="R56">
        <f>MAX(-f_yd,MIN(f_yd,200000*0.002*(1-$T56*(7*R$5-3*$F56)/(4*$F56))))-f_cd*(1-MIN(1,MAX(0,$T56*(7*R$5-3*$F56)/(4*$F56)))^2)</f>
        <v/>
      </c>
      <c r="S56">
        <f>MAX(-f_yd,MIN(f_yd,200000*0.002*(1-$T56*(7*S$5-3*$F56)/(4*$F56))))-f_cd*(1-MIN(1,MAX(0,$T56*(7*S$5-3*$F56)/(4*$F56)))^2)</f>
        <v/>
      </c>
      <c r="T56">
        <f>MIN(1,2-(($C56+$D56)/2))</f>
        <v/>
      </c>
    </row>
    <row r="57">
      <c r="B57" s="59" t="n">
        <v>5</v>
      </c>
      <c r="C57" s="60">
        <f>IF($G56&lt;N_Ed,($C56+$D56)/2,$C56)</f>
        <v/>
      </c>
      <c r="D57" s="60">
        <f>IF($G56&lt;N_Ed,$D56,($C56+$D56)/2)</f>
        <v/>
      </c>
      <c r="E57" s="61">
        <f>IF($T57&gt;=1,$F57,3/7*h_col+4/7*h_col/MAX($T57,1E-12))</f>
        <v/>
      </c>
      <c r="F57" s="62">
        <f>h_col*MIN((($C57+$D57)/2),1)</f>
        <v/>
      </c>
      <c r="G57" s="62">
        <f>(f_cd*b_col*$F57*(3/7+4/7*(1-$T57^2/3))+SUMPRODUCT($J$6:$S$6,$J57:$S57))/1000</f>
        <v/>
      </c>
      <c r="H57" s="62">
        <f>(f_cd*b_col*(3/14*$F57*(h_col-3/7*$F57)+4/7*$F57*(h_col/2-3/7*$F57)*(1-$T57^2/3)-16/49*$F57^2*(1/2-$T57^2/4))+SUMPRODUCT($J$6:$S$6,$J57:$S57,$J$7:$S$7))/1E6</f>
        <v/>
      </c>
      <c r="J57">
        <f>MAX(-f_yd,MIN(f_yd,200000*0.002*(1-$T57*(7*J$5-3*$F57)/(4*$F57))))-f_cd*(1-MIN(1,MAX(0,$T57*(7*J$5-3*$F57)/(4*$F57)))^2)</f>
        <v/>
      </c>
      <c r="K57">
        <f>MAX(-f_yd,MIN(f_yd,200000*0.002*(1-$T57*(7*K$5-3*$F57)/(4*$F57))))-f_cd*(1-MIN(1,MAX(0,$T57*(7*K$5-3*$F57)/(4*$F57)))^2)</f>
        <v/>
      </c>
      <c r="L57">
        <f>MAX(-f_yd,MIN(f_yd,200000*0.002*(1-$T57*(7*L$5-3*$F57)/(4*$F57))))-f_cd*(1-MIN(1,MAX(0,$T57*(7*L$5-3*$F57)/(4*$F57)))^2)</f>
        <v/>
      </c>
      <c r="M57">
        <f>MAX(-f_yd,MIN(f_yd,200000*0.002*(1-$T57*(7*M$5-3*$F57)/(4*$F57))))-f_cd*(1-MIN(1,MAX(0,$T57*(7*M$5-3*$F57)/(4*$F57)))^2)</f>
        <v/>
      </c>
      <c r="N57">
        <f>MAX(-f_yd,MIN(f_yd,200000*0.002*(1-$T57*(7*N$5-3*$F57)/(4*$F57))))-f_cd*(1-MIN(1,MAX(0,$T57*(7*N$5-3*$F57)/(4*$F57)))^2)</f>
        <v/>
      </c>
      <c r="O57">
        <f>MAX(-f_yd,MIN(f_yd,200000*0.002*(1-$T57*(7*O$5-3*$F57)/(4*$F57))))-f_cd*(1-MIN(1,MAX(0,$T57*(7*O$5-3*$F57)/(4*$F57)))^2)</f>
        <v/>
      </c>
      <c r="P57">
        <f>MAX(-f_yd,MIN(f_yd,200000*0.002*(1-$T57*(7*P$5-3*$F57)/(4*$F57))))-f_cd*(1-MIN(1,MAX(0,$T57*(7*P$5-3*$F57)/(4*$F57)))^2)</f>
        <v/>
      </c>
      <c r="Q57">
        <f>MAX(-f_yd,MIN(f_yd,200000*0.002*(1-$T57*(7*Q$5-3*$F57)/(4*$F57))))-f_cd*(1-MIN(1,MAX(0,$T57*(7*Q$5-3*$F57)/(4*$F57)))^2)</f>
        <v/>
      </c>
      <c r="R57">
        <f>MAX(-f_yd,MIN(f_yd,200000*0.002*(1-$T57*(7*R$5-3*$F57)/(4*$F57))))-f_cd*(1-MIN(1,MAX(0,$T57*(7*R$5-3*$F57)/(4*$F57)))^2)</f>
        <v/>
      </c>
      <c r="S57">
        <f>MAX(-f_yd,MIN(f_yd,200000*0.002*(1-$T57*(7*S$5-3*$F57)/(4*$F57))))-f_cd*(1-MIN(1,MAX(0,$T57*(7*S$5-3*$F57)/(4*$F57)))^2)</f>
        <v/>
      </c>
      <c r="T57">
        <f>MIN(1,2-(($C57+$D57)/2))</f>
        <v/>
      </c>
    </row>
    <row r="58">
      <c r="B58" s="59" t="n">
        <v>6</v>
      </c>
      <c r="C58" s="60">
        <f>IF($G57&lt;N_Ed,($C57+$D57)/2,$C57)</f>
        <v/>
      </c>
      <c r="D58" s="60">
        <f>IF($G57&lt;N_Ed,$D57,($C57+$D57)/2)</f>
        <v/>
      </c>
      <c r="E58" s="61">
        <f>IF($T58&gt;=1,$F58,3/7*h_col+4/7*h_col/MAX($T58,1E-12))</f>
        <v/>
      </c>
      <c r="F58" s="62">
        <f>h_col*MIN((($C58+$D58)/2),1)</f>
        <v/>
      </c>
      <c r="G58" s="62">
        <f>(f_cd*b_col*$F58*(3/7+4/7*(1-$T58^2/3))+SUMPRODUCT($J$6:$S$6,$J58:$S58))/1000</f>
        <v/>
      </c>
      <c r="H58" s="62">
        <f>(f_cd*b_col*(3/14*$F58*(h_col-3/7*$F58)+4/7*$F58*(h_col/2-3/7*$F58)*(1-$T58^2/3)-16/49*$F58^2*(1/2-$T58^2/4))+SUMPRODUCT($J$6:$S$6,$J58:$S58,$J$7:$S$7))/1E6</f>
        <v/>
      </c>
      <c r="J58">
        <f>MAX(-f_yd,MIN(f_yd,200000*0.002*(1-$T58*(7*J$5-3*$F58)/(4*$F58))))-f_cd*(1-MIN(1,MAX(0,$T58*(7*J$5-3*$F58)/(4*$F58)))^2)</f>
        <v/>
      </c>
      <c r="K58">
        <f>MAX(-f_yd,MIN(f_yd,200000*0.002*(1-$T58*(7*K$5-3*$F58)/(4*$F58))))-f_cd*(1-MIN(1,MAX(0,$T58*(7*K$5-3*$F58)/(4*$F58)))^2)</f>
        <v/>
      </c>
      <c r="L58">
        <f>MAX(-f_yd,MIN(f_yd,200000*0.002*(1-$T58*(7*L$5-3*$F58)/(4*$F58))))-f_cd*(1-MIN(1,MAX(0,$T58*(7*L$5-3*$F58)/(4*$F58)))^2)</f>
        <v/>
      </c>
      <c r="M58">
        <f>MAX(-f_yd,MIN(f_yd,200000*0.002*(1-$T58*(7*M$5-3*$F58)/(4*$F58))))-f_cd*(1-MIN(1,MAX(0,$T58*(7*M$5-3*$F58)/(4*$F58)))^2)</f>
        <v/>
      </c>
      <c r="N58">
        <f>MAX(-f_yd,MIN(f_yd,200000*0.002*(1-$T58*(7*N$5-3*$F58)/(4*$F58))))-f_cd*(1-MIN(1,MAX(0,$T58*(7*N$5-3*$F58)/(4*$F58)))^2)</f>
        <v/>
      </c>
      <c r="O58">
        <f>MAX(-f_yd,MIN(f_yd,200000*0.002*(1-$T58*(7*O$5-3*$F58)/(4*$F58))))-f_cd*(1-MIN(1,MAX(0,$T58*(7*O$5-3*$F58)/(4*$F58)))^2)</f>
        <v/>
      </c>
      <c r="P58">
        <f>MAX(-f_yd,MIN(f_yd,200000*0.002*(1-$T58*(7*P$5-3*$F58)/(4*$F58))))-f_cd*(1-MIN(1,MAX(0,$T58*(7*P$5-3*$F58)/(4*$F58)))^2)</f>
        <v/>
      </c>
      <c r="Q58">
        <f>MAX(-f_yd,MIN(f_yd,200000*0.002*(1-$T58*(7*Q$5-3*$F58)/(4*$F58))))-f_cd*(1-MIN(1,MAX(0,$T58*(7*Q$5-3*$F58)/(4*$F58)))^2)</f>
        <v/>
      </c>
      <c r="R58">
        <f>MAX(-f_yd,MIN(f_yd,200000*0.002*(1-$T58*(7*R$5-3*$F58)/(4*$F58))))-f_cd*(1-MIN(1,MAX(0,$T58*(7*R$5-3*$F58)/(4*$F58)))^2)</f>
        <v/>
      </c>
      <c r="S58">
        <f>MAX(-f_yd,MIN(f_yd,200000*0.002*(1-$T58*(7*S$5-3*$F58)/(4*$F58))))-f_cd*(1-MIN(1,MAX(0,$T58*(7*S$5-3*$F58)/(4*$F58)))^2)</f>
        <v/>
      </c>
      <c r="T58">
        <f>MIN(1,2-(($C58+$D58)/2))</f>
        <v/>
      </c>
    </row>
    <row r="59">
      <c r="B59" s="59" t="n">
        <v>7</v>
      </c>
      <c r="C59" s="60">
        <f>IF($G58&lt;N_Ed,($C58+$D58)/2,$C58)</f>
        <v/>
      </c>
      <c r="D59" s="60">
        <f>IF($G58&lt;N_Ed,$D58,($C58+$D58)/2)</f>
        <v/>
      </c>
      <c r="E59" s="61">
        <f>IF($T59&gt;=1,$F59,3/7*h_col+4/7*h_col/MAX($T59,1E-12))</f>
        <v/>
      </c>
      <c r="F59" s="62">
        <f>h_col*MIN((($C59+$D59)/2),1)</f>
        <v/>
      </c>
      <c r="G59" s="62">
        <f>(f_cd*b_col*$F59*(3/7+4/7*(1-$T59^2/3))+SUMPRODUCT($J$6:$S$6,$J59:$S59))/1000</f>
        <v/>
      </c>
      <c r="H59" s="62">
        <f>(f_cd*b_col*(3/14*$F59*(h_col-3/7*$F59)+4/7*$F59*(h_col/2-3/7*$F59)*(1-$T59^2/3)-16/49*$F59^2*(1/2-$T59^2/4))+SUMPRODUCT($J$6:$S$6,$J59:$S59,$J$7:$S$7))/1E6</f>
        <v/>
      </c>
      <c r="J59">
        <f>MAX(-f_yd,MIN(f_yd,200000*0.002*(1-$T59*(7*J$5-3*$F59)/(4*$F59))))-f_cd*(1-MIN(1,MAX(0,$T59*(7*J$5-3*$F59)/(4*$F59)))^2)</f>
        <v/>
      </c>
      <c r="K59">
        <f>MAX(-f_yd,MIN(f_yd,200000*0.002*(1-$T59*(7*K$5-3*$F59)/(4*$F59))))-f_cd*(1-MIN(1,MAX(0,$T59*(7*K$5-3*$F59)/(4*$F59)))^2)</f>
        <v/>
      </c>
      <c r="L59">
        <f>MAX(-f_yd,MIN(f_yd,200000*0.002*(1-$T59*(7*L$5-3*$F59)/(4*$F59))))-f_cd*(1-MIN(1,MAX(0,$T59*(7*L$5-3*$F59)/(4*$F59)))^2)</f>
        <v/>
      </c>
      <c r="M59">
        <f>MAX(-f_yd,MIN(f_yd,200000*0.002*(1-$T59*(7*M$5-3*$F59)/(4*$F59))))-f_cd*(1-MIN(1,MAX(0,$T59*(7*M$5-3*$F59)/(4*$F59)))^2)</f>
        <v/>
      </c>
      <c r="N59">
        <f>MAX(-f_yd,MIN(f_yd,200000*0.002*(1-$T59*(7*N$5-3*$F59)/(4*$F59))))-f_cd*(1-MIN(1,MAX(0,$T59*(7*N$5-3*$F59)/(4*$F59)))^2)</f>
        <v/>
      </c>
      <c r="O59">
        <f>MAX(-f_yd,MIN(f_yd,200000*0.002*(1-$T59*(7*O$5-3*$F59)/(4*$F59))))-f_cd*(1-MIN(1,MAX(0,$T59*(7*O$5-3*$F59)/(4*$F59)))^2)</f>
        <v/>
      </c>
      <c r="P59">
        <f>MAX(-f_yd,MIN(f_yd,200000*0.002*(1-$T59*(7*P$5-3*$F59)/(4*$F59))))-f_cd*(1-MIN(1,MAX(0,$T59*(7*P$5-3*$F59)/(4*$F59)))^2)</f>
        <v/>
      </c>
      <c r="Q59">
        <f>MAX(-f_yd,MIN(f_yd,200000*0.002*(1-$T59*(7*Q$5-3*$F59)/(4*$F59))))-f_cd*(1-MIN(1,MAX(0,$T59*(7*Q$5-3*$F59)/(4*$F59)))^2)</f>
        <v/>
      </c>
      <c r="R59">
        <f>MAX(-f_yd,MIN(f_yd,200000*0.002*(1-$T59*(7*R$5-3*$F59)/(4*$F59))))-f_cd*(1-MIN(1,MAX(0,$T59*(7*R$5-3*$F59)/(4*$F59)))^2)</f>
        <v/>
      </c>
      <c r="S59">
        <f>MAX(-f_yd,MIN(f_yd,200000*0.002*(1-$T59*(7*S$5-3*$F59)/(4*$F59))))-f_cd*(1-MIN(1,MAX(0,$T59*(7*S$5-3*$F59)/(4*$F59)))^2)</f>
        <v/>
      </c>
      <c r="T59">
        <f>MIN(1,2-(($C59+$D59)/2))</f>
        <v/>
      </c>
    </row>
    <row r="60">
      <c r="B60" s="59" t="n">
        <v>8</v>
      </c>
      <c r="C60" s="60">
        <f>IF($G59&lt;N_Ed,($C59+$D59)/2,$C59)</f>
        <v/>
      </c>
      <c r="D60" s="60">
        <f>IF($G59&lt;N_Ed,$D59,($C59+$D59)/2)</f>
        <v/>
      </c>
      <c r="E60" s="61">
        <f>IF($T60&gt;=1,$F60,3/7*h_col+4/7*h_col/MAX($T60,1E-12))</f>
        <v/>
      </c>
      <c r="F60" s="62">
        <f>h_col*MIN((($C60+$D60)/2),1)</f>
        <v/>
      </c>
      <c r="G60" s="62">
        <f>(f_cd*b_col*$F60*(3/7+4/7*(1-$T60^2/3))+SUMPRODUCT($J$6:$S$6,$J60:$S60))/1000</f>
        <v/>
      </c>
      <c r="H60" s="62">
        <f>(f_cd*b_col*(3/14*$F60*(h_col-3/7*$F60)+4/7*$F60*(h_col/2-3/7*$F60)*(1-$T60^2/3)-16/49*$F60^2*(1/2-$T60^2/4))+SUMPRODUCT($J$6:$S$6,$J60:$S60,$J$7:$S$7))/1E6</f>
        <v/>
      </c>
      <c r="J60">
        <f>MAX(-f_yd,MIN(f_yd,200000*0.002*(1-$T60*(7*J$5-3*$F60)/(4*$F60))))-f_cd*(1-MIN(1,MAX(0,$T60*(7*J$5-3*$F60)/(4*$F60)))^2)</f>
        <v/>
      </c>
      <c r="K60">
        <f>MAX(-f_yd,MIN(f_yd,200000*0.002*(1-$T60*(7*K$5-3*$F60)/(4*$F60))))-f_cd*(1-MIN(1,MAX(0,$T60*(7*K$5-3*$F60)/(4*$F60)))^2)</f>
        <v/>
      </c>
      <c r="L60">
        <f>MAX(-f_yd,MIN(f_yd,200000*0.002*(1-$T60*(7*L$5-3*$F60)/(4*$F60))))-f_cd*(1-MIN(1,MAX(0,$T60*(7*L$5-3*$F60)/(4*$F60)))^2)</f>
        <v/>
      </c>
      <c r="M60">
        <f>MAX(-f_yd,MIN(f_yd,200000*0.002*(1-$T60*(7*M$5-3*$F60)/(4*$F60))))-f_cd*(1-MIN(1,MAX(0,$T60*(7*M$5-3*$F60)/(4*$F60)))^2)</f>
        <v/>
      </c>
      <c r="N60">
        <f>MAX(-f_yd,MIN(f_yd,200000*0.002*(1-$T60*(7*N$5-3*$F60)/(4*$F60))))-f_cd*(1-MIN(1,MAX(0,$T60*(7*N$5-3*$F60)/(4*$F60)))^2)</f>
        <v/>
      </c>
      <c r="O60">
        <f>MAX(-f_yd,MIN(f_yd,200000*0.002*(1-$T60*(7*O$5-3*$F60)/(4*$F60))))-f_cd*(1-MIN(1,MAX(0,$T60*(7*O$5-3*$F60)/(4*$F60)))^2)</f>
        <v/>
      </c>
      <c r="P60">
        <f>MAX(-f_yd,MIN(f_yd,200000*0.002*(1-$T60*(7*P$5-3*$F60)/(4*$F60))))-f_cd*(1-MIN(1,MAX(0,$T60*(7*P$5-3*$F60)/(4*$F60)))^2)</f>
        <v/>
      </c>
      <c r="Q60">
        <f>MAX(-f_yd,MIN(f_yd,200000*0.002*(1-$T60*(7*Q$5-3*$F60)/(4*$F60))))-f_cd*(1-MIN(1,MAX(0,$T60*(7*Q$5-3*$F60)/(4*$F60)))^2)</f>
        <v/>
      </c>
      <c r="R60">
        <f>MAX(-f_yd,MIN(f_yd,200000*0.002*(1-$T60*(7*R$5-3*$F60)/(4*$F60))))-f_cd*(1-MIN(1,MAX(0,$T60*(7*R$5-3*$F60)/(4*$F60)))^2)</f>
        <v/>
      </c>
      <c r="S60">
        <f>MAX(-f_yd,MIN(f_yd,200000*0.002*(1-$T60*(7*S$5-3*$F60)/(4*$F60))))-f_cd*(1-MIN(1,MAX(0,$T60*(7*S$5-3*$F60)/(4*$F60)))^2)</f>
        <v/>
      </c>
      <c r="T60">
        <f>MIN(1,2-(($C60+$D60)/2))</f>
        <v/>
      </c>
    </row>
    <row r="61">
      <c r="B61" s="59" t="n">
        <v>9</v>
      </c>
      <c r="C61" s="60">
        <f>IF($G60&lt;N_Ed,($C60+$D60)/2,$C60)</f>
        <v/>
      </c>
      <c r="D61" s="60">
        <f>IF($G60&lt;N_Ed,$D60,($C60+$D60)/2)</f>
        <v/>
      </c>
      <c r="E61" s="61">
        <f>IF($T61&gt;=1,$F61,3/7*h_col+4/7*h_col/MAX($T61,1E-12))</f>
        <v/>
      </c>
      <c r="F61" s="62">
        <f>h_col*MIN((($C61+$D61)/2),1)</f>
        <v/>
      </c>
      <c r="G61" s="62">
        <f>(f_cd*b_col*$F61*(3/7+4/7*(1-$T61^2/3))+SUMPRODUCT($J$6:$S$6,$J61:$S61))/1000</f>
        <v/>
      </c>
      <c r="H61" s="62">
        <f>(f_cd*b_col*(3/14*$F61*(h_col-3/7*$F61)+4/7*$F61*(h_col/2-3/7*$F61)*(1-$T61^2/3)-16/49*$F61^2*(1/2-$T61^2/4))+SUMPRODUCT($J$6:$S$6,$J61:$S61,$J$7:$S$7))/1E6</f>
        <v/>
      </c>
      <c r="J61">
        <f>MAX(-f_yd,MIN(f_yd,200000*0.002*(1-$T61*(7*J$5-3*$F61)/(4*$F61))))-f_cd*(1-MIN(1,MAX(0,$T61*(7*J$5-3*$F61)/(4*$F61)))^2)</f>
        <v/>
      </c>
      <c r="K61">
        <f>MAX(-f_yd,MIN(f_yd,200000*0.002*(1-$T61*(7*K$5-3*$F61)/(4*$F61))))-f_cd*(1-MIN(1,MAX(0,$T61*(7*K$5-3*$F61)/(4*$F61)))^2)</f>
        <v/>
      </c>
      <c r="L61">
        <f>MAX(-f_yd,MIN(f_yd,200000*0.002*(1-$T61*(7*L$5-3*$F61)/(4*$F61))))-f_cd*(1-MIN(1,MAX(0,$T61*(7*L$5-3*$F61)/(4*$F61)))^2)</f>
        <v/>
      </c>
      <c r="M61">
        <f>MAX(-f_yd,MIN(f_yd,200000*0.002*(1-$T61*(7*M$5-3*$F61)/(4*$F61))))-f_cd*(1-MIN(1,MAX(0,$T61*(7*M$5-3*$F61)/(4*$F61)))^2)</f>
        <v/>
      </c>
      <c r="N61">
        <f>MAX(-f_yd,MIN(f_yd,200000*0.002*(1-$T61*(7*N$5-3*$F61)/(4*$F61))))-f_cd*(1-MIN(1,MAX(0,$T61*(7*N$5-3*$F61)/(4*$F61)))^2)</f>
        <v/>
      </c>
      <c r="O61">
        <f>MAX(-f_yd,MIN(f_yd,200000*0.002*(1-$T61*(7*O$5-3*$F61)/(4*$F61))))-f_cd*(1-MIN(1,MAX(0,$T61*(7*O$5-3*$F61)/(4*$F61)))^2)</f>
        <v/>
      </c>
      <c r="P61">
        <f>MAX(-f_yd,MIN(f_yd,200000*0.002*(1-$T61*(7*P$5-3*$F61)/(4*$F61))))-f_cd*(1-MIN(1,MAX(0,$T61*(7*P$5-3*$F61)/(4*$F61)))^2)</f>
        <v/>
      </c>
      <c r="Q61">
        <f>MAX(-f_yd,MIN(f_yd,200000*0.002*(1-$T61*(7*Q$5-3*$F61)/(4*$F61))))-f_cd*(1-MIN(1,MAX(0,$T61*(7*Q$5-3*$F61)/(4*$F61)))^2)</f>
        <v/>
      </c>
      <c r="R61">
        <f>MAX(-f_yd,MIN(f_yd,200000*0.002*(1-$T61*(7*R$5-3*$F61)/(4*$F61))))-f_cd*(1-MIN(1,MAX(0,$T61*(7*R$5-3*$F61)/(4*$F61)))^2)</f>
        <v/>
      </c>
      <c r="S61">
        <f>MAX(-f_yd,MIN(f_yd,200000*0.002*(1-$T61*(7*S$5-3*$F61)/(4*$F61))))-f_cd*(1-MIN(1,MAX(0,$T61*(7*S$5-3*$F61)/(4*$F61)))^2)</f>
        <v/>
      </c>
      <c r="T61">
        <f>MIN(1,2-(($C61+$D61)/2))</f>
        <v/>
      </c>
    </row>
    <row r="62">
      <c r="B62" s="59" t="n">
        <v>10</v>
      </c>
      <c r="C62" s="60">
        <f>IF($G61&lt;N_Ed,($C61+$D61)/2,$C61)</f>
        <v/>
      </c>
      <c r="D62" s="60">
        <f>IF($G61&lt;N_Ed,$D61,($C61+$D61)/2)</f>
        <v/>
      </c>
      <c r="E62" s="61">
        <f>IF($T62&gt;=1,$F62,3/7*h_col+4/7*h_col/MAX($T62,1E-12))</f>
        <v/>
      </c>
      <c r="F62" s="62">
        <f>h_col*MIN((($C62+$D62)/2),1)</f>
        <v/>
      </c>
      <c r="G62" s="62">
        <f>(f_cd*b_col*$F62*(3/7+4/7*(1-$T62^2/3))+SUMPRODUCT($J$6:$S$6,$J62:$S62))/1000</f>
        <v/>
      </c>
      <c r="H62" s="62">
        <f>(f_cd*b_col*(3/14*$F62*(h_col-3/7*$F62)+4/7*$F62*(h_col/2-3/7*$F62)*(1-$T62^2/3)-16/49*$F62^2*(1/2-$T62^2/4))+SUMPRODUCT($J$6:$S$6,$J62:$S62,$J$7:$S$7))/1E6</f>
        <v/>
      </c>
      <c r="J62">
        <f>MAX(-f_yd,MIN(f_yd,200000*0.002*(1-$T62*(7*J$5-3*$F62)/(4*$F62))))-f_cd*(1-MIN(1,MAX(0,$T62*(7*J$5-3*$F62)/(4*$F62)))^2)</f>
        <v/>
      </c>
      <c r="K62">
        <f>MAX(-f_yd,MIN(f_yd,200000*0.002*(1-$T62*(7*K$5-3*$F62)/(4*$F62))))-f_cd*(1-MIN(1,MAX(0,$T62*(7*K$5-3*$F62)/(4*$F62)))^2)</f>
        <v/>
      </c>
      <c r="L62">
        <f>MAX(-f_yd,MIN(f_yd,200000*0.002*(1-$T62*(7*L$5-3*$F62)/(4*$F62))))-f_cd*(1-MIN(1,MAX(0,$T62*(7*L$5-3*$F62)/(4*$F62)))^2)</f>
        <v/>
      </c>
      <c r="M62">
        <f>MAX(-f_yd,MIN(f_yd,200000*0.002*(1-$T62*(7*M$5-3*$F62)/(4*$F62))))-f_cd*(1-MIN(1,MAX(0,$T62*(7*M$5-3*$F62)/(4*$F62)))^2)</f>
        <v/>
      </c>
      <c r="N62">
        <f>MAX(-f_yd,MIN(f_yd,200000*0.002*(1-$T62*(7*N$5-3*$F62)/(4*$F62))))-f_cd*(1-MIN(1,MAX(0,$T62*(7*N$5-3*$F62)/(4*$F62)))^2)</f>
        <v/>
      </c>
      <c r="O62">
        <f>MAX(-f_yd,MIN(f_yd,200000*0.002*(1-$T62*(7*O$5-3*$F62)/(4*$F62))))-f_cd*(1-MIN(1,MAX(0,$T62*(7*O$5-3*$F62)/(4*$F62)))^2)</f>
        <v/>
      </c>
      <c r="P62">
        <f>MAX(-f_yd,MIN(f_yd,200000*0.002*(1-$T62*(7*P$5-3*$F62)/(4*$F62))))-f_cd*(1-MIN(1,MAX(0,$T62*(7*P$5-3*$F62)/(4*$F62)))^2)</f>
        <v/>
      </c>
      <c r="Q62">
        <f>MAX(-f_yd,MIN(f_yd,200000*0.002*(1-$T62*(7*Q$5-3*$F62)/(4*$F62))))-f_cd*(1-MIN(1,MAX(0,$T62*(7*Q$5-3*$F62)/(4*$F62)))^2)</f>
        <v/>
      </c>
      <c r="R62">
        <f>MAX(-f_yd,MIN(f_yd,200000*0.002*(1-$T62*(7*R$5-3*$F62)/(4*$F62))))-f_cd*(1-MIN(1,MAX(0,$T62*(7*R$5-3*$F62)/(4*$F62)))^2)</f>
        <v/>
      </c>
      <c r="S62">
        <f>MAX(-f_yd,MIN(f_yd,200000*0.002*(1-$T62*(7*S$5-3*$F62)/(4*$F62))))-f_cd*(1-MIN(1,MAX(0,$T62*(7*S$5-3*$F62)/(4*$F62)))^2)</f>
        <v/>
      </c>
      <c r="T62">
        <f>MIN(1,2-(($C62+$D62)/2))</f>
        <v/>
      </c>
    </row>
    <row r="63">
      <c r="B63" s="59" t="n">
        <v>11</v>
      </c>
      <c r="C63" s="60">
        <f>IF($G62&lt;N_Ed,($C62+$D62)/2,$C62)</f>
        <v/>
      </c>
      <c r="D63" s="60">
        <f>IF($G62&lt;N_Ed,$D62,($C62+$D62)/2)</f>
        <v/>
      </c>
      <c r="E63" s="61">
        <f>IF($T63&gt;=1,$F63,3/7*h_col+4/7*h_col/MAX($T63,1E-12))</f>
        <v/>
      </c>
      <c r="F63" s="62">
        <f>h_col*MIN((($C63+$D63)/2),1)</f>
        <v/>
      </c>
      <c r="G63" s="62">
        <f>(f_cd*b_col*$F63*(3/7+4/7*(1-$T63^2/3))+SUMPRODUCT($J$6:$S$6,$J63:$S63))/1000</f>
        <v/>
      </c>
      <c r="H63" s="62">
        <f>(f_cd*b_col*(3/14*$F63*(h_col-3/7*$F63)+4/7*$F63*(h_col/2-3/7*$F63)*(1-$T63^2/3)-16/49*$F63^2*(1/2-$T63^2/4))+SUMPRODUCT($J$6:$S$6,$J63:$S63,$J$7:$S$7))/1E6</f>
        <v/>
      </c>
      <c r="J63">
        <f>MAX(-f_yd,MIN(f_yd,200000*0.002*(1-$T63*(7*J$5-3*$F63)/(4*$F63))))-f_cd*(1-MIN(1,MAX(0,$T63*(7*J$5-3*$F63)/(4*$F63)))^2)</f>
        <v/>
      </c>
      <c r="K63">
        <f>MAX(-f_yd,MIN(f_yd,200000*0.002*(1-$T63*(7*K$5-3*$F63)/(4*$F63))))-f_cd*(1-MIN(1,MAX(0,$T63*(7*K$5-3*$F63)/(4*$F63)))^2)</f>
        <v/>
      </c>
      <c r="L63">
        <f>MAX(-f_yd,MIN(f_yd,200000*0.002*(1-$T63*(7*L$5-3*$F63)/(4*$F63))))-f_cd*(1-MIN(1,MAX(0,$T63*(7*L$5-3*$F63)/(4*$F63)))^2)</f>
        <v/>
      </c>
      <c r="M63">
        <f>MAX(-f_yd,MIN(f_yd,200000*0.002*(1-$T63*(7*M$5-3*$F63)/(4*$F63))))-f_cd*(1-MIN(1,MAX(0,$T63*(7*M$5-3*$F63)/(4*$F63)))^2)</f>
        <v/>
      </c>
      <c r="N63">
        <f>MAX(-f_yd,MIN(f_yd,200000*0.002*(1-$T63*(7*N$5-3*$F63)/(4*$F63))))-f_cd*(1-MIN(1,MAX(0,$T63*(7*N$5-3*$F63)/(4*$F63)))^2)</f>
        <v/>
      </c>
      <c r="O63">
        <f>MAX(-f_yd,MIN(f_yd,200000*0.002*(1-$T63*(7*O$5-3*$F63)/(4*$F63))))-f_cd*(1-MIN(1,MAX(0,$T63*(7*O$5-3*$F63)/(4*$F63)))^2)</f>
        <v/>
      </c>
      <c r="P63">
        <f>MAX(-f_yd,MIN(f_yd,200000*0.002*(1-$T63*(7*P$5-3*$F63)/(4*$F63))))-f_cd*(1-MIN(1,MAX(0,$T63*(7*P$5-3*$F63)/(4*$F63)))^2)</f>
        <v/>
      </c>
      <c r="Q63">
        <f>MAX(-f_yd,MIN(f_yd,200000*0.002*(1-$T63*(7*Q$5-3*$F63)/(4*$F63))))-f_cd*(1-MIN(1,MAX(0,$T63*(7*Q$5-3*$F63)/(4*$F63)))^2)</f>
        <v/>
      </c>
      <c r="R63">
        <f>MAX(-f_yd,MIN(f_yd,200000*0.002*(1-$T63*(7*R$5-3*$F63)/(4*$F63))))-f_cd*(1-MIN(1,MAX(0,$T63*(7*R$5-3*$F63)/(4*$F63)))^2)</f>
        <v/>
      </c>
      <c r="S63">
        <f>MAX(-f_yd,MIN(f_yd,200000*0.002*(1-$T63*(7*S$5-3*$F63)/(4*$F63))))-f_cd*(1-MIN(1,MAX(0,$T63*(7*S$5-3*$F63)/(4*$F63)))^2)</f>
        <v/>
      </c>
      <c r="T63">
        <f>MIN(1,2-(($C63+$D63)/2))</f>
        <v/>
      </c>
    </row>
    <row r="64">
      <c r="B64" s="59" t="n">
        <v>12</v>
      </c>
      <c r="C64" s="60">
        <f>IF($G63&lt;N_Ed,($C63+$D63)/2,$C63)</f>
        <v/>
      </c>
      <c r="D64" s="60">
        <f>IF($G63&lt;N_Ed,$D63,($C63+$D63)/2)</f>
        <v/>
      </c>
      <c r="E64" s="61">
        <f>IF($T64&gt;=1,$F64,3/7*h_col+4/7*h_col/MAX($T64,1E-12))</f>
        <v/>
      </c>
      <c r="F64" s="62">
        <f>h_col*MIN((($C64+$D64)/2),1)</f>
        <v/>
      </c>
      <c r="G64" s="62">
        <f>(f_cd*b_col*$F64*(3/7+4/7*(1-$T64^2/3))+SUMPRODUCT($J$6:$S$6,$J64:$S64))/1000</f>
        <v/>
      </c>
      <c r="H64" s="62">
        <f>(f_cd*b_col*(3/14*$F64*(h_col-3/7*$F64)+4/7*$F64*(h_col/2-3/7*$F64)*(1-$T64^2/3)-16/49*$F64^2*(1/2-$T64^2/4))+SUMPRODUCT($J$6:$S$6,$J64:$S64,$J$7:$S$7))/1E6</f>
        <v/>
      </c>
      <c r="J64">
        <f>MAX(-f_yd,MIN(f_yd,200000*0.002*(1-$T64*(7*J$5-3*$F64)/(4*$F64))))-f_cd*(1-MIN(1,MAX(0,$T64*(7*J$5-3*$F64)/(4*$F64)))^2)</f>
        <v/>
      </c>
      <c r="K64">
        <f>MAX(-f_yd,MIN(f_yd,200000*0.002*(1-$T64*(7*K$5-3*$F64)/(4*$F64))))-f_cd*(1-MIN(1,MAX(0,$T64*(7*K$5-3*$F64)/(4*$F64)))^2)</f>
        <v/>
      </c>
      <c r="L64">
        <f>MAX(-f_yd,MIN(f_yd,200000*0.002*(1-$T64*(7*L$5-3*$F64)/(4*$F64))))-f_cd*(1-MIN(1,MAX(0,$T64*(7*L$5-3*$F64)/(4*$F64)))^2)</f>
        <v/>
      </c>
      <c r="M64">
        <f>MAX(-f_yd,MIN(f_yd,200000*0.002*(1-$T64*(7*M$5-3*$F64)/(4*$F64))))-f_cd*(1-MIN(1,MAX(0,$T64*(7*M$5-3*$F64)/(4*$F64)))^2)</f>
        <v/>
      </c>
      <c r="N64">
        <f>MAX(-f_yd,MIN(f_yd,200000*0.002*(1-$T64*(7*N$5-3*$F64)/(4*$F64))))-f_cd*(1-MIN(1,MAX(0,$T64*(7*N$5-3*$F64)/(4*$F64)))^2)</f>
        <v/>
      </c>
      <c r="O64">
        <f>MAX(-f_yd,MIN(f_yd,200000*0.002*(1-$T64*(7*O$5-3*$F64)/(4*$F64))))-f_cd*(1-MIN(1,MAX(0,$T64*(7*O$5-3*$F64)/(4*$F64)))^2)</f>
        <v/>
      </c>
      <c r="P64">
        <f>MAX(-f_yd,MIN(f_yd,200000*0.002*(1-$T64*(7*P$5-3*$F64)/(4*$F64))))-f_cd*(1-MIN(1,MAX(0,$T64*(7*P$5-3*$F64)/(4*$F64)))^2)</f>
        <v/>
      </c>
      <c r="Q64">
        <f>MAX(-f_yd,MIN(f_yd,200000*0.002*(1-$T64*(7*Q$5-3*$F64)/(4*$F64))))-f_cd*(1-MIN(1,MAX(0,$T64*(7*Q$5-3*$F64)/(4*$F64)))^2)</f>
        <v/>
      </c>
      <c r="R64">
        <f>MAX(-f_yd,MIN(f_yd,200000*0.002*(1-$T64*(7*R$5-3*$F64)/(4*$F64))))-f_cd*(1-MIN(1,MAX(0,$T64*(7*R$5-3*$F64)/(4*$F64)))^2)</f>
        <v/>
      </c>
      <c r="S64">
        <f>MAX(-f_yd,MIN(f_yd,200000*0.002*(1-$T64*(7*S$5-3*$F64)/(4*$F64))))-f_cd*(1-MIN(1,MAX(0,$T64*(7*S$5-3*$F64)/(4*$F64)))^2)</f>
        <v/>
      </c>
      <c r="T64">
        <f>MIN(1,2-(($C64+$D64)/2))</f>
        <v/>
      </c>
    </row>
    <row r="65">
      <c r="B65" s="59" t="n">
        <v>13</v>
      </c>
      <c r="C65" s="60">
        <f>IF($G64&lt;N_Ed,($C64+$D64)/2,$C64)</f>
        <v/>
      </c>
      <c r="D65" s="60">
        <f>IF($G64&lt;N_Ed,$D64,($C64+$D64)/2)</f>
        <v/>
      </c>
      <c r="E65" s="61">
        <f>IF($T65&gt;=1,$F65,3/7*h_col+4/7*h_col/MAX($T65,1E-12))</f>
        <v/>
      </c>
      <c r="F65" s="62">
        <f>h_col*MIN((($C65+$D65)/2),1)</f>
        <v/>
      </c>
      <c r="G65" s="62">
        <f>(f_cd*b_col*$F65*(3/7+4/7*(1-$T65^2/3))+SUMPRODUCT($J$6:$S$6,$J65:$S65))/1000</f>
        <v/>
      </c>
      <c r="H65" s="62">
        <f>(f_cd*b_col*(3/14*$F65*(h_col-3/7*$F65)+4/7*$F65*(h_col/2-3/7*$F65)*(1-$T65^2/3)-16/49*$F65^2*(1/2-$T65^2/4))+SUMPRODUCT($J$6:$S$6,$J65:$S65,$J$7:$S$7))/1E6</f>
        <v/>
      </c>
      <c r="J65">
        <f>MAX(-f_yd,MIN(f_yd,200000*0.002*(1-$T65*(7*J$5-3*$F65)/(4*$F65))))-f_cd*(1-MIN(1,MAX(0,$T65*(7*J$5-3*$F65)/(4*$F65)))^2)</f>
        <v/>
      </c>
      <c r="K65">
        <f>MAX(-f_yd,MIN(f_yd,200000*0.002*(1-$T65*(7*K$5-3*$F65)/(4*$F65))))-f_cd*(1-MIN(1,MAX(0,$T65*(7*K$5-3*$F65)/(4*$F65)))^2)</f>
        <v/>
      </c>
      <c r="L65">
        <f>MAX(-f_yd,MIN(f_yd,200000*0.002*(1-$T65*(7*L$5-3*$F65)/(4*$F65))))-f_cd*(1-MIN(1,MAX(0,$T65*(7*L$5-3*$F65)/(4*$F65)))^2)</f>
        <v/>
      </c>
      <c r="M65">
        <f>MAX(-f_yd,MIN(f_yd,200000*0.002*(1-$T65*(7*M$5-3*$F65)/(4*$F65))))-f_cd*(1-MIN(1,MAX(0,$T65*(7*M$5-3*$F65)/(4*$F65)))^2)</f>
        <v/>
      </c>
      <c r="N65">
        <f>MAX(-f_yd,MIN(f_yd,200000*0.002*(1-$T65*(7*N$5-3*$F65)/(4*$F65))))-f_cd*(1-MIN(1,MAX(0,$T65*(7*N$5-3*$F65)/(4*$F65)))^2)</f>
        <v/>
      </c>
      <c r="O65">
        <f>MAX(-f_yd,MIN(f_yd,200000*0.002*(1-$T65*(7*O$5-3*$F65)/(4*$F65))))-f_cd*(1-MIN(1,MAX(0,$T65*(7*O$5-3*$F65)/(4*$F65)))^2)</f>
        <v/>
      </c>
      <c r="P65">
        <f>MAX(-f_yd,MIN(f_yd,200000*0.002*(1-$T65*(7*P$5-3*$F65)/(4*$F65))))-f_cd*(1-MIN(1,MAX(0,$T65*(7*P$5-3*$F65)/(4*$F65)))^2)</f>
        <v/>
      </c>
      <c r="Q65">
        <f>MAX(-f_yd,MIN(f_yd,200000*0.002*(1-$T65*(7*Q$5-3*$F65)/(4*$F65))))-f_cd*(1-MIN(1,MAX(0,$T65*(7*Q$5-3*$F65)/(4*$F65)))^2)</f>
        <v/>
      </c>
      <c r="R65">
        <f>MAX(-f_yd,MIN(f_yd,200000*0.002*(1-$T65*(7*R$5-3*$F65)/(4*$F65))))-f_cd*(1-MIN(1,MAX(0,$T65*(7*R$5-3*$F65)/(4*$F65)))^2)</f>
        <v/>
      </c>
      <c r="S65">
        <f>MAX(-f_yd,MIN(f_yd,200000*0.002*(1-$T65*(7*S$5-3*$F65)/(4*$F65))))-f_cd*(1-MIN(1,MAX(0,$T65*(7*S$5-3*$F65)/(4*$F65)))^2)</f>
        <v/>
      </c>
      <c r="T65">
        <f>MIN(1,2-(($C65+$D65)/2))</f>
        <v/>
      </c>
    </row>
    <row r="66">
      <c r="B66" s="59" t="n">
        <v>14</v>
      </c>
      <c r="C66" s="60">
        <f>IF($G65&lt;N_Ed,($C65+$D65)/2,$C65)</f>
        <v/>
      </c>
      <c r="D66" s="60">
        <f>IF($G65&lt;N_Ed,$D65,($C65+$D65)/2)</f>
        <v/>
      </c>
      <c r="E66" s="61">
        <f>IF($T66&gt;=1,$F66,3/7*h_col+4/7*h_col/MAX($T66,1E-12))</f>
        <v/>
      </c>
      <c r="F66" s="62">
        <f>h_col*MIN((($C66+$D66)/2),1)</f>
        <v/>
      </c>
      <c r="G66" s="62">
        <f>(f_cd*b_col*$F66*(3/7+4/7*(1-$T66^2/3))+SUMPRODUCT($J$6:$S$6,$J66:$S66))/1000</f>
        <v/>
      </c>
      <c r="H66" s="62">
        <f>(f_cd*b_col*(3/14*$F66*(h_col-3/7*$F66)+4/7*$F66*(h_col/2-3/7*$F66)*(1-$T66^2/3)-16/49*$F66^2*(1/2-$T66^2/4))+SUMPRODUCT($J$6:$S$6,$J66:$S66,$J$7:$S$7))/1E6</f>
        <v/>
      </c>
      <c r="J66">
        <f>MAX(-f_yd,MIN(f_yd,200000*0.002*(1-$T66*(7*J$5-3*$F66)/(4*$F66))))-f_cd*(1-MIN(1,MAX(0,$T66*(7*J$5-3*$F66)/(4*$F66)))^2)</f>
        <v/>
      </c>
      <c r="K66">
        <f>MAX(-f_yd,MIN(f_yd,200000*0.002*(1-$T66*(7*K$5-3*$F66)/(4*$F66))))-f_cd*(1-MIN(1,MAX(0,$T66*(7*K$5-3*$F66)/(4*$F66)))^2)</f>
        <v/>
      </c>
      <c r="L66">
        <f>MAX(-f_yd,MIN(f_yd,200000*0.002*(1-$T66*(7*L$5-3*$F66)/(4*$F66))))-f_cd*(1-MIN(1,MAX(0,$T66*(7*L$5-3*$F66)/(4*$F66)))^2)</f>
        <v/>
      </c>
      <c r="M66">
        <f>MAX(-f_yd,MIN(f_yd,200000*0.002*(1-$T66*(7*M$5-3*$F66)/(4*$F66))))-f_cd*(1-MIN(1,MAX(0,$T66*(7*M$5-3*$F66)/(4*$F66)))^2)</f>
        <v/>
      </c>
      <c r="N66">
        <f>MAX(-f_yd,MIN(f_yd,200000*0.002*(1-$T66*(7*N$5-3*$F66)/(4*$F66))))-f_cd*(1-MIN(1,MAX(0,$T66*(7*N$5-3*$F66)/(4*$F66)))^2)</f>
        <v/>
      </c>
      <c r="O66">
        <f>MAX(-f_yd,MIN(f_yd,200000*0.002*(1-$T66*(7*O$5-3*$F66)/(4*$F66))))-f_cd*(1-MIN(1,MAX(0,$T66*(7*O$5-3*$F66)/(4*$F66)))^2)</f>
        <v/>
      </c>
      <c r="P66">
        <f>MAX(-f_yd,MIN(f_yd,200000*0.002*(1-$T66*(7*P$5-3*$F66)/(4*$F66))))-f_cd*(1-MIN(1,MAX(0,$T66*(7*P$5-3*$F66)/(4*$F66)))^2)</f>
        <v/>
      </c>
      <c r="Q66">
        <f>MAX(-f_yd,MIN(f_yd,200000*0.002*(1-$T66*(7*Q$5-3*$F66)/(4*$F66))))-f_cd*(1-MIN(1,MAX(0,$T66*(7*Q$5-3*$F66)/(4*$F66)))^2)</f>
        <v/>
      </c>
      <c r="R66">
        <f>MAX(-f_yd,MIN(f_yd,200000*0.002*(1-$T66*(7*R$5-3*$F66)/(4*$F66))))-f_cd*(1-MIN(1,MAX(0,$T66*(7*R$5-3*$F66)/(4*$F66)))^2)</f>
        <v/>
      </c>
      <c r="S66">
        <f>MAX(-f_yd,MIN(f_yd,200000*0.002*(1-$T66*(7*S$5-3*$F66)/(4*$F66))))-f_cd*(1-MIN(1,MAX(0,$T66*(7*S$5-3*$F66)/(4*$F66)))^2)</f>
        <v/>
      </c>
      <c r="T66">
        <f>MIN(1,2-(($C66+$D66)/2))</f>
        <v/>
      </c>
    </row>
    <row r="67">
      <c r="B67" s="59" t="n">
        <v>15</v>
      </c>
      <c r="C67" s="60">
        <f>IF($G66&lt;N_Ed,($C66+$D66)/2,$C66)</f>
        <v/>
      </c>
      <c r="D67" s="60">
        <f>IF($G66&lt;N_Ed,$D66,($C66+$D66)/2)</f>
        <v/>
      </c>
      <c r="E67" s="61">
        <f>IF($T67&gt;=1,$F67,3/7*h_col+4/7*h_col/MAX($T67,1E-12))</f>
        <v/>
      </c>
      <c r="F67" s="62">
        <f>h_col*MIN((($C67+$D67)/2),1)</f>
        <v/>
      </c>
      <c r="G67" s="62">
        <f>(f_cd*b_col*$F67*(3/7+4/7*(1-$T67^2/3))+SUMPRODUCT($J$6:$S$6,$J67:$S67))/1000</f>
        <v/>
      </c>
      <c r="H67" s="62">
        <f>(f_cd*b_col*(3/14*$F67*(h_col-3/7*$F67)+4/7*$F67*(h_col/2-3/7*$F67)*(1-$T67^2/3)-16/49*$F67^2*(1/2-$T67^2/4))+SUMPRODUCT($J$6:$S$6,$J67:$S67,$J$7:$S$7))/1E6</f>
        <v/>
      </c>
      <c r="J67">
        <f>MAX(-f_yd,MIN(f_yd,200000*0.002*(1-$T67*(7*J$5-3*$F67)/(4*$F67))))-f_cd*(1-MIN(1,MAX(0,$T67*(7*J$5-3*$F67)/(4*$F67)))^2)</f>
        <v/>
      </c>
      <c r="K67">
        <f>MAX(-f_yd,MIN(f_yd,200000*0.002*(1-$T67*(7*K$5-3*$F67)/(4*$F67))))-f_cd*(1-MIN(1,MAX(0,$T67*(7*K$5-3*$F67)/(4*$F67)))^2)</f>
        <v/>
      </c>
      <c r="L67">
        <f>MAX(-f_yd,MIN(f_yd,200000*0.002*(1-$T67*(7*L$5-3*$F67)/(4*$F67))))-f_cd*(1-MIN(1,MAX(0,$T67*(7*L$5-3*$F67)/(4*$F67)))^2)</f>
        <v/>
      </c>
      <c r="M67">
        <f>MAX(-f_yd,MIN(f_yd,200000*0.002*(1-$T67*(7*M$5-3*$F67)/(4*$F67))))-f_cd*(1-MIN(1,MAX(0,$T67*(7*M$5-3*$F67)/(4*$F67)))^2)</f>
        <v/>
      </c>
      <c r="N67">
        <f>MAX(-f_yd,MIN(f_yd,200000*0.002*(1-$T67*(7*N$5-3*$F67)/(4*$F67))))-f_cd*(1-MIN(1,MAX(0,$T67*(7*N$5-3*$F67)/(4*$F67)))^2)</f>
        <v/>
      </c>
      <c r="O67">
        <f>MAX(-f_yd,MIN(f_yd,200000*0.002*(1-$T67*(7*O$5-3*$F67)/(4*$F67))))-f_cd*(1-MIN(1,MAX(0,$T67*(7*O$5-3*$F67)/(4*$F67)))^2)</f>
        <v/>
      </c>
      <c r="P67">
        <f>MAX(-f_yd,MIN(f_yd,200000*0.002*(1-$T67*(7*P$5-3*$F67)/(4*$F67))))-f_cd*(1-MIN(1,MAX(0,$T67*(7*P$5-3*$F67)/(4*$F67)))^2)</f>
        <v/>
      </c>
      <c r="Q67">
        <f>MAX(-f_yd,MIN(f_yd,200000*0.002*(1-$T67*(7*Q$5-3*$F67)/(4*$F67))))-f_cd*(1-MIN(1,MAX(0,$T67*(7*Q$5-3*$F67)/(4*$F67)))^2)</f>
        <v/>
      </c>
      <c r="R67">
        <f>MAX(-f_yd,MIN(f_yd,200000*0.002*(1-$T67*(7*R$5-3*$F67)/(4*$F67))))-f_cd*(1-MIN(1,MAX(0,$T67*(7*R$5-3*$F67)/(4*$F67)))^2)</f>
        <v/>
      </c>
      <c r="S67">
        <f>MAX(-f_yd,MIN(f_yd,200000*0.002*(1-$T67*(7*S$5-3*$F67)/(4*$F67))))-f_cd*(1-MIN(1,MAX(0,$T67*(7*S$5-3*$F67)/(4*$F67)))^2)</f>
        <v/>
      </c>
      <c r="T67">
        <f>MIN(1,2-(($C67+$D67)/2))</f>
        <v/>
      </c>
    </row>
    <row r="68">
      <c r="B68" s="59" t="n">
        <v>16</v>
      </c>
      <c r="C68" s="60">
        <f>IF($G67&lt;N_Ed,($C67+$D67)/2,$C67)</f>
        <v/>
      </c>
      <c r="D68" s="60">
        <f>IF($G67&lt;N_Ed,$D67,($C67+$D67)/2)</f>
        <v/>
      </c>
      <c r="E68" s="61">
        <f>IF($T68&gt;=1,$F68,3/7*h_col+4/7*h_col/MAX($T68,1E-12))</f>
        <v/>
      </c>
      <c r="F68" s="62">
        <f>h_col*MIN((($C68+$D68)/2),1)</f>
        <v/>
      </c>
      <c r="G68" s="62">
        <f>(f_cd*b_col*$F68*(3/7+4/7*(1-$T68^2/3))+SUMPRODUCT($J$6:$S$6,$J68:$S68))/1000</f>
        <v/>
      </c>
      <c r="H68" s="62">
        <f>(f_cd*b_col*(3/14*$F68*(h_col-3/7*$F68)+4/7*$F68*(h_col/2-3/7*$F68)*(1-$T68^2/3)-16/49*$F68^2*(1/2-$T68^2/4))+SUMPRODUCT($J$6:$S$6,$J68:$S68,$J$7:$S$7))/1E6</f>
        <v/>
      </c>
      <c r="J68">
        <f>MAX(-f_yd,MIN(f_yd,200000*0.002*(1-$T68*(7*J$5-3*$F68)/(4*$F68))))-f_cd*(1-MIN(1,MAX(0,$T68*(7*J$5-3*$F68)/(4*$F68)))^2)</f>
        <v/>
      </c>
      <c r="K68">
        <f>MAX(-f_yd,MIN(f_yd,200000*0.002*(1-$T68*(7*K$5-3*$F68)/(4*$F68))))-f_cd*(1-MIN(1,MAX(0,$T68*(7*K$5-3*$F68)/(4*$F68)))^2)</f>
        <v/>
      </c>
      <c r="L68">
        <f>MAX(-f_yd,MIN(f_yd,200000*0.002*(1-$T68*(7*L$5-3*$F68)/(4*$F68))))-f_cd*(1-MIN(1,MAX(0,$T68*(7*L$5-3*$F68)/(4*$F68)))^2)</f>
        <v/>
      </c>
      <c r="M68">
        <f>MAX(-f_yd,MIN(f_yd,200000*0.002*(1-$T68*(7*M$5-3*$F68)/(4*$F68))))-f_cd*(1-MIN(1,MAX(0,$T68*(7*M$5-3*$F68)/(4*$F68)))^2)</f>
        <v/>
      </c>
      <c r="N68">
        <f>MAX(-f_yd,MIN(f_yd,200000*0.002*(1-$T68*(7*N$5-3*$F68)/(4*$F68))))-f_cd*(1-MIN(1,MAX(0,$T68*(7*N$5-3*$F68)/(4*$F68)))^2)</f>
        <v/>
      </c>
      <c r="O68">
        <f>MAX(-f_yd,MIN(f_yd,200000*0.002*(1-$T68*(7*O$5-3*$F68)/(4*$F68))))-f_cd*(1-MIN(1,MAX(0,$T68*(7*O$5-3*$F68)/(4*$F68)))^2)</f>
        <v/>
      </c>
      <c r="P68">
        <f>MAX(-f_yd,MIN(f_yd,200000*0.002*(1-$T68*(7*P$5-3*$F68)/(4*$F68))))-f_cd*(1-MIN(1,MAX(0,$T68*(7*P$5-3*$F68)/(4*$F68)))^2)</f>
        <v/>
      </c>
      <c r="Q68">
        <f>MAX(-f_yd,MIN(f_yd,200000*0.002*(1-$T68*(7*Q$5-3*$F68)/(4*$F68))))-f_cd*(1-MIN(1,MAX(0,$T68*(7*Q$5-3*$F68)/(4*$F68)))^2)</f>
        <v/>
      </c>
      <c r="R68">
        <f>MAX(-f_yd,MIN(f_yd,200000*0.002*(1-$T68*(7*R$5-3*$F68)/(4*$F68))))-f_cd*(1-MIN(1,MAX(0,$T68*(7*R$5-3*$F68)/(4*$F68)))^2)</f>
        <v/>
      </c>
      <c r="S68">
        <f>MAX(-f_yd,MIN(f_yd,200000*0.002*(1-$T68*(7*S$5-3*$F68)/(4*$F68))))-f_cd*(1-MIN(1,MAX(0,$T68*(7*S$5-3*$F68)/(4*$F68)))^2)</f>
        <v/>
      </c>
      <c r="T68">
        <f>MIN(1,2-(($C68+$D68)/2))</f>
        <v/>
      </c>
    </row>
    <row r="69">
      <c r="B69" s="59" t="n">
        <v>17</v>
      </c>
      <c r="C69" s="60">
        <f>IF($G68&lt;N_Ed,($C68+$D68)/2,$C68)</f>
        <v/>
      </c>
      <c r="D69" s="60">
        <f>IF($G68&lt;N_Ed,$D68,($C68+$D68)/2)</f>
        <v/>
      </c>
      <c r="E69" s="61">
        <f>IF($T69&gt;=1,$F69,3/7*h_col+4/7*h_col/MAX($T69,1E-12))</f>
        <v/>
      </c>
      <c r="F69" s="62">
        <f>h_col*MIN((($C69+$D69)/2),1)</f>
        <v/>
      </c>
      <c r="G69" s="62">
        <f>(f_cd*b_col*$F69*(3/7+4/7*(1-$T69^2/3))+SUMPRODUCT($J$6:$S$6,$J69:$S69))/1000</f>
        <v/>
      </c>
      <c r="H69" s="62">
        <f>(f_cd*b_col*(3/14*$F69*(h_col-3/7*$F69)+4/7*$F69*(h_col/2-3/7*$F69)*(1-$T69^2/3)-16/49*$F69^2*(1/2-$T69^2/4))+SUMPRODUCT($J$6:$S$6,$J69:$S69,$J$7:$S$7))/1E6</f>
        <v/>
      </c>
      <c r="J69">
        <f>MAX(-f_yd,MIN(f_yd,200000*0.002*(1-$T69*(7*J$5-3*$F69)/(4*$F69))))-f_cd*(1-MIN(1,MAX(0,$T69*(7*J$5-3*$F69)/(4*$F69)))^2)</f>
        <v/>
      </c>
      <c r="K69">
        <f>MAX(-f_yd,MIN(f_yd,200000*0.002*(1-$T69*(7*K$5-3*$F69)/(4*$F69))))-f_cd*(1-MIN(1,MAX(0,$T69*(7*K$5-3*$F69)/(4*$F69)))^2)</f>
        <v/>
      </c>
      <c r="L69">
        <f>MAX(-f_yd,MIN(f_yd,200000*0.002*(1-$T69*(7*L$5-3*$F69)/(4*$F69))))-f_cd*(1-MIN(1,MAX(0,$T69*(7*L$5-3*$F69)/(4*$F69)))^2)</f>
        <v/>
      </c>
      <c r="M69">
        <f>MAX(-f_yd,MIN(f_yd,200000*0.002*(1-$T69*(7*M$5-3*$F69)/(4*$F69))))-f_cd*(1-MIN(1,MAX(0,$T69*(7*M$5-3*$F69)/(4*$F69)))^2)</f>
        <v/>
      </c>
      <c r="N69">
        <f>MAX(-f_yd,MIN(f_yd,200000*0.002*(1-$T69*(7*N$5-3*$F69)/(4*$F69))))-f_cd*(1-MIN(1,MAX(0,$T69*(7*N$5-3*$F69)/(4*$F69)))^2)</f>
        <v/>
      </c>
      <c r="O69">
        <f>MAX(-f_yd,MIN(f_yd,200000*0.002*(1-$T69*(7*O$5-3*$F69)/(4*$F69))))-f_cd*(1-MIN(1,MAX(0,$T69*(7*O$5-3*$F69)/(4*$F69)))^2)</f>
        <v/>
      </c>
      <c r="P69">
        <f>MAX(-f_yd,MIN(f_yd,200000*0.002*(1-$T69*(7*P$5-3*$F69)/(4*$F69))))-f_cd*(1-MIN(1,MAX(0,$T69*(7*P$5-3*$F69)/(4*$F69)))^2)</f>
        <v/>
      </c>
      <c r="Q69">
        <f>MAX(-f_yd,MIN(f_yd,200000*0.002*(1-$T69*(7*Q$5-3*$F69)/(4*$F69))))-f_cd*(1-MIN(1,MAX(0,$T69*(7*Q$5-3*$F69)/(4*$F69)))^2)</f>
        <v/>
      </c>
      <c r="R69">
        <f>MAX(-f_yd,MIN(f_yd,200000*0.002*(1-$T69*(7*R$5-3*$F69)/(4*$F69))))-f_cd*(1-MIN(1,MAX(0,$T69*(7*R$5-3*$F69)/(4*$F69)))^2)</f>
        <v/>
      </c>
      <c r="S69">
        <f>MAX(-f_yd,MIN(f_yd,200000*0.002*(1-$T69*(7*S$5-3*$F69)/(4*$F69))))-f_cd*(1-MIN(1,MAX(0,$T69*(7*S$5-3*$F69)/(4*$F69)))^2)</f>
        <v/>
      </c>
      <c r="T69">
        <f>MIN(1,2-(($C69+$D69)/2))</f>
        <v/>
      </c>
    </row>
    <row r="70">
      <c r="B70" s="59" t="n">
        <v>18</v>
      </c>
      <c r="C70" s="60">
        <f>IF($G69&lt;N_Ed,($C69+$D69)/2,$C69)</f>
        <v/>
      </c>
      <c r="D70" s="60">
        <f>IF($G69&lt;N_Ed,$D69,($C69+$D69)/2)</f>
        <v/>
      </c>
      <c r="E70" s="61">
        <f>IF($T70&gt;=1,$F70,3/7*h_col+4/7*h_col/MAX($T70,1E-12))</f>
        <v/>
      </c>
      <c r="F70" s="62">
        <f>h_col*MIN((($C70+$D70)/2),1)</f>
        <v/>
      </c>
      <c r="G70" s="62">
        <f>(f_cd*b_col*$F70*(3/7+4/7*(1-$T70^2/3))+SUMPRODUCT($J$6:$S$6,$J70:$S70))/1000</f>
        <v/>
      </c>
      <c r="H70" s="62">
        <f>(f_cd*b_col*(3/14*$F70*(h_col-3/7*$F70)+4/7*$F70*(h_col/2-3/7*$F70)*(1-$T70^2/3)-16/49*$F70^2*(1/2-$T70^2/4))+SUMPRODUCT($J$6:$S$6,$J70:$S70,$J$7:$S$7))/1E6</f>
        <v/>
      </c>
      <c r="J70">
        <f>MAX(-f_yd,MIN(f_yd,200000*0.002*(1-$T70*(7*J$5-3*$F70)/(4*$F70))))-f_cd*(1-MIN(1,MAX(0,$T70*(7*J$5-3*$F70)/(4*$F70)))^2)</f>
        <v/>
      </c>
      <c r="K70">
        <f>MAX(-f_yd,MIN(f_yd,200000*0.002*(1-$T70*(7*K$5-3*$F70)/(4*$F70))))-f_cd*(1-MIN(1,MAX(0,$T70*(7*K$5-3*$F70)/(4*$F70)))^2)</f>
        <v/>
      </c>
      <c r="L70">
        <f>MAX(-f_yd,MIN(f_yd,200000*0.002*(1-$T70*(7*L$5-3*$F70)/(4*$F70))))-f_cd*(1-MIN(1,MAX(0,$T70*(7*L$5-3*$F70)/(4*$F70)))^2)</f>
        <v/>
      </c>
      <c r="M70">
        <f>MAX(-f_yd,MIN(f_yd,200000*0.002*(1-$T70*(7*M$5-3*$F70)/(4*$F70))))-f_cd*(1-MIN(1,MAX(0,$T70*(7*M$5-3*$F70)/(4*$F70)))^2)</f>
        <v/>
      </c>
      <c r="N70">
        <f>MAX(-f_yd,MIN(f_yd,200000*0.002*(1-$T70*(7*N$5-3*$F70)/(4*$F70))))-f_cd*(1-MIN(1,MAX(0,$T70*(7*N$5-3*$F70)/(4*$F70)))^2)</f>
        <v/>
      </c>
      <c r="O70">
        <f>MAX(-f_yd,MIN(f_yd,200000*0.002*(1-$T70*(7*O$5-3*$F70)/(4*$F70))))-f_cd*(1-MIN(1,MAX(0,$T70*(7*O$5-3*$F70)/(4*$F70)))^2)</f>
        <v/>
      </c>
      <c r="P70">
        <f>MAX(-f_yd,MIN(f_yd,200000*0.002*(1-$T70*(7*P$5-3*$F70)/(4*$F70))))-f_cd*(1-MIN(1,MAX(0,$T70*(7*P$5-3*$F70)/(4*$F70)))^2)</f>
        <v/>
      </c>
      <c r="Q70">
        <f>MAX(-f_yd,MIN(f_yd,200000*0.002*(1-$T70*(7*Q$5-3*$F70)/(4*$F70))))-f_cd*(1-MIN(1,MAX(0,$T70*(7*Q$5-3*$F70)/(4*$F70)))^2)</f>
        <v/>
      </c>
      <c r="R70">
        <f>MAX(-f_yd,MIN(f_yd,200000*0.002*(1-$T70*(7*R$5-3*$F70)/(4*$F70))))-f_cd*(1-MIN(1,MAX(0,$T70*(7*R$5-3*$F70)/(4*$F70)))^2)</f>
        <v/>
      </c>
      <c r="S70">
        <f>MAX(-f_yd,MIN(f_yd,200000*0.002*(1-$T70*(7*S$5-3*$F70)/(4*$F70))))-f_cd*(1-MIN(1,MAX(0,$T70*(7*S$5-3*$F70)/(4*$F70)))^2)</f>
        <v/>
      </c>
      <c r="T70">
        <f>MIN(1,2-(($C70+$D70)/2))</f>
        <v/>
      </c>
    </row>
    <row r="71">
      <c r="B71" s="59" t="n">
        <v>19</v>
      </c>
      <c r="C71" s="60">
        <f>IF($G70&lt;N_Ed,($C70+$D70)/2,$C70)</f>
        <v/>
      </c>
      <c r="D71" s="60">
        <f>IF($G70&lt;N_Ed,$D70,($C70+$D70)/2)</f>
        <v/>
      </c>
      <c r="E71" s="61">
        <f>IF($T71&gt;=1,$F71,3/7*h_col+4/7*h_col/MAX($T71,1E-12))</f>
        <v/>
      </c>
      <c r="F71" s="62">
        <f>h_col*MIN((($C71+$D71)/2),1)</f>
        <v/>
      </c>
      <c r="G71" s="62">
        <f>(f_cd*b_col*$F71*(3/7+4/7*(1-$T71^2/3))+SUMPRODUCT($J$6:$S$6,$J71:$S71))/1000</f>
        <v/>
      </c>
      <c r="H71" s="62">
        <f>(f_cd*b_col*(3/14*$F71*(h_col-3/7*$F71)+4/7*$F71*(h_col/2-3/7*$F71)*(1-$T71^2/3)-16/49*$F71^2*(1/2-$T71^2/4))+SUMPRODUCT($J$6:$S$6,$J71:$S71,$J$7:$S$7))/1E6</f>
        <v/>
      </c>
      <c r="J71">
        <f>MAX(-f_yd,MIN(f_yd,200000*0.002*(1-$T71*(7*J$5-3*$F71)/(4*$F71))))-f_cd*(1-MIN(1,MAX(0,$T71*(7*J$5-3*$F71)/(4*$F71)))^2)</f>
        <v/>
      </c>
      <c r="K71">
        <f>MAX(-f_yd,MIN(f_yd,200000*0.002*(1-$T71*(7*K$5-3*$F71)/(4*$F71))))-f_cd*(1-MIN(1,MAX(0,$T71*(7*K$5-3*$F71)/(4*$F71)))^2)</f>
        <v/>
      </c>
      <c r="L71">
        <f>MAX(-f_yd,MIN(f_yd,200000*0.002*(1-$T71*(7*L$5-3*$F71)/(4*$F71))))-f_cd*(1-MIN(1,MAX(0,$T71*(7*L$5-3*$F71)/(4*$F71)))^2)</f>
        <v/>
      </c>
      <c r="M71">
        <f>MAX(-f_yd,MIN(f_yd,200000*0.002*(1-$T71*(7*M$5-3*$F71)/(4*$F71))))-f_cd*(1-MIN(1,MAX(0,$T71*(7*M$5-3*$F71)/(4*$F71)))^2)</f>
        <v/>
      </c>
      <c r="N71">
        <f>MAX(-f_yd,MIN(f_yd,200000*0.002*(1-$T71*(7*N$5-3*$F71)/(4*$F71))))-f_cd*(1-MIN(1,MAX(0,$T71*(7*N$5-3*$F71)/(4*$F71)))^2)</f>
        <v/>
      </c>
      <c r="O71">
        <f>MAX(-f_yd,MIN(f_yd,200000*0.002*(1-$T71*(7*O$5-3*$F71)/(4*$F71))))-f_cd*(1-MIN(1,MAX(0,$T71*(7*O$5-3*$F71)/(4*$F71)))^2)</f>
        <v/>
      </c>
      <c r="P71">
        <f>MAX(-f_yd,MIN(f_yd,200000*0.002*(1-$T71*(7*P$5-3*$F71)/(4*$F71))))-f_cd*(1-MIN(1,MAX(0,$T71*(7*P$5-3*$F71)/(4*$F71)))^2)</f>
        <v/>
      </c>
      <c r="Q71">
        <f>MAX(-f_yd,MIN(f_yd,200000*0.002*(1-$T71*(7*Q$5-3*$F71)/(4*$F71))))-f_cd*(1-MIN(1,MAX(0,$T71*(7*Q$5-3*$F71)/(4*$F71)))^2)</f>
        <v/>
      </c>
      <c r="R71">
        <f>MAX(-f_yd,MIN(f_yd,200000*0.002*(1-$T71*(7*R$5-3*$F71)/(4*$F71))))-f_cd*(1-MIN(1,MAX(0,$T71*(7*R$5-3*$F71)/(4*$F71)))^2)</f>
        <v/>
      </c>
      <c r="S71">
        <f>MAX(-f_yd,MIN(f_yd,200000*0.002*(1-$T71*(7*S$5-3*$F71)/(4*$F71))))-f_cd*(1-MIN(1,MAX(0,$T71*(7*S$5-3*$F71)/(4*$F71)))^2)</f>
        <v/>
      </c>
      <c r="T71">
        <f>MIN(1,2-(($C71+$D71)/2))</f>
        <v/>
      </c>
    </row>
    <row r="72">
      <c r="B72" s="59" t="n">
        <v>20</v>
      </c>
      <c r="C72" s="60">
        <f>IF($G71&lt;N_Ed,($C71+$D71)/2,$C71)</f>
        <v/>
      </c>
      <c r="D72" s="60">
        <f>IF($G71&lt;N_Ed,$D71,($C71+$D71)/2)</f>
        <v/>
      </c>
      <c r="E72" s="61">
        <f>IF($T72&gt;=1,$F72,3/7*h_col+4/7*h_col/MAX($T72,1E-12))</f>
        <v/>
      </c>
      <c r="F72" s="62">
        <f>h_col*MIN((($C72+$D72)/2),1)</f>
        <v/>
      </c>
      <c r="G72" s="62">
        <f>(f_cd*b_col*$F72*(3/7+4/7*(1-$T72^2/3))+SUMPRODUCT($J$6:$S$6,$J72:$S72))/1000</f>
        <v/>
      </c>
      <c r="H72" s="62">
        <f>(f_cd*b_col*(3/14*$F72*(h_col-3/7*$F72)+4/7*$F72*(h_col/2-3/7*$F72)*(1-$T72^2/3)-16/49*$F72^2*(1/2-$T72^2/4))+SUMPRODUCT($J$6:$S$6,$J72:$S72,$J$7:$S$7))/1E6</f>
        <v/>
      </c>
      <c r="J72">
        <f>MAX(-f_yd,MIN(f_yd,200000*0.002*(1-$T72*(7*J$5-3*$F72)/(4*$F72))))-f_cd*(1-MIN(1,MAX(0,$T72*(7*J$5-3*$F72)/(4*$F72)))^2)</f>
        <v/>
      </c>
      <c r="K72">
        <f>MAX(-f_yd,MIN(f_yd,200000*0.002*(1-$T72*(7*K$5-3*$F72)/(4*$F72))))-f_cd*(1-MIN(1,MAX(0,$T72*(7*K$5-3*$F72)/(4*$F72)))^2)</f>
        <v/>
      </c>
      <c r="L72">
        <f>MAX(-f_yd,MIN(f_yd,200000*0.002*(1-$T72*(7*L$5-3*$F72)/(4*$F72))))-f_cd*(1-MIN(1,MAX(0,$T72*(7*L$5-3*$F72)/(4*$F72)))^2)</f>
        <v/>
      </c>
      <c r="M72">
        <f>MAX(-f_yd,MIN(f_yd,200000*0.002*(1-$T72*(7*M$5-3*$F72)/(4*$F72))))-f_cd*(1-MIN(1,MAX(0,$T72*(7*M$5-3*$F72)/(4*$F72)))^2)</f>
        <v/>
      </c>
      <c r="N72">
        <f>MAX(-f_yd,MIN(f_yd,200000*0.002*(1-$T72*(7*N$5-3*$F72)/(4*$F72))))-f_cd*(1-MIN(1,MAX(0,$T72*(7*N$5-3*$F72)/(4*$F72)))^2)</f>
        <v/>
      </c>
      <c r="O72">
        <f>MAX(-f_yd,MIN(f_yd,200000*0.002*(1-$T72*(7*O$5-3*$F72)/(4*$F72))))-f_cd*(1-MIN(1,MAX(0,$T72*(7*O$5-3*$F72)/(4*$F72)))^2)</f>
        <v/>
      </c>
      <c r="P72">
        <f>MAX(-f_yd,MIN(f_yd,200000*0.002*(1-$T72*(7*P$5-3*$F72)/(4*$F72))))-f_cd*(1-MIN(1,MAX(0,$T72*(7*P$5-3*$F72)/(4*$F72)))^2)</f>
        <v/>
      </c>
      <c r="Q72">
        <f>MAX(-f_yd,MIN(f_yd,200000*0.002*(1-$T72*(7*Q$5-3*$F72)/(4*$F72))))-f_cd*(1-MIN(1,MAX(0,$T72*(7*Q$5-3*$F72)/(4*$F72)))^2)</f>
        <v/>
      </c>
      <c r="R72">
        <f>MAX(-f_yd,MIN(f_yd,200000*0.002*(1-$T72*(7*R$5-3*$F72)/(4*$F72))))-f_cd*(1-MIN(1,MAX(0,$T72*(7*R$5-3*$F72)/(4*$F72)))^2)</f>
        <v/>
      </c>
      <c r="S72">
        <f>MAX(-f_yd,MIN(f_yd,200000*0.002*(1-$T72*(7*S$5-3*$F72)/(4*$F72))))-f_cd*(1-MIN(1,MAX(0,$T72*(7*S$5-3*$F72)/(4*$F72)))^2)</f>
        <v/>
      </c>
      <c r="T72">
        <f>MIN(1,2-(($C72+$D72)/2))</f>
        <v/>
      </c>
    </row>
    <row r="73">
      <c r="B73" s="59" t="n">
        <v>21</v>
      </c>
      <c r="C73" s="60">
        <f>IF($G72&lt;N_Ed,($C72+$D72)/2,$C72)</f>
        <v/>
      </c>
      <c r="D73" s="60">
        <f>IF($G72&lt;N_Ed,$D72,($C72+$D72)/2)</f>
        <v/>
      </c>
      <c r="E73" s="61">
        <f>IF($T73&gt;=1,$F73,3/7*h_col+4/7*h_col/MAX($T73,1E-12))</f>
        <v/>
      </c>
      <c r="F73" s="62">
        <f>h_col*MIN((($C73+$D73)/2),1)</f>
        <v/>
      </c>
      <c r="G73" s="62">
        <f>(f_cd*b_col*$F73*(3/7+4/7*(1-$T73^2/3))+SUMPRODUCT($J$6:$S$6,$J73:$S73))/1000</f>
        <v/>
      </c>
      <c r="H73" s="62">
        <f>(f_cd*b_col*(3/14*$F73*(h_col-3/7*$F73)+4/7*$F73*(h_col/2-3/7*$F73)*(1-$T73^2/3)-16/49*$F73^2*(1/2-$T73^2/4))+SUMPRODUCT($J$6:$S$6,$J73:$S73,$J$7:$S$7))/1E6</f>
        <v/>
      </c>
      <c r="J73">
        <f>MAX(-f_yd,MIN(f_yd,200000*0.002*(1-$T73*(7*J$5-3*$F73)/(4*$F73))))-f_cd*(1-MIN(1,MAX(0,$T73*(7*J$5-3*$F73)/(4*$F73)))^2)</f>
        <v/>
      </c>
      <c r="K73">
        <f>MAX(-f_yd,MIN(f_yd,200000*0.002*(1-$T73*(7*K$5-3*$F73)/(4*$F73))))-f_cd*(1-MIN(1,MAX(0,$T73*(7*K$5-3*$F73)/(4*$F73)))^2)</f>
        <v/>
      </c>
      <c r="L73">
        <f>MAX(-f_yd,MIN(f_yd,200000*0.002*(1-$T73*(7*L$5-3*$F73)/(4*$F73))))-f_cd*(1-MIN(1,MAX(0,$T73*(7*L$5-3*$F73)/(4*$F73)))^2)</f>
        <v/>
      </c>
      <c r="M73">
        <f>MAX(-f_yd,MIN(f_yd,200000*0.002*(1-$T73*(7*M$5-3*$F73)/(4*$F73))))-f_cd*(1-MIN(1,MAX(0,$T73*(7*M$5-3*$F73)/(4*$F73)))^2)</f>
        <v/>
      </c>
      <c r="N73">
        <f>MAX(-f_yd,MIN(f_yd,200000*0.002*(1-$T73*(7*N$5-3*$F73)/(4*$F73))))-f_cd*(1-MIN(1,MAX(0,$T73*(7*N$5-3*$F73)/(4*$F73)))^2)</f>
        <v/>
      </c>
      <c r="O73">
        <f>MAX(-f_yd,MIN(f_yd,200000*0.002*(1-$T73*(7*O$5-3*$F73)/(4*$F73))))-f_cd*(1-MIN(1,MAX(0,$T73*(7*O$5-3*$F73)/(4*$F73)))^2)</f>
        <v/>
      </c>
      <c r="P73">
        <f>MAX(-f_yd,MIN(f_yd,200000*0.002*(1-$T73*(7*P$5-3*$F73)/(4*$F73))))-f_cd*(1-MIN(1,MAX(0,$T73*(7*P$5-3*$F73)/(4*$F73)))^2)</f>
        <v/>
      </c>
      <c r="Q73">
        <f>MAX(-f_yd,MIN(f_yd,200000*0.002*(1-$T73*(7*Q$5-3*$F73)/(4*$F73))))-f_cd*(1-MIN(1,MAX(0,$T73*(7*Q$5-3*$F73)/(4*$F73)))^2)</f>
        <v/>
      </c>
      <c r="R73">
        <f>MAX(-f_yd,MIN(f_yd,200000*0.002*(1-$T73*(7*R$5-3*$F73)/(4*$F73))))-f_cd*(1-MIN(1,MAX(0,$T73*(7*R$5-3*$F73)/(4*$F73)))^2)</f>
        <v/>
      </c>
      <c r="S73">
        <f>MAX(-f_yd,MIN(f_yd,200000*0.002*(1-$T73*(7*S$5-3*$F73)/(4*$F73))))-f_cd*(1-MIN(1,MAX(0,$T73*(7*S$5-3*$F73)/(4*$F73)))^2)</f>
        <v/>
      </c>
      <c r="T73">
        <f>MIN(1,2-(($C73+$D73)/2))</f>
        <v/>
      </c>
    </row>
    <row r="74">
      <c r="B74" s="59" t="n">
        <v>22</v>
      </c>
      <c r="C74" s="60">
        <f>IF($G73&lt;N_Ed,($C73+$D73)/2,$C73)</f>
        <v/>
      </c>
      <c r="D74" s="60">
        <f>IF($G73&lt;N_Ed,$D73,($C73+$D73)/2)</f>
        <v/>
      </c>
      <c r="E74" s="61">
        <f>IF($T74&gt;=1,$F74,3/7*h_col+4/7*h_col/MAX($T74,1E-12))</f>
        <v/>
      </c>
      <c r="F74" s="62">
        <f>h_col*MIN((($C74+$D74)/2),1)</f>
        <v/>
      </c>
      <c r="G74" s="62">
        <f>(f_cd*b_col*$F74*(3/7+4/7*(1-$T74^2/3))+SUMPRODUCT($J$6:$S$6,$J74:$S74))/1000</f>
        <v/>
      </c>
      <c r="H74" s="62">
        <f>(f_cd*b_col*(3/14*$F74*(h_col-3/7*$F74)+4/7*$F74*(h_col/2-3/7*$F74)*(1-$T74^2/3)-16/49*$F74^2*(1/2-$T74^2/4))+SUMPRODUCT($J$6:$S$6,$J74:$S74,$J$7:$S$7))/1E6</f>
        <v/>
      </c>
      <c r="J74">
        <f>MAX(-f_yd,MIN(f_yd,200000*0.002*(1-$T74*(7*J$5-3*$F74)/(4*$F74))))-f_cd*(1-MIN(1,MAX(0,$T74*(7*J$5-3*$F74)/(4*$F74)))^2)</f>
        <v/>
      </c>
      <c r="K74">
        <f>MAX(-f_yd,MIN(f_yd,200000*0.002*(1-$T74*(7*K$5-3*$F74)/(4*$F74))))-f_cd*(1-MIN(1,MAX(0,$T74*(7*K$5-3*$F74)/(4*$F74)))^2)</f>
        <v/>
      </c>
      <c r="L74">
        <f>MAX(-f_yd,MIN(f_yd,200000*0.002*(1-$T74*(7*L$5-3*$F74)/(4*$F74))))-f_cd*(1-MIN(1,MAX(0,$T74*(7*L$5-3*$F74)/(4*$F74)))^2)</f>
        <v/>
      </c>
      <c r="M74">
        <f>MAX(-f_yd,MIN(f_yd,200000*0.002*(1-$T74*(7*M$5-3*$F74)/(4*$F74))))-f_cd*(1-MIN(1,MAX(0,$T74*(7*M$5-3*$F74)/(4*$F74)))^2)</f>
        <v/>
      </c>
      <c r="N74">
        <f>MAX(-f_yd,MIN(f_yd,200000*0.002*(1-$T74*(7*N$5-3*$F74)/(4*$F74))))-f_cd*(1-MIN(1,MAX(0,$T74*(7*N$5-3*$F74)/(4*$F74)))^2)</f>
        <v/>
      </c>
      <c r="O74">
        <f>MAX(-f_yd,MIN(f_yd,200000*0.002*(1-$T74*(7*O$5-3*$F74)/(4*$F74))))-f_cd*(1-MIN(1,MAX(0,$T74*(7*O$5-3*$F74)/(4*$F74)))^2)</f>
        <v/>
      </c>
      <c r="P74">
        <f>MAX(-f_yd,MIN(f_yd,200000*0.002*(1-$T74*(7*P$5-3*$F74)/(4*$F74))))-f_cd*(1-MIN(1,MAX(0,$T74*(7*P$5-3*$F74)/(4*$F74)))^2)</f>
        <v/>
      </c>
      <c r="Q74">
        <f>MAX(-f_yd,MIN(f_yd,200000*0.002*(1-$T74*(7*Q$5-3*$F74)/(4*$F74))))-f_cd*(1-MIN(1,MAX(0,$T74*(7*Q$5-3*$F74)/(4*$F74)))^2)</f>
        <v/>
      </c>
      <c r="R74">
        <f>MAX(-f_yd,MIN(f_yd,200000*0.002*(1-$T74*(7*R$5-3*$F74)/(4*$F74))))-f_cd*(1-MIN(1,MAX(0,$T74*(7*R$5-3*$F74)/(4*$F74)))^2)</f>
        <v/>
      </c>
      <c r="S74">
        <f>MAX(-f_yd,MIN(f_yd,200000*0.002*(1-$T74*(7*S$5-3*$F74)/(4*$F74))))-f_cd*(1-MIN(1,MAX(0,$T74*(7*S$5-3*$F74)/(4*$F74)))^2)</f>
        <v/>
      </c>
      <c r="T74">
        <f>MIN(1,2-(($C74+$D74)/2))</f>
        <v/>
      </c>
    </row>
    <row r="75">
      <c r="B75" s="59" t="n">
        <v>23</v>
      </c>
      <c r="C75" s="60">
        <f>IF($G74&lt;N_Ed,($C74+$D74)/2,$C74)</f>
        <v/>
      </c>
      <c r="D75" s="60">
        <f>IF($G74&lt;N_Ed,$D74,($C74+$D74)/2)</f>
        <v/>
      </c>
      <c r="E75" s="61">
        <f>IF($T75&gt;=1,$F75,3/7*h_col+4/7*h_col/MAX($T75,1E-12))</f>
        <v/>
      </c>
      <c r="F75" s="62">
        <f>h_col*MIN((($C75+$D75)/2),1)</f>
        <v/>
      </c>
      <c r="G75" s="62">
        <f>(f_cd*b_col*$F75*(3/7+4/7*(1-$T75^2/3))+SUMPRODUCT($J$6:$S$6,$J75:$S75))/1000</f>
        <v/>
      </c>
      <c r="H75" s="62">
        <f>(f_cd*b_col*(3/14*$F75*(h_col-3/7*$F75)+4/7*$F75*(h_col/2-3/7*$F75)*(1-$T75^2/3)-16/49*$F75^2*(1/2-$T75^2/4))+SUMPRODUCT($J$6:$S$6,$J75:$S75,$J$7:$S$7))/1E6</f>
        <v/>
      </c>
      <c r="J75">
        <f>MAX(-f_yd,MIN(f_yd,200000*0.002*(1-$T75*(7*J$5-3*$F75)/(4*$F75))))-f_cd*(1-MIN(1,MAX(0,$T75*(7*J$5-3*$F75)/(4*$F75)))^2)</f>
        <v/>
      </c>
      <c r="K75">
        <f>MAX(-f_yd,MIN(f_yd,200000*0.002*(1-$T75*(7*K$5-3*$F75)/(4*$F75))))-f_cd*(1-MIN(1,MAX(0,$T75*(7*K$5-3*$F75)/(4*$F75)))^2)</f>
        <v/>
      </c>
      <c r="L75">
        <f>MAX(-f_yd,MIN(f_yd,200000*0.002*(1-$T75*(7*L$5-3*$F75)/(4*$F75))))-f_cd*(1-MIN(1,MAX(0,$T75*(7*L$5-3*$F75)/(4*$F75)))^2)</f>
        <v/>
      </c>
      <c r="M75">
        <f>MAX(-f_yd,MIN(f_yd,200000*0.002*(1-$T75*(7*M$5-3*$F75)/(4*$F75))))-f_cd*(1-MIN(1,MAX(0,$T75*(7*M$5-3*$F75)/(4*$F75)))^2)</f>
        <v/>
      </c>
      <c r="N75">
        <f>MAX(-f_yd,MIN(f_yd,200000*0.002*(1-$T75*(7*N$5-3*$F75)/(4*$F75))))-f_cd*(1-MIN(1,MAX(0,$T75*(7*N$5-3*$F75)/(4*$F75)))^2)</f>
        <v/>
      </c>
      <c r="O75">
        <f>MAX(-f_yd,MIN(f_yd,200000*0.002*(1-$T75*(7*O$5-3*$F75)/(4*$F75))))-f_cd*(1-MIN(1,MAX(0,$T75*(7*O$5-3*$F75)/(4*$F75)))^2)</f>
        <v/>
      </c>
      <c r="P75">
        <f>MAX(-f_yd,MIN(f_yd,200000*0.002*(1-$T75*(7*P$5-3*$F75)/(4*$F75))))-f_cd*(1-MIN(1,MAX(0,$T75*(7*P$5-3*$F75)/(4*$F75)))^2)</f>
        <v/>
      </c>
      <c r="Q75">
        <f>MAX(-f_yd,MIN(f_yd,200000*0.002*(1-$T75*(7*Q$5-3*$F75)/(4*$F75))))-f_cd*(1-MIN(1,MAX(0,$T75*(7*Q$5-3*$F75)/(4*$F75)))^2)</f>
        <v/>
      </c>
      <c r="R75">
        <f>MAX(-f_yd,MIN(f_yd,200000*0.002*(1-$T75*(7*R$5-3*$F75)/(4*$F75))))-f_cd*(1-MIN(1,MAX(0,$T75*(7*R$5-3*$F75)/(4*$F75)))^2)</f>
        <v/>
      </c>
      <c r="S75">
        <f>MAX(-f_yd,MIN(f_yd,200000*0.002*(1-$T75*(7*S$5-3*$F75)/(4*$F75))))-f_cd*(1-MIN(1,MAX(0,$T75*(7*S$5-3*$F75)/(4*$F75)))^2)</f>
        <v/>
      </c>
      <c r="T75">
        <f>MIN(1,2-(($C75+$D75)/2))</f>
        <v/>
      </c>
    </row>
    <row r="76">
      <c r="B76" s="59" t="n">
        <v>24</v>
      </c>
      <c r="C76" s="60">
        <f>IF($G75&lt;N_Ed,($C75+$D75)/2,$C75)</f>
        <v/>
      </c>
      <c r="D76" s="60">
        <f>IF($G75&lt;N_Ed,$D75,($C75+$D75)/2)</f>
        <v/>
      </c>
      <c r="E76" s="61">
        <f>IF($T76&gt;=1,$F76,3/7*h_col+4/7*h_col/MAX($T76,1E-12))</f>
        <v/>
      </c>
      <c r="F76" s="62">
        <f>h_col*MIN((($C76+$D76)/2),1)</f>
        <v/>
      </c>
      <c r="G76" s="62">
        <f>(f_cd*b_col*$F76*(3/7+4/7*(1-$T76^2/3))+SUMPRODUCT($J$6:$S$6,$J76:$S76))/1000</f>
        <v/>
      </c>
      <c r="H76" s="62">
        <f>(f_cd*b_col*(3/14*$F76*(h_col-3/7*$F76)+4/7*$F76*(h_col/2-3/7*$F76)*(1-$T76^2/3)-16/49*$F76^2*(1/2-$T76^2/4))+SUMPRODUCT($J$6:$S$6,$J76:$S76,$J$7:$S$7))/1E6</f>
        <v/>
      </c>
      <c r="J76">
        <f>MAX(-f_yd,MIN(f_yd,200000*0.002*(1-$T76*(7*J$5-3*$F76)/(4*$F76))))-f_cd*(1-MIN(1,MAX(0,$T76*(7*J$5-3*$F76)/(4*$F76)))^2)</f>
        <v/>
      </c>
      <c r="K76">
        <f>MAX(-f_yd,MIN(f_yd,200000*0.002*(1-$T76*(7*K$5-3*$F76)/(4*$F76))))-f_cd*(1-MIN(1,MAX(0,$T76*(7*K$5-3*$F76)/(4*$F76)))^2)</f>
        <v/>
      </c>
      <c r="L76">
        <f>MAX(-f_yd,MIN(f_yd,200000*0.002*(1-$T76*(7*L$5-3*$F76)/(4*$F76))))-f_cd*(1-MIN(1,MAX(0,$T76*(7*L$5-3*$F76)/(4*$F76)))^2)</f>
        <v/>
      </c>
      <c r="M76">
        <f>MAX(-f_yd,MIN(f_yd,200000*0.002*(1-$T76*(7*M$5-3*$F76)/(4*$F76))))-f_cd*(1-MIN(1,MAX(0,$T76*(7*M$5-3*$F76)/(4*$F76)))^2)</f>
        <v/>
      </c>
      <c r="N76">
        <f>MAX(-f_yd,MIN(f_yd,200000*0.002*(1-$T76*(7*N$5-3*$F76)/(4*$F76))))-f_cd*(1-MIN(1,MAX(0,$T76*(7*N$5-3*$F76)/(4*$F76)))^2)</f>
        <v/>
      </c>
      <c r="O76">
        <f>MAX(-f_yd,MIN(f_yd,200000*0.002*(1-$T76*(7*O$5-3*$F76)/(4*$F76))))-f_cd*(1-MIN(1,MAX(0,$T76*(7*O$5-3*$F76)/(4*$F76)))^2)</f>
        <v/>
      </c>
      <c r="P76">
        <f>MAX(-f_yd,MIN(f_yd,200000*0.002*(1-$T76*(7*P$5-3*$F76)/(4*$F76))))-f_cd*(1-MIN(1,MAX(0,$T76*(7*P$5-3*$F76)/(4*$F76)))^2)</f>
        <v/>
      </c>
      <c r="Q76">
        <f>MAX(-f_yd,MIN(f_yd,200000*0.002*(1-$T76*(7*Q$5-3*$F76)/(4*$F76))))-f_cd*(1-MIN(1,MAX(0,$T76*(7*Q$5-3*$F76)/(4*$F76)))^2)</f>
        <v/>
      </c>
      <c r="R76">
        <f>MAX(-f_yd,MIN(f_yd,200000*0.002*(1-$T76*(7*R$5-3*$F76)/(4*$F76))))-f_cd*(1-MIN(1,MAX(0,$T76*(7*R$5-3*$F76)/(4*$F76)))^2)</f>
        <v/>
      </c>
      <c r="S76">
        <f>MAX(-f_yd,MIN(f_yd,200000*0.002*(1-$T76*(7*S$5-3*$F76)/(4*$F76))))-f_cd*(1-MIN(1,MAX(0,$T76*(7*S$5-3*$F76)/(4*$F76)))^2)</f>
        <v/>
      </c>
      <c r="T76">
        <f>MIN(1,2-(($C76+$D76)/2))</f>
        <v/>
      </c>
    </row>
    <row r="77">
      <c r="B77" s="59" t="n">
        <v>25</v>
      </c>
      <c r="C77" s="60">
        <f>IF($G76&lt;N_Ed,($C76+$D76)/2,$C76)</f>
        <v/>
      </c>
      <c r="D77" s="60">
        <f>IF($G76&lt;N_Ed,$D76,($C76+$D76)/2)</f>
        <v/>
      </c>
      <c r="E77" s="61">
        <f>IF($T77&gt;=1,$F77,3/7*h_col+4/7*h_col/MAX($T77,1E-12))</f>
        <v/>
      </c>
      <c r="F77" s="62">
        <f>h_col*MIN((($C77+$D77)/2),1)</f>
        <v/>
      </c>
      <c r="G77" s="62">
        <f>(f_cd*b_col*$F77*(3/7+4/7*(1-$T77^2/3))+SUMPRODUCT($J$6:$S$6,$J77:$S77))/1000</f>
        <v/>
      </c>
      <c r="H77" s="62">
        <f>(f_cd*b_col*(3/14*$F77*(h_col-3/7*$F77)+4/7*$F77*(h_col/2-3/7*$F77)*(1-$T77^2/3)-16/49*$F77^2*(1/2-$T77^2/4))+SUMPRODUCT($J$6:$S$6,$J77:$S77,$J$7:$S$7))/1E6</f>
        <v/>
      </c>
      <c r="J77">
        <f>MAX(-f_yd,MIN(f_yd,200000*0.002*(1-$T77*(7*J$5-3*$F77)/(4*$F77))))-f_cd*(1-MIN(1,MAX(0,$T77*(7*J$5-3*$F77)/(4*$F77)))^2)</f>
        <v/>
      </c>
      <c r="K77">
        <f>MAX(-f_yd,MIN(f_yd,200000*0.002*(1-$T77*(7*K$5-3*$F77)/(4*$F77))))-f_cd*(1-MIN(1,MAX(0,$T77*(7*K$5-3*$F77)/(4*$F77)))^2)</f>
        <v/>
      </c>
      <c r="L77">
        <f>MAX(-f_yd,MIN(f_yd,200000*0.002*(1-$T77*(7*L$5-3*$F77)/(4*$F77))))-f_cd*(1-MIN(1,MAX(0,$T77*(7*L$5-3*$F77)/(4*$F77)))^2)</f>
        <v/>
      </c>
      <c r="M77">
        <f>MAX(-f_yd,MIN(f_yd,200000*0.002*(1-$T77*(7*M$5-3*$F77)/(4*$F77))))-f_cd*(1-MIN(1,MAX(0,$T77*(7*M$5-3*$F77)/(4*$F77)))^2)</f>
        <v/>
      </c>
      <c r="N77">
        <f>MAX(-f_yd,MIN(f_yd,200000*0.002*(1-$T77*(7*N$5-3*$F77)/(4*$F77))))-f_cd*(1-MIN(1,MAX(0,$T77*(7*N$5-3*$F77)/(4*$F77)))^2)</f>
        <v/>
      </c>
      <c r="O77">
        <f>MAX(-f_yd,MIN(f_yd,200000*0.002*(1-$T77*(7*O$5-3*$F77)/(4*$F77))))-f_cd*(1-MIN(1,MAX(0,$T77*(7*O$5-3*$F77)/(4*$F77)))^2)</f>
        <v/>
      </c>
      <c r="P77">
        <f>MAX(-f_yd,MIN(f_yd,200000*0.002*(1-$T77*(7*P$5-3*$F77)/(4*$F77))))-f_cd*(1-MIN(1,MAX(0,$T77*(7*P$5-3*$F77)/(4*$F77)))^2)</f>
        <v/>
      </c>
      <c r="Q77">
        <f>MAX(-f_yd,MIN(f_yd,200000*0.002*(1-$T77*(7*Q$5-3*$F77)/(4*$F77))))-f_cd*(1-MIN(1,MAX(0,$T77*(7*Q$5-3*$F77)/(4*$F77)))^2)</f>
        <v/>
      </c>
      <c r="R77">
        <f>MAX(-f_yd,MIN(f_yd,200000*0.002*(1-$T77*(7*R$5-3*$F77)/(4*$F77))))-f_cd*(1-MIN(1,MAX(0,$T77*(7*R$5-3*$F77)/(4*$F77)))^2)</f>
        <v/>
      </c>
      <c r="S77">
        <f>MAX(-f_yd,MIN(f_yd,200000*0.002*(1-$T77*(7*S$5-3*$F77)/(4*$F77))))-f_cd*(1-MIN(1,MAX(0,$T77*(7*S$5-3*$F77)/(4*$F77)))^2)</f>
        <v/>
      </c>
      <c r="T77">
        <f>MIN(1,2-(($C77+$D77)/2))</f>
        <v/>
      </c>
    </row>
    <row r="78">
      <c r="B78" s="59" t="n">
        <v>26</v>
      </c>
      <c r="C78" s="60">
        <f>IF($G77&lt;N_Ed,($C77+$D77)/2,$C77)</f>
        <v/>
      </c>
      <c r="D78" s="60">
        <f>IF($G77&lt;N_Ed,$D77,($C77+$D77)/2)</f>
        <v/>
      </c>
      <c r="E78" s="61">
        <f>IF($T78&gt;=1,$F78,3/7*h_col+4/7*h_col/MAX($T78,1E-12))</f>
        <v/>
      </c>
      <c r="F78" s="62">
        <f>h_col*MIN((($C78+$D78)/2),1)</f>
        <v/>
      </c>
      <c r="G78" s="62">
        <f>(f_cd*b_col*$F78*(3/7+4/7*(1-$T78^2/3))+SUMPRODUCT($J$6:$S$6,$J78:$S78))/1000</f>
        <v/>
      </c>
      <c r="H78" s="62">
        <f>(f_cd*b_col*(3/14*$F78*(h_col-3/7*$F78)+4/7*$F78*(h_col/2-3/7*$F78)*(1-$T78^2/3)-16/49*$F78^2*(1/2-$T78^2/4))+SUMPRODUCT($J$6:$S$6,$J78:$S78,$J$7:$S$7))/1E6</f>
        <v/>
      </c>
      <c r="J78">
        <f>MAX(-f_yd,MIN(f_yd,200000*0.002*(1-$T78*(7*J$5-3*$F78)/(4*$F78))))-f_cd*(1-MIN(1,MAX(0,$T78*(7*J$5-3*$F78)/(4*$F78)))^2)</f>
        <v/>
      </c>
      <c r="K78">
        <f>MAX(-f_yd,MIN(f_yd,200000*0.002*(1-$T78*(7*K$5-3*$F78)/(4*$F78))))-f_cd*(1-MIN(1,MAX(0,$T78*(7*K$5-3*$F78)/(4*$F78)))^2)</f>
        <v/>
      </c>
      <c r="L78">
        <f>MAX(-f_yd,MIN(f_yd,200000*0.002*(1-$T78*(7*L$5-3*$F78)/(4*$F78))))-f_cd*(1-MIN(1,MAX(0,$T78*(7*L$5-3*$F78)/(4*$F78)))^2)</f>
        <v/>
      </c>
      <c r="M78">
        <f>MAX(-f_yd,MIN(f_yd,200000*0.002*(1-$T78*(7*M$5-3*$F78)/(4*$F78))))-f_cd*(1-MIN(1,MAX(0,$T78*(7*M$5-3*$F78)/(4*$F78)))^2)</f>
        <v/>
      </c>
      <c r="N78">
        <f>MAX(-f_yd,MIN(f_yd,200000*0.002*(1-$T78*(7*N$5-3*$F78)/(4*$F78))))-f_cd*(1-MIN(1,MAX(0,$T78*(7*N$5-3*$F78)/(4*$F78)))^2)</f>
        <v/>
      </c>
      <c r="O78">
        <f>MAX(-f_yd,MIN(f_yd,200000*0.002*(1-$T78*(7*O$5-3*$F78)/(4*$F78))))-f_cd*(1-MIN(1,MAX(0,$T78*(7*O$5-3*$F78)/(4*$F78)))^2)</f>
        <v/>
      </c>
      <c r="P78">
        <f>MAX(-f_yd,MIN(f_yd,200000*0.002*(1-$T78*(7*P$5-3*$F78)/(4*$F78))))-f_cd*(1-MIN(1,MAX(0,$T78*(7*P$5-3*$F78)/(4*$F78)))^2)</f>
        <v/>
      </c>
      <c r="Q78">
        <f>MAX(-f_yd,MIN(f_yd,200000*0.002*(1-$T78*(7*Q$5-3*$F78)/(4*$F78))))-f_cd*(1-MIN(1,MAX(0,$T78*(7*Q$5-3*$F78)/(4*$F78)))^2)</f>
        <v/>
      </c>
      <c r="R78">
        <f>MAX(-f_yd,MIN(f_yd,200000*0.002*(1-$T78*(7*R$5-3*$F78)/(4*$F78))))-f_cd*(1-MIN(1,MAX(0,$T78*(7*R$5-3*$F78)/(4*$F78)))^2)</f>
        <v/>
      </c>
      <c r="S78">
        <f>MAX(-f_yd,MIN(f_yd,200000*0.002*(1-$T78*(7*S$5-3*$F78)/(4*$F78))))-f_cd*(1-MIN(1,MAX(0,$T78*(7*S$5-3*$F78)/(4*$F78)))^2)</f>
        <v/>
      </c>
      <c r="T78">
        <f>MIN(1,2-(($C78+$D78)/2))</f>
        <v/>
      </c>
    </row>
    <row r="79">
      <c r="B79" s="59" t="n">
        <v>27</v>
      </c>
      <c r="C79" s="60">
        <f>IF($G78&lt;N_Ed,($C78+$D78)/2,$C78)</f>
        <v/>
      </c>
      <c r="D79" s="60">
        <f>IF($G78&lt;N_Ed,$D78,($C78+$D78)/2)</f>
        <v/>
      </c>
      <c r="E79" s="61">
        <f>IF($T79&gt;=1,$F79,3/7*h_col+4/7*h_col/MAX($T79,1E-12))</f>
        <v/>
      </c>
      <c r="F79" s="62">
        <f>h_col*MIN((($C79+$D79)/2),1)</f>
        <v/>
      </c>
      <c r="G79" s="62">
        <f>(f_cd*b_col*$F79*(3/7+4/7*(1-$T79^2/3))+SUMPRODUCT($J$6:$S$6,$J79:$S79))/1000</f>
        <v/>
      </c>
      <c r="H79" s="62">
        <f>(f_cd*b_col*(3/14*$F79*(h_col-3/7*$F79)+4/7*$F79*(h_col/2-3/7*$F79)*(1-$T79^2/3)-16/49*$F79^2*(1/2-$T79^2/4))+SUMPRODUCT($J$6:$S$6,$J79:$S79,$J$7:$S$7))/1E6</f>
        <v/>
      </c>
      <c r="J79">
        <f>MAX(-f_yd,MIN(f_yd,200000*0.002*(1-$T79*(7*J$5-3*$F79)/(4*$F79))))-f_cd*(1-MIN(1,MAX(0,$T79*(7*J$5-3*$F79)/(4*$F79)))^2)</f>
        <v/>
      </c>
      <c r="K79">
        <f>MAX(-f_yd,MIN(f_yd,200000*0.002*(1-$T79*(7*K$5-3*$F79)/(4*$F79))))-f_cd*(1-MIN(1,MAX(0,$T79*(7*K$5-3*$F79)/(4*$F79)))^2)</f>
        <v/>
      </c>
      <c r="L79">
        <f>MAX(-f_yd,MIN(f_yd,200000*0.002*(1-$T79*(7*L$5-3*$F79)/(4*$F79))))-f_cd*(1-MIN(1,MAX(0,$T79*(7*L$5-3*$F79)/(4*$F79)))^2)</f>
        <v/>
      </c>
      <c r="M79">
        <f>MAX(-f_yd,MIN(f_yd,200000*0.002*(1-$T79*(7*M$5-3*$F79)/(4*$F79))))-f_cd*(1-MIN(1,MAX(0,$T79*(7*M$5-3*$F79)/(4*$F79)))^2)</f>
        <v/>
      </c>
      <c r="N79">
        <f>MAX(-f_yd,MIN(f_yd,200000*0.002*(1-$T79*(7*N$5-3*$F79)/(4*$F79))))-f_cd*(1-MIN(1,MAX(0,$T79*(7*N$5-3*$F79)/(4*$F79)))^2)</f>
        <v/>
      </c>
      <c r="O79">
        <f>MAX(-f_yd,MIN(f_yd,200000*0.002*(1-$T79*(7*O$5-3*$F79)/(4*$F79))))-f_cd*(1-MIN(1,MAX(0,$T79*(7*O$5-3*$F79)/(4*$F79)))^2)</f>
        <v/>
      </c>
      <c r="P79">
        <f>MAX(-f_yd,MIN(f_yd,200000*0.002*(1-$T79*(7*P$5-3*$F79)/(4*$F79))))-f_cd*(1-MIN(1,MAX(0,$T79*(7*P$5-3*$F79)/(4*$F79)))^2)</f>
        <v/>
      </c>
      <c r="Q79">
        <f>MAX(-f_yd,MIN(f_yd,200000*0.002*(1-$T79*(7*Q$5-3*$F79)/(4*$F79))))-f_cd*(1-MIN(1,MAX(0,$T79*(7*Q$5-3*$F79)/(4*$F79)))^2)</f>
        <v/>
      </c>
      <c r="R79">
        <f>MAX(-f_yd,MIN(f_yd,200000*0.002*(1-$T79*(7*R$5-3*$F79)/(4*$F79))))-f_cd*(1-MIN(1,MAX(0,$T79*(7*R$5-3*$F79)/(4*$F79)))^2)</f>
        <v/>
      </c>
      <c r="S79">
        <f>MAX(-f_yd,MIN(f_yd,200000*0.002*(1-$T79*(7*S$5-3*$F79)/(4*$F79))))-f_cd*(1-MIN(1,MAX(0,$T79*(7*S$5-3*$F79)/(4*$F79)))^2)</f>
        <v/>
      </c>
      <c r="T79">
        <f>MIN(1,2-(($C79+$D79)/2))</f>
        <v/>
      </c>
    </row>
    <row r="80">
      <c r="B80" s="59" t="n">
        <v>28</v>
      </c>
      <c r="C80" s="60">
        <f>IF($G79&lt;N_Ed,($C79+$D79)/2,$C79)</f>
        <v/>
      </c>
      <c r="D80" s="60">
        <f>IF($G79&lt;N_Ed,$D79,($C79+$D79)/2)</f>
        <v/>
      </c>
      <c r="E80" s="61">
        <f>IF($T80&gt;=1,$F80,3/7*h_col+4/7*h_col/MAX($T80,1E-12))</f>
        <v/>
      </c>
      <c r="F80" s="62">
        <f>h_col*MIN((($C80+$D80)/2),1)</f>
        <v/>
      </c>
      <c r="G80" s="62">
        <f>(f_cd*b_col*$F80*(3/7+4/7*(1-$T80^2/3))+SUMPRODUCT($J$6:$S$6,$J80:$S80))/1000</f>
        <v/>
      </c>
      <c r="H80" s="62">
        <f>(f_cd*b_col*(3/14*$F80*(h_col-3/7*$F80)+4/7*$F80*(h_col/2-3/7*$F80)*(1-$T80^2/3)-16/49*$F80^2*(1/2-$T80^2/4))+SUMPRODUCT($J$6:$S$6,$J80:$S80,$J$7:$S$7))/1E6</f>
        <v/>
      </c>
      <c r="J80">
        <f>MAX(-f_yd,MIN(f_yd,200000*0.002*(1-$T80*(7*J$5-3*$F80)/(4*$F80))))-f_cd*(1-MIN(1,MAX(0,$T80*(7*J$5-3*$F80)/(4*$F80)))^2)</f>
        <v/>
      </c>
      <c r="K80">
        <f>MAX(-f_yd,MIN(f_yd,200000*0.002*(1-$T80*(7*K$5-3*$F80)/(4*$F80))))-f_cd*(1-MIN(1,MAX(0,$T80*(7*K$5-3*$F80)/(4*$F80)))^2)</f>
        <v/>
      </c>
      <c r="L80">
        <f>MAX(-f_yd,MIN(f_yd,200000*0.002*(1-$T80*(7*L$5-3*$F80)/(4*$F80))))-f_cd*(1-MIN(1,MAX(0,$T80*(7*L$5-3*$F80)/(4*$F80)))^2)</f>
        <v/>
      </c>
      <c r="M80">
        <f>MAX(-f_yd,MIN(f_yd,200000*0.002*(1-$T80*(7*M$5-3*$F80)/(4*$F80))))-f_cd*(1-MIN(1,MAX(0,$T80*(7*M$5-3*$F80)/(4*$F80)))^2)</f>
        <v/>
      </c>
      <c r="N80">
        <f>MAX(-f_yd,MIN(f_yd,200000*0.002*(1-$T80*(7*N$5-3*$F80)/(4*$F80))))-f_cd*(1-MIN(1,MAX(0,$T80*(7*N$5-3*$F80)/(4*$F80)))^2)</f>
        <v/>
      </c>
      <c r="O80">
        <f>MAX(-f_yd,MIN(f_yd,200000*0.002*(1-$T80*(7*O$5-3*$F80)/(4*$F80))))-f_cd*(1-MIN(1,MAX(0,$T80*(7*O$5-3*$F80)/(4*$F80)))^2)</f>
        <v/>
      </c>
      <c r="P80">
        <f>MAX(-f_yd,MIN(f_yd,200000*0.002*(1-$T80*(7*P$5-3*$F80)/(4*$F80))))-f_cd*(1-MIN(1,MAX(0,$T80*(7*P$5-3*$F80)/(4*$F80)))^2)</f>
        <v/>
      </c>
      <c r="Q80">
        <f>MAX(-f_yd,MIN(f_yd,200000*0.002*(1-$T80*(7*Q$5-3*$F80)/(4*$F80))))-f_cd*(1-MIN(1,MAX(0,$T80*(7*Q$5-3*$F80)/(4*$F80)))^2)</f>
        <v/>
      </c>
      <c r="R80">
        <f>MAX(-f_yd,MIN(f_yd,200000*0.002*(1-$T80*(7*R$5-3*$F80)/(4*$F80))))-f_cd*(1-MIN(1,MAX(0,$T80*(7*R$5-3*$F80)/(4*$F80)))^2)</f>
        <v/>
      </c>
      <c r="S80">
        <f>MAX(-f_yd,MIN(f_yd,200000*0.002*(1-$T80*(7*S$5-3*$F80)/(4*$F80))))-f_cd*(1-MIN(1,MAX(0,$T80*(7*S$5-3*$F80)/(4*$F80)))^2)</f>
        <v/>
      </c>
      <c r="T80">
        <f>MIN(1,2-(($C80+$D80)/2))</f>
        <v/>
      </c>
    </row>
    <row r="81">
      <c r="B81" s="59" t="n">
        <v>29</v>
      </c>
      <c r="C81" s="60">
        <f>IF($G80&lt;N_Ed,($C80+$D80)/2,$C80)</f>
        <v/>
      </c>
      <c r="D81" s="60">
        <f>IF($G80&lt;N_Ed,$D80,($C80+$D80)/2)</f>
        <v/>
      </c>
      <c r="E81" s="61">
        <f>IF($T81&gt;=1,$F81,3/7*h_col+4/7*h_col/MAX($T81,1E-12))</f>
        <v/>
      </c>
      <c r="F81" s="62">
        <f>h_col*MIN((($C81+$D81)/2),1)</f>
        <v/>
      </c>
      <c r="G81" s="62">
        <f>(f_cd*b_col*$F81*(3/7+4/7*(1-$T81^2/3))+SUMPRODUCT($J$6:$S$6,$J81:$S81))/1000</f>
        <v/>
      </c>
      <c r="H81" s="62">
        <f>(f_cd*b_col*(3/14*$F81*(h_col-3/7*$F81)+4/7*$F81*(h_col/2-3/7*$F81)*(1-$T81^2/3)-16/49*$F81^2*(1/2-$T81^2/4))+SUMPRODUCT($J$6:$S$6,$J81:$S81,$J$7:$S$7))/1E6</f>
        <v/>
      </c>
      <c r="J81">
        <f>MAX(-f_yd,MIN(f_yd,200000*0.002*(1-$T81*(7*J$5-3*$F81)/(4*$F81))))-f_cd*(1-MIN(1,MAX(0,$T81*(7*J$5-3*$F81)/(4*$F81)))^2)</f>
        <v/>
      </c>
      <c r="K81">
        <f>MAX(-f_yd,MIN(f_yd,200000*0.002*(1-$T81*(7*K$5-3*$F81)/(4*$F81))))-f_cd*(1-MIN(1,MAX(0,$T81*(7*K$5-3*$F81)/(4*$F81)))^2)</f>
        <v/>
      </c>
      <c r="L81">
        <f>MAX(-f_yd,MIN(f_yd,200000*0.002*(1-$T81*(7*L$5-3*$F81)/(4*$F81))))-f_cd*(1-MIN(1,MAX(0,$T81*(7*L$5-3*$F81)/(4*$F81)))^2)</f>
        <v/>
      </c>
      <c r="M81">
        <f>MAX(-f_yd,MIN(f_yd,200000*0.002*(1-$T81*(7*M$5-3*$F81)/(4*$F81))))-f_cd*(1-MIN(1,MAX(0,$T81*(7*M$5-3*$F81)/(4*$F81)))^2)</f>
        <v/>
      </c>
      <c r="N81">
        <f>MAX(-f_yd,MIN(f_yd,200000*0.002*(1-$T81*(7*N$5-3*$F81)/(4*$F81))))-f_cd*(1-MIN(1,MAX(0,$T81*(7*N$5-3*$F81)/(4*$F81)))^2)</f>
        <v/>
      </c>
      <c r="O81">
        <f>MAX(-f_yd,MIN(f_yd,200000*0.002*(1-$T81*(7*O$5-3*$F81)/(4*$F81))))-f_cd*(1-MIN(1,MAX(0,$T81*(7*O$5-3*$F81)/(4*$F81)))^2)</f>
        <v/>
      </c>
      <c r="P81">
        <f>MAX(-f_yd,MIN(f_yd,200000*0.002*(1-$T81*(7*P$5-3*$F81)/(4*$F81))))-f_cd*(1-MIN(1,MAX(0,$T81*(7*P$5-3*$F81)/(4*$F81)))^2)</f>
        <v/>
      </c>
      <c r="Q81">
        <f>MAX(-f_yd,MIN(f_yd,200000*0.002*(1-$T81*(7*Q$5-3*$F81)/(4*$F81))))-f_cd*(1-MIN(1,MAX(0,$T81*(7*Q$5-3*$F81)/(4*$F81)))^2)</f>
        <v/>
      </c>
      <c r="R81">
        <f>MAX(-f_yd,MIN(f_yd,200000*0.002*(1-$T81*(7*R$5-3*$F81)/(4*$F81))))-f_cd*(1-MIN(1,MAX(0,$T81*(7*R$5-3*$F81)/(4*$F81)))^2)</f>
        <v/>
      </c>
      <c r="S81">
        <f>MAX(-f_yd,MIN(f_yd,200000*0.002*(1-$T81*(7*S$5-3*$F81)/(4*$F81))))-f_cd*(1-MIN(1,MAX(0,$T81*(7*S$5-3*$F81)/(4*$F81)))^2)</f>
        <v/>
      </c>
      <c r="T81">
        <f>MIN(1,2-(($C81+$D81)/2))</f>
        <v/>
      </c>
    </row>
    <row r="82">
      <c r="B82" s="59" t="n">
        <v>30</v>
      </c>
      <c r="C82" s="60">
        <f>IF($G81&lt;N_Ed,($C81+$D81)/2,$C81)</f>
        <v/>
      </c>
      <c r="D82" s="60">
        <f>IF($G81&lt;N_Ed,$D81,($C81+$D81)/2)</f>
        <v/>
      </c>
      <c r="E82" s="61">
        <f>IF($T82&gt;=1,$F82,3/7*h_col+4/7*h_col/MAX($T82,1E-12))</f>
        <v/>
      </c>
      <c r="F82" s="62">
        <f>h_col*MIN((($C82+$D82)/2),1)</f>
        <v/>
      </c>
      <c r="G82" s="62">
        <f>(f_cd*b_col*$F82*(3/7+4/7*(1-$T82^2/3))+SUMPRODUCT($J$6:$S$6,$J82:$S82))/1000</f>
        <v/>
      </c>
      <c r="H82" s="62">
        <f>(f_cd*b_col*(3/14*$F82*(h_col-3/7*$F82)+4/7*$F82*(h_col/2-3/7*$F82)*(1-$T82^2/3)-16/49*$F82^2*(1/2-$T82^2/4))+SUMPRODUCT($J$6:$S$6,$J82:$S82,$J$7:$S$7))/1E6</f>
        <v/>
      </c>
      <c r="J82">
        <f>MAX(-f_yd,MIN(f_yd,200000*0.002*(1-$T82*(7*J$5-3*$F82)/(4*$F82))))-f_cd*(1-MIN(1,MAX(0,$T82*(7*J$5-3*$F82)/(4*$F82)))^2)</f>
        <v/>
      </c>
      <c r="K82">
        <f>MAX(-f_yd,MIN(f_yd,200000*0.002*(1-$T82*(7*K$5-3*$F82)/(4*$F82))))-f_cd*(1-MIN(1,MAX(0,$T82*(7*K$5-3*$F82)/(4*$F82)))^2)</f>
        <v/>
      </c>
      <c r="L82">
        <f>MAX(-f_yd,MIN(f_yd,200000*0.002*(1-$T82*(7*L$5-3*$F82)/(4*$F82))))-f_cd*(1-MIN(1,MAX(0,$T82*(7*L$5-3*$F82)/(4*$F82)))^2)</f>
        <v/>
      </c>
      <c r="M82">
        <f>MAX(-f_yd,MIN(f_yd,200000*0.002*(1-$T82*(7*M$5-3*$F82)/(4*$F82))))-f_cd*(1-MIN(1,MAX(0,$T82*(7*M$5-3*$F82)/(4*$F82)))^2)</f>
        <v/>
      </c>
      <c r="N82">
        <f>MAX(-f_yd,MIN(f_yd,200000*0.002*(1-$T82*(7*N$5-3*$F82)/(4*$F82))))-f_cd*(1-MIN(1,MAX(0,$T82*(7*N$5-3*$F82)/(4*$F82)))^2)</f>
        <v/>
      </c>
      <c r="O82">
        <f>MAX(-f_yd,MIN(f_yd,200000*0.002*(1-$T82*(7*O$5-3*$F82)/(4*$F82))))-f_cd*(1-MIN(1,MAX(0,$T82*(7*O$5-3*$F82)/(4*$F82)))^2)</f>
        <v/>
      </c>
      <c r="P82">
        <f>MAX(-f_yd,MIN(f_yd,200000*0.002*(1-$T82*(7*P$5-3*$F82)/(4*$F82))))-f_cd*(1-MIN(1,MAX(0,$T82*(7*P$5-3*$F82)/(4*$F82)))^2)</f>
        <v/>
      </c>
      <c r="Q82">
        <f>MAX(-f_yd,MIN(f_yd,200000*0.002*(1-$T82*(7*Q$5-3*$F82)/(4*$F82))))-f_cd*(1-MIN(1,MAX(0,$T82*(7*Q$5-3*$F82)/(4*$F82)))^2)</f>
        <v/>
      </c>
      <c r="R82">
        <f>MAX(-f_yd,MIN(f_yd,200000*0.002*(1-$T82*(7*R$5-3*$F82)/(4*$F82))))-f_cd*(1-MIN(1,MAX(0,$T82*(7*R$5-3*$F82)/(4*$F82)))^2)</f>
        <v/>
      </c>
      <c r="S82">
        <f>MAX(-f_yd,MIN(f_yd,200000*0.002*(1-$T82*(7*S$5-3*$F82)/(4*$F82))))-f_cd*(1-MIN(1,MAX(0,$T82*(7*S$5-3*$F82)/(4*$F82)))^2)</f>
        <v/>
      </c>
      <c r="T82">
        <f>MIN(1,2-(($C82+$D82)/2))</f>
        <v/>
      </c>
    </row>
    <row r="83">
      <c r="B83" s="59" t="n">
        <v>31</v>
      </c>
      <c r="C83" s="60">
        <f>IF($G82&lt;N_Ed,($C82+$D82)/2,$C82)</f>
        <v/>
      </c>
      <c r="D83" s="60">
        <f>IF($G82&lt;N_Ed,$D82,($C82+$D82)/2)</f>
        <v/>
      </c>
      <c r="E83" s="61">
        <f>IF($T83&gt;=1,$F83,3/7*h_col+4/7*h_col/MAX($T83,1E-12))</f>
        <v/>
      </c>
      <c r="F83" s="62">
        <f>h_col*MIN((($C83+$D83)/2),1)</f>
        <v/>
      </c>
      <c r="G83" s="62">
        <f>(f_cd*b_col*$F83*(3/7+4/7*(1-$T83^2/3))+SUMPRODUCT($J$6:$S$6,$J83:$S83))/1000</f>
        <v/>
      </c>
      <c r="H83" s="62">
        <f>(f_cd*b_col*(3/14*$F83*(h_col-3/7*$F83)+4/7*$F83*(h_col/2-3/7*$F83)*(1-$T83^2/3)-16/49*$F83^2*(1/2-$T83^2/4))+SUMPRODUCT($J$6:$S$6,$J83:$S83,$J$7:$S$7))/1E6</f>
        <v/>
      </c>
      <c r="J83">
        <f>MAX(-f_yd,MIN(f_yd,200000*0.002*(1-$T83*(7*J$5-3*$F83)/(4*$F83))))-f_cd*(1-MIN(1,MAX(0,$T83*(7*J$5-3*$F83)/(4*$F83)))^2)</f>
        <v/>
      </c>
      <c r="K83">
        <f>MAX(-f_yd,MIN(f_yd,200000*0.002*(1-$T83*(7*K$5-3*$F83)/(4*$F83))))-f_cd*(1-MIN(1,MAX(0,$T83*(7*K$5-3*$F83)/(4*$F83)))^2)</f>
        <v/>
      </c>
      <c r="L83">
        <f>MAX(-f_yd,MIN(f_yd,200000*0.002*(1-$T83*(7*L$5-3*$F83)/(4*$F83))))-f_cd*(1-MIN(1,MAX(0,$T83*(7*L$5-3*$F83)/(4*$F83)))^2)</f>
        <v/>
      </c>
      <c r="M83">
        <f>MAX(-f_yd,MIN(f_yd,200000*0.002*(1-$T83*(7*M$5-3*$F83)/(4*$F83))))-f_cd*(1-MIN(1,MAX(0,$T83*(7*M$5-3*$F83)/(4*$F83)))^2)</f>
        <v/>
      </c>
      <c r="N83">
        <f>MAX(-f_yd,MIN(f_yd,200000*0.002*(1-$T83*(7*N$5-3*$F83)/(4*$F83))))-f_cd*(1-MIN(1,MAX(0,$T83*(7*N$5-3*$F83)/(4*$F83)))^2)</f>
        <v/>
      </c>
      <c r="O83">
        <f>MAX(-f_yd,MIN(f_yd,200000*0.002*(1-$T83*(7*O$5-3*$F83)/(4*$F83))))-f_cd*(1-MIN(1,MAX(0,$T83*(7*O$5-3*$F83)/(4*$F83)))^2)</f>
        <v/>
      </c>
      <c r="P83">
        <f>MAX(-f_yd,MIN(f_yd,200000*0.002*(1-$T83*(7*P$5-3*$F83)/(4*$F83))))-f_cd*(1-MIN(1,MAX(0,$T83*(7*P$5-3*$F83)/(4*$F83)))^2)</f>
        <v/>
      </c>
      <c r="Q83">
        <f>MAX(-f_yd,MIN(f_yd,200000*0.002*(1-$T83*(7*Q$5-3*$F83)/(4*$F83))))-f_cd*(1-MIN(1,MAX(0,$T83*(7*Q$5-3*$F83)/(4*$F83)))^2)</f>
        <v/>
      </c>
      <c r="R83">
        <f>MAX(-f_yd,MIN(f_yd,200000*0.002*(1-$T83*(7*R$5-3*$F83)/(4*$F83))))-f_cd*(1-MIN(1,MAX(0,$T83*(7*R$5-3*$F83)/(4*$F83)))^2)</f>
        <v/>
      </c>
      <c r="S83">
        <f>MAX(-f_yd,MIN(f_yd,200000*0.002*(1-$T83*(7*S$5-3*$F83)/(4*$F83))))-f_cd*(1-MIN(1,MAX(0,$T83*(7*S$5-3*$F83)/(4*$F83)))^2)</f>
        <v/>
      </c>
      <c r="T83">
        <f>MIN(1,2-(($C83+$D83)/2))</f>
        <v/>
      </c>
    </row>
    <row r="84">
      <c r="B84" s="59" t="n">
        <v>32</v>
      </c>
      <c r="C84" s="60">
        <f>IF($G83&lt;N_Ed,($C83+$D83)/2,$C83)</f>
        <v/>
      </c>
      <c r="D84" s="60">
        <f>IF($G83&lt;N_Ed,$D83,($C83+$D83)/2)</f>
        <v/>
      </c>
      <c r="E84" s="61">
        <f>IF($T84&gt;=1,$F84,3/7*h_col+4/7*h_col/MAX($T84,1E-12))</f>
        <v/>
      </c>
      <c r="F84" s="62">
        <f>h_col*MIN((($C84+$D84)/2),1)</f>
        <v/>
      </c>
      <c r="G84" s="62">
        <f>(f_cd*b_col*$F84*(3/7+4/7*(1-$T84^2/3))+SUMPRODUCT($J$6:$S$6,$J84:$S84))/1000</f>
        <v/>
      </c>
      <c r="H84" s="62">
        <f>(f_cd*b_col*(3/14*$F84*(h_col-3/7*$F84)+4/7*$F84*(h_col/2-3/7*$F84)*(1-$T84^2/3)-16/49*$F84^2*(1/2-$T84^2/4))+SUMPRODUCT($J$6:$S$6,$J84:$S84,$J$7:$S$7))/1E6</f>
        <v/>
      </c>
      <c r="J84">
        <f>MAX(-f_yd,MIN(f_yd,200000*0.002*(1-$T84*(7*J$5-3*$F84)/(4*$F84))))-f_cd*(1-MIN(1,MAX(0,$T84*(7*J$5-3*$F84)/(4*$F84)))^2)</f>
        <v/>
      </c>
      <c r="K84">
        <f>MAX(-f_yd,MIN(f_yd,200000*0.002*(1-$T84*(7*K$5-3*$F84)/(4*$F84))))-f_cd*(1-MIN(1,MAX(0,$T84*(7*K$5-3*$F84)/(4*$F84)))^2)</f>
        <v/>
      </c>
      <c r="L84">
        <f>MAX(-f_yd,MIN(f_yd,200000*0.002*(1-$T84*(7*L$5-3*$F84)/(4*$F84))))-f_cd*(1-MIN(1,MAX(0,$T84*(7*L$5-3*$F84)/(4*$F84)))^2)</f>
        <v/>
      </c>
      <c r="M84">
        <f>MAX(-f_yd,MIN(f_yd,200000*0.002*(1-$T84*(7*M$5-3*$F84)/(4*$F84))))-f_cd*(1-MIN(1,MAX(0,$T84*(7*M$5-3*$F84)/(4*$F84)))^2)</f>
        <v/>
      </c>
      <c r="N84">
        <f>MAX(-f_yd,MIN(f_yd,200000*0.002*(1-$T84*(7*N$5-3*$F84)/(4*$F84))))-f_cd*(1-MIN(1,MAX(0,$T84*(7*N$5-3*$F84)/(4*$F84)))^2)</f>
        <v/>
      </c>
      <c r="O84">
        <f>MAX(-f_yd,MIN(f_yd,200000*0.002*(1-$T84*(7*O$5-3*$F84)/(4*$F84))))-f_cd*(1-MIN(1,MAX(0,$T84*(7*O$5-3*$F84)/(4*$F84)))^2)</f>
        <v/>
      </c>
      <c r="P84">
        <f>MAX(-f_yd,MIN(f_yd,200000*0.002*(1-$T84*(7*P$5-3*$F84)/(4*$F84))))-f_cd*(1-MIN(1,MAX(0,$T84*(7*P$5-3*$F84)/(4*$F84)))^2)</f>
        <v/>
      </c>
      <c r="Q84">
        <f>MAX(-f_yd,MIN(f_yd,200000*0.002*(1-$T84*(7*Q$5-3*$F84)/(4*$F84))))-f_cd*(1-MIN(1,MAX(0,$T84*(7*Q$5-3*$F84)/(4*$F84)))^2)</f>
        <v/>
      </c>
      <c r="R84">
        <f>MAX(-f_yd,MIN(f_yd,200000*0.002*(1-$T84*(7*R$5-3*$F84)/(4*$F84))))-f_cd*(1-MIN(1,MAX(0,$T84*(7*R$5-3*$F84)/(4*$F84)))^2)</f>
        <v/>
      </c>
      <c r="S84">
        <f>MAX(-f_yd,MIN(f_yd,200000*0.002*(1-$T84*(7*S$5-3*$F84)/(4*$F84))))-f_cd*(1-MIN(1,MAX(0,$T84*(7*S$5-3*$F84)/(4*$F84)))^2)</f>
        <v/>
      </c>
      <c r="T84">
        <f>MIN(1,2-(($C84+$D84)/2))</f>
        <v/>
      </c>
    </row>
    <row r="85">
      <c r="B85" s="59" t="n">
        <v>33</v>
      </c>
      <c r="C85" s="60">
        <f>IF($G84&lt;N_Ed,($C84+$D84)/2,$C84)</f>
        <v/>
      </c>
      <c r="D85" s="60">
        <f>IF($G84&lt;N_Ed,$D84,($C84+$D84)/2)</f>
        <v/>
      </c>
      <c r="E85" s="61">
        <f>IF($T85&gt;=1,$F85,3/7*h_col+4/7*h_col/MAX($T85,1E-12))</f>
        <v/>
      </c>
      <c r="F85" s="62">
        <f>h_col*MIN((($C85+$D85)/2),1)</f>
        <v/>
      </c>
      <c r="G85" s="62">
        <f>(f_cd*b_col*$F85*(3/7+4/7*(1-$T85^2/3))+SUMPRODUCT($J$6:$S$6,$J85:$S85))/1000</f>
        <v/>
      </c>
      <c r="H85" s="62">
        <f>(f_cd*b_col*(3/14*$F85*(h_col-3/7*$F85)+4/7*$F85*(h_col/2-3/7*$F85)*(1-$T85^2/3)-16/49*$F85^2*(1/2-$T85^2/4))+SUMPRODUCT($J$6:$S$6,$J85:$S85,$J$7:$S$7))/1E6</f>
        <v/>
      </c>
      <c r="J85">
        <f>MAX(-f_yd,MIN(f_yd,200000*0.002*(1-$T85*(7*J$5-3*$F85)/(4*$F85))))-f_cd*(1-MIN(1,MAX(0,$T85*(7*J$5-3*$F85)/(4*$F85)))^2)</f>
        <v/>
      </c>
      <c r="K85">
        <f>MAX(-f_yd,MIN(f_yd,200000*0.002*(1-$T85*(7*K$5-3*$F85)/(4*$F85))))-f_cd*(1-MIN(1,MAX(0,$T85*(7*K$5-3*$F85)/(4*$F85)))^2)</f>
        <v/>
      </c>
      <c r="L85">
        <f>MAX(-f_yd,MIN(f_yd,200000*0.002*(1-$T85*(7*L$5-3*$F85)/(4*$F85))))-f_cd*(1-MIN(1,MAX(0,$T85*(7*L$5-3*$F85)/(4*$F85)))^2)</f>
        <v/>
      </c>
      <c r="M85">
        <f>MAX(-f_yd,MIN(f_yd,200000*0.002*(1-$T85*(7*M$5-3*$F85)/(4*$F85))))-f_cd*(1-MIN(1,MAX(0,$T85*(7*M$5-3*$F85)/(4*$F85)))^2)</f>
        <v/>
      </c>
      <c r="N85">
        <f>MAX(-f_yd,MIN(f_yd,200000*0.002*(1-$T85*(7*N$5-3*$F85)/(4*$F85))))-f_cd*(1-MIN(1,MAX(0,$T85*(7*N$5-3*$F85)/(4*$F85)))^2)</f>
        <v/>
      </c>
      <c r="O85">
        <f>MAX(-f_yd,MIN(f_yd,200000*0.002*(1-$T85*(7*O$5-3*$F85)/(4*$F85))))-f_cd*(1-MIN(1,MAX(0,$T85*(7*O$5-3*$F85)/(4*$F85)))^2)</f>
        <v/>
      </c>
      <c r="P85">
        <f>MAX(-f_yd,MIN(f_yd,200000*0.002*(1-$T85*(7*P$5-3*$F85)/(4*$F85))))-f_cd*(1-MIN(1,MAX(0,$T85*(7*P$5-3*$F85)/(4*$F85)))^2)</f>
        <v/>
      </c>
      <c r="Q85">
        <f>MAX(-f_yd,MIN(f_yd,200000*0.002*(1-$T85*(7*Q$5-3*$F85)/(4*$F85))))-f_cd*(1-MIN(1,MAX(0,$T85*(7*Q$5-3*$F85)/(4*$F85)))^2)</f>
        <v/>
      </c>
      <c r="R85">
        <f>MAX(-f_yd,MIN(f_yd,200000*0.002*(1-$T85*(7*R$5-3*$F85)/(4*$F85))))-f_cd*(1-MIN(1,MAX(0,$T85*(7*R$5-3*$F85)/(4*$F85)))^2)</f>
        <v/>
      </c>
      <c r="S85">
        <f>MAX(-f_yd,MIN(f_yd,200000*0.002*(1-$T85*(7*S$5-3*$F85)/(4*$F85))))-f_cd*(1-MIN(1,MAX(0,$T85*(7*S$5-3*$F85)/(4*$F85)))^2)</f>
        <v/>
      </c>
      <c r="T85">
        <f>MIN(1,2-(($C85+$D85)/2))</f>
        <v/>
      </c>
    </row>
    <row r="86">
      <c r="B86" s="59" t="n">
        <v>34</v>
      </c>
      <c r="C86" s="60">
        <f>IF($G85&lt;N_Ed,($C85+$D85)/2,$C85)</f>
        <v/>
      </c>
      <c r="D86" s="60">
        <f>IF($G85&lt;N_Ed,$D85,($C85+$D85)/2)</f>
        <v/>
      </c>
      <c r="E86" s="61">
        <f>IF($T86&gt;=1,$F86,3/7*h_col+4/7*h_col/MAX($T86,1E-12))</f>
        <v/>
      </c>
      <c r="F86" s="62">
        <f>h_col*MIN((($C86+$D86)/2),1)</f>
        <v/>
      </c>
      <c r="G86" s="62">
        <f>(f_cd*b_col*$F86*(3/7+4/7*(1-$T86^2/3))+SUMPRODUCT($J$6:$S$6,$J86:$S86))/1000</f>
        <v/>
      </c>
      <c r="H86" s="62">
        <f>(f_cd*b_col*(3/14*$F86*(h_col-3/7*$F86)+4/7*$F86*(h_col/2-3/7*$F86)*(1-$T86^2/3)-16/49*$F86^2*(1/2-$T86^2/4))+SUMPRODUCT($J$6:$S$6,$J86:$S86,$J$7:$S$7))/1E6</f>
        <v/>
      </c>
      <c r="J86">
        <f>MAX(-f_yd,MIN(f_yd,200000*0.002*(1-$T86*(7*J$5-3*$F86)/(4*$F86))))-f_cd*(1-MIN(1,MAX(0,$T86*(7*J$5-3*$F86)/(4*$F86)))^2)</f>
        <v/>
      </c>
      <c r="K86">
        <f>MAX(-f_yd,MIN(f_yd,200000*0.002*(1-$T86*(7*K$5-3*$F86)/(4*$F86))))-f_cd*(1-MIN(1,MAX(0,$T86*(7*K$5-3*$F86)/(4*$F86)))^2)</f>
        <v/>
      </c>
      <c r="L86">
        <f>MAX(-f_yd,MIN(f_yd,200000*0.002*(1-$T86*(7*L$5-3*$F86)/(4*$F86))))-f_cd*(1-MIN(1,MAX(0,$T86*(7*L$5-3*$F86)/(4*$F86)))^2)</f>
        <v/>
      </c>
      <c r="M86">
        <f>MAX(-f_yd,MIN(f_yd,200000*0.002*(1-$T86*(7*M$5-3*$F86)/(4*$F86))))-f_cd*(1-MIN(1,MAX(0,$T86*(7*M$5-3*$F86)/(4*$F86)))^2)</f>
        <v/>
      </c>
      <c r="N86">
        <f>MAX(-f_yd,MIN(f_yd,200000*0.002*(1-$T86*(7*N$5-3*$F86)/(4*$F86))))-f_cd*(1-MIN(1,MAX(0,$T86*(7*N$5-3*$F86)/(4*$F86)))^2)</f>
        <v/>
      </c>
      <c r="O86">
        <f>MAX(-f_yd,MIN(f_yd,200000*0.002*(1-$T86*(7*O$5-3*$F86)/(4*$F86))))-f_cd*(1-MIN(1,MAX(0,$T86*(7*O$5-3*$F86)/(4*$F86)))^2)</f>
        <v/>
      </c>
      <c r="P86">
        <f>MAX(-f_yd,MIN(f_yd,200000*0.002*(1-$T86*(7*P$5-3*$F86)/(4*$F86))))-f_cd*(1-MIN(1,MAX(0,$T86*(7*P$5-3*$F86)/(4*$F86)))^2)</f>
        <v/>
      </c>
      <c r="Q86">
        <f>MAX(-f_yd,MIN(f_yd,200000*0.002*(1-$T86*(7*Q$5-3*$F86)/(4*$F86))))-f_cd*(1-MIN(1,MAX(0,$T86*(7*Q$5-3*$F86)/(4*$F86)))^2)</f>
        <v/>
      </c>
      <c r="R86">
        <f>MAX(-f_yd,MIN(f_yd,200000*0.002*(1-$T86*(7*R$5-3*$F86)/(4*$F86))))-f_cd*(1-MIN(1,MAX(0,$T86*(7*R$5-3*$F86)/(4*$F86)))^2)</f>
        <v/>
      </c>
      <c r="S86">
        <f>MAX(-f_yd,MIN(f_yd,200000*0.002*(1-$T86*(7*S$5-3*$F86)/(4*$F86))))-f_cd*(1-MIN(1,MAX(0,$T86*(7*S$5-3*$F86)/(4*$F86)))^2)</f>
        <v/>
      </c>
      <c r="T86">
        <f>MIN(1,2-(($C86+$D86)/2))</f>
        <v/>
      </c>
    </row>
    <row r="87">
      <c r="B87" s="59" t="n">
        <v>35</v>
      </c>
      <c r="C87" s="60">
        <f>IF($G86&lt;N_Ed,($C86+$D86)/2,$C86)</f>
        <v/>
      </c>
      <c r="D87" s="60">
        <f>IF($G86&lt;N_Ed,$D86,($C86+$D86)/2)</f>
        <v/>
      </c>
      <c r="E87" s="61">
        <f>IF($T87&gt;=1,$F87,3/7*h_col+4/7*h_col/MAX($T87,1E-12))</f>
        <v/>
      </c>
      <c r="F87" s="62">
        <f>h_col*MIN((($C87+$D87)/2),1)</f>
        <v/>
      </c>
      <c r="G87" s="62">
        <f>(f_cd*b_col*$F87*(3/7+4/7*(1-$T87^2/3))+SUMPRODUCT($J$6:$S$6,$J87:$S87))/1000</f>
        <v/>
      </c>
      <c r="H87" s="62">
        <f>(f_cd*b_col*(3/14*$F87*(h_col-3/7*$F87)+4/7*$F87*(h_col/2-3/7*$F87)*(1-$T87^2/3)-16/49*$F87^2*(1/2-$T87^2/4))+SUMPRODUCT($J$6:$S$6,$J87:$S87,$J$7:$S$7))/1E6</f>
        <v/>
      </c>
      <c r="J87">
        <f>MAX(-f_yd,MIN(f_yd,200000*0.002*(1-$T87*(7*J$5-3*$F87)/(4*$F87))))-f_cd*(1-MIN(1,MAX(0,$T87*(7*J$5-3*$F87)/(4*$F87)))^2)</f>
        <v/>
      </c>
      <c r="K87">
        <f>MAX(-f_yd,MIN(f_yd,200000*0.002*(1-$T87*(7*K$5-3*$F87)/(4*$F87))))-f_cd*(1-MIN(1,MAX(0,$T87*(7*K$5-3*$F87)/(4*$F87)))^2)</f>
        <v/>
      </c>
      <c r="L87">
        <f>MAX(-f_yd,MIN(f_yd,200000*0.002*(1-$T87*(7*L$5-3*$F87)/(4*$F87))))-f_cd*(1-MIN(1,MAX(0,$T87*(7*L$5-3*$F87)/(4*$F87)))^2)</f>
        <v/>
      </c>
      <c r="M87">
        <f>MAX(-f_yd,MIN(f_yd,200000*0.002*(1-$T87*(7*M$5-3*$F87)/(4*$F87))))-f_cd*(1-MIN(1,MAX(0,$T87*(7*M$5-3*$F87)/(4*$F87)))^2)</f>
        <v/>
      </c>
      <c r="N87">
        <f>MAX(-f_yd,MIN(f_yd,200000*0.002*(1-$T87*(7*N$5-3*$F87)/(4*$F87))))-f_cd*(1-MIN(1,MAX(0,$T87*(7*N$5-3*$F87)/(4*$F87)))^2)</f>
        <v/>
      </c>
      <c r="O87">
        <f>MAX(-f_yd,MIN(f_yd,200000*0.002*(1-$T87*(7*O$5-3*$F87)/(4*$F87))))-f_cd*(1-MIN(1,MAX(0,$T87*(7*O$5-3*$F87)/(4*$F87)))^2)</f>
        <v/>
      </c>
      <c r="P87">
        <f>MAX(-f_yd,MIN(f_yd,200000*0.002*(1-$T87*(7*P$5-3*$F87)/(4*$F87))))-f_cd*(1-MIN(1,MAX(0,$T87*(7*P$5-3*$F87)/(4*$F87)))^2)</f>
        <v/>
      </c>
      <c r="Q87">
        <f>MAX(-f_yd,MIN(f_yd,200000*0.002*(1-$T87*(7*Q$5-3*$F87)/(4*$F87))))-f_cd*(1-MIN(1,MAX(0,$T87*(7*Q$5-3*$F87)/(4*$F87)))^2)</f>
        <v/>
      </c>
      <c r="R87">
        <f>MAX(-f_yd,MIN(f_yd,200000*0.002*(1-$T87*(7*R$5-3*$F87)/(4*$F87))))-f_cd*(1-MIN(1,MAX(0,$T87*(7*R$5-3*$F87)/(4*$F87)))^2)</f>
        <v/>
      </c>
      <c r="S87">
        <f>MAX(-f_yd,MIN(f_yd,200000*0.002*(1-$T87*(7*S$5-3*$F87)/(4*$F87))))-f_cd*(1-MIN(1,MAX(0,$T87*(7*S$5-3*$F87)/(4*$F87)))^2)</f>
        <v/>
      </c>
      <c r="T87">
        <f>MIN(1,2-(($C87+$D87)/2))</f>
        <v/>
      </c>
    </row>
    <row r="88">
      <c r="B88" s="59" t="n">
        <v>36</v>
      </c>
      <c r="C88" s="60">
        <f>IF($G87&lt;N_Ed,($C87+$D87)/2,$C87)</f>
        <v/>
      </c>
      <c r="D88" s="60">
        <f>IF($G87&lt;N_Ed,$D87,($C87+$D87)/2)</f>
        <v/>
      </c>
      <c r="E88" s="61">
        <f>IF($T88&gt;=1,$F88,3/7*h_col+4/7*h_col/MAX($T88,1E-12))</f>
        <v/>
      </c>
      <c r="F88" s="62">
        <f>h_col*MIN((($C88+$D88)/2),1)</f>
        <v/>
      </c>
      <c r="G88" s="62">
        <f>(f_cd*b_col*$F88*(3/7+4/7*(1-$T88^2/3))+SUMPRODUCT($J$6:$S$6,$J88:$S88))/1000</f>
        <v/>
      </c>
      <c r="H88" s="62">
        <f>(f_cd*b_col*(3/14*$F88*(h_col-3/7*$F88)+4/7*$F88*(h_col/2-3/7*$F88)*(1-$T88^2/3)-16/49*$F88^2*(1/2-$T88^2/4))+SUMPRODUCT($J$6:$S$6,$J88:$S88,$J$7:$S$7))/1E6</f>
        <v/>
      </c>
      <c r="J88">
        <f>MAX(-f_yd,MIN(f_yd,200000*0.002*(1-$T88*(7*J$5-3*$F88)/(4*$F88))))-f_cd*(1-MIN(1,MAX(0,$T88*(7*J$5-3*$F88)/(4*$F88)))^2)</f>
        <v/>
      </c>
      <c r="K88">
        <f>MAX(-f_yd,MIN(f_yd,200000*0.002*(1-$T88*(7*K$5-3*$F88)/(4*$F88))))-f_cd*(1-MIN(1,MAX(0,$T88*(7*K$5-3*$F88)/(4*$F88)))^2)</f>
        <v/>
      </c>
      <c r="L88">
        <f>MAX(-f_yd,MIN(f_yd,200000*0.002*(1-$T88*(7*L$5-3*$F88)/(4*$F88))))-f_cd*(1-MIN(1,MAX(0,$T88*(7*L$5-3*$F88)/(4*$F88)))^2)</f>
        <v/>
      </c>
      <c r="M88">
        <f>MAX(-f_yd,MIN(f_yd,200000*0.002*(1-$T88*(7*M$5-3*$F88)/(4*$F88))))-f_cd*(1-MIN(1,MAX(0,$T88*(7*M$5-3*$F88)/(4*$F88)))^2)</f>
        <v/>
      </c>
      <c r="N88">
        <f>MAX(-f_yd,MIN(f_yd,200000*0.002*(1-$T88*(7*N$5-3*$F88)/(4*$F88))))-f_cd*(1-MIN(1,MAX(0,$T88*(7*N$5-3*$F88)/(4*$F88)))^2)</f>
        <v/>
      </c>
      <c r="O88">
        <f>MAX(-f_yd,MIN(f_yd,200000*0.002*(1-$T88*(7*O$5-3*$F88)/(4*$F88))))-f_cd*(1-MIN(1,MAX(0,$T88*(7*O$5-3*$F88)/(4*$F88)))^2)</f>
        <v/>
      </c>
      <c r="P88">
        <f>MAX(-f_yd,MIN(f_yd,200000*0.002*(1-$T88*(7*P$5-3*$F88)/(4*$F88))))-f_cd*(1-MIN(1,MAX(0,$T88*(7*P$5-3*$F88)/(4*$F88)))^2)</f>
        <v/>
      </c>
      <c r="Q88">
        <f>MAX(-f_yd,MIN(f_yd,200000*0.002*(1-$T88*(7*Q$5-3*$F88)/(4*$F88))))-f_cd*(1-MIN(1,MAX(0,$T88*(7*Q$5-3*$F88)/(4*$F88)))^2)</f>
        <v/>
      </c>
      <c r="R88">
        <f>MAX(-f_yd,MIN(f_yd,200000*0.002*(1-$T88*(7*R$5-3*$F88)/(4*$F88))))-f_cd*(1-MIN(1,MAX(0,$T88*(7*R$5-3*$F88)/(4*$F88)))^2)</f>
        <v/>
      </c>
      <c r="S88">
        <f>MAX(-f_yd,MIN(f_yd,200000*0.002*(1-$T88*(7*S$5-3*$F88)/(4*$F88))))-f_cd*(1-MIN(1,MAX(0,$T88*(7*S$5-3*$F88)/(4*$F88)))^2)</f>
        <v/>
      </c>
      <c r="T88">
        <f>MIN(1,2-(($C88+$D88)/2))</f>
        <v/>
      </c>
    </row>
    <row r="89">
      <c r="B89" s="59" t="n">
        <v>37</v>
      </c>
      <c r="C89" s="60">
        <f>IF($G88&lt;N_Ed,($C88+$D88)/2,$C88)</f>
        <v/>
      </c>
      <c r="D89" s="60">
        <f>IF($G88&lt;N_Ed,$D88,($C88+$D88)/2)</f>
        <v/>
      </c>
      <c r="E89" s="61">
        <f>IF($T89&gt;=1,$F89,3/7*h_col+4/7*h_col/MAX($T89,1E-12))</f>
        <v/>
      </c>
      <c r="F89" s="62">
        <f>h_col*MIN((($C89+$D89)/2),1)</f>
        <v/>
      </c>
      <c r="G89" s="62">
        <f>(f_cd*b_col*$F89*(3/7+4/7*(1-$T89^2/3))+SUMPRODUCT($J$6:$S$6,$J89:$S89))/1000</f>
        <v/>
      </c>
      <c r="H89" s="62">
        <f>(f_cd*b_col*(3/14*$F89*(h_col-3/7*$F89)+4/7*$F89*(h_col/2-3/7*$F89)*(1-$T89^2/3)-16/49*$F89^2*(1/2-$T89^2/4))+SUMPRODUCT($J$6:$S$6,$J89:$S89,$J$7:$S$7))/1E6</f>
        <v/>
      </c>
      <c r="J89">
        <f>MAX(-f_yd,MIN(f_yd,200000*0.002*(1-$T89*(7*J$5-3*$F89)/(4*$F89))))-f_cd*(1-MIN(1,MAX(0,$T89*(7*J$5-3*$F89)/(4*$F89)))^2)</f>
        <v/>
      </c>
      <c r="K89">
        <f>MAX(-f_yd,MIN(f_yd,200000*0.002*(1-$T89*(7*K$5-3*$F89)/(4*$F89))))-f_cd*(1-MIN(1,MAX(0,$T89*(7*K$5-3*$F89)/(4*$F89)))^2)</f>
        <v/>
      </c>
      <c r="L89">
        <f>MAX(-f_yd,MIN(f_yd,200000*0.002*(1-$T89*(7*L$5-3*$F89)/(4*$F89))))-f_cd*(1-MIN(1,MAX(0,$T89*(7*L$5-3*$F89)/(4*$F89)))^2)</f>
        <v/>
      </c>
      <c r="M89">
        <f>MAX(-f_yd,MIN(f_yd,200000*0.002*(1-$T89*(7*M$5-3*$F89)/(4*$F89))))-f_cd*(1-MIN(1,MAX(0,$T89*(7*M$5-3*$F89)/(4*$F89)))^2)</f>
        <v/>
      </c>
      <c r="N89">
        <f>MAX(-f_yd,MIN(f_yd,200000*0.002*(1-$T89*(7*N$5-3*$F89)/(4*$F89))))-f_cd*(1-MIN(1,MAX(0,$T89*(7*N$5-3*$F89)/(4*$F89)))^2)</f>
        <v/>
      </c>
      <c r="O89">
        <f>MAX(-f_yd,MIN(f_yd,200000*0.002*(1-$T89*(7*O$5-3*$F89)/(4*$F89))))-f_cd*(1-MIN(1,MAX(0,$T89*(7*O$5-3*$F89)/(4*$F89)))^2)</f>
        <v/>
      </c>
      <c r="P89">
        <f>MAX(-f_yd,MIN(f_yd,200000*0.002*(1-$T89*(7*P$5-3*$F89)/(4*$F89))))-f_cd*(1-MIN(1,MAX(0,$T89*(7*P$5-3*$F89)/(4*$F89)))^2)</f>
        <v/>
      </c>
      <c r="Q89">
        <f>MAX(-f_yd,MIN(f_yd,200000*0.002*(1-$T89*(7*Q$5-3*$F89)/(4*$F89))))-f_cd*(1-MIN(1,MAX(0,$T89*(7*Q$5-3*$F89)/(4*$F89)))^2)</f>
        <v/>
      </c>
      <c r="R89">
        <f>MAX(-f_yd,MIN(f_yd,200000*0.002*(1-$T89*(7*R$5-3*$F89)/(4*$F89))))-f_cd*(1-MIN(1,MAX(0,$T89*(7*R$5-3*$F89)/(4*$F89)))^2)</f>
        <v/>
      </c>
      <c r="S89">
        <f>MAX(-f_yd,MIN(f_yd,200000*0.002*(1-$T89*(7*S$5-3*$F89)/(4*$F89))))-f_cd*(1-MIN(1,MAX(0,$T89*(7*S$5-3*$F89)/(4*$F89)))^2)</f>
        <v/>
      </c>
      <c r="T89">
        <f>MIN(1,2-(($C89+$D89)/2))</f>
        <v/>
      </c>
    </row>
    <row r="90">
      <c r="B90" s="59" t="n">
        <v>38</v>
      </c>
      <c r="C90" s="60">
        <f>IF($G89&lt;N_Ed,($C89+$D89)/2,$C89)</f>
        <v/>
      </c>
      <c r="D90" s="60">
        <f>IF($G89&lt;N_Ed,$D89,($C89+$D89)/2)</f>
        <v/>
      </c>
      <c r="E90" s="61">
        <f>IF($T90&gt;=1,$F90,3/7*h_col+4/7*h_col/MAX($T90,1E-12))</f>
        <v/>
      </c>
      <c r="F90" s="62">
        <f>h_col*MIN((($C90+$D90)/2),1)</f>
        <v/>
      </c>
      <c r="G90" s="62">
        <f>(f_cd*b_col*$F90*(3/7+4/7*(1-$T90^2/3))+SUMPRODUCT($J$6:$S$6,$J90:$S90))/1000</f>
        <v/>
      </c>
      <c r="H90" s="62">
        <f>(f_cd*b_col*(3/14*$F90*(h_col-3/7*$F90)+4/7*$F90*(h_col/2-3/7*$F90)*(1-$T90^2/3)-16/49*$F90^2*(1/2-$T90^2/4))+SUMPRODUCT($J$6:$S$6,$J90:$S90,$J$7:$S$7))/1E6</f>
        <v/>
      </c>
      <c r="J90">
        <f>MAX(-f_yd,MIN(f_yd,200000*0.002*(1-$T90*(7*J$5-3*$F90)/(4*$F90))))-f_cd*(1-MIN(1,MAX(0,$T90*(7*J$5-3*$F90)/(4*$F90)))^2)</f>
        <v/>
      </c>
      <c r="K90">
        <f>MAX(-f_yd,MIN(f_yd,200000*0.002*(1-$T90*(7*K$5-3*$F90)/(4*$F90))))-f_cd*(1-MIN(1,MAX(0,$T90*(7*K$5-3*$F90)/(4*$F90)))^2)</f>
        <v/>
      </c>
      <c r="L90">
        <f>MAX(-f_yd,MIN(f_yd,200000*0.002*(1-$T90*(7*L$5-3*$F90)/(4*$F90))))-f_cd*(1-MIN(1,MAX(0,$T90*(7*L$5-3*$F90)/(4*$F90)))^2)</f>
        <v/>
      </c>
      <c r="M90">
        <f>MAX(-f_yd,MIN(f_yd,200000*0.002*(1-$T90*(7*M$5-3*$F90)/(4*$F90))))-f_cd*(1-MIN(1,MAX(0,$T90*(7*M$5-3*$F90)/(4*$F90)))^2)</f>
        <v/>
      </c>
      <c r="N90">
        <f>MAX(-f_yd,MIN(f_yd,200000*0.002*(1-$T90*(7*N$5-3*$F90)/(4*$F90))))-f_cd*(1-MIN(1,MAX(0,$T90*(7*N$5-3*$F90)/(4*$F90)))^2)</f>
        <v/>
      </c>
      <c r="O90">
        <f>MAX(-f_yd,MIN(f_yd,200000*0.002*(1-$T90*(7*O$5-3*$F90)/(4*$F90))))-f_cd*(1-MIN(1,MAX(0,$T90*(7*O$5-3*$F90)/(4*$F90)))^2)</f>
        <v/>
      </c>
      <c r="P90">
        <f>MAX(-f_yd,MIN(f_yd,200000*0.002*(1-$T90*(7*P$5-3*$F90)/(4*$F90))))-f_cd*(1-MIN(1,MAX(0,$T90*(7*P$5-3*$F90)/(4*$F90)))^2)</f>
        <v/>
      </c>
      <c r="Q90">
        <f>MAX(-f_yd,MIN(f_yd,200000*0.002*(1-$T90*(7*Q$5-3*$F90)/(4*$F90))))-f_cd*(1-MIN(1,MAX(0,$T90*(7*Q$5-3*$F90)/(4*$F90)))^2)</f>
        <v/>
      </c>
      <c r="R90">
        <f>MAX(-f_yd,MIN(f_yd,200000*0.002*(1-$T90*(7*R$5-3*$F90)/(4*$F90))))-f_cd*(1-MIN(1,MAX(0,$T90*(7*R$5-3*$F90)/(4*$F90)))^2)</f>
        <v/>
      </c>
      <c r="S90">
        <f>MAX(-f_yd,MIN(f_yd,200000*0.002*(1-$T90*(7*S$5-3*$F90)/(4*$F90))))-f_cd*(1-MIN(1,MAX(0,$T90*(7*S$5-3*$F90)/(4*$F90)))^2)</f>
        <v/>
      </c>
      <c r="T90">
        <f>MIN(1,2-(($C90+$D90)/2))</f>
        <v/>
      </c>
    </row>
    <row r="91">
      <c r="B91" s="59" t="n">
        <v>39</v>
      </c>
      <c r="C91" s="60">
        <f>IF($G90&lt;N_Ed,($C90+$D90)/2,$C90)</f>
        <v/>
      </c>
      <c r="D91" s="60">
        <f>IF($G90&lt;N_Ed,$D90,($C90+$D90)/2)</f>
        <v/>
      </c>
      <c r="E91" s="61">
        <f>IF($T91&gt;=1,$F91,3/7*h_col+4/7*h_col/MAX($T91,1E-12))</f>
        <v/>
      </c>
      <c r="F91" s="62">
        <f>h_col*MIN((($C91+$D91)/2),1)</f>
        <v/>
      </c>
      <c r="G91" s="62">
        <f>(f_cd*b_col*$F91*(3/7+4/7*(1-$T91^2/3))+SUMPRODUCT($J$6:$S$6,$J91:$S91))/1000</f>
        <v/>
      </c>
      <c r="H91" s="62">
        <f>(f_cd*b_col*(3/14*$F91*(h_col-3/7*$F91)+4/7*$F91*(h_col/2-3/7*$F91)*(1-$T91^2/3)-16/49*$F91^2*(1/2-$T91^2/4))+SUMPRODUCT($J$6:$S$6,$J91:$S91,$J$7:$S$7))/1E6</f>
        <v/>
      </c>
      <c r="J91">
        <f>MAX(-f_yd,MIN(f_yd,200000*0.002*(1-$T91*(7*J$5-3*$F91)/(4*$F91))))-f_cd*(1-MIN(1,MAX(0,$T91*(7*J$5-3*$F91)/(4*$F91)))^2)</f>
        <v/>
      </c>
      <c r="K91">
        <f>MAX(-f_yd,MIN(f_yd,200000*0.002*(1-$T91*(7*K$5-3*$F91)/(4*$F91))))-f_cd*(1-MIN(1,MAX(0,$T91*(7*K$5-3*$F91)/(4*$F91)))^2)</f>
        <v/>
      </c>
      <c r="L91">
        <f>MAX(-f_yd,MIN(f_yd,200000*0.002*(1-$T91*(7*L$5-3*$F91)/(4*$F91))))-f_cd*(1-MIN(1,MAX(0,$T91*(7*L$5-3*$F91)/(4*$F91)))^2)</f>
        <v/>
      </c>
      <c r="M91">
        <f>MAX(-f_yd,MIN(f_yd,200000*0.002*(1-$T91*(7*M$5-3*$F91)/(4*$F91))))-f_cd*(1-MIN(1,MAX(0,$T91*(7*M$5-3*$F91)/(4*$F91)))^2)</f>
        <v/>
      </c>
      <c r="N91">
        <f>MAX(-f_yd,MIN(f_yd,200000*0.002*(1-$T91*(7*N$5-3*$F91)/(4*$F91))))-f_cd*(1-MIN(1,MAX(0,$T91*(7*N$5-3*$F91)/(4*$F91)))^2)</f>
        <v/>
      </c>
      <c r="O91">
        <f>MAX(-f_yd,MIN(f_yd,200000*0.002*(1-$T91*(7*O$5-3*$F91)/(4*$F91))))-f_cd*(1-MIN(1,MAX(0,$T91*(7*O$5-3*$F91)/(4*$F91)))^2)</f>
        <v/>
      </c>
      <c r="P91">
        <f>MAX(-f_yd,MIN(f_yd,200000*0.002*(1-$T91*(7*P$5-3*$F91)/(4*$F91))))-f_cd*(1-MIN(1,MAX(0,$T91*(7*P$5-3*$F91)/(4*$F91)))^2)</f>
        <v/>
      </c>
      <c r="Q91">
        <f>MAX(-f_yd,MIN(f_yd,200000*0.002*(1-$T91*(7*Q$5-3*$F91)/(4*$F91))))-f_cd*(1-MIN(1,MAX(0,$T91*(7*Q$5-3*$F91)/(4*$F91)))^2)</f>
        <v/>
      </c>
      <c r="R91">
        <f>MAX(-f_yd,MIN(f_yd,200000*0.002*(1-$T91*(7*R$5-3*$F91)/(4*$F91))))-f_cd*(1-MIN(1,MAX(0,$T91*(7*R$5-3*$F91)/(4*$F91)))^2)</f>
        <v/>
      </c>
      <c r="S91">
        <f>MAX(-f_yd,MIN(f_yd,200000*0.002*(1-$T91*(7*S$5-3*$F91)/(4*$F91))))-f_cd*(1-MIN(1,MAX(0,$T91*(7*S$5-3*$F91)/(4*$F91)))^2)</f>
        <v/>
      </c>
      <c r="T91">
        <f>MIN(1,2-(($C91+$D91)/2))</f>
        <v/>
      </c>
    </row>
    <row r="92">
      <c r="B92" s="59" t="n">
        <v>40</v>
      </c>
      <c r="C92" s="60">
        <f>IF($G91&lt;N_Ed,($C91+$D91)/2,$C91)</f>
        <v/>
      </c>
      <c r="D92" s="60">
        <f>IF($G91&lt;N_Ed,$D91,($C91+$D91)/2)</f>
        <v/>
      </c>
      <c r="E92" s="61">
        <f>IF($T92&gt;=1,$F92,3/7*h_col+4/7*h_col/MAX($T92,1E-12))</f>
        <v/>
      </c>
      <c r="F92" s="62">
        <f>h_col*MIN((($C92+$D92)/2),1)</f>
        <v/>
      </c>
      <c r="G92" s="62">
        <f>(f_cd*b_col*$F92*(3/7+4/7*(1-$T92^2/3))+SUMPRODUCT($J$6:$S$6,$J92:$S92))/1000</f>
        <v/>
      </c>
      <c r="H92" s="62">
        <f>(f_cd*b_col*(3/14*$F92*(h_col-3/7*$F92)+4/7*$F92*(h_col/2-3/7*$F92)*(1-$T92^2/3)-16/49*$F92^2*(1/2-$T92^2/4))+SUMPRODUCT($J$6:$S$6,$J92:$S92,$J$7:$S$7))/1E6</f>
        <v/>
      </c>
      <c r="J92">
        <f>MAX(-f_yd,MIN(f_yd,200000*0.002*(1-$T92*(7*J$5-3*$F92)/(4*$F92))))-f_cd*(1-MIN(1,MAX(0,$T92*(7*J$5-3*$F92)/(4*$F92)))^2)</f>
        <v/>
      </c>
      <c r="K92">
        <f>MAX(-f_yd,MIN(f_yd,200000*0.002*(1-$T92*(7*K$5-3*$F92)/(4*$F92))))-f_cd*(1-MIN(1,MAX(0,$T92*(7*K$5-3*$F92)/(4*$F92)))^2)</f>
        <v/>
      </c>
      <c r="L92">
        <f>MAX(-f_yd,MIN(f_yd,200000*0.002*(1-$T92*(7*L$5-3*$F92)/(4*$F92))))-f_cd*(1-MIN(1,MAX(0,$T92*(7*L$5-3*$F92)/(4*$F92)))^2)</f>
        <v/>
      </c>
      <c r="M92">
        <f>MAX(-f_yd,MIN(f_yd,200000*0.002*(1-$T92*(7*M$5-3*$F92)/(4*$F92))))-f_cd*(1-MIN(1,MAX(0,$T92*(7*M$5-3*$F92)/(4*$F92)))^2)</f>
        <v/>
      </c>
      <c r="N92">
        <f>MAX(-f_yd,MIN(f_yd,200000*0.002*(1-$T92*(7*N$5-3*$F92)/(4*$F92))))-f_cd*(1-MIN(1,MAX(0,$T92*(7*N$5-3*$F92)/(4*$F92)))^2)</f>
        <v/>
      </c>
      <c r="O92">
        <f>MAX(-f_yd,MIN(f_yd,200000*0.002*(1-$T92*(7*O$5-3*$F92)/(4*$F92))))-f_cd*(1-MIN(1,MAX(0,$T92*(7*O$5-3*$F92)/(4*$F92)))^2)</f>
        <v/>
      </c>
      <c r="P92">
        <f>MAX(-f_yd,MIN(f_yd,200000*0.002*(1-$T92*(7*P$5-3*$F92)/(4*$F92))))-f_cd*(1-MIN(1,MAX(0,$T92*(7*P$5-3*$F92)/(4*$F92)))^2)</f>
        <v/>
      </c>
      <c r="Q92">
        <f>MAX(-f_yd,MIN(f_yd,200000*0.002*(1-$T92*(7*Q$5-3*$F92)/(4*$F92))))-f_cd*(1-MIN(1,MAX(0,$T92*(7*Q$5-3*$F92)/(4*$F92)))^2)</f>
        <v/>
      </c>
      <c r="R92">
        <f>MAX(-f_yd,MIN(f_yd,200000*0.002*(1-$T92*(7*R$5-3*$F92)/(4*$F92))))-f_cd*(1-MIN(1,MAX(0,$T92*(7*R$5-3*$F92)/(4*$F92)))^2)</f>
        <v/>
      </c>
      <c r="S92">
        <f>MAX(-f_yd,MIN(f_yd,200000*0.002*(1-$T92*(7*S$5-3*$F92)/(4*$F92))))-f_cd*(1-MIN(1,MAX(0,$T92*(7*S$5-3*$F92)/(4*$F92)))^2)</f>
        <v/>
      </c>
      <c r="T92">
        <f>MIN(1,2-(($C92+$D92)/2))</f>
        <v/>
      </c>
    </row>
    <row r="93">
      <c r="B93" s="59" t="n">
        <v>41</v>
      </c>
      <c r="C93" s="60">
        <f>IF($G92&lt;N_Ed,($C92+$D92)/2,$C92)</f>
        <v/>
      </c>
      <c r="D93" s="60">
        <f>IF($G92&lt;N_Ed,$D92,($C92+$D92)/2)</f>
        <v/>
      </c>
      <c r="E93" s="61">
        <f>IF($T93&gt;=1,$F93,3/7*h_col+4/7*h_col/MAX($T93,1E-12))</f>
        <v/>
      </c>
      <c r="F93" s="62">
        <f>h_col*MIN((($C93+$D93)/2),1)</f>
        <v/>
      </c>
      <c r="G93" s="62">
        <f>(f_cd*b_col*$F93*(3/7+4/7*(1-$T93^2/3))+SUMPRODUCT($J$6:$S$6,$J93:$S93))/1000</f>
        <v/>
      </c>
      <c r="H93" s="62">
        <f>(f_cd*b_col*(3/14*$F93*(h_col-3/7*$F93)+4/7*$F93*(h_col/2-3/7*$F93)*(1-$T93^2/3)-16/49*$F93^2*(1/2-$T93^2/4))+SUMPRODUCT($J$6:$S$6,$J93:$S93,$J$7:$S$7))/1E6</f>
        <v/>
      </c>
      <c r="J93">
        <f>MAX(-f_yd,MIN(f_yd,200000*0.002*(1-$T93*(7*J$5-3*$F93)/(4*$F93))))-f_cd*(1-MIN(1,MAX(0,$T93*(7*J$5-3*$F93)/(4*$F93)))^2)</f>
        <v/>
      </c>
      <c r="K93">
        <f>MAX(-f_yd,MIN(f_yd,200000*0.002*(1-$T93*(7*K$5-3*$F93)/(4*$F93))))-f_cd*(1-MIN(1,MAX(0,$T93*(7*K$5-3*$F93)/(4*$F93)))^2)</f>
        <v/>
      </c>
      <c r="L93">
        <f>MAX(-f_yd,MIN(f_yd,200000*0.002*(1-$T93*(7*L$5-3*$F93)/(4*$F93))))-f_cd*(1-MIN(1,MAX(0,$T93*(7*L$5-3*$F93)/(4*$F93)))^2)</f>
        <v/>
      </c>
      <c r="M93">
        <f>MAX(-f_yd,MIN(f_yd,200000*0.002*(1-$T93*(7*M$5-3*$F93)/(4*$F93))))-f_cd*(1-MIN(1,MAX(0,$T93*(7*M$5-3*$F93)/(4*$F93)))^2)</f>
        <v/>
      </c>
      <c r="N93">
        <f>MAX(-f_yd,MIN(f_yd,200000*0.002*(1-$T93*(7*N$5-3*$F93)/(4*$F93))))-f_cd*(1-MIN(1,MAX(0,$T93*(7*N$5-3*$F93)/(4*$F93)))^2)</f>
        <v/>
      </c>
      <c r="O93">
        <f>MAX(-f_yd,MIN(f_yd,200000*0.002*(1-$T93*(7*O$5-3*$F93)/(4*$F93))))-f_cd*(1-MIN(1,MAX(0,$T93*(7*O$5-3*$F93)/(4*$F93)))^2)</f>
        <v/>
      </c>
      <c r="P93">
        <f>MAX(-f_yd,MIN(f_yd,200000*0.002*(1-$T93*(7*P$5-3*$F93)/(4*$F93))))-f_cd*(1-MIN(1,MAX(0,$T93*(7*P$5-3*$F93)/(4*$F93)))^2)</f>
        <v/>
      </c>
      <c r="Q93">
        <f>MAX(-f_yd,MIN(f_yd,200000*0.002*(1-$T93*(7*Q$5-3*$F93)/(4*$F93))))-f_cd*(1-MIN(1,MAX(0,$T93*(7*Q$5-3*$F93)/(4*$F93)))^2)</f>
        <v/>
      </c>
      <c r="R93">
        <f>MAX(-f_yd,MIN(f_yd,200000*0.002*(1-$T93*(7*R$5-3*$F93)/(4*$F93))))-f_cd*(1-MIN(1,MAX(0,$T93*(7*R$5-3*$F93)/(4*$F93)))^2)</f>
        <v/>
      </c>
      <c r="S93">
        <f>MAX(-f_yd,MIN(f_yd,200000*0.002*(1-$T93*(7*S$5-3*$F93)/(4*$F93))))-f_cd*(1-MIN(1,MAX(0,$T93*(7*S$5-3*$F93)/(4*$F93)))^2)</f>
        <v/>
      </c>
      <c r="T93">
        <f>MIN(1,2-(($C93+$D93)/2))</f>
        <v/>
      </c>
    </row>
    <row r="94">
      <c r="B94" s="59" t="n">
        <v>42</v>
      </c>
      <c r="C94" s="60">
        <f>IF($G93&lt;N_Ed,($C93+$D93)/2,$C93)</f>
        <v/>
      </c>
      <c r="D94" s="60">
        <f>IF($G93&lt;N_Ed,$D93,($C93+$D93)/2)</f>
        <v/>
      </c>
      <c r="E94" s="61">
        <f>IF($T94&gt;=1,$F94,3/7*h_col+4/7*h_col/MAX($T94,1E-12))</f>
        <v/>
      </c>
      <c r="F94" s="62">
        <f>h_col*MIN((($C94+$D94)/2),1)</f>
        <v/>
      </c>
      <c r="G94" s="62">
        <f>(f_cd*b_col*$F94*(3/7+4/7*(1-$T94^2/3))+SUMPRODUCT($J$6:$S$6,$J94:$S94))/1000</f>
        <v/>
      </c>
      <c r="H94" s="62">
        <f>(f_cd*b_col*(3/14*$F94*(h_col-3/7*$F94)+4/7*$F94*(h_col/2-3/7*$F94)*(1-$T94^2/3)-16/49*$F94^2*(1/2-$T94^2/4))+SUMPRODUCT($J$6:$S$6,$J94:$S94,$J$7:$S$7))/1E6</f>
        <v/>
      </c>
      <c r="J94">
        <f>MAX(-f_yd,MIN(f_yd,200000*0.002*(1-$T94*(7*J$5-3*$F94)/(4*$F94))))-f_cd*(1-MIN(1,MAX(0,$T94*(7*J$5-3*$F94)/(4*$F94)))^2)</f>
        <v/>
      </c>
      <c r="K94">
        <f>MAX(-f_yd,MIN(f_yd,200000*0.002*(1-$T94*(7*K$5-3*$F94)/(4*$F94))))-f_cd*(1-MIN(1,MAX(0,$T94*(7*K$5-3*$F94)/(4*$F94)))^2)</f>
        <v/>
      </c>
      <c r="L94">
        <f>MAX(-f_yd,MIN(f_yd,200000*0.002*(1-$T94*(7*L$5-3*$F94)/(4*$F94))))-f_cd*(1-MIN(1,MAX(0,$T94*(7*L$5-3*$F94)/(4*$F94)))^2)</f>
        <v/>
      </c>
      <c r="M94">
        <f>MAX(-f_yd,MIN(f_yd,200000*0.002*(1-$T94*(7*M$5-3*$F94)/(4*$F94))))-f_cd*(1-MIN(1,MAX(0,$T94*(7*M$5-3*$F94)/(4*$F94)))^2)</f>
        <v/>
      </c>
      <c r="N94">
        <f>MAX(-f_yd,MIN(f_yd,200000*0.002*(1-$T94*(7*N$5-3*$F94)/(4*$F94))))-f_cd*(1-MIN(1,MAX(0,$T94*(7*N$5-3*$F94)/(4*$F94)))^2)</f>
        <v/>
      </c>
      <c r="O94">
        <f>MAX(-f_yd,MIN(f_yd,200000*0.002*(1-$T94*(7*O$5-3*$F94)/(4*$F94))))-f_cd*(1-MIN(1,MAX(0,$T94*(7*O$5-3*$F94)/(4*$F94)))^2)</f>
        <v/>
      </c>
      <c r="P94">
        <f>MAX(-f_yd,MIN(f_yd,200000*0.002*(1-$T94*(7*P$5-3*$F94)/(4*$F94))))-f_cd*(1-MIN(1,MAX(0,$T94*(7*P$5-3*$F94)/(4*$F94)))^2)</f>
        <v/>
      </c>
      <c r="Q94">
        <f>MAX(-f_yd,MIN(f_yd,200000*0.002*(1-$T94*(7*Q$5-3*$F94)/(4*$F94))))-f_cd*(1-MIN(1,MAX(0,$T94*(7*Q$5-3*$F94)/(4*$F94)))^2)</f>
        <v/>
      </c>
      <c r="R94">
        <f>MAX(-f_yd,MIN(f_yd,200000*0.002*(1-$T94*(7*R$5-3*$F94)/(4*$F94))))-f_cd*(1-MIN(1,MAX(0,$T94*(7*R$5-3*$F94)/(4*$F94)))^2)</f>
        <v/>
      </c>
      <c r="S94">
        <f>MAX(-f_yd,MIN(f_yd,200000*0.002*(1-$T94*(7*S$5-3*$F94)/(4*$F94))))-f_cd*(1-MIN(1,MAX(0,$T94*(7*S$5-3*$F94)/(4*$F94)))^2)</f>
        <v/>
      </c>
      <c r="T94">
        <f>MIN(1,2-(($C94+$D94)/2))</f>
        <v/>
      </c>
    </row>
    <row r="95">
      <c r="B95" s="59" t="n">
        <v>43</v>
      </c>
      <c r="C95" s="60">
        <f>IF($G94&lt;N_Ed,($C94+$D94)/2,$C94)</f>
        <v/>
      </c>
      <c r="D95" s="60">
        <f>IF($G94&lt;N_Ed,$D94,($C94+$D94)/2)</f>
        <v/>
      </c>
      <c r="E95" s="61">
        <f>IF($T95&gt;=1,$F95,3/7*h_col+4/7*h_col/MAX($T95,1E-12))</f>
        <v/>
      </c>
      <c r="F95" s="62">
        <f>h_col*MIN((($C95+$D95)/2),1)</f>
        <v/>
      </c>
      <c r="G95" s="62">
        <f>(f_cd*b_col*$F95*(3/7+4/7*(1-$T95^2/3))+SUMPRODUCT($J$6:$S$6,$J95:$S95))/1000</f>
        <v/>
      </c>
      <c r="H95" s="62">
        <f>(f_cd*b_col*(3/14*$F95*(h_col-3/7*$F95)+4/7*$F95*(h_col/2-3/7*$F95)*(1-$T95^2/3)-16/49*$F95^2*(1/2-$T95^2/4))+SUMPRODUCT($J$6:$S$6,$J95:$S95,$J$7:$S$7))/1E6</f>
        <v/>
      </c>
      <c r="J95">
        <f>MAX(-f_yd,MIN(f_yd,200000*0.002*(1-$T95*(7*J$5-3*$F95)/(4*$F95))))-f_cd*(1-MIN(1,MAX(0,$T95*(7*J$5-3*$F95)/(4*$F95)))^2)</f>
        <v/>
      </c>
      <c r="K95">
        <f>MAX(-f_yd,MIN(f_yd,200000*0.002*(1-$T95*(7*K$5-3*$F95)/(4*$F95))))-f_cd*(1-MIN(1,MAX(0,$T95*(7*K$5-3*$F95)/(4*$F95)))^2)</f>
        <v/>
      </c>
      <c r="L95">
        <f>MAX(-f_yd,MIN(f_yd,200000*0.002*(1-$T95*(7*L$5-3*$F95)/(4*$F95))))-f_cd*(1-MIN(1,MAX(0,$T95*(7*L$5-3*$F95)/(4*$F95)))^2)</f>
        <v/>
      </c>
      <c r="M95">
        <f>MAX(-f_yd,MIN(f_yd,200000*0.002*(1-$T95*(7*M$5-3*$F95)/(4*$F95))))-f_cd*(1-MIN(1,MAX(0,$T95*(7*M$5-3*$F95)/(4*$F95)))^2)</f>
        <v/>
      </c>
      <c r="N95">
        <f>MAX(-f_yd,MIN(f_yd,200000*0.002*(1-$T95*(7*N$5-3*$F95)/(4*$F95))))-f_cd*(1-MIN(1,MAX(0,$T95*(7*N$5-3*$F95)/(4*$F95)))^2)</f>
        <v/>
      </c>
      <c r="O95">
        <f>MAX(-f_yd,MIN(f_yd,200000*0.002*(1-$T95*(7*O$5-3*$F95)/(4*$F95))))-f_cd*(1-MIN(1,MAX(0,$T95*(7*O$5-3*$F95)/(4*$F95)))^2)</f>
        <v/>
      </c>
      <c r="P95">
        <f>MAX(-f_yd,MIN(f_yd,200000*0.002*(1-$T95*(7*P$5-3*$F95)/(4*$F95))))-f_cd*(1-MIN(1,MAX(0,$T95*(7*P$5-3*$F95)/(4*$F95)))^2)</f>
        <v/>
      </c>
      <c r="Q95">
        <f>MAX(-f_yd,MIN(f_yd,200000*0.002*(1-$T95*(7*Q$5-3*$F95)/(4*$F95))))-f_cd*(1-MIN(1,MAX(0,$T95*(7*Q$5-3*$F95)/(4*$F95)))^2)</f>
        <v/>
      </c>
      <c r="R95">
        <f>MAX(-f_yd,MIN(f_yd,200000*0.002*(1-$T95*(7*R$5-3*$F95)/(4*$F95))))-f_cd*(1-MIN(1,MAX(0,$T95*(7*R$5-3*$F95)/(4*$F95)))^2)</f>
        <v/>
      </c>
      <c r="S95">
        <f>MAX(-f_yd,MIN(f_yd,200000*0.002*(1-$T95*(7*S$5-3*$F95)/(4*$F95))))-f_cd*(1-MIN(1,MAX(0,$T95*(7*S$5-3*$F95)/(4*$F95)))^2)</f>
        <v/>
      </c>
      <c r="T95">
        <f>MIN(1,2-(($C95+$D95)/2))</f>
        <v/>
      </c>
    </row>
    <row r="96">
      <c r="B96" s="59" t="n">
        <v>44</v>
      </c>
      <c r="C96" s="60">
        <f>IF($G95&lt;N_Ed,($C95+$D95)/2,$C95)</f>
        <v/>
      </c>
      <c r="D96" s="60">
        <f>IF($G95&lt;N_Ed,$D95,($C95+$D95)/2)</f>
        <v/>
      </c>
      <c r="E96" s="61">
        <f>IF($T96&gt;=1,$F96,3/7*h_col+4/7*h_col/MAX($T96,1E-12))</f>
        <v/>
      </c>
      <c r="F96" s="62">
        <f>h_col*MIN((($C96+$D96)/2),1)</f>
        <v/>
      </c>
      <c r="G96" s="62">
        <f>(f_cd*b_col*$F96*(3/7+4/7*(1-$T96^2/3))+SUMPRODUCT($J$6:$S$6,$J96:$S96))/1000</f>
        <v/>
      </c>
      <c r="H96" s="62">
        <f>(f_cd*b_col*(3/14*$F96*(h_col-3/7*$F96)+4/7*$F96*(h_col/2-3/7*$F96)*(1-$T96^2/3)-16/49*$F96^2*(1/2-$T96^2/4))+SUMPRODUCT($J$6:$S$6,$J96:$S96,$J$7:$S$7))/1E6</f>
        <v/>
      </c>
      <c r="J96">
        <f>MAX(-f_yd,MIN(f_yd,200000*0.002*(1-$T96*(7*J$5-3*$F96)/(4*$F96))))-f_cd*(1-MIN(1,MAX(0,$T96*(7*J$5-3*$F96)/(4*$F96)))^2)</f>
        <v/>
      </c>
      <c r="K96">
        <f>MAX(-f_yd,MIN(f_yd,200000*0.002*(1-$T96*(7*K$5-3*$F96)/(4*$F96))))-f_cd*(1-MIN(1,MAX(0,$T96*(7*K$5-3*$F96)/(4*$F96)))^2)</f>
        <v/>
      </c>
      <c r="L96">
        <f>MAX(-f_yd,MIN(f_yd,200000*0.002*(1-$T96*(7*L$5-3*$F96)/(4*$F96))))-f_cd*(1-MIN(1,MAX(0,$T96*(7*L$5-3*$F96)/(4*$F96)))^2)</f>
        <v/>
      </c>
      <c r="M96">
        <f>MAX(-f_yd,MIN(f_yd,200000*0.002*(1-$T96*(7*M$5-3*$F96)/(4*$F96))))-f_cd*(1-MIN(1,MAX(0,$T96*(7*M$5-3*$F96)/(4*$F96)))^2)</f>
        <v/>
      </c>
      <c r="N96">
        <f>MAX(-f_yd,MIN(f_yd,200000*0.002*(1-$T96*(7*N$5-3*$F96)/(4*$F96))))-f_cd*(1-MIN(1,MAX(0,$T96*(7*N$5-3*$F96)/(4*$F96)))^2)</f>
        <v/>
      </c>
      <c r="O96">
        <f>MAX(-f_yd,MIN(f_yd,200000*0.002*(1-$T96*(7*O$5-3*$F96)/(4*$F96))))-f_cd*(1-MIN(1,MAX(0,$T96*(7*O$5-3*$F96)/(4*$F96)))^2)</f>
        <v/>
      </c>
      <c r="P96">
        <f>MAX(-f_yd,MIN(f_yd,200000*0.002*(1-$T96*(7*P$5-3*$F96)/(4*$F96))))-f_cd*(1-MIN(1,MAX(0,$T96*(7*P$5-3*$F96)/(4*$F96)))^2)</f>
        <v/>
      </c>
      <c r="Q96">
        <f>MAX(-f_yd,MIN(f_yd,200000*0.002*(1-$T96*(7*Q$5-3*$F96)/(4*$F96))))-f_cd*(1-MIN(1,MAX(0,$T96*(7*Q$5-3*$F96)/(4*$F96)))^2)</f>
        <v/>
      </c>
      <c r="R96">
        <f>MAX(-f_yd,MIN(f_yd,200000*0.002*(1-$T96*(7*R$5-3*$F96)/(4*$F96))))-f_cd*(1-MIN(1,MAX(0,$T96*(7*R$5-3*$F96)/(4*$F96)))^2)</f>
        <v/>
      </c>
      <c r="S96">
        <f>MAX(-f_yd,MIN(f_yd,200000*0.002*(1-$T96*(7*S$5-3*$F96)/(4*$F96))))-f_cd*(1-MIN(1,MAX(0,$T96*(7*S$5-3*$F96)/(4*$F96)))^2)</f>
        <v/>
      </c>
      <c r="T96">
        <f>MIN(1,2-(($C96+$D96)/2))</f>
        <v/>
      </c>
    </row>
    <row r="97">
      <c r="B97" s="59" t="n">
        <v>45</v>
      </c>
      <c r="C97" s="60">
        <f>IF($G96&lt;N_Ed,($C96+$D96)/2,$C96)</f>
        <v/>
      </c>
      <c r="D97" s="60">
        <f>IF($G96&lt;N_Ed,$D96,($C96+$D96)/2)</f>
        <v/>
      </c>
      <c r="E97" s="61">
        <f>IF($T97&gt;=1,$F97,3/7*h_col+4/7*h_col/MAX($T97,1E-12))</f>
        <v/>
      </c>
      <c r="F97" s="62">
        <f>h_col*MIN((($C97+$D97)/2),1)</f>
        <v/>
      </c>
      <c r="G97" s="62">
        <f>(f_cd*b_col*$F97*(3/7+4/7*(1-$T97^2/3))+SUMPRODUCT($J$6:$S$6,$J97:$S97))/1000</f>
        <v/>
      </c>
      <c r="H97" s="62">
        <f>(f_cd*b_col*(3/14*$F97*(h_col-3/7*$F97)+4/7*$F97*(h_col/2-3/7*$F97)*(1-$T97^2/3)-16/49*$F97^2*(1/2-$T97^2/4))+SUMPRODUCT($J$6:$S$6,$J97:$S97,$J$7:$S$7))/1E6</f>
        <v/>
      </c>
      <c r="J97">
        <f>MAX(-f_yd,MIN(f_yd,200000*0.002*(1-$T97*(7*J$5-3*$F97)/(4*$F97))))-f_cd*(1-MIN(1,MAX(0,$T97*(7*J$5-3*$F97)/(4*$F97)))^2)</f>
        <v/>
      </c>
      <c r="K97">
        <f>MAX(-f_yd,MIN(f_yd,200000*0.002*(1-$T97*(7*K$5-3*$F97)/(4*$F97))))-f_cd*(1-MIN(1,MAX(0,$T97*(7*K$5-3*$F97)/(4*$F97)))^2)</f>
        <v/>
      </c>
      <c r="L97">
        <f>MAX(-f_yd,MIN(f_yd,200000*0.002*(1-$T97*(7*L$5-3*$F97)/(4*$F97))))-f_cd*(1-MIN(1,MAX(0,$T97*(7*L$5-3*$F97)/(4*$F97)))^2)</f>
        <v/>
      </c>
      <c r="M97">
        <f>MAX(-f_yd,MIN(f_yd,200000*0.002*(1-$T97*(7*M$5-3*$F97)/(4*$F97))))-f_cd*(1-MIN(1,MAX(0,$T97*(7*M$5-3*$F97)/(4*$F97)))^2)</f>
        <v/>
      </c>
      <c r="N97">
        <f>MAX(-f_yd,MIN(f_yd,200000*0.002*(1-$T97*(7*N$5-3*$F97)/(4*$F97))))-f_cd*(1-MIN(1,MAX(0,$T97*(7*N$5-3*$F97)/(4*$F97)))^2)</f>
        <v/>
      </c>
      <c r="O97">
        <f>MAX(-f_yd,MIN(f_yd,200000*0.002*(1-$T97*(7*O$5-3*$F97)/(4*$F97))))-f_cd*(1-MIN(1,MAX(0,$T97*(7*O$5-3*$F97)/(4*$F97)))^2)</f>
        <v/>
      </c>
      <c r="P97">
        <f>MAX(-f_yd,MIN(f_yd,200000*0.002*(1-$T97*(7*P$5-3*$F97)/(4*$F97))))-f_cd*(1-MIN(1,MAX(0,$T97*(7*P$5-3*$F97)/(4*$F97)))^2)</f>
        <v/>
      </c>
      <c r="Q97">
        <f>MAX(-f_yd,MIN(f_yd,200000*0.002*(1-$T97*(7*Q$5-3*$F97)/(4*$F97))))-f_cd*(1-MIN(1,MAX(0,$T97*(7*Q$5-3*$F97)/(4*$F97)))^2)</f>
        <v/>
      </c>
      <c r="R97">
        <f>MAX(-f_yd,MIN(f_yd,200000*0.002*(1-$T97*(7*R$5-3*$F97)/(4*$F97))))-f_cd*(1-MIN(1,MAX(0,$T97*(7*R$5-3*$F97)/(4*$F97)))^2)</f>
        <v/>
      </c>
      <c r="S97">
        <f>MAX(-f_yd,MIN(f_yd,200000*0.002*(1-$T97*(7*S$5-3*$F97)/(4*$F97))))-f_cd*(1-MIN(1,MAX(0,$T97*(7*S$5-3*$F97)/(4*$F97)))^2)</f>
        <v/>
      </c>
      <c r="T97">
        <f>MIN(1,2-(($C97+$D97)/2))</f>
        <v/>
      </c>
    </row>
    <row r="98">
      <c r="B98" s="59" t="n">
        <v>46</v>
      </c>
      <c r="C98" s="60">
        <f>IF($G97&lt;N_Ed,($C97+$D97)/2,$C97)</f>
        <v/>
      </c>
      <c r="D98" s="60">
        <f>IF($G97&lt;N_Ed,$D97,($C97+$D97)/2)</f>
        <v/>
      </c>
      <c r="E98" s="61">
        <f>IF($T98&gt;=1,$F98,3/7*h_col+4/7*h_col/MAX($T98,1E-12))</f>
        <v/>
      </c>
      <c r="F98" s="62">
        <f>h_col*MIN((($C98+$D98)/2),1)</f>
        <v/>
      </c>
      <c r="G98" s="62">
        <f>(f_cd*b_col*$F98*(3/7+4/7*(1-$T98^2/3))+SUMPRODUCT($J$6:$S$6,$J98:$S98))/1000</f>
        <v/>
      </c>
      <c r="H98" s="62">
        <f>(f_cd*b_col*(3/14*$F98*(h_col-3/7*$F98)+4/7*$F98*(h_col/2-3/7*$F98)*(1-$T98^2/3)-16/49*$F98^2*(1/2-$T98^2/4))+SUMPRODUCT($J$6:$S$6,$J98:$S98,$J$7:$S$7))/1E6</f>
        <v/>
      </c>
      <c r="J98">
        <f>MAX(-f_yd,MIN(f_yd,200000*0.002*(1-$T98*(7*J$5-3*$F98)/(4*$F98))))-f_cd*(1-MIN(1,MAX(0,$T98*(7*J$5-3*$F98)/(4*$F98)))^2)</f>
        <v/>
      </c>
      <c r="K98">
        <f>MAX(-f_yd,MIN(f_yd,200000*0.002*(1-$T98*(7*K$5-3*$F98)/(4*$F98))))-f_cd*(1-MIN(1,MAX(0,$T98*(7*K$5-3*$F98)/(4*$F98)))^2)</f>
        <v/>
      </c>
      <c r="L98">
        <f>MAX(-f_yd,MIN(f_yd,200000*0.002*(1-$T98*(7*L$5-3*$F98)/(4*$F98))))-f_cd*(1-MIN(1,MAX(0,$T98*(7*L$5-3*$F98)/(4*$F98)))^2)</f>
        <v/>
      </c>
      <c r="M98">
        <f>MAX(-f_yd,MIN(f_yd,200000*0.002*(1-$T98*(7*M$5-3*$F98)/(4*$F98))))-f_cd*(1-MIN(1,MAX(0,$T98*(7*M$5-3*$F98)/(4*$F98)))^2)</f>
        <v/>
      </c>
      <c r="N98">
        <f>MAX(-f_yd,MIN(f_yd,200000*0.002*(1-$T98*(7*N$5-3*$F98)/(4*$F98))))-f_cd*(1-MIN(1,MAX(0,$T98*(7*N$5-3*$F98)/(4*$F98)))^2)</f>
        <v/>
      </c>
      <c r="O98">
        <f>MAX(-f_yd,MIN(f_yd,200000*0.002*(1-$T98*(7*O$5-3*$F98)/(4*$F98))))-f_cd*(1-MIN(1,MAX(0,$T98*(7*O$5-3*$F98)/(4*$F98)))^2)</f>
        <v/>
      </c>
      <c r="P98">
        <f>MAX(-f_yd,MIN(f_yd,200000*0.002*(1-$T98*(7*P$5-3*$F98)/(4*$F98))))-f_cd*(1-MIN(1,MAX(0,$T98*(7*P$5-3*$F98)/(4*$F98)))^2)</f>
        <v/>
      </c>
      <c r="Q98">
        <f>MAX(-f_yd,MIN(f_yd,200000*0.002*(1-$T98*(7*Q$5-3*$F98)/(4*$F98))))-f_cd*(1-MIN(1,MAX(0,$T98*(7*Q$5-3*$F98)/(4*$F98)))^2)</f>
        <v/>
      </c>
      <c r="R98">
        <f>MAX(-f_yd,MIN(f_yd,200000*0.002*(1-$T98*(7*R$5-3*$F98)/(4*$F98))))-f_cd*(1-MIN(1,MAX(0,$T98*(7*R$5-3*$F98)/(4*$F98)))^2)</f>
        <v/>
      </c>
      <c r="S98">
        <f>MAX(-f_yd,MIN(f_yd,200000*0.002*(1-$T98*(7*S$5-3*$F98)/(4*$F98))))-f_cd*(1-MIN(1,MAX(0,$T98*(7*S$5-3*$F98)/(4*$F98)))^2)</f>
        <v/>
      </c>
      <c r="T98">
        <f>MIN(1,2-(($C98+$D98)/2))</f>
        <v/>
      </c>
    </row>
    <row r="99">
      <c r="B99" s="59" t="n">
        <v>47</v>
      </c>
      <c r="C99" s="60">
        <f>IF($G98&lt;N_Ed,($C98+$D98)/2,$C98)</f>
        <v/>
      </c>
      <c r="D99" s="60">
        <f>IF($G98&lt;N_Ed,$D98,($C98+$D98)/2)</f>
        <v/>
      </c>
      <c r="E99" s="61">
        <f>IF($T99&gt;=1,$F99,3/7*h_col+4/7*h_col/MAX($T99,1E-12))</f>
        <v/>
      </c>
      <c r="F99" s="62">
        <f>h_col*MIN((($C99+$D99)/2),1)</f>
        <v/>
      </c>
      <c r="G99" s="62">
        <f>(f_cd*b_col*$F99*(3/7+4/7*(1-$T99^2/3))+SUMPRODUCT($J$6:$S$6,$J99:$S99))/1000</f>
        <v/>
      </c>
      <c r="H99" s="62">
        <f>(f_cd*b_col*(3/14*$F99*(h_col-3/7*$F99)+4/7*$F99*(h_col/2-3/7*$F99)*(1-$T99^2/3)-16/49*$F99^2*(1/2-$T99^2/4))+SUMPRODUCT($J$6:$S$6,$J99:$S99,$J$7:$S$7))/1E6</f>
        <v/>
      </c>
      <c r="J99">
        <f>MAX(-f_yd,MIN(f_yd,200000*0.002*(1-$T99*(7*J$5-3*$F99)/(4*$F99))))-f_cd*(1-MIN(1,MAX(0,$T99*(7*J$5-3*$F99)/(4*$F99)))^2)</f>
        <v/>
      </c>
      <c r="K99">
        <f>MAX(-f_yd,MIN(f_yd,200000*0.002*(1-$T99*(7*K$5-3*$F99)/(4*$F99))))-f_cd*(1-MIN(1,MAX(0,$T99*(7*K$5-3*$F99)/(4*$F99)))^2)</f>
        <v/>
      </c>
      <c r="L99">
        <f>MAX(-f_yd,MIN(f_yd,200000*0.002*(1-$T99*(7*L$5-3*$F99)/(4*$F99))))-f_cd*(1-MIN(1,MAX(0,$T99*(7*L$5-3*$F99)/(4*$F99)))^2)</f>
        <v/>
      </c>
      <c r="M99">
        <f>MAX(-f_yd,MIN(f_yd,200000*0.002*(1-$T99*(7*M$5-3*$F99)/(4*$F99))))-f_cd*(1-MIN(1,MAX(0,$T99*(7*M$5-3*$F99)/(4*$F99)))^2)</f>
        <v/>
      </c>
      <c r="N99">
        <f>MAX(-f_yd,MIN(f_yd,200000*0.002*(1-$T99*(7*N$5-3*$F99)/(4*$F99))))-f_cd*(1-MIN(1,MAX(0,$T99*(7*N$5-3*$F99)/(4*$F99)))^2)</f>
        <v/>
      </c>
      <c r="O99">
        <f>MAX(-f_yd,MIN(f_yd,200000*0.002*(1-$T99*(7*O$5-3*$F99)/(4*$F99))))-f_cd*(1-MIN(1,MAX(0,$T99*(7*O$5-3*$F99)/(4*$F99)))^2)</f>
        <v/>
      </c>
      <c r="P99">
        <f>MAX(-f_yd,MIN(f_yd,200000*0.002*(1-$T99*(7*P$5-3*$F99)/(4*$F99))))-f_cd*(1-MIN(1,MAX(0,$T99*(7*P$5-3*$F99)/(4*$F99)))^2)</f>
        <v/>
      </c>
      <c r="Q99">
        <f>MAX(-f_yd,MIN(f_yd,200000*0.002*(1-$T99*(7*Q$5-3*$F99)/(4*$F99))))-f_cd*(1-MIN(1,MAX(0,$T99*(7*Q$5-3*$F99)/(4*$F99)))^2)</f>
        <v/>
      </c>
      <c r="R99">
        <f>MAX(-f_yd,MIN(f_yd,200000*0.002*(1-$T99*(7*R$5-3*$F99)/(4*$F99))))-f_cd*(1-MIN(1,MAX(0,$T99*(7*R$5-3*$F99)/(4*$F99)))^2)</f>
        <v/>
      </c>
      <c r="S99">
        <f>MAX(-f_yd,MIN(f_yd,200000*0.002*(1-$T99*(7*S$5-3*$F99)/(4*$F99))))-f_cd*(1-MIN(1,MAX(0,$T99*(7*S$5-3*$F99)/(4*$F99)))^2)</f>
        <v/>
      </c>
      <c r="T99">
        <f>MIN(1,2-(($C99+$D99)/2))</f>
        <v/>
      </c>
    </row>
    <row r="100">
      <c r="B100" s="59" t="n">
        <v>48</v>
      </c>
      <c r="C100" s="60">
        <f>IF($G99&lt;N_Ed,($C99+$D99)/2,$C99)</f>
        <v/>
      </c>
      <c r="D100" s="60">
        <f>IF($G99&lt;N_Ed,$D99,($C99+$D99)/2)</f>
        <v/>
      </c>
      <c r="E100" s="61">
        <f>IF($T100&gt;=1,$F100,3/7*h_col+4/7*h_col/MAX($T100,1E-12))</f>
        <v/>
      </c>
      <c r="F100" s="62">
        <f>h_col*MIN((($C100+$D100)/2),1)</f>
        <v/>
      </c>
      <c r="G100" s="62">
        <f>(f_cd*b_col*$F100*(3/7+4/7*(1-$T100^2/3))+SUMPRODUCT($J$6:$S$6,$J100:$S100))/1000</f>
        <v/>
      </c>
      <c r="H100" s="62">
        <f>(f_cd*b_col*(3/14*$F100*(h_col-3/7*$F100)+4/7*$F100*(h_col/2-3/7*$F100)*(1-$T100^2/3)-16/49*$F100^2*(1/2-$T100^2/4))+SUMPRODUCT($J$6:$S$6,$J100:$S100,$J$7:$S$7))/1E6</f>
        <v/>
      </c>
      <c r="J100">
        <f>MAX(-f_yd,MIN(f_yd,200000*0.002*(1-$T100*(7*J$5-3*$F100)/(4*$F100))))-f_cd*(1-MIN(1,MAX(0,$T100*(7*J$5-3*$F100)/(4*$F100)))^2)</f>
        <v/>
      </c>
      <c r="K100">
        <f>MAX(-f_yd,MIN(f_yd,200000*0.002*(1-$T100*(7*K$5-3*$F100)/(4*$F100))))-f_cd*(1-MIN(1,MAX(0,$T100*(7*K$5-3*$F100)/(4*$F100)))^2)</f>
        <v/>
      </c>
      <c r="L100">
        <f>MAX(-f_yd,MIN(f_yd,200000*0.002*(1-$T100*(7*L$5-3*$F100)/(4*$F100))))-f_cd*(1-MIN(1,MAX(0,$T100*(7*L$5-3*$F100)/(4*$F100)))^2)</f>
        <v/>
      </c>
      <c r="M100">
        <f>MAX(-f_yd,MIN(f_yd,200000*0.002*(1-$T100*(7*M$5-3*$F100)/(4*$F100))))-f_cd*(1-MIN(1,MAX(0,$T100*(7*M$5-3*$F100)/(4*$F100)))^2)</f>
        <v/>
      </c>
      <c r="N100">
        <f>MAX(-f_yd,MIN(f_yd,200000*0.002*(1-$T100*(7*N$5-3*$F100)/(4*$F100))))-f_cd*(1-MIN(1,MAX(0,$T100*(7*N$5-3*$F100)/(4*$F100)))^2)</f>
        <v/>
      </c>
      <c r="O100">
        <f>MAX(-f_yd,MIN(f_yd,200000*0.002*(1-$T100*(7*O$5-3*$F100)/(4*$F100))))-f_cd*(1-MIN(1,MAX(0,$T100*(7*O$5-3*$F100)/(4*$F100)))^2)</f>
        <v/>
      </c>
      <c r="P100">
        <f>MAX(-f_yd,MIN(f_yd,200000*0.002*(1-$T100*(7*P$5-3*$F100)/(4*$F100))))-f_cd*(1-MIN(1,MAX(0,$T100*(7*P$5-3*$F100)/(4*$F100)))^2)</f>
        <v/>
      </c>
      <c r="Q100">
        <f>MAX(-f_yd,MIN(f_yd,200000*0.002*(1-$T100*(7*Q$5-3*$F100)/(4*$F100))))-f_cd*(1-MIN(1,MAX(0,$T100*(7*Q$5-3*$F100)/(4*$F100)))^2)</f>
        <v/>
      </c>
      <c r="R100">
        <f>MAX(-f_yd,MIN(f_yd,200000*0.002*(1-$T100*(7*R$5-3*$F100)/(4*$F100))))-f_cd*(1-MIN(1,MAX(0,$T100*(7*R$5-3*$F100)/(4*$F100)))^2)</f>
        <v/>
      </c>
      <c r="S100">
        <f>MAX(-f_yd,MIN(f_yd,200000*0.002*(1-$T100*(7*S$5-3*$F100)/(4*$F100))))-f_cd*(1-MIN(1,MAX(0,$T100*(7*S$5-3*$F100)/(4*$F100)))^2)</f>
        <v/>
      </c>
      <c r="T100">
        <f>MIN(1,2-(($C100+$D100)/2))</f>
        <v/>
      </c>
    </row>
    <row r="101">
      <c r="B101" s="59" t="n">
        <v>49</v>
      </c>
      <c r="C101" s="60">
        <f>IF($G100&lt;N_Ed,($C100+$D100)/2,$C100)</f>
        <v/>
      </c>
      <c r="D101" s="60">
        <f>IF($G100&lt;N_Ed,$D100,($C100+$D100)/2)</f>
        <v/>
      </c>
      <c r="E101" s="61">
        <f>IF($T101&gt;=1,$F101,3/7*h_col+4/7*h_col/MAX($T101,1E-12))</f>
        <v/>
      </c>
      <c r="F101" s="62">
        <f>h_col*MIN((($C101+$D101)/2),1)</f>
        <v/>
      </c>
      <c r="G101" s="62">
        <f>(f_cd*b_col*$F101*(3/7+4/7*(1-$T101^2/3))+SUMPRODUCT($J$6:$S$6,$J101:$S101))/1000</f>
        <v/>
      </c>
      <c r="H101" s="62">
        <f>(f_cd*b_col*(3/14*$F101*(h_col-3/7*$F101)+4/7*$F101*(h_col/2-3/7*$F101)*(1-$T101^2/3)-16/49*$F101^2*(1/2-$T101^2/4))+SUMPRODUCT($J$6:$S$6,$J101:$S101,$J$7:$S$7))/1E6</f>
        <v/>
      </c>
      <c r="J101">
        <f>MAX(-f_yd,MIN(f_yd,200000*0.002*(1-$T101*(7*J$5-3*$F101)/(4*$F101))))-f_cd*(1-MIN(1,MAX(0,$T101*(7*J$5-3*$F101)/(4*$F101)))^2)</f>
        <v/>
      </c>
      <c r="K101">
        <f>MAX(-f_yd,MIN(f_yd,200000*0.002*(1-$T101*(7*K$5-3*$F101)/(4*$F101))))-f_cd*(1-MIN(1,MAX(0,$T101*(7*K$5-3*$F101)/(4*$F101)))^2)</f>
        <v/>
      </c>
      <c r="L101">
        <f>MAX(-f_yd,MIN(f_yd,200000*0.002*(1-$T101*(7*L$5-3*$F101)/(4*$F101))))-f_cd*(1-MIN(1,MAX(0,$T101*(7*L$5-3*$F101)/(4*$F101)))^2)</f>
        <v/>
      </c>
      <c r="M101">
        <f>MAX(-f_yd,MIN(f_yd,200000*0.002*(1-$T101*(7*M$5-3*$F101)/(4*$F101))))-f_cd*(1-MIN(1,MAX(0,$T101*(7*M$5-3*$F101)/(4*$F101)))^2)</f>
        <v/>
      </c>
      <c r="N101">
        <f>MAX(-f_yd,MIN(f_yd,200000*0.002*(1-$T101*(7*N$5-3*$F101)/(4*$F101))))-f_cd*(1-MIN(1,MAX(0,$T101*(7*N$5-3*$F101)/(4*$F101)))^2)</f>
        <v/>
      </c>
      <c r="O101">
        <f>MAX(-f_yd,MIN(f_yd,200000*0.002*(1-$T101*(7*O$5-3*$F101)/(4*$F101))))-f_cd*(1-MIN(1,MAX(0,$T101*(7*O$5-3*$F101)/(4*$F101)))^2)</f>
        <v/>
      </c>
      <c r="P101">
        <f>MAX(-f_yd,MIN(f_yd,200000*0.002*(1-$T101*(7*P$5-3*$F101)/(4*$F101))))-f_cd*(1-MIN(1,MAX(0,$T101*(7*P$5-3*$F101)/(4*$F101)))^2)</f>
        <v/>
      </c>
      <c r="Q101">
        <f>MAX(-f_yd,MIN(f_yd,200000*0.002*(1-$T101*(7*Q$5-3*$F101)/(4*$F101))))-f_cd*(1-MIN(1,MAX(0,$T101*(7*Q$5-3*$F101)/(4*$F101)))^2)</f>
        <v/>
      </c>
      <c r="R101">
        <f>MAX(-f_yd,MIN(f_yd,200000*0.002*(1-$T101*(7*R$5-3*$F101)/(4*$F101))))-f_cd*(1-MIN(1,MAX(0,$T101*(7*R$5-3*$F101)/(4*$F101)))^2)</f>
        <v/>
      </c>
      <c r="S101">
        <f>MAX(-f_yd,MIN(f_yd,200000*0.002*(1-$T101*(7*S$5-3*$F101)/(4*$F101))))-f_cd*(1-MIN(1,MAX(0,$T101*(7*S$5-3*$F101)/(4*$F101)))^2)</f>
        <v/>
      </c>
      <c r="T101">
        <f>MIN(1,2-(($C101+$D101)/2))</f>
        <v/>
      </c>
    </row>
    <row r="102">
      <c r="B102" s="59" t="n">
        <v>50</v>
      </c>
      <c r="C102" s="60">
        <f>IF($G101&lt;N_Ed,($C101+$D101)/2,$C101)</f>
        <v/>
      </c>
      <c r="D102" s="60">
        <f>IF($G101&lt;N_Ed,$D101,($C101+$D101)/2)</f>
        <v/>
      </c>
      <c r="E102" s="61">
        <f>IF($T102&gt;=1,$F102,3/7*h_col+4/7*h_col/MAX($T102,1E-12))</f>
        <v/>
      </c>
      <c r="F102" s="62">
        <f>h_col*MIN((($C102+$D102)/2),1)</f>
        <v/>
      </c>
      <c r="G102" s="62">
        <f>(f_cd*b_col*$F102*(3/7+4/7*(1-$T102^2/3))+SUMPRODUCT($J$6:$S$6,$J102:$S102))/1000</f>
        <v/>
      </c>
      <c r="H102" s="62">
        <f>(f_cd*b_col*(3/14*$F102*(h_col-3/7*$F102)+4/7*$F102*(h_col/2-3/7*$F102)*(1-$T102^2/3)-16/49*$F102^2*(1/2-$T102^2/4))+SUMPRODUCT($J$6:$S$6,$J102:$S102,$J$7:$S$7))/1E6</f>
        <v/>
      </c>
      <c r="J102">
        <f>MAX(-f_yd,MIN(f_yd,200000*0.002*(1-$T102*(7*J$5-3*$F102)/(4*$F102))))-f_cd*(1-MIN(1,MAX(0,$T102*(7*J$5-3*$F102)/(4*$F102)))^2)</f>
        <v/>
      </c>
      <c r="K102">
        <f>MAX(-f_yd,MIN(f_yd,200000*0.002*(1-$T102*(7*K$5-3*$F102)/(4*$F102))))-f_cd*(1-MIN(1,MAX(0,$T102*(7*K$5-3*$F102)/(4*$F102)))^2)</f>
        <v/>
      </c>
      <c r="L102">
        <f>MAX(-f_yd,MIN(f_yd,200000*0.002*(1-$T102*(7*L$5-3*$F102)/(4*$F102))))-f_cd*(1-MIN(1,MAX(0,$T102*(7*L$5-3*$F102)/(4*$F102)))^2)</f>
        <v/>
      </c>
      <c r="M102">
        <f>MAX(-f_yd,MIN(f_yd,200000*0.002*(1-$T102*(7*M$5-3*$F102)/(4*$F102))))-f_cd*(1-MIN(1,MAX(0,$T102*(7*M$5-3*$F102)/(4*$F102)))^2)</f>
        <v/>
      </c>
      <c r="N102">
        <f>MAX(-f_yd,MIN(f_yd,200000*0.002*(1-$T102*(7*N$5-3*$F102)/(4*$F102))))-f_cd*(1-MIN(1,MAX(0,$T102*(7*N$5-3*$F102)/(4*$F102)))^2)</f>
        <v/>
      </c>
      <c r="O102">
        <f>MAX(-f_yd,MIN(f_yd,200000*0.002*(1-$T102*(7*O$5-3*$F102)/(4*$F102))))-f_cd*(1-MIN(1,MAX(0,$T102*(7*O$5-3*$F102)/(4*$F102)))^2)</f>
        <v/>
      </c>
      <c r="P102">
        <f>MAX(-f_yd,MIN(f_yd,200000*0.002*(1-$T102*(7*P$5-3*$F102)/(4*$F102))))-f_cd*(1-MIN(1,MAX(0,$T102*(7*P$5-3*$F102)/(4*$F102)))^2)</f>
        <v/>
      </c>
      <c r="Q102">
        <f>MAX(-f_yd,MIN(f_yd,200000*0.002*(1-$T102*(7*Q$5-3*$F102)/(4*$F102))))-f_cd*(1-MIN(1,MAX(0,$T102*(7*Q$5-3*$F102)/(4*$F102)))^2)</f>
        <v/>
      </c>
      <c r="R102">
        <f>MAX(-f_yd,MIN(f_yd,200000*0.002*(1-$T102*(7*R$5-3*$F102)/(4*$F102))))-f_cd*(1-MIN(1,MAX(0,$T102*(7*R$5-3*$F102)/(4*$F102)))^2)</f>
        <v/>
      </c>
      <c r="S102">
        <f>MAX(-f_yd,MIN(f_yd,200000*0.002*(1-$T102*(7*S$5-3*$F102)/(4*$F102))))-f_cd*(1-MIN(1,MAX(0,$T102*(7*S$5-3*$F102)/(4*$F102)))^2)</f>
        <v/>
      </c>
      <c r="T102">
        <f>MIN(1,2-(($C102+$D102)/2))</f>
        <v/>
      </c>
    </row>
    <row r="103">
      <c r="B103" s="59" t="n">
        <v>51</v>
      </c>
      <c r="C103" s="60">
        <f>IF($G102&lt;N_Ed,($C102+$D102)/2,$C102)</f>
        <v/>
      </c>
      <c r="D103" s="60">
        <f>IF($G102&lt;N_Ed,$D102,($C102+$D102)/2)</f>
        <v/>
      </c>
      <c r="E103" s="61">
        <f>IF($T103&gt;=1,$F103,3/7*h_col+4/7*h_col/MAX($T103,1E-12))</f>
        <v/>
      </c>
      <c r="F103" s="62">
        <f>h_col*MIN((($C103+$D103)/2),1)</f>
        <v/>
      </c>
      <c r="G103" s="62">
        <f>(f_cd*b_col*$F103*(3/7+4/7*(1-$T103^2/3))+SUMPRODUCT($J$6:$S$6,$J103:$S103))/1000</f>
        <v/>
      </c>
      <c r="H103" s="62">
        <f>(f_cd*b_col*(3/14*$F103*(h_col-3/7*$F103)+4/7*$F103*(h_col/2-3/7*$F103)*(1-$T103^2/3)-16/49*$F103^2*(1/2-$T103^2/4))+SUMPRODUCT($J$6:$S$6,$J103:$S103,$J$7:$S$7))/1E6</f>
        <v/>
      </c>
      <c r="J103">
        <f>MAX(-f_yd,MIN(f_yd,200000*0.002*(1-$T103*(7*J$5-3*$F103)/(4*$F103))))-f_cd*(1-MIN(1,MAX(0,$T103*(7*J$5-3*$F103)/(4*$F103)))^2)</f>
        <v/>
      </c>
      <c r="K103">
        <f>MAX(-f_yd,MIN(f_yd,200000*0.002*(1-$T103*(7*K$5-3*$F103)/(4*$F103))))-f_cd*(1-MIN(1,MAX(0,$T103*(7*K$5-3*$F103)/(4*$F103)))^2)</f>
        <v/>
      </c>
      <c r="L103">
        <f>MAX(-f_yd,MIN(f_yd,200000*0.002*(1-$T103*(7*L$5-3*$F103)/(4*$F103))))-f_cd*(1-MIN(1,MAX(0,$T103*(7*L$5-3*$F103)/(4*$F103)))^2)</f>
        <v/>
      </c>
      <c r="M103">
        <f>MAX(-f_yd,MIN(f_yd,200000*0.002*(1-$T103*(7*M$5-3*$F103)/(4*$F103))))-f_cd*(1-MIN(1,MAX(0,$T103*(7*M$5-3*$F103)/(4*$F103)))^2)</f>
        <v/>
      </c>
      <c r="N103">
        <f>MAX(-f_yd,MIN(f_yd,200000*0.002*(1-$T103*(7*N$5-3*$F103)/(4*$F103))))-f_cd*(1-MIN(1,MAX(0,$T103*(7*N$5-3*$F103)/(4*$F103)))^2)</f>
        <v/>
      </c>
      <c r="O103">
        <f>MAX(-f_yd,MIN(f_yd,200000*0.002*(1-$T103*(7*O$5-3*$F103)/(4*$F103))))-f_cd*(1-MIN(1,MAX(0,$T103*(7*O$5-3*$F103)/(4*$F103)))^2)</f>
        <v/>
      </c>
      <c r="P103">
        <f>MAX(-f_yd,MIN(f_yd,200000*0.002*(1-$T103*(7*P$5-3*$F103)/(4*$F103))))-f_cd*(1-MIN(1,MAX(0,$T103*(7*P$5-3*$F103)/(4*$F103)))^2)</f>
        <v/>
      </c>
      <c r="Q103">
        <f>MAX(-f_yd,MIN(f_yd,200000*0.002*(1-$T103*(7*Q$5-3*$F103)/(4*$F103))))-f_cd*(1-MIN(1,MAX(0,$T103*(7*Q$5-3*$F103)/(4*$F103)))^2)</f>
        <v/>
      </c>
      <c r="R103">
        <f>MAX(-f_yd,MIN(f_yd,200000*0.002*(1-$T103*(7*R$5-3*$F103)/(4*$F103))))-f_cd*(1-MIN(1,MAX(0,$T103*(7*R$5-3*$F103)/(4*$F103)))^2)</f>
        <v/>
      </c>
      <c r="S103">
        <f>MAX(-f_yd,MIN(f_yd,200000*0.002*(1-$T103*(7*S$5-3*$F103)/(4*$F103))))-f_cd*(1-MIN(1,MAX(0,$T103*(7*S$5-3*$F103)/(4*$F103)))^2)</f>
        <v/>
      </c>
      <c r="T103">
        <f>MIN(1,2-(($C103+$D103)/2))</f>
        <v/>
      </c>
    </row>
    <row r="104">
      <c r="B104" s="59" t="n">
        <v>52</v>
      </c>
      <c r="C104" s="60">
        <f>IF($G103&lt;N_Ed,($C103+$D103)/2,$C103)</f>
        <v/>
      </c>
      <c r="D104" s="60">
        <f>IF($G103&lt;N_Ed,$D103,($C103+$D103)/2)</f>
        <v/>
      </c>
      <c r="E104" s="61">
        <f>IF($T104&gt;=1,$F104,3/7*h_col+4/7*h_col/MAX($T104,1E-12))</f>
        <v/>
      </c>
      <c r="F104" s="62">
        <f>h_col*MIN((($C104+$D104)/2),1)</f>
        <v/>
      </c>
      <c r="G104" s="62">
        <f>(f_cd*b_col*$F104*(3/7+4/7*(1-$T104^2/3))+SUMPRODUCT($J$6:$S$6,$J104:$S104))/1000</f>
        <v/>
      </c>
      <c r="H104" s="62">
        <f>(f_cd*b_col*(3/14*$F104*(h_col-3/7*$F104)+4/7*$F104*(h_col/2-3/7*$F104)*(1-$T104^2/3)-16/49*$F104^2*(1/2-$T104^2/4))+SUMPRODUCT($J$6:$S$6,$J104:$S104,$J$7:$S$7))/1E6</f>
        <v/>
      </c>
      <c r="J104">
        <f>MAX(-f_yd,MIN(f_yd,200000*0.002*(1-$T104*(7*J$5-3*$F104)/(4*$F104))))-f_cd*(1-MIN(1,MAX(0,$T104*(7*J$5-3*$F104)/(4*$F104)))^2)</f>
        <v/>
      </c>
      <c r="K104">
        <f>MAX(-f_yd,MIN(f_yd,200000*0.002*(1-$T104*(7*K$5-3*$F104)/(4*$F104))))-f_cd*(1-MIN(1,MAX(0,$T104*(7*K$5-3*$F104)/(4*$F104)))^2)</f>
        <v/>
      </c>
      <c r="L104">
        <f>MAX(-f_yd,MIN(f_yd,200000*0.002*(1-$T104*(7*L$5-3*$F104)/(4*$F104))))-f_cd*(1-MIN(1,MAX(0,$T104*(7*L$5-3*$F104)/(4*$F104)))^2)</f>
        <v/>
      </c>
      <c r="M104">
        <f>MAX(-f_yd,MIN(f_yd,200000*0.002*(1-$T104*(7*M$5-3*$F104)/(4*$F104))))-f_cd*(1-MIN(1,MAX(0,$T104*(7*M$5-3*$F104)/(4*$F104)))^2)</f>
        <v/>
      </c>
      <c r="N104">
        <f>MAX(-f_yd,MIN(f_yd,200000*0.002*(1-$T104*(7*N$5-3*$F104)/(4*$F104))))-f_cd*(1-MIN(1,MAX(0,$T104*(7*N$5-3*$F104)/(4*$F104)))^2)</f>
        <v/>
      </c>
      <c r="O104">
        <f>MAX(-f_yd,MIN(f_yd,200000*0.002*(1-$T104*(7*O$5-3*$F104)/(4*$F104))))-f_cd*(1-MIN(1,MAX(0,$T104*(7*O$5-3*$F104)/(4*$F104)))^2)</f>
        <v/>
      </c>
      <c r="P104">
        <f>MAX(-f_yd,MIN(f_yd,200000*0.002*(1-$T104*(7*P$5-3*$F104)/(4*$F104))))-f_cd*(1-MIN(1,MAX(0,$T104*(7*P$5-3*$F104)/(4*$F104)))^2)</f>
        <v/>
      </c>
      <c r="Q104">
        <f>MAX(-f_yd,MIN(f_yd,200000*0.002*(1-$T104*(7*Q$5-3*$F104)/(4*$F104))))-f_cd*(1-MIN(1,MAX(0,$T104*(7*Q$5-3*$F104)/(4*$F104)))^2)</f>
        <v/>
      </c>
      <c r="R104">
        <f>MAX(-f_yd,MIN(f_yd,200000*0.002*(1-$T104*(7*R$5-3*$F104)/(4*$F104))))-f_cd*(1-MIN(1,MAX(0,$T104*(7*R$5-3*$F104)/(4*$F104)))^2)</f>
        <v/>
      </c>
      <c r="S104">
        <f>MAX(-f_yd,MIN(f_yd,200000*0.002*(1-$T104*(7*S$5-3*$F104)/(4*$F104))))-f_cd*(1-MIN(1,MAX(0,$T104*(7*S$5-3*$F104)/(4*$F104)))^2)</f>
        <v/>
      </c>
      <c r="T104">
        <f>MIN(1,2-(($C104+$D104)/2))</f>
        <v/>
      </c>
    </row>
    <row r="105">
      <c r="B105" s="59" t="n">
        <v>53</v>
      </c>
      <c r="C105" s="60">
        <f>IF($G104&lt;N_Ed,($C104+$D104)/2,$C104)</f>
        <v/>
      </c>
      <c r="D105" s="60">
        <f>IF($G104&lt;N_Ed,$D104,($C104+$D104)/2)</f>
        <v/>
      </c>
      <c r="E105" s="61">
        <f>IF($T105&gt;=1,$F105,3/7*h_col+4/7*h_col/MAX($T105,1E-12))</f>
        <v/>
      </c>
      <c r="F105" s="62">
        <f>h_col*MIN((($C105+$D105)/2),1)</f>
        <v/>
      </c>
      <c r="G105" s="62">
        <f>(f_cd*b_col*$F105*(3/7+4/7*(1-$T105^2/3))+SUMPRODUCT($J$6:$S$6,$J105:$S105))/1000</f>
        <v/>
      </c>
      <c r="H105" s="62">
        <f>(f_cd*b_col*(3/14*$F105*(h_col-3/7*$F105)+4/7*$F105*(h_col/2-3/7*$F105)*(1-$T105^2/3)-16/49*$F105^2*(1/2-$T105^2/4))+SUMPRODUCT($J$6:$S$6,$J105:$S105,$J$7:$S$7))/1E6</f>
        <v/>
      </c>
      <c r="J105">
        <f>MAX(-f_yd,MIN(f_yd,200000*0.002*(1-$T105*(7*J$5-3*$F105)/(4*$F105))))-f_cd*(1-MIN(1,MAX(0,$T105*(7*J$5-3*$F105)/(4*$F105)))^2)</f>
        <v/>
      </c>
      <c r="K105">
        <f>MAX(-f_yd,MIN(f_yd,200000*0.002*(1-$T105*(7*K$5-3*$F105)/(4*$F105))))-f_cd*(1-MIN(1,MAX(0,$T105*(7*K$5-3*$F105)/(4*$F105)))^2)</f>
        <v/>
      </c>
      <c r="L105">
        <f>MAX(-f_yd,MIN(f_yd,200000*0.002*(1-$T105*(7*L$5-3*$F105)/(4*$F105))))-f_cd*(1-MIN(1,MAX(0,$T105*(7*L$5-3*$F105)/(4*$F105)))^2)</f>
        <v/>
      </c>
      <c r="M105">
        <f>MAX(-f_yd,MIN(f_yd,200000*0.002*(1-$T105*(7*M$5-3*$F105)/(4*$F105))))-f_cd*(1-MIN(1,MAX(0,$T105*(7*M$5-3*$F105)/(4*$F105)))^2)</f>
        <v/>
      </c>
      <c r="N105">
        <f>MAX(-f_yd,MIN(f_yd,200000*0.002*(1-$T105*(7*N$5-3*$F105)/(4*$F105))))-f_cd*(1-MIN(1,MAX(0,$T105*(7*N$5-3*$F105)/(4*$F105)))^2)</f>
        <v/>
      </c>
      <c r="O105">
        <f>MAX(-f_yd,MIN(f_yd,200000*0.002*(1-$T105*(7*O$5-3*$F105)/(4*$F105))))-f_cd*(1-MIN(1,MAX(0,$T105*(7*O$5-3*$F105)/(4*$F105)))^2)</f>
        <v/>
      </c>
      <c r="P105">
        <f>MAX(-f_yd,MIN(f_yd,200000*0.002*(1-$T105*(7*P$5-3*$F105)/(4*$F105))))-f_cd*(1-MIN(1,MAX(0,$T105*(7*P$5-3*$F105)/(4*$F105)))^2)</f>
        <v/>
      </c>
      <c r="Q105">
        <f>MAX(-f_yd,MIN(f_yd,200000*0.002*(1-$T105*(7*Q$5-3*$F105)/(4*$F105))))-f_cd*(1-MIN(1,MAX(0,$T105*(7*Q$5-3*$F105)/(4*$F105)))^2)</f>
        <v/>
      </c>
      <c r="R105">
        <f>MAX(-f_yd,MIN(f_yd,200000*0.002*(1-$T105*(7*R$5-3*$F105)/(4*$F105))))-f_cd*(1-MIN(1,MAX(0,$T105*(7*R$5-3*$F105)/(4*$F105)))^2)</f>
        <v/>
      </c>
      <c r="S105">
        <f>MAX(-f_yd,MIN(f_yd,200000*0.002*(1-$T105*(7*S$5-3*$F105)/(4*$F105))))-f_cd*(1-MIN(1,MAX(0,$T105*(7*S$5-3*$F105)/(4*$F105)))^2)</f>
        <v/>
      </c>
      <c r="T105">
        <f>MIN(1,2-(($C105+$D105)/2))</f>
        <v/>
      </c>
    </row>
    <row r="106">
      <c r="B106" s="59" t="n">
        <v>54</v>
      </c>
      <c r="C106" s="60">
        <f>IF($G105&lt;N_Ed,($C105+$D105)/2,$C105)</f>
        <v/>
      </c>
      <c r="D106" s="60">
        <f>IF($G105&lt;N_Ed,$D105,($C105+$D105)/2)</f>
        <v/>
      </c>
      <c r="E106" s="61">
        <f>IF($T106&gt;=1,$F106,3/7*h_col+4/7*h_col/MAX($T106,1E-12))</f>
        <v/>
      </c>
      <c r="F106" s="62">
        <f>h_col*MIN((($C106+$D106)/2),1)</f>
        <v/>
      </c>
      <c r="G106" s="62">
        <f>(f_cd*b_col*$F106*(3/7+4/7*(1-$T106^2/3))+SUMPRODUCT($J$6:$S$6,$J106:$S106))/1000</f>
        <v/>
      </c>
      <c r="H106" s="62">
        <f>(f_cd*b_col*(3/14*$F106*(h_col-3/7*$F106)+4/7*$F106*(h_col/2-3/7*$F106)*(1-$T106^2/3)-16/49*$F106^2*(1/2-$T106^2/4))+SUMPRODUCT($J$6:$S$6,$J106:$S106,$J$7:$S$7))/1E6</f>
        <v/>
      </c>
      <c r="J106">
        <f>MAX(-f_yd,MIN(f_yd,200000*0.002*(1-$T106*(7*J$5-3*$F106)/(4*$F106))))-f_cd*(1-MIN(1,MAX(0,$T106*(7*J$5-3*$F106)/(4*$F106)))^2)</f>
        <v/>
      </c>
      <c r="K106">
        <f>MAX(-f_yd,MIN(f_yd,200000*0.002*(1-$T106*(7*K$5-3*$F106)/(4*$F106))))-f_cd*(1-MIN(1,MAX(0,$T106*(7*K$5-3*$F106)/(4*$F106)))^2)</f>
        <v/>
      </c>
      <c r="L106">
        <f>MAX(-f_yd,MIN(f_yd,200000*0.002*(1-$T106*(7*L$5-3*$F106)/(4*$F106))))-f_cd*(1-MIN(1,MAX(0,$T106*(7*L$5-3*$F106)/(4*$F106)))^2)</f>
        <v/>
      </c>
      <c r="M106">
        <f>MAX(-f_yd,MIN(f_yd,200000*0.002*(1-$T106*(7*M$5-3*$F106)/(4*$F106))))-f_cd*(1-MIN(1,MAX(0,$T106*(7*M$5-3*$F106)/(4*$F106)))^2)</f>
        <v/>
      </c>
      <c r="N106">
        <f>MAX(-f_yd,MIN(f_yd,200000*0.002*(1-$T106*(7*N$5-3*$F106)/(4*$F106))))-f_cd*(1-MIN(1,MAX(0,$T106*(7*N$5-3*$F106)/(4*$F106)))^2)</f>
        <v/>
      </c>
      <c r="O106">
        <f>MAX(-f_yd,MIN(f_yd,200000*0.002*(1-$T106*(7*O$5-3*$F106)/(4*$F106))))-f_cd*(1-MIN(1,MAX(0,$T106*(7*O$5-3*$F106)/(4*$F106)))^2)</f>
        <v/>
      </c>
      <c r="P106">
        <f>MAX(-f_yd,MIN(f_yd,200000*0.002*(1-$T106*(7*P$5-3*$F106)/(4*$F106))))-f_cd*(1-MIN(1,MAX(0,$T106*(7*P$5-3*$F106)/(4*$F106)))^2)</f>
        <v/>
      </c>
      <c r="Q106">
        <f>MAX(-f_yd,MIN(f_yd,200000*0.002*(1-$T106*(7*Q$5-3*$F106)/(4*$F106))))-f_cd*(1-MIN(1,MAX(0,$T106*(7*Q$5-3*$F106)/(4*$F106)))^2)</f>
        <v/>
      </c>
      <c r="R106">
        <f>MAX(-f_yd,MIN(f_yd,200000*0.002*(1-$T106*(7*R$5-3*$F106)/(4*$F106))))-f_cd*(1-MIN(1,MAX(0,$T106*(7*R$5-3*$F106)/(4*$F106)))^2)</f>
        <v/>
      </c>
      <c r="S106">
        <f>MAX(-f_yd,MIN(f_yd,200000*0.002*(1-$T106*(7*S$5-3*$F106)/(4*$F106))))-f_cd*(1-MIN(1,MAX(0,$T106*(7*S$5-3*$F106)/(4*$F106)))^2)</f>
        <v/>
      </c>
      <c r="T106">
        <f>MIN(1,2-(($C106+$D106)/2))</f>
        <v/>
      </c>
    </row>
    <row r="107">
      <c r="B107" s="59" t="n">
        <v>55</v>
      </c>
      <c r="C107" s="60">
        <f>IF($G106&lt;N_Ed,($C106+$D106)/2,$C106)</f>
        <v/>
      </c>
      <c r="D107" s="60">
        <f>IF($G106&lt;N_Ed,$D106,($C106+$D106)/2)</f>
        <v/>
      </c>
      <c r="E107" s="61">
        <f>IF($T107&gt;=1,$F107,3/7*h_col+4/7*h_col/MAX($T107,1E-12))</f>
        <v/>
      </c>
      <c r="F107" s="62">
        <f>h_col*MIN((($C107+$D107)/2),1)</f>
        <v/>
      </c>
      <c r="G107" s="62">
        <f>(f_cd*b_col*$F107*(3/7+4/7*(1-$T107^2/3))+SUMPRODUCT($J$6:$S$6,$J107:$S107))/1000</f>
        <v/>
      </c>
      <c r="H107" s="62">
        <f>(f_cd*b_col*(3/14*$F107*(h_col-3/7*$F107)+4/7*$F107*(h_col/2-3/7*$F107)*(1-$T107^2/3)-16/49*$F107^2*(1/2-$T107^2/4))+SUMPRODUCT($J$6:$S$6,$J107:$S107,$J$7:$S$7))/1E6</f>
        <v/>
      </c>
      <c r="J107">
        <f>MAX(-f_yd,MIN(f_yd,200000*0.002*(1-$T107*(7*J$5-3*$F107)/(4*$F107))))-f_cd*(1-MIN(1,MAX(0,$T107*(7*J$5-3*$F107)/(4*$F107)))^2)</f>
        <v/>
      </c>
      <c r="K107">
        <f>MAX(-f_yd,MIN(f_yd,200000*0.002*(1-$T107*(7*K$5-3*$F107)/(4*$F107))))-f_cd*(1-MIN(1,MAX(0,$T107*(7*K$5-3*$F107)/(4*$F107)))^2)</f>
        <v/>
      </c>
      <c r="L107">
        <f>MAX(-f_yd,MIN(f_yd,200000*0.002*(1-$T107*(7*L$5-3*$F107)/(4*$F107))))-f_cd*(1-MIN(1,MAX(0,$T107*(7*L$5-3*$F107)/(4*$F107)))^2)</f>
        <v/>
      </c>
      <c r="M107">
        <f>MAX(-f_yd,MIN(f_yd,200000*0.002*(1-$T107*(7*M$5-3*$F107)/(4*$F107))))-f_cd*(1-MIN(1,MAX(0,$T107*(7*M$5-3*$F107)/(4*$F107)))^2)</f>
        <v/>
      </c>
      <c r="N107">
        <f>MAX(-f_yd,MIN(f_yd,200000*0.002*(1-$T107*(7*N$5-3*$F107)/(4*$F107))))-f_cd*(1-MIN(1,MAX(0,$T107*(7*N$5-3*$F107)/(4*$F107)))^2)</f>
        <v/>
      </c>
      <c r="O107">
        <f>MAX(-f_yd,MIN(f_yd,200000*0.002*(1-$T107*(7*O$5-3*$F107)/(4*$F107))))-f_cd*(1-MIN(1,MAX(0,$T107*(7*O$5-3*$F107)/(4*$F107)))^2)</f>
        <v/>
      </c>
      <c r="P107">
        <f>MAX(-f_yd,MIN(f_yd,200000*0.002*(1-$T107*(7*P$5-3*$F107)/(4*$F107))))-f_cd*(1-MIN(1,MAX(0,$T107*(7*P$5-3*$F107)/(4*$F107)))^2)</f>
        <v/>
      </c>
      <c r="Q107">
        <f>MAX(-f_yd,MIN(f_yd,200000*0.002*(1-$T107*(7*Q$5-3*$F107)/(4*$F107))))-f_cd*(1-MIN(1,MAX(0,$T107*(7*Q$5-3*$F107)/(4*$F107)))^2)</f>
        <v/>
      </c>
      <c r="R107">
        <f>MAX(-f_yd,MIN(f_yd,200000*0.002*(1-$T107*(7*R$5-3*$F107)/(4*$F107))))-f_cd*(1-MIN(1,MAX(0,$T107*(7*R$5-3*$F107)/(4*$F107)))^2)</f>
        <v/>
      </c>
      <c r="S107">
        <f>MAX(-f_yd,MIN(f_yd,200000*0.002*(1-$T107*(7*S$5-3*$F107)/(4*$F107))))-f_cd*(1-MIN(1,MAX(0,$T107*(7*S$5-3*$F107)/(4*$F107)))^2)</f>
        <v/>
      </c>
      <c r="T107">
        <f>MIN(1,2-(($C107+$D107)/2))</f>
        <v/>
      </c>
    </row>
    <row r="108">
      <c r="B108" s="59" t="n">
        <v>56</v>
      </c>
      <c r="C108" s="60">
        <f>IF($G107&lt;N_Ed,($C107+$D107)/2,$C107)</f>
        <v/>
      </c>
      <c r="D108" s="60">
        <f>IF($G107&lt;N_Ed,$D107,($C107+$D107)/2)</f>
        <v/>
      </c>
      <c r="E108" s="61">
        <f>IF($T108&gt;=1,$F108,3/7*h_col+4/7*h_col/MAX($T108,1E-12))</f>
        <v/>
      </c>
      <c r="F108" s="62">
        <f>h_col*MIN((($C108+$D108)/2),1)</f>
        <v/>
      </c>
      <c r="G108" s="62">
        <f>(f_cd*b_col*$F108*(3/7+4/7*(1-$T108^2/3))+SUMPRODUCT($J$6:$S$6,$J108:$S108))/1000</f>
        <v/>
      </c>
      <c r="H108" s="62">
        <f>(f_cd*b_col*(3/14*$F108*(h_col-3/7*$F108)+4/7*$F108*(h_col/2-3/7*$F108)*(1-$T108^2/3)-16/49*$F108^2*(1/2-$T108^2/4))+SUMPRODUCT($J$6:$S$6,$J108:$S108,$J$7:$S$7))/1E6</f>
        <v/>
      </c>
      <c r="J108">
        <f>MAX(-f_yd,MIN(f_yd,200000*0.002*(1-$T108*(7*J$5-3*$F108)/(4*$F108))))-f_cd*(1-MIN(1,MAX(0,$T108*(7*J$5-3*$F108)/(4*$F108)))^2)</f>
        <v/>
      </c>
      <c r="K108">
        <f>MAX(-f_yd,MIN(f_yd,200000*0.002*(1-$T108*(7*K$5-3*$F108)/(4*$F108))))-f_cd*(1-MIN(1,MAX(0,$T108*(7*K$5-3*$F108)/(4*$F108)))^2)</f>
        <v/>
      </c>
      <c r="L108">
        <f>MAX(-f_yd,MIN(f_yd,200000*0.002*(1-$T108*(7*L$5-3*$F108)/(4*$F108))))-f_cd*(1-MIN(1,MAX(0,$T108*(7*L$5-3*$F108)/(4*$F108)))^2)</f>
        <v/>
      </c>
      <c r="M108">
        <f>MAX(-f_yd,MIN(f_yd,200000*0.002*(1-$T108*(7*M$5-3*$F108)/(4*$F108))))-f_cd*(1-MIN(1,MAX(0,$T108*(7*M$5-3*$F108)/(4*$F108)))^2)</f>
        <v/>
      </c>
      <c r="N108">
        <f>MAX(-f_yd,MIN(f_yd,200000*0.002*(1-$T108*(7*N$5-3*$F108)/(4*$F108))))-f_cd*(1-MIN(1,MAX(0,$T108*(7*N$5-3*$F108)/(4*$F108)))^2)</f>
        <v/>
      </c>
      <c r="O108">
        <f>MAX(-f_yd,MIN(f_yd,200000*0.002*(1-$T108*(7*O$5-3*$F108)/(4*$F108))))-f_cd*(1-MIN(1,MAX(0,$T108*(7*O$5-3*$F108)/(4*$F108)))^2)</f>
        <v/>
      </c>
      <c r="P108">
        <f>MAX(-f_yd,MIN(f_yd,200000*0.002*(1-$T108*(7*P$5-3*$F108)/(4*$F108))))-f_cd*(1-MIN(1,MAX(0,$T108*(7*P$5-3*$F108)/(4*$F108)))^2)</f>
        <v/>
      </c>
      <c r="Q108">
        <f>MAX(-f_yd,MIN(f_yd,200000*0.002*(1-$T108*(7*Q$5-3*$F108)/(4*$F108))))-f_cd*(1-MIN(1,MAX(0,$T108*(7*Q$5-3*$F108)/(4*$F108)))^2)</f>
        <v/>
      </c>
      <c r="R108">
        <f>MAX(-f_yd,MIN(f_yd,200000*0.002*(1-$T108*(7*R$5-3*$F108)/(4*$F108))))-f_cd*(1-MIN(1,MAX(0,$T108*(7*R$5-3*$F108)/(4*$F108)))^2)</f>
        <v/>
      </c>
      <c r="S108">
        <f>MAX(-f_yd,MIN(f_yd,200000*0.002*(1-$T108*(7*S$5-3*$F108)/(4*$F108))))-f_cd*(1-MIN(1,MAX(0,$T108*(7*S$5-3*$F108)/(4*$F108)))^2)</f>
        <v/>
      </c>
      <c r="T108">
        <f>MIN(1,2-(($C108+$D108)/2))</f>
        <v/>
      </c>
    </row>
    <row r="109">
      <c r="B109" s="59" t="n">
        <v>57</v>
      </c>
      <c r="C109" s="60">
        <f>IF($G108&lt;N_Ed,($C108+$D108)/2,$C108)</f>
        <v/>
      </c>
      <c r="D109" s="60">
        <f>IF($G108&lt;N_Ed,$D108,($C108+$D108)/2)</f>
        <v/>
      </c>
      <c r="E109" s="61">
        <f>IF($T109&gt;=1,$F109,3/7*h_col+4/7*h_col/MAX($T109,1E-12))</f>
        <v/>
      </c>
      <c r="F109" s="62">
        <f>h_col*MIN((($C109+$D109)/2),1)</f>
        <v/>
      </c>
      <c r="G109" s="62">
        <f>(f_cd*b_col*$F109*(3/7+4/7*(1-$T109^2/3))+SUMPRODUCT($J$6:$S$6,$J109:$S109))/1000</f>
        <v/>
      </c>
      <c r="H109" s="62">
        <f>(f_cd*b_col*(3/14*$F109*(h_col-3/7*$F109)+4/7*$F109*(h_col/2-3/7*$F109)*(1-$T109^2/3)-16/49*$F109^2*(1/2-$T109^2/4))+SUMPRODUCT($J$6:$S$6,$J109:$S109,$J$7:$S$7))/1E6</f>
        <v/>
      </c>
      <c r="J109">
        <f>MAX(-f_yd,MIN(f_yd,200000*0.002*(1-$T109*(7*J$5-3*$F109)/(4*$F109))))-f_cd*(1-MIN(1,MAX(0,$T109*(7*J$5-3*$F109)/(4*$F109)))^2)</f>
        <v/>
      </c>
      <c r="K109">
        <f>MAX(-f_yd,MIN(f_yd,200000*0.002*(1-$T109*(7*K$5-3*$F109)/(4*$F109))))-f_cd*(1-MIN(1,MAX(0,$T109*(7*K$5-3*$F109)/(4*$F109)))^2)</f>
        <v/>
      </c>
      <c r="L109">
        <f>MAX(-f_yd,MIN(f_yd,200000*0.002*(1-$T109*(7*L$5-3*$F109)/(4*$F109))))-f_cd*(1-MIN(1,MAX(0,$T109*(7*L$5-3*$F109)/(4*$F109)))^2)</f>
        <v/>
      </c>
      <c r="M109">
        <f>MAX(-f_yd,MIN(f_yd,200000*0.002*(1-$T109*(7*M$5-3*$F109)/(4*$F109))))-f_cd*(1-MIN(1,MAX(0,$T109*(7*M$5-3*$F109)/(4*$F109)))^2)</f>
        <v/>
      </c>
      <c r="N109">
        <f>MAX(-f_yd,MIN(f_yd,200000*0.002*(1-$T109*(7*N$5-3*$F109)/(4*$F109))))-f_cd*(1-MIN(1,MAX(0,$T109*(7*N$5-3*$F109)/(4*$F109)))^2)</f>
        <v/>
      </c>
      <c r="O109">
        <f>MAX(-f_yd,MIN(f_yd,200000*0.002*(1-$T109*(7*O$5-3*$F109)/(4*$F109))))-f_cd*(1-MIN(1,MAX(0,$T109*(7*O$5-3*$F109)/(4*$F109)))^2)</f>
        <v/>
      </c>
      <c r="P109">
        <f>MAX(-f_yd,MIN(f_yd,200000*0.002*(1-$T109*(7*P$5-3*$F109)/(4*$F109))))-f_cd*(1-MIN(1,MAX(0,$T109*(7*P$5-3*$F109)/(4*$F109)))^2)</f>
        <v/>
      </c>
      <c r="Q109">
        <f>MAX(-f_yd,MIN(f_yd,200000*0.002*(1-$T109*(7*Q$5-3*$F109)/(4*$F109))))-f_cd*(1-MIN(1,MAX(0,$T109*(7*Q$5-3*$F109)/(4*$F109)))^2)</f>
        <v/>
      </c>
      <c r="R109">
        <f>MAX(-f_yd,MIN(f_yd,200000*0.002*(1-$T109*(7*R$5-3*$F109)/(4*$F109))))-f_cd*(1-MIN(1,MAX(0,$T109*(7*R$5-3*$F109)/(4*$F109)))^2)</f>
        <v/>
      </c>
      <c r="S109">
        <f>MAX(-f_yd,MIN(f_yd,200000*0.002*(1-$T109*(7*S$5-3*$F109)/(4*$F109))))-f_cd*(1-MIN(1,MAX(0,$T109*(7*S$5-3*$F109)/(4*$F109)))^2)</f>
        <v/>
      </c>
      <c r="T109">
        <f>MIN(1,2-(($C109+$D109)/2))</f>
        <v/>
      </c>
    </row>
    <row r="110">
      <c r="B110" s="59" t="n">
        <v>58</v>
      </c>
      <c r="C110" s="60">
        <f>IF($G109&lt;N_Ed,($C109+$D109)/2,$C109)</f>
        <v/>
      </c>
      <c r="D110" s="60">
        <f>IF($G109&lt;N_Ed,$D109,($C109+$D109)/2)</f>
        <v/>
      </c>
      <c r="E110" s="61">
        <f>IF($T110&gt;=1,$F110,3/7*h_col+4/7*h_col/MAX($T110,1E-12))</f>
        <v/>
      </c>
      <c r="F110" s="62">
        <f>h_col*MIN((($C110+$D110)/2),1)</f>
        <v/>
      </c>
      <c r="G110" s="62">
        <f>(f_cd*b_col*$F110*(3/7+4/7*(1-$T110^2/3))+SUMPRODUCT($J$6:$S$6,$J110:$S110))/1000</f>
        <v/>
      </c>
      <c r="H110" s="62">
        <f>(f_cd*b_col*(3/14*$F110*(h_col-3/7*$F110)+4/7*$F110*(h_col/2-3/7*$F110)*(1-$T110^2/3)-16/49*$F110^2*(1/2-$T110^2/4))+SUMPRODUCT($J$6:$S$6,$J110:$S110,$J$7:$S$7))/1E6</f>
        <v/>
      </c>
      <c r="J110">
        <f>MAX(-f_yd,MIN(f_yd,200000*0.002*(1-$T110*(7*J$5-3*$F110)/(4*$F110))))-f_cd*(1-MIN(1,MAX(0,$T110*(7*J$5-3*$F110)/(4*$F110)))^2)</f>
        <v/>
      </c>
      <c r="K110">
        <f>MAX(-f_yd,MIN(f_yd,200000*0.002*(1-$T110*(7*K$5-3*$F110)/(4*$F110))))-f_cd*(1-MIN(1,MAX(0,$T110*(7*K$5-3*$F110)/(4*$F110)))^2)</f>
        <v/>
      </c>
      <c r="L110">
        <f>MAX(-f_yd,MIN(f_yd,200000*0.002*(1-$T110*(7*L$5-3*$F110)/(4*$F110))))-f_cd*(1-MIN(1,MAX(0,$T110*(7*L$5-3*$F110)/(4*$F110)))^2)</f>
        <v/>
      </c>
      <c r="M110">
        <f>MAX(-f_yd,MIN(f_yd,200000*0.002*(1-$T110*(7*M$5-3*$F110)/(4*$F110))))-f_cd*(1-MIN(1,MAX(0,$T110*(7*M$5-3*$F110)/(4*$F110)))^2)</f>
        <v/>
      </c>
      <c r="N110">
        <f>MAX(-f_yd,MIN(f_yd,200000*0.002*(1-$T110*(7*N$5-3*$F110)/(4*$F110))))-f_cd*(1-MIN(1,MAX(0,$T110*(7*N$5-3*$F110)/(4*$F110)))^2)</f>
        <v/>
      </c>
      <c r="O110">
        <f>MAX(-f_yd,MIN(f_yd,200000*0.002*(1-$T110*(7*O$5-3*$F110)/(4*$F110))))-f_cd*(1-MIN(1,MAX(0,$T110*(7*O$5-3*$F110)/(4*$F110)))^2)</f>
        <v/>
      </c>
      <c r="P110">
        <f>MAX(-f_yd,MIN(f_yd,200000*0.002*(1-$T110*(7*P$5-3*$F110)/(4*$F110))))-f_cd*(1-MIN(1,MAX(0,$T110*(7*P$5-3*$F110)/(4*$F110)))^2)</f>
        <v/>
      </c>
      <c r="Q110">
        <f>MAX(-f_yd,MIN(f_yd,200000*0.002*(1-$T110*(7*Q$5-3*$F110)/(4*$F110))))-f_cd*(1-MIN(1,MAX(0,$T110*(7*Q$5-3*$F110)/(4*$F110)))^2)</f>
        <v/>
      </c>
      <c r="R110">
        <f>MAX(-f_yd,MIN(f_yd,200000*0.002*(1-$T110*(7*R$5-3*$F110)/(4*$F110))))-f_cd*(1-MIN(1,MAX(0,$T110*(7*R$5-3*$F110)/(4*$F110)))^2)</f>
        <v/>
      </c>
      <c r="S110">
        <f>MAX(-f_yd,MIN(f_yd,200000*0.002*(1-$T110*(7*S$5-3*$F110)/(4*$F110))))-f_cd*(1-MIN(1,MAX(0,$T110*(7*S$5-3*$F110)/(4*$F110)))^2)</f>
        <v/>
      </c>
      <c r="T110">
        <f>MIN(1,2-(($C110+$D110)/2))</f>
        <v/>
      </c>
    </row>
    <row r="111">
      <c r="B111" s="59" t="n">
        <v>59</v>
      </c>
      <c r="C111" s="60">
        <f>IF($G110&lt;N_Ed,($C110+$D110)/2,$C110)</f>
        <v/>
      </c>
      <c r="D111" s="60">
        <f>IF($G110&lt;N_Ed,$D110,($C110+$D110)/2)</f>
        <v/>
      </c>
      <c r="E111" s="61">
        <f>IF($T111&gt;=1,$F111,3/7*h_col+4/7*h_col/MAX($T111,1E-12))</f>
        <v/>
      </c>
      <c r="F111" s="62">
        <f>h_col*MIN((($C111+$D111)/2),1)</f>
        <v/>
      </c>
      <c r="G111" s="62">
        <f>(f_cd*b_col*$F111*(3/7+4/7*(1-$T111^2/3))+SUMPRODUCT($J$6:$S$6,$J111:$S111))/1000</f>
        <v/>
      </c>
      <c r="H111" s="62">
        <f>(f_cd*b_col*(3/14*$F111*(h_col-3/7*$F111)+4/7*$F111*(h_col/2-3/7*$F111)*(1-$T111^2/3)-16/49*$F111^2*(1/2-$T111^2/4))+SUMPRODUCT($J$6:$S$6,$J111:$S111,$J$7:$S$7))/1E6</f>
        <v/>
      </c>
      <c r="J111">
        <f>MAX(-f_yd,MIN(f_yd,200000*0.002*(1-$T111*(7*J$5-3*$F111)/(4*$F111))))-f_cd*(1-MIN(1,MAX(0,$T111*(7*J$5-3*$F111)/(4*$F111)))^2)</f>
        <v/>
      </c>
      <c r="K111">
        <f>MAX(-f_yd,MIN(f_yd,200000*0.002*(1-$T111*(7*K$5-3*$F111)/(4*$F111))))-f_cd*(1-MIN(1,MAX(0,$T111*(7*K$5-3*$F111)/(4*$F111)))^2)</f>
        <v/>
      </c>
      <c r="L111">
        <f>MAX(-f_yd,MIN(f_yd,200000*0.002*(1-$T111*(7*L$5-3*$F111)/(4*$F111))))-f_cd*(1-MIN(1,MAX(0,$T111*(7*L$5-3*$F111)/(4*$F111)))^2)</f>
        <v/>
      </c>
      <c r="M111">
        <f>MAX(-f_yd,MIN(f_yd,200000*0.002*(1-$T111*(7*M$5-3*$F111)/(4*$F111))))-f_cd*(1-MIN(1,MAX(0,$T111*(7*M$5-3*$F111)/(4*$F111)))^2)</f>
        <v/>
      </c>
      <c r="N111">
        <f>MAX(-f_yd,MIN(f_yd,200000*0.002*(1-$T111*(7*N$5-3*$F111)/(4*$F111))))-f_cd*(1-MIN(1,MAX(0,$T111*(7*N$5-3*$F111)/(4*$F111)))^2)</f>
        <v/>
      </c>
      <c r="O111">
        <f>MAX(-f_yd,MIN(f_yd,200000*0.002*(1-$T111*(7*O$5-3*$F111)/(4*$F111))))-f_cd*(1-MIN(1,MAX(0,$T111*(7*O$5-3*$F111)/(4*$F111)))^2)</f>
        <v/>
      </c>
      <c r="P111">
        <f>MAX(-f_yd,MIN(f_yd,200000*0.002*(1-$T111*(7*P$5-3*$F111)/(4*$F111))))-f_cd*(1-MIN(1,MAX(0,$T111*(7*P$5-3*$F111)/(4*$F111)))^2)</f>
        <v/>
      </c>
      <c r="Q111">
        <f>MAX(-f_yd,MIN(f_yd,200000*0.002*(1-$T111*(7*Q$5-3*$F111)/(4*$F111))))-f_cd*(1-MIN(1,MAX(0,$T111*(7*Q$5-3*$F111)/(4*$F111)))^2)</f>
        <v/>
      </c>
      <c r="R111">
        <f>MAX(-f_yd,MIN(f_yd,200000*0.002*(1-$T111*(7*R$5-3*$F111)/(4*$F111))))-f_cd*(1-MIN(1,MAX(0,$T111*(7*R$5-3*$F111)/(4*$F111)))^2)</f>
        <v/>
      </c>
      <c r="S111">
        <f>MAX(-f_yd,MIN(f_yd,200000*0.002*(1-$T111*(7*S$5-3*$F111)/(4*$F111))))-f_cd*(1-MIN(1,MAX(0,$T111*(7*S$5-3*$F111)/(4*$F111)))^2)</f>
        <v/>
      </c>
      <c r="T111">
        <f>MIN(1,2-(($C111+$D111)/2))</f>
        <v/>
      </c>
    </row>
    <row r="112">
      <c r="B112" s="59" t="n">
        <v>60</v>
      </c>
      <c r="C112" s="60">
        <f>IF($G111&lt;N_Ed,($C111+$D111)/2,$C111)</f>
        <v/>
      </c>
      <c r="D112" s="60">
        <f>IF($G111&lt;N_Ed,$D111,($C111+$D111)/2)</f>
        <v/>
      </c>
      <c r="E112" s="61">
        <f>IF($T112&gt;=1,$F112,3/7*h_col+4/7*h_col/MAX($T112,1E-12))</f>
        <v/>
      </c>
      <c r="F112" s="62">
        <f>h_col*MIN((($C112+$D112)/2),1)</f>
        <v/>
      </c>
      <c r="G112" s="62">
        <f>(f_cd*b_col*$F112*(3/7+4/7*(1-$T112^2/3))+SUMPRODUCT($J$6:$S$6,$J112:$S112))/1000</f>
        <v/>
      </c>
      <c r="H112" s="62">
        <f>(f_cd*b_col*(3/14*$F112*(h_col-3/7*$F112)+4/7*$F112*(h_col/2-3/7*$F112)*(1-$T112^2/3)-16/49*$F112^2*(1/2-$T112^2/4))+SUMPRODUCT($J$6:$S$6,$J112:$S112,$J$7:$S$7))/1E6</f>
        <v/>
      </c>
      <c r="J112">
        <f>MAX(-f_yd,MIN(f_yd,200000*0.002*(1-$T112*(7*J$5-3*$F112)/(4*$F112))))-f_cd*(1-MIN(1,MAX(0,$T112*(7*J$5-3*$F112)/(4*$F112)))^2)</f>
        <v/>
      </c>
      <c r="K112">
        <f>MAX(-f_yd,MIN(f_yd,200000*0.002*(1-$T112*(7*K$5-3*$F112)/(4*$F112))))-f_cd*(1-MIN(1,MAX(0,$T112*(7*K$5-3*$F112)/(4*$F112)))^2)</f>
        <v/>
      </c>
      <c r="L112">
        <f>MAX(-f_yd,MIN(f_yd,200000*0.002*(1-$T112*(7*L$5-3*$F112)/(4*$F112))))-f_cd*(1-MIN(1,MAX(0,$T112*(7*L$5-3*$F112)/(4*$F112)))^2)</f>
        <v/>
      </c>
      <c r="M112">
        <f>MAX(-f_yd,MIN(f_yd,200000*0.002*(1-$T112*(7*M$5-3*$F112)/(4*$F112))))-f_cd*(1-MIN(1,MAX(0,$T112*(7*M$5-3*$F112)/(4*$F112)))^2)</f>
        <v/>
      </c>
      <c r="N112">
        <f>MAX(-f_yd,MIN(f_yd,200000*0.002*(1-$T112*(7*N$5-3*$F112)/(4*$F112))))-f_cd*(1-MIN(1,MAX(0,$T112*(7*N$5-3*$F112)/(4*$F112)))^2)</f>
        <v/>
      </c>
      <c r="O112">
        <f>MAX(-f_yd,MIN(f_yd,200000*0.002*(1-$T112*(7*O$5-3*$F112)/(4*$F112))))-f_cd*(1-MIN(1,MAX(0,$T112*(7*O$5-3*$F112)/(4*$F112)))^2)</f>
        <v/>
      </c>
      <c r="P112">
        <f>MAX(-f_yd,MIN(f_yd,200000*0.002*(1-$T112*(7*P$5-3*$F112)/(4*$F112))))-f_cd*(1-MIN(1,MAX(0,$T112*(7*P$5-3*$F112)/(4*$F112)))^2)</f>
        <v/>
      </c>
      <c r="Q112">
        <f>MAX(-f_yd,MIN(f_yd,200000*0.002*(1-$T112*(7*Q$5-3*$F112)/(4*$F112))))-f_cd*(1-MIN(1,MAX(0,$T112*(7*Q$5-3*$F112)/(4*$F112)))^2)</f>
        <v/>
      </c>
      <c r="R112">
        <f>MAX(-f_yd,MIN(f_yd,200000*0.002*(1-$T112*(7*R$5-3*$F112)/(4*$F112))))-f_cd*(1-MIN(1,MAX(0,$T112*(7*R$5-3*$F112)/(4*$F112)))^2)</f>
        <v/>
      </c>
      <c r="S112">
        <f>MAX(-f_yd,MIN(f_yd,200000*0.002*(1-$T112*(7*S$5-3*$F112)/(4*$F112))))-f_cd*(1-MIN(1,MAX(0,$T112*(7*S$5-3*$F112)/(4*$F112)))^2)</f>
        <v/>
      </c>
      <c r="T112">
        <f>MIN(1,2-(($C112+$D112)/2))</f>
        <v/>
      </c>
    </row>
  </sheetData>
  <sheetProtection selectLockedCells="0" selectUnlockedCells="0" sheet="1" objects="1" insertRows="1" insertHyperlinks="1" autoFilter="1" scenarios="0" formatColumns="1" deleteColumns="1" insertColumns="1" pivotTables="1" deleteRows="1" formatCells="1" formatRows="1" sort="1" password="AA0A"/>
  <mergeCells count="1">
    <mergeCell ref="B3:H3"/>
  </mergeCell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&amp;K8A8A8ANAE-RC-008  v1.0</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63"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64" t="inlineStr">
        <is>
          <t>Parameter</t>
        </is>
      </c>
      <c r="C5" s="64" t="inlineStr">
        <is>
          <t>Clause</t>
        </is>
      </c>
      <c r="D5" s="64" t="inlineStr">
        <is>
          <t>UK NA</t>
        </is>
      </c>
      <c r="E5" s="64" t="inlineStr">
        <is>
          <t>PL NA</t>
        </is>
      </c>
      <c r="F5" s="64" t="inlineStr">
        <is>
          <t>Notes</t>
        </is>
      </c>
    </row>
    <row r="6">
      <c r="B6" s="65" t="inlineStr">
        <is>
          <t>Partial factor, concrete  γc</t>
        </is>
      </c>
      <c r="C6" s="66" t="inlineStr">
        <is>
          <t>2.4.2.4(1)</t>
        </is>
      </c>
      <c r="D6" s="67" t="n">
        <v>1.5</v>
      </c>
      <c r="E6" s="67" t="n">
        <v>1.4</v>
      </c>
      <c r="F6" s="66" t="inlineStr">
        <is>
          <t>Persistent &amp; transient. UK NA: recommended; PL: NA.2, Table NA.2</t>
        </is>
      </c>
    </row>
    <row r="7">
      <c r="B7" s="65" t="inlineStr">
        <is>
          <t>Partial factor, reinforcement  γs</t>
        </is>
      </c>
      <c r="C7" s="66" t="inlineStr">
        <is>
          <t>2.4.2.4(1)</t>
        </is>
      </c>
      <c r="D7" s="67" t="n">
        <v>1.15</v>
      </c>
      <c r="E7" s="67" t="n">
        <v>1.15</v>
      </c>
      <c r="F7" s="66" t="inlineStr">
        <is>
          <t>UK NA: recommended; PL: NA.2, Table NA.2</t>
        </is>
      </c>
    </row>
    <row r="8">
      <c r="B8" s="65" t="inlineStr">
        <is>
          <t>αcc  (compression in flexure / axial)</t>
        </is>
      </c>
      <c r="C8" s="66" t="inlineStr">
        <is>
          <t>3.1.6(1)</t>
        </is>
      </c>
      <c r="D8" s="67" t="n">
        <v>0.85</v>
      </c>
      <c r="E8" s="67" t="n">
        <v>1</v>
      </c>
      <c r="F8" s="66" t="inlineStr">
        <is>
          <t>UK NA: 0.85; PL: recommended (NA.9)</t>
        </is>
      </c>
    </row>
    <row r="9">
      <c r="B9" s="65" t="inlineStr">
        <is>
          <t>αcc,pl  (plain concrete, compression)</t>
        </is>
      </c>
      <c r="C9" s="66" t="inlineStr">
        <is>
          <t>12.3.1(1)</t>
        </is>
      </c>
      <c r="D9" s="67" t="n">
        <v>0.6</v>
      </c>
      <c r="E9" s="67" t="n">
        <v>0.8</v>
      </c>
      <c r="F9" s="66" t="inlineStr">
        <is>
          <t>UK NA Table NA.1: 0.6; PL: recommended (NA.9)</t>
        </is>
      </c>
    </row>
    <row r="10">
      <c r="B10" s="65" t="inlineStr">
        <is>
          <t>αcc  (shear and punching)</t>
        </is>
      </c>
      <c r="C10" s="66" t="inlineStr">
        <is>
          <t>3.1.6(1)</t>
        </is>
      </c>
      <c r="D10" s="67" t="n">
        <v>1</v>
      </c>
      <c r="E10" s="67" t="n">
        <v>1</v>
      </c>
      <c r="F10" s="66" t="inlineStr">
        <is>
          <t>UK NA: 1.0 for other phenomena; PL: recommended (NA.9)</t>
        </is>
      </c>
    </row>
    <row r="11">
      <c r="B11" s="65" t="inlineStr">
        <is>
          <t>αct  (design tensile strength)</t>
        </is>
      </c>
      <c r="C11" s="66" t="inlineStr">
        <is>
          <t>3.1.6(2)</t>
        </is>
      </c>
      <c r="D11" s="67" t="n">
        <v>1</v>
      </c>
      <c r="E11" s="67" t="n">
        <v>1</v>
      </c>
      <c r="F11" s="66" t="inlineStr">
        <is>
          <t>Recommended value in both annexes</t>
        </is>
      </c>
    </row>
    <row r="12">
      <c r="B12" s="65" t="inlineStr">
        <is>
          <t>CRd,c numerator  (CRd,c = value / γc)</t>
        </is>
      </c>
      <c r="C12" s="66" t="inlineStr">
        <is>
          <t>6.2.2(1), 6.4.4(1)</t>
        </is>
      </c>
      <c r="D12" s="67" t="n">
        <v>0.18</v>
      </c>
      <c r="E12" s="67" t="n">
        <v>0.18</v>
      </c>
      <c r="F12" s="66" t="inlineStr">
        <is>
          <t>Recommended value in both annexes</t>
        </is>
      </c>
    </row>
    <row r="13">
      <c r="B13" s="65" t="inlineStr">
        <is>
          <t>k1  (axial stress term, punching)</t>
        </is>
      </c>
      <c r="C13" s="66" t="inlineStr">
        <is>
          <t>6.4.4(1)</t>
        </is>
      </c>
      <c r="D13" s="67" t="n">
        <v>0.1</v>
      </c>
      <c r="E13" s="67" t="n">
        <v>0.1</v>
      </c>
      <c r="F13" s="66" t="inlineStr">
        <is>
          <t>Recommended value in both annexes</t>
        </is>
      </c>
    </row>
    <row r="14">
      <c r="B14" s="65" t="inlineStr">
        <is>
          <t>vRd,max factor  (vRd,max = factor · ν · fcd)</t>
        </is>
      </c>
      <c r="C14" s="66" t="inlineStr">
        <is>
          <t>6.4.5(3)</t>
        </is>
      </c>
      <c r="D14" s="67" t="n">
        <v>0.5</v>
      </c>
      <c r="E14" s="67" t="n">
        <v>0.4</v>
      </c>
      <c r="F14" s="66" t="inlineStr">
        <is>
          <t>UK NA: 0.5 ν fcd; PL: recommended value (NA.9), 0.4 ν fcd since EN 1992-1-1 AC:2010 (PN-EN 1992-1-1:2008/AC:2011)</t>
        </is>
      </c>
    </row>
    <row r="15">
      <c r="B15" s="65" t="inlineStr">
        <is>
          <t>kmax  (vEd ≤ kmax · vRd,c at u1)</t>
        </is>
      </c>
      <c r="C15" s="66" t="inlineStr">
        <is>
          <t>6.4.5</t>
        </is>
      </c>
      <c r="D15" s="67" t="n">
        <v>2</v>
      </c>
      <c r="E15" s="67" t="n">
        <v>1.5</v>
      </c>
      <c r="F15" s="66" t="inlineStr">
        <is>
          <t>UK NA 6.4.5(3): 2 vRd,c. PL: no limit in PN-EN 1992-1-1:2008; 1.5 (A1:2014 recommendation) applied conservatively</t>
        </is>
      </c>
    </row>
    <row r="16">
      <c r="B16" s="65" t="inlineStr">
        <is>
          <t>φlarge  (large bar threshold, mm)</t>
        </is>
      </c>
      <c r="C16" s="66" t="inlineStr">
        <is>
          <t>8.8(1)</t>
        </is>
      </c>
      <c r="D16" s="67" t="n">
        <v>40</v>
      </c>
      <c r="E16" s="67" t="n">
        <v>32</v>
      </c>
      <c r="F16" s="66" t="inlineStr">
        <is>
          <t>UK NA: 40 mm; PL: 32 mm recommended (NA.9)</t>
        </is>
      </c>
    </row>
    <row r="17">
      <c r="B17" s="65" t="inlineStr">
        <is>
          <t>cot θ upper limit  (variable strut)</t>
        </is>
      </c>
      <c r="C17" s="66" t="inlineStr">
        <is>
          <t>6.2.3(2)</t>
        </is>
      </c>
      <c r="D17" s="67" t="n">
        <v>2.5</v>
      </c>
      <c r="E17" s="67" t="n">
        <v>2</v>
      </c>
      <c r="F17" s="66" t="inlineStr">
        <is>
          <t>UK NA: 2.5 (1.25 with axial tension); PL: NA.4, 1 ≤ cot θ ≤ 2.0</t>
        </is>
      </c>
    </row>
    <row r="18">
      <c r="B18" s="65" t="inlineStr">
        <is>
          <t>k1  (x/d limit, δ ≥ k1 + k2 xu/d)</t>
        </is>
      </c>
      <c r="C18" s="66" t="inlineStr">
        <is>
          <t>5.5(4)</t>
        </is>
      </c>
      <c r="D18" s="67" t="n">
        <v>0.4</v>
      </c>
      <c r="E18" s="67" t="n">
        <v>0.44</v>
      </c>
      <c r="F18" s="66" t="inlineStr">
        <is>
          <t>UK NA for fyk ≤ 500 MPa; PL: recommended (NA.9)</t>
        </is>
      </c>
    </row>
    <row r="19">
      <c r="B19" s="65" t="inlineStr">
        <is>
          <t>k2  (x/d limit, εcu2 = 0.0035)</t>
        </is>
      </c>
      <c r="C19" s="66" t="inlineStr">
        <is>
          <t>5.5(4)</t>
        </is>
      </c>
      <c r="D19" s="67" t="n">
        <v>1</v>
      </c>
      <c r="E19" s="67" t="n">
        <v>1.25</v>
      </c>
      <c r="F19" s="66" t="inlineStr">
        <is>
          <t>UK NA: 0.6 + 0.0014/εcu2; PL: 1.25(0.6 + 0.0014/εcu2)</t>
        </is>
      </c>
    </row>
    <row r="20">
      <c r="B20" s="65" t="inlineStr">
        <is>
          <t>Upper limit on the (310/σs) factor  (0 = none)</t>
        </is>
      </c>
      <c r="C20" s="66" t="inlineStr">
        <is>
          <t>7.4.2(2)</t>
        </is>
      </c>
      <c r="D20" s="67" t="n">
        <v>1.5</v>
      </c>
      <c r="E20" s="67" t="n">
        <v>0</v>
      </c>
      <c r="F20" s="66" t="inlineStr">
        <is>
          <t>UK NA Table NA.5 Note 5: (310/σs) or (500/fyk)(As,prov/As,req) ≤ 1.5; PL: none</t>
        </is>
      </c>
    </row>
    <row r="21">
      <c r="B21" s="65" t="inlineStr">
        <is>
          <t>L/d not to exceed 40 K  (1 = applies)</t>
        </is>
      </c>
      <c r="C21" s="66" t="inlineStr">
        <is>
          <t>7.4.2(2)</t>
        </is>
      </c>
      <c r="D21" s="67" t="n">
        <v>1</v>
      </c>
      <c r="E21" s="67" t="n">
        <v>0</v>
      </c>
      <c r="F21" s="66" t="inlineStr">
        <is>
          <t>UK NA Table NA.5 Note 6; not in EN text</t>
        </is>
      </c>
    </row>
    <row r="22">
      <c r="B22" s="65" t="inlineStr">
        <is>
          <t>φmin  (longitudinal bars in columns, mm)</t>
        </is>
      </c>
      <c r="C22" s="66" t="inlineStr">
        <is>
          <t>9.5.2(1)</t>
        </is>
      </c>
      <c r="D22" s="67" t="n">
        <v>12</v>
      </c>
      <c r="E22" s="67" t="n">
        <v>6</v>
      </c>
      <c r="F22" s="66" t="inlineStr">
        <is>
          <t>UK NA: 12 mm; PL: NA.6, 6 mm</t>
        </is>
      </c>
    </row>
    <row r="23">
      <c r="B23" s="65" t="inlineStr">
        <is>
          <t>k3  (crack spacing)</t>
        </is>
      </c>
      <c r="C23" s="66" t="inlineStr">
        <is>
          <t>7.3.4(3)</t>
        </is>
      </c>
      <c r="D23" s="67" t="n">
        <v>3.4</v>
      </c>
      <c r="E23" s="67" t="n">
        <v>3.4</v>
      </c>
      <c r="F23" s="66" t="inlineStr">
        <is>
          <t>Recommended value in both annexes</t>
        </is>
      </c>
    </row>
    <row r="24">
      <c r="B24" s="65" t="inlineStr">
        <is>
          <t>k4  (crack spacing)</t>
        </is>
      </c>
      <c r="C24" s="66" t="inlineStr">
        <is>
          <t>7.3.4(3)</t>
        </is>
      </c>
      <c r="D24" s="67" t="n">
        <v>0.425</v>
      </c>
      <c r="E24" s="67" t="n">
        <v>0.425</v>
      </c>
      <c r="F24" s="66" t="inlineStr">
        <is>
          <t>Recommended value in both annexes</t>
        </is>
      </c>
    </row>
    <row r="25">
      <c r="B25" s="65" t="inlineStr">
        <is>
          <t>k1  (concrete stress, characteristic; XD, XF, XS)</t>
        </is>
      </c>
      <c r="C25" s="66" t="inlineStr">
        <is>
          <t>7.2(2)</t>
        </is>
      </c>
      <c r="D25" s="67" t="n">
        <v>0.6</v>
      </c>
      <c r="E25" s="67" t="n">
        <v>1</v>
      </c>
      <c r="F25" s="66" t="inlineStr">
        <is>
          <t>UK NA: recommended; PL: NA.5, k1 = 1.0</t>
        </is>
      </c>
    </row>
    <row r="26">
      <c r="B26" s="65" t="inlineStr">
        <is>
          <t>k2  (concrete stress, quasi-permanent; linear creep)</t>
        </is>
      </c>
      <c r="C26" s="66" t="inlineStr">
        <is>
          <t>7.2(3)</t>
        </is>
      </c>
      <c r="D26" s="67" t="n">
        <v>0.45</v>
      </c>
      <c r="E26" s="67" t="n">
        <v>0.45</v>
      </c>
      <c r="F26" s="66" t="inlineStr">
        <is>
          <t>Recommended value in both annexes (UK NA; PL NA.9)</t>
        </is>
      </c>
    </row>
    <row r="27">
      <c r="B27" s="65" t="inlineStr">
        <is>
          <t>k3  (steel stress, characteristic)</t>
        </is>
      </c>
      <c r="C27" s="66" t="inlineStr">
        <is>
          <t>7.2(5)</t>
        </is>
      </c>
      <c r="D27" s="67" t="n">
        <v>0.8</v>
      </c>
      <c r="E27" s="67" t="n">
        <v>0.8</v>
      </c>
      <c r="F27" s="66" t="inlineStr">
        <is>
          <t>Recommended value in both annexes (UK NA; PL NA.9)</t>
        </is>
      </c>
    </row>
    <row r="28">
      <c r="B28" s="65" t="inlineStr">
        <is>
          <t>k4  (steel stress, imposed deformation)</t>
        </is>
      </c>
      <c r="C28" s="66" t="inlineStr">
        <is>
          <t>7.2(5)</t>
        </is>
      </c>
      <c r="D28" s="67" t="n">
        <v>1</v>
      </c>
      <c r="E28" s="67" t="n">
        <v>1</v>
      </c>
      <c r="F28" s="66"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&amp;K8A8A8ANAE-RC-008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NAE-RC-008 Column design</dc:title>
  <dc:subject xmlns:dc="http://purl.org/dc/elements/1.1/">Rectangular columns  ·  EN 1992-1-1 §5.8, §6.1, §9.5  ·  UK NA / PN-EN</dc:subject>
  <dcterms:created xmlns:dcterms="http://purl.org/dc/terms/" xmlns:xsi="http://www.w3.org/2001/XMLSchema-instance" xsi:type="dcterms:W3CDTF">2026-10-30T10:58:36Z</dcterms:created>
  <dcterms:modified xmlns:dcterms="http://purl.org/dc/terms/" xmlns:xsi="http://www.w3.org/2001/XMLSchema-instance" xsi:type="dcterms:W3CDTF">2026-10-30T10:58:36Z</dcterms:modified>
  <cp:lastModifiedBy>NA Engineering sp. z o.o.</cp:lastModifiedBy>
  <cp:keywords>NA Engineering; Eurocode 2; EN 1992-1-1</cp:keywords>
</cp:coreProperties>
</file>