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piles">'Calculation'!$E$14</definedName>
    <definedName name="D_p">'Calculation'!$E$15</definedName>
    <definedName name="l_x">'Calculation'!$E$16</definedName>
    <definedName name="l_y">'Calculation'!$E$17</definedName>
    <definedName name="e_p">'Calculation'!$E$18</definedName>
    <definedName name="h_c">'Calculation'!$E$19</definedName>
    <definedName name="c_x">'Calculation'!$E$20</definedName>
    <definedName name="c_y">'Calculation'!$E$21</definedName>
    <definedName name="c_nom">'Calculation'!$E$22</definedName>
    <definedName name="d_g">'Calculation'!$E$23</definedName>
    <definedName name="phi_x">'Calculation'!$E$24</definedName>
    <definedName name="n_x">'Calculation'!$E$25</definedName>
    <definedName name="phi_y">'Calculation'!$E$26</definedName>
    <definedName name="n_y">'Calculation'!$E$27</definedName>
    <definedName name="n_p">IF(piles="2 piles",2,4)</definedName>
    <definedName name="p_y">IF(n_p=4,l_y/2,0)</definedName>
    <definedName name="bo_c">MIN(e_p-c_nom,1.5*D_p)</definedName>
    <definedName name="bw_x">bo_c+IF(n_p=4,MIN(1.5*D_p,l_y/2-gap_min/2),bo_c)</definedName>
    <definedName name="bw_y">bo_c+MIN(1.5*D_p,l_x/2-gap_min/2)</definedName>
    <definedName name="G_k">'Calculation'!$E$51</definedName>
    <definedName name="Q_k">'Calculation'!$E$52</definedName>
    <definedName name="gamma_G">'Calculation'!$E$53</definedName>
    <definedName name="gamma_Q">'Calculation'!$E$54</definedName>
    <definedName name="P_allow">'Calculation'!$E$55</definedName>
    <definedName name="inputs_ok">IFERROR(AND(OR(NA_sel="UK NA (BS EN)",NA_sel="PL NA (PN-EN)"),OR(conc_class="C20/25",conc_class="C25/30",conc_class="C28/35",conc_class="C30/37",conc_class="C32/40",conc_class="C35/45",conc_class="C40/50",conc_class="C45/55",conc_class="C50/60"),ISNUMBER(f_yk),f_yk&gt;0,OR(piles="2 piles",piles="4 piles"),ISNUMBER(D_p),D_p&gt;0,ISNUMBER(l_x),l_x&gt;0,ISNUMBER(l_y),l_y&gt;0,ISNUMBER(e_p),e_p&gt;0,ISNUMBER(h_c),h_c&gt;0,ISNUMBER(c_x),c_x&gt;0,ISNUMBER(c_y),c_y&gt;0,ISNUMBER(c_nom),c_nom&gt;0,ISNUMBER(d_g),d_g&gt;0,OR(AND(ISNUMBER(phi_x),phi_x=8),AND(ISNUMBER(phi_x),phi_x=10),AND(ISNUMBER(phi_x),phi_x=12),AND(ISNUMBER(phi_x),phi_x=16),AND(ISNUMBER(phi_x),phi_x=20),AND(ISNUMBER(phi_x),phi_x=25),AND(ISNUMBER(phi_x),phi_x=32),AND(ISNUMBER(phi_x),phi_x=40)),OR(AND(ISNUMBER(n_x),n_x=2),AND(ISNUMBER(n_x),n_x=3),AND(ISNUMBER(n_x),n_x=4),AND(ISNUMBER(n_x),n_x=5),AND(ISNUMBER(n_x),n_x=6),AND(ISNUMBER(n_x),n_x=7),AND(ISNUMBER(n_x),n_x=8),AND(ISNUMBER(n_x),n_x=9),AND(ISNUMBER(n_x),n_x=10)),OR(AND(ISNUMBER(phi_y),phi_y=8),AND(ISNUMBER(phi_y),phi_y=10),AND(ISNUMBER(phi_y),phi_y=12),AND(ISNUMBER(phi_y),phi_y=16),AND(ISNUMBER(phi_y),phi_y=20),AND(ISNUMBER(phi_y),phi_y=25),AND(ISNUMBER(phi_y),phi_y=32),AND(ISNUMBER(phi_y),phi_y=40)),OR(AND(ISNUMBER(n_y),n_y=2),AND(ISNUMBER(n_y),n_y=3),AND(ISNUMBER(n_y),n_y=4),AND(ISNUMBER(n_y),n_y=5),AND(ISNUMBER(n_y),n_y=6),AND(ISNUMBER(n_y),n_y=7),AND(ISNUMBER(n_y),n_y=8),AND(ISNUMBER(n_y),n_y=9),AND(ISNUMBER(n_y),n_y=10)),ISNUMBER(G_k),G_k&gt;0,ISNUMBER(Q_k),Q_k&gt;=0,ISNUMBER(gamma_G),gamma_G&gt;0,ISNUMBER(gamma_Q),gamma_Q&gt;0,ISNUMBER(P_allow),P_allow&gt;0,AND(f_yk&gt;=400,f_yk&lt;=500,e_p&gt;=D_p/2,l_x&gt;=2*D_p,OR(n_p=2,l_y&gt;=2*D_p),h_c&gt;c_nom+phi_x+phi_y,c_nom&gt;=40,c_x&lt;L_c,c_y&lt;B_c,e_p&gt;c_nom,l_x/2-c_x/2-0.3*D_p&gt;0,OR(n_p=2,l_y/2-c_y/2-0.3*D_p&gt;0))),FALSE)</definedName>
    <definedName name="input_status">'Calculation'!$G$56</definedName>
    <definedName name="pile_status">'Calculation'!$G$77</definedName>
    <definedName name="tiex_status">'Calculation'!$G$78</definedName>
    <definedName name="tiey_status">'Calculation'!$G$79</definedName>
    <definedName name="shearx_status">'Calculation'!$G$80</definedName>
    <definedName name="sheary_status">'Calculation'!$G$81</definedName>
    <definedName name="face_status">'Calculation'!$G$82</definedName>
    <definedName name="strut_status">'Calculation'!$G$83</definedName>
    <definedName name="punch_status">'Calculation'!$G$84</definedName>
    <definedName name="edge_status">'Calculation'!$G$85</definedName>
    <definedName name="L_c">'Calculation'!$E$90</definedName>
    <definedName name="B_c">'Calculation'!$E$91</definedName>
    <definedName name="W_c">'Calculation'!$E$92</definedName>
    <definedName name="N_pk">'Calculation'!$E$93</definedName>
    <definedName name="N_Ed">'Calculation'!$E$94</definedName>
    <definedName name="N_t">'Calculation'!$E$95</definedName>
    <definedName name="P_Ed">'Calculation'!$E$96</definedName>
    <definedName name="gamma_c">'Calculation'!$E$99</definedName>
    <definedName name="gamma_s">'Calculation'!$E$100</definedName>
    <definedName name="alpha_cc_shear">'Calculation'!$E$101</definedName>
    <definedName name="C_Rdc">'Calculation'!$E$102</definedName>
    <definedName name="vmax">'Calculation'!$E$103</definedName>
    <definedName name="f_ck">'Calculation'!$E$104</definedName>
    <definedName name="f_ctm">'Calculation'!$E$105</definedName>
    <definedName name="d_x">'Calculation'!$E$106</definedName>
    <definedName name="d_y">'Calculation'!$E$107</definedName>
    <definedName name="d_m">'Calculation'!$E$108</definedName>
    <definedName name="x_p">'Calculation'!$E$109</definedName>
    <definedName name="cot_s">'Calculation'!$E$110</definedName>
    <definedName name="s_cp">'Calculation'!$E$111</definedName>
    <definedName name="f_yd">'Calculation'!$E$112</definedName>
    <definedName name="T_x">'Calculation'!$E$113</definedName>
    <definedName name="As_reqx">'Calculation'!$E$114</definedName>
    <definedName name="As_provx">'Calculation'!$E$115</definedName>
    <definedName name="gap_min">'Calculation'!$E$116</definedName>
    <definedName name="fit_x">n_x*phi_x+(n_x-1)*gap_min&lt;=bw_x</definedName>
    <definedName name="T_y">'Calculation'!$E$119</definedName>
    <definedName name="As_reqy">'Calculation'!$E$120</definedName>
    <definedName name="As_provy">'Calculation'!$E$121</definedName>
    <definedName name="fit_y">n_y*phi_y+(n_y-1)*gap_min&lt;=bw_y</definedName>
    <definedName name="nu_v">'Calculation'!$E$126</definedName>
    <definedName name="f_cdv">'Calculation'!$E$127</definedName>
    <definedName name="v_Rdmax">'Calculation'!$E$128</definedName>
    <definedName name="v_Ed0">'Calculation'!$E$129</definedName>
    <definedName name="av_x">'Calculation'!$E$132</definedName>
    <definedName name="ave_x">'Calculation'!$E$133</definedName>
    <definedName name="V_x">'Calculation'!$E$134</definedName>
    <definedName name="rho_x">'Calculation'!$E$135</definedName>
    <definedName name="vc_x">'Calculation'!$E$136</definedName>
    <definedName name="benh_x">'Calculation'!$E$137</definedName>
    <definedName name="V_Rdx">'Calculation'!$E$138</definedName>
    <definedName name="av_y">'Calculation'!$E$142</definedName>
    <definedName name="ave_y">'Calculation'!$E$143</definedName>
    <definedName name="V_y">'Calculation'!$E$144</definedName>
    <definedName name="rho_y">'Calculation'!$E$145</definedName>
    <definedName name="vc_y">'Calculation'!$E$146</definedName>
    <definedName name="benh_y">'Calculation'!$E$147</definedName>
    <definedName name="V_Rdy">'Calculation'!$E$148</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'Calculation'!$A$1:$H$153</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family val="2"/>
      <i val="1"/>
      <color rgb="008A8A8A"/>
      <sz val="9"/>
      <scheme val="minor"/>
    </font>
    <font>
      <name val="Calibri"/>
      <b val="1"/>
      <color rgb="002B2B2B"/>
      <sz val="9"/>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3">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0" fontId="14" fillId="0" borderId="0" pivotButton="0" quotePrefix="0" xfId="0"/>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ctr"/>
            <showLegendKey val="0"/>
            <showVal val="0"/>
            <showCatName val="0"/>
            <showSerName val="1"/>
            <showPercent val="0"/>
          </dLbls>
          <xVal>
            <numRef>
              <f>'Geometry'!$A$3</f>
            </numRef>
          </xVal>
          <yVal>
            <numRef>
              <f>'Geometry'!$B$3</f>
            </numRef>
          </yVal>
          <smooth val="0"/>
        </ser>
        <ser>
          <idx val="1"/>
          <order val="1"/>
          <tx>
            <v>cap</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x bar 0.0</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x bar 0.1</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x bar 0.2</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x bar 0.3</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x bar 0.4</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x bar 0.5</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x bar 0.6</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x bar 0.7</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x bar 0.8</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x bar 0.9</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x bar 1.0</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x bar 1.1</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x bar 1.2</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x bar 1.3</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x bar 1.4</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x bar 1.5</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v>x bar 1.6</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x bar 1.7</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x bar 1.8</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'Geometry'!$BI$3:$BI$4</f>
            </numRef>
          </xVal>
          <yVal>
            <numRef>
              <f>'Geometry'!$BJ$3:$BJ$4</f>
            </numRef>
          </yVal>
          <smooth val="0"/>
        </ser>
        <ser>
          <idx val="21"/>
          <order val="21"/>
          <tx>
            <v>x bar 1.9</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'Geometry'!$BL$3:$BL$4</f>
            </numRef>
          </xVal>
          <yVal>
            <numRef>
              <f>'Geometry'!$BM$3:$BM$4</f>
            </numRef>
          </yVal>
          <smooth val="0"/>
        </ser>
        <ser>
          <idx val="22"/>
          <order val="22"/>
          <tx>
            <v>y bar 0.0</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y bar 0.1</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v>y bar 0.2</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'Geometry'!$BU$3:$BU$4</f>
            </numRef>
          </xVal>
          <yVal>
            <numRef>
              <f>'Geometry'!$BV$3:$BV$4</f>
            </numRef>
          </yVal>
          <smooth val="0"/>
        </ser>
        <ser>
          <idx val="25"/>
          <order val="25"/>
          <tx>
            <v>y bar 0.3</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y bar 0.4</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'Geometry'!$CA$3:$CA$4</f>
            </numRef>
          </xVal>
          <yVal>
            <numRef>
              <f>'Geometry'!$CB$3:$CB$4</f>
            </numRef>
          </yVal>
          <smooth val="0"/>
        </ser>
        <ser>
          <idx val="27"/>
          <order val="27"/>
          <tx>
            <v>y bar 0.5</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v>y bar 0.6</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'Geometry'!$CG$3:$CG$4</f>
            </numRef>
          </xVal>
          <yVal>
            <numRef>
              <f>'Geometry'!$CH$3:$CH$4</f>
            </numRef>
          </yVal>
          <smooth val="0"/>
        </ser>
        <ser>
          <idx val="29"/>
          <order val="29"/>
          <tx>
            <v>y bar 0.7</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'Geometry'!$CJ$3:$CJ$4</f>
            </numRef>
          </xVal>
          <yVal>
            <numRef>
              <f>'Geometry'!$CK$3:$CK$4</f>
            </numRef>
          </yVal>
          <smooth val="0"/>
        </ser>
        <ser>
          <idx val="30"/>
          <order val="30"/>
          <tx>
            <v>y bar 0.8</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y bar 0.9</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v>y bar 1.0</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'Geometry'!$CS$3:$CS$4</f>
            </numRef>
          </xVal>
          <yVal>
            <numRef>
              <f>'Geometry'!$CT$3:$CT$4</f>
            </numRef>
          </yVal>
          <smooth val="0"/>
        </ser>
        <ser>
          <idx val="33"/>
          <order val="33"/>
          <tx>
            <v>y bar 1.1</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'Geometry'!$CV$3:$CV$4</f>
            </numRef>
          </xVal>
          <yVal>
            <numRef>
              <f>'Geometry'!$CW$3:$CW$4</f>
            </numRef>
          </yVal>
          <smooth val="0"/>
        </ser>
        <ser>
          <idx val="34"/>
          <order val="34"/>
          <tx>
            <v>y bar 1.2</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'Geometry'!$CY$3:$CY$4</f>
            </numRef>
          </xVal>
          <yVal>
            <numRef>
              <f>'Geometry'!$CZ$3:$CZ$4</f>
            </numRef>
          </yVal>
          <smooth val="0"/>
        </ser>
        <ser>
          <idx val="35"/>
          <order val="35"/>
          <tx>
            <v>y bar 1.3</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'Geometry'!$DB$3:$DB$4</f>
            </numRef>
          </xVal>
          <yVal>
            <numRef>
              <f>'Geometry'!$DC$3:$DC$4</f>
            </numRef>
          </yVal>
          <smooth val="0"/>
        </ser>
        <ser>
          <idx val="36"/>
          <order val="36"/>
          <tx>
            <v>y bar 1.4</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'Geometry'!$DE$3:$DE$4</f>
            </numRef>
          </xVal>
          <yVal>
            <numRef>
              <f>'Geometry'!$DF$3:$DF$4</f>
            </numRef>
          </yVal>
          <smooth val="0"/>
        </ser>
        <ser>
          <idx val="37"/>
          <order val="37"/>
          <tx>
            <v>y bar 1.5</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'Geometry'!$DH$3:$DH$4</f>
            </numRef>
          </xVal>
          <yVal>
            <numRef>
              <f>'Geometry'!$DI$3:$DI$4</f>
            </numRef>
          </yVal>
          <smooth val="0"/>
        </ser>
        <ser>
          <idx val="38"/>
          <order val="38"/>
          <tx>
            <v>y bar 1.6</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'Geometry'!$DK$3:$DK$4</f>
            </numRef>
          </xVal>
          <yVal>
            <numRef>
              <f>'Geometry'!$DL$3:$DL$4</f>
            </numRef>
          </yVal>
          <smooth val="0"/>
        </ser>
        <ser>
          <idx val="39"/>
          <order val="39"/>
          <tx>
            <v>y bar 1.7</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'Geometry'!$DN$3:$DN$4</f>
            </numRef>
          </xVal>
          <yVal>
            <numRef>
              <f>'Geometry'!$DO$3:$DO$4</f>
            </numRef>
          </yVal>
          <smooth val="0"/>
        </ser>
        <ser>
          <idx val="40"/>
          <order val="40"/>
          <tx>
            <v>y bar 1.8</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'Geometry'!$DQ$3:$DQ$4</f>
            </numRef>
          </xVal>
          <yVal>
            <numRef>
              <f>'Geometry'!$DR$3:$DR$4</f>
            </numRef>
          </yVal>
          <smooth val="0"/>
        </ser>
        <ser>
          <idx val="41"/>
          <order val="41"/>
          <tx>
            <v>y bar 1.9</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'Geometry'!$DT$3:$DT$4</f>
            </numRef>
          </xVal>
          <yVal>
            <numRef>
              <f>'Geometry'!$DU$3:$DU$4</f>
            </numRef>
          </yVal>
          <smooth val="0"/>
        </ser>
        <ser>
          <idx val="42"/>
          <order val="42"/>
          <tx>
            <v>pile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'Geometry'!$DW$3:$DW$27</f>
            </numRef>
          </xVal>
          <yVal>
            <numRef>
              <f>'Geometry'!$DX$3:$DX$27</f>
            </numRef>
          </yVal>
          <smooth val="0"/>
        </ser>
        <ser>
          <idx val="43"/>
          <order val="43"/>
          <tx>
            <v>pile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'Geometry'!$DZ$3:$DZ$27</f>
            </numRef>
          </xVal>
          <yVal>
            <numRef>
              <f>'Geometry'!$EA$3:$EA$27</f>
            </numRef>
          </yVal>
          <smooth val="0"/>
        </ser>
        <ser>
          <idx val="44"/>
          <order val="44"/>
          <tx>
            <v>pile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'Geometry'!$EC$3:$EC$27</f>
            </numRef>
          </xVal>
          <yVal>
            <numRef>
              <f>'Geometry'!$ED$3:$ED$27</f>
            </numRef>
          </yVal>
          <smooth val="0"/>
        </ser>
        <ser>
          <idx val="45"/>
          <order val="45"/>
          <tx>
            <v>pile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'Geometry'!$EF$3:$EF$27</f>
            </numRef>
          </xVal>
          <yVal>
            <numRef>
              <f>'Geometry'!$EG$3:$EG$27</f>
            </numRef>
          </yVal>
          <smooth val="0"/>
        </ser>
        <ser>
          <idx val="46"/>
          <order val="46"/>
          <tx>
            <v>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'Geometry'!$EI$3:$EI$7</f>
            </numRef>
          </xVal>
          <yVal>
            <numRef>
              <f>'Geometry'!$EJ$3:$EJ$7</f>
            </numRef>
          </yVal>
          <smooth val="0"/>
        </ser>
        <ser>
          <idx val="47"/>
          <order val="47"/>
          <tx>
            <v>shear x 1</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'Geometry'!$EL$3:$EL$4</f>
            </numRef>
          </xVal>
          <yVal>
            <numRef>
              <f>'Geometry'!$EM$3:$EM$4</f>
            </numRef>
          </yVal>
          <smooth val="0"/>
        </ser>
        <ser>
          <idx val="48"/>
          <order val="48"/>
          <tx>
            <v>shear y 1</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'Geometry'!$EO$3:$EO$4</f>
            </numRef>
          </xVal>
          <yVal>
            <numRef>
              <f>'Geometry'!$EP$3:$EP$4</f>
            </numRef>
          </yVal>
          <smooth val="0"/>
        </ser>
        <ser>
          <idx val="49"/>
          <order val="49"/>
          <tx>
            <v>shear x -1</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'Geometry'!$ER$3:$ER$4</f>
            </numRef>
          </xVal>
          <yVal>
            <numRef>
              <f>'Geometry'!$ES$3:$ES$4</f>
            </numRef>
          </yVal>
          <smooth val="0"/>
        </ser>
        <ser>
          <idx val="50"/>
          <order val="50"/>
          <tx>
            <v>shear y -1</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'Geometry'!$EU$3:$EU$4</f>
            </numRef>
          </xVal>
          <yVal>
            <numRef>
              <f>'Geometry'!$EV$3:$EV$4</f>
            </numRef>
          </yVal>
          <smooth val="0"/>
        </ser>
        <ser>
          <idx val="51"/>
          <order val="5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'Geometry'!$EX$3:$EX$4</f>
            </numRef>
          </xVal>
          <yVal>
            <numRef>
              <f>'Geometry'!$EY$3:$EY$4</f>
            </numRef>
          </yVal>
          <smooth val="0"/>
        </ser>
        <ser>
          <idx val="52"/>
          <order val="52"/>
          <tx>
            <strRef>
              <f>'Geometry'!$FA$2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'Geometry'!$FA$3</f>
            </numRef>
          </xVal>
          <yVal>
            <numRef>
              <f>'Geometry'!$FB$3</f>
            </numRef>
          </yVal>
          <smooth val="0"/>
        </ser>
        <ser>
          <idx val="53"/>
          <order val="5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'Geometry'!$FD$3:$FD$4</f>
            </numRef>
          </xVal>
          <yVal>
            <numRef>
              <f>'Geometry'!$FE$3:$FE$4</f>
            </numRef>
          </yVal>
          <smooth val="0"/>
        </ser>
        <ser>
          <idx val="54"/>
          <order val="54"/>
          <tx>
            <strRef>
              <f>'Geometry'!$FG$2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'Geometry'!$FG$3</f>
            </numRef>
          </xVal>
          <yVal>
            <numRef>
              <f>'Geometry'!$FH$3</f>
            </numRef>
          </yVal>
          <smooth val="0"/>
        </ser>
        <ser>
          <idx val="55"/>
          <order val="5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'Geometry'!$FJ$3:$FJ$4</f>
            </numRef>
          </xVal>
          <yVal>
            <numRef>
              <f>'Geometry'!$FK$3:$FK$4</f>
            </numRef>
          </yVal>
          <smooth val="0"/>
        </ser>
        <ser>
          <idx val="56"/>
          <order val="56"/>
          <tx>
            <strRef>
              <f>'Geometry'!$FM$2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'Geometry'!$FM$3</f>
            </numRef>
          </xVal>
          <yVal>
            <numRef>
              <f>'Geometry'!$FN$3</f>
            </numRef>
          </yVal>
          <smooth val="0"/>
        </ser>
        <ser>
          <idx val="57"/>
          <order val="5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'Geometry'!$FP$3:$FP$4</f>
            </numRef>
          </xVal>
          <yVal>
            <numRef>
              <f>'Geometry'!$FQ$3:$FQ$4</f>
            </numRef>
          </yVal>
          <smooth val="0"/>
        </ser>
        <ser>
          <idx val="58"/>
          <order val="58"/>
          <tx>
            <strRef>
              <f>'Geometry'!$FS$2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'Geometry'!$FS$3</f>
            </numRef>
          </xVal>
          <yVal>
            <numRef>
              <f>'Geometry'!$FT$3</f>
            </numRef>
          </yVal>
          <smooth val="0"/>
        </ser>
        <ser>
          <idx val="59"/>
          <order val="5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'Geometry'!$FV$3:$FV$4</f>
            </numRef>
          </xVal>
          <yVal>
            <numRef>
              <f>'Geometry'!$FW$3:$FW$4</f>
            </numRef>
          </yVal>
          <smooth val="0"/>
        </ser>
        <ser>
          <idx val="60"/>
          <order val="60"/>
          <tx>
            <strRef>
              <f>'Geometry'!$FY$2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'Geometry'!$FY$3</f>
            </numRef>
          </xVal>
          <yVal>
            <numRef>
              <f>'Geometry'!$FZ$3</f>
            </numRef>
          </yVal>
          <smooth val="0"/>
        </ser>
        <ser>
          <idx val="61"/>
          <order val="61"/>
          <tx>
            <strRef>
              <f>'Geometry'!$GB$2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ctr"/>
            <showLegendKey val="0"/>
            <showVal val="0"/>
            <showCatName val="0"/>
            <showSerName val="1"/>
            <showPercent val="0"/>
          </dLbls>
          <xVal>
            <numRef>
              <f>'Geometry'!$GB$3</f>
            </numRef>
          </xVal>
          <yVal>
            <numRef>
              <f>'Geometry'!$GC$3</f>
            </numRef>
          </yVal>
          <smooth val="0"/>
        </ser>
        <ser>
          <idx val="62"/>
          <order val="62"/>
          <tx>
            <strRef>
              <f>'Geometry'!$GE$2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'Geometry'!$GE$3</f>
            </numRef>
          </xVal>
          <yVal>
            <numRef>
              <f>'Geometry'!$GF$3</f>
            </numRef>
          </yVal>
          <smooth val="0"/>
        </ser>
        <ser>
          <idx val="63"/>
          <order val="63"/>
          <tx>
            <strRef>
              <f>'Geometry'!$GH$2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'Geometry'!$GH$3</f>
            </numRef>
          </xVal>
          <yVal>
            <numRef>
              <f>'Geometry'!$GI$3</f>
            </numRef>
          </yVal>
          <smooth val="0"/>
        </ser>
        <ser>
          <idx val="64"/>
          <order val="64"/>
          <tx>
            <v>frame</v>
          </tx>
          <spPr>
            <a:ln xmlns:a="http://schemas.openxmlformats.org/drawingml/2006/main">
              <a:noFill/>
              <a:prstDash val="solid"/>
            </a:ln>
          </spPr>
          <marker>
            <symbol val="none"/>
            <spPr>
              <a:ln xmlns:a="http://schemas.openxmlformats.org/drawingml/2006/main">
                <a:prstDash val="solid"/>
              </a:ln>
            </spPr>
          </marker>
          <xVal>
            <numRef>
              <f>'Geometry'!$GK$3:$GK$4</f>
            </numRef>
          </xVal>
          <yVal>
            <numRef>
              <f>'Geometry'!$GL$3:$GL$4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cap</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'Geometry'!$GN$3:$GN$7</f>
            </numRef>
          </xVal>
          <yVal>
            <numRef>
              <f>'Geometry'!$GO$3:$GO$7</f>
            </numRef>
          </yVal>
          <smooth val="0"/>
        </ser>
        <ser>
          <idx val="1"/>
          <order val="1"/>
          <tx>
            <v>pile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'Geometry'!$GQ$3:$GQ$6</f>
            </numRef>
          </xVal>
          <yVal>
            <numRef>
              <f>'Geometry'!$GR$3:$GR$6</f>
            </numRef>
          </yVal>
          <smooth val="0"/>
        </ser>
        <ser>
          <idx val="2"/>
          <order val="2"/>
          <tx>
            <v>strut 1</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'Geometry'!$GT$3:$GT$4</f>
            </numRef>
          </xVal>
          <yVal>
            <numRef>
              <f>'Geometry'!$GU$3:$GU$4</f>
            </numRef>
          </yVal>
          <smooth val="0"/>
        </ser>
        <ser>
          <idx val="3"/>
          <order val="3"/>
          <tx>
            <v>pile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'Geometry'!$GW$3:$GW$6</f>
            </numRef>
          </xVal>
          <yVal>
            <numRef>
              <f>'Geometry'!$GX$3:$GX$6</f>
            </numRef>
          </yVal>
          <smooth val="0"/>
        </ser>
        <ser>
          <idx val="4"/>
          <order val="4"/>
          <tx>
            <v>strut -1</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'Geometry'!$GZ$3:$GZ$4</f>
            </numRef>
          </xVal>
          <yVal>
            <numRef>
              <f>'Geometry'!$HA$3:$HA$4</f>
            </numRef>
          </yVal>
          <smooth val="0"/>
        </ser>
        <ser>
          <idx val="5"/>
          <order val="5"/>
          <tx>
            <v>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'Geometry'!$HC$3:$HC$6</f>
            </numRef>
          </xVal>
          <yVal>
            <numRef>
              <f>'Geometry'!$HD$3:$HD$6</f>
            </numRef>
          </yVal>
          <smooth val="0"/>
        </ser>
        <ser>
          <idx val="6"/>
          <order val="6"/>
          <tx>
            <v>tie</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'Geometry'!$HF$3:$HF$4</f>
            </numRef>
          </xVal>
          <yVal>
            <numRef>
              <f>'Geometry'!$HG$3:$HG$4</f>
            </numRef>
          </yVal>
          <smooth val="0"/>
        </ser>
        <ser>
          <idx val="7"/>
          <order val="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'Geometry'!$HI$3:$HI$4</f>
            </numRef>
          </xVal>
          <yVal>
            <numRef>
              <f>'Geometry'!$HJ$3:$HJ$4</f>
            </numRef>
          </yVal>
          <smooth val="0"/>
        </ser>
        <ser>
          <idx val="8"/>
          <order val="8"/>
          <tx>
            <strRef>
              <f>'Geometry'!$HL$2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'Geometry'!$HL$3</f>
            </numRef>
          </xVal>
          <yVal>
            <numRef>
              <f>'Geometry'!$HM$3</f>
            </numRef>
          </yVal>
          <smooth val="0"/>
        </ser>
        <ser>
          <idx val="9"/>
          <order val="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'Geometry'!$HO$3:$HO$4</f>
            </numRef>
          </xVal>
          <yVal>
            <numRef>
              <f>'Geometry'!$HP$3:$HP$4</f>
            </numRef>
          </yVal>
          <smooth val="0"/>
        </ser>
        <ser>
          <idx val="10"/>
          <order val="10"/>
          <tx>
            <strRef>
              <f>'Geometry'!$HR$2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'Geometry'!$HR$3</f>
            </numRef>
          </xVal>
          <yVal>
            <numRef>
              <f>'Geometry'!$HS$3</f>
            </numRef>
          </yVal>
          <smooth val="0"/>
        </ser>
        <ser>
          <idx val="11"/>
          <order val="1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'Geometry'!$HU$3:$HU$4</f>
            </numRef>
          </xVal>
          <yVal>
            <numRef>
              <f>'Geometry'!$HV$3:$HV$4</f>
            </numRef>
          </yVal>
          <smooth val="0"/>
        </ser>
        <ser>
          <idx val="12"/>
          <order val="12"/>
          <tx>
            <strRef>
              <f>'Geometry'!$HX$2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'Geometry'!$HX$3</f>
            </numRef>
          </xVal>
          <yVal>
            <numRef>
              <f>'Geometry'!$HY$3</f>
            </numRef>
          </yVal>
          <smooth val="0"/>
        </ser>
        <ser>
          <idx val="13"/>
          <order val="13"/>
          <tx>
            <strRef>
              <f>'Geometry'!$IA$2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t"/>
            <showLegendKey val="0"/>
            <showVal val="0"/>
            <showCatName val="0"/>
            <showSerName val="1"/>
            <showPercent val="0"/>
          </dLbls>
          <xVal>
            <numRef>
              <f>'Geometry'!$IA$3</f>
            </numRef>
          </xVal>
          <yVal>
            <numRef>
              <f>'Geometry'!$IB$3</f>
            </numRef>
          </yVal>
          <smooth val="0"/>
        </ser>
        <ser>
          <idx val="14"/>
          <order val="14"/>
          <tx>
            <strRef>
              <f>'Geometry'!$ID$2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'Geometry'!$ID$3</f>
            </numRef>
          </xVal>
          <yVal>
            <numRef>
              <f>'Geometry'!$IE$3</f>
            </numRef>
          </yVal>
          <smooth val="0"/>
        </ser>
        <ser>
          <idx val="15"/>
          <order val="15"/>
          <tx>
            <strRef>
              <f>'Geometry'!$IG$2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'Geometry'!$IG$3</f>
            </numRef>
          </xVal>
          <yVal>
            <numRef>
              <f>'Geometry'!$IH$3</f>
            </numRef>
          </yVal>
          <smooth val="0"/>
        </ser>
        <ser>
          <idx val="16"/>
          <order val="16"/>
          <tx>
            <v>frame</v>
          </tx>
          <spPr>
            <a:ln xmlns:a="http://schemas.openxmlformats.org/drawingml/2006/main">
              <a:noFill/>
              <a:prstDash val="solid"/>
            </a:ln>
          </spPr>
          <marker>
            <symbol val="none"/>
            <spPr>
              <a:ln xmlns:a="http://schemas.openxmlformats.org/drawingml/2006/main">
                <a:prstDash val="solid"/>
              </a:ln>
            </spPr>
          </marker>
          <xVal>
            <numRef>
              <f>'Geometry'!$IJ$3:$IJ$4</f>
            </numRef>
          </xVal>
          <yVal>
            <numRef>
              <f>'Geometry'!$IK$3:$IK$4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29</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58</row>
      <rowOff>0</rowOff>
    </from>
    <ext cx="4464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Pile cap</t>
        </is>
      </c>
    </row>
    <row r="8" ht="20" customHeight="1">
      <c r="B8" s="4" t="inlineStr">
        <is>
          <t>Reinforced concrete foundations  ·  truss model, EN 1992-1-1 §6.2, §6.5, §9.8.1  ·  UK NA / PN-EN</t>
        </is>
      </c>
    </row>
    <row r="10">
      <c r="B10" s="5" t="inlineStr">
        <is>
          <t>Reference</t>
        </is>
      </c>
      <c r="C10" s="6" t="inlineStr">
        <is>
          <t>NAE-RC-007  ·  version 1.0</t>
        </is>
      </c>
    </row>
    <row r="11" ht="31" customHeight="1">
      <c r="B11" s="5" t="inlineStr">
        <is>
          <t>Standards</t>
        </is>
      </c>
      <c r="C11" s="7" t="inlineStr">
        <is>
          <t>BS EN 1992-1-1:2004 with UK NA  ·  PN-EN 1992-1-1:2008 with Polish NA (NDP sources listed on the NDP sheet)  ·  EN 1990 load combination by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Pile cap on two piles in line or four piles in a rectangle under one central column: pile loads against the working capacity, tension ties from the truss (strut-and-tie) model, shear across the cap with the 2d/av enhancement near the piles, and the concrete stress at the column face.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49" customHeight="1">
      <c r="B22" s="7" t="inlineStr">
        <is>
          <t>Axial column load only, column central on the cap, piles of equal diameter at the corners of the pile group. Truss of depth d from the column centre to the pile centres, ties over the pile lines (TCC How to: Foundations, the established UK method): T = N l / (4d) for two piles, N l / (8d) per tie for four piles, with N the column load plus the factored weight of the cap (conservative). Bars of each tie are placed within 3D over the pile line (9.8.1(3)) and anchored past the pile centre (check separately). Shear is checked across the whole cap on a section at D/5 inside the pile faces with the 2d/av enhancement over 3D-wide bands on the piles (av ≥ 0.5d) and VEd ≤ 0.5 b d ν fcd (6.2.2(6)). The column face is checked to 6.4.5(3). Punching of a single pile or of the column outside the pile group and moments or eccentric pile loads are not covered. Pile capacity is the working (SLS) value from the pile designer. Concrete classes up to C50/60.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Foundations (pile caps).
•  The Concrete Centre, Worked Examples to Eurocode 2: Volume 1.
•  The Concrete Centre, RC Spreadsheets v4, TCC82 Pile caps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&amp;K8A8A8ANAE-RC-007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5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Pile cap</t>
        </is>
      </c>
      <c r="H2" s="1" t="n"/>
    </row>
    <row r="3" ht="16" customHeight="1">
      <c r="A3" s="1" t="n"/>
      <c r="B3" s="1" t="n"/>
      <c r="C3" s="15" t="inlineStr">
        <is>
          <t>NAE-RC-007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Number of piles</t>
        </is>
      </c>
      <c r="D14" s="23" t="n"/>
      <c r="E14" s="25" t="inlineStr">
        <is>
          <t>4 piles</t>
        </is>
      </c>
      <c r="F14" s="23" t="n"/>
      <c r="G14" s="23" t="n"/>
    </row>
    <row r="15" ht="17" customHeight="1">
      <c r="B15" s="23" t="n"/>
      <c r="C15" s="24" t="inlineStr">
        <is>
          <t>Pile diameter</t>
        </is>
      </c>
      <c r="D15" s="27" t="inlineStr">
        <is>
          <r>
            <rPr>
              <rFont val="Calibri"/>
              <i val="1"/>
              <color rgb="002B2B2B"/>
              <sz val="10"/>
            </rPr>
            <t>D</t>
          </r>
        </is>
      </c>
      <c r="E15" s="25" t="n">
        <v>600</v>
      </c>
      <c r="F15" s="28" t="inlineStr">
        <is>
          <t>mm</t>
        </is>
      </c>
      <c r="G15" s="23" t="n"/>
    </row>
    <row r="16" ht="17" customHeight="1">
      <c r="B16" s="23" t="n"/>
      <c r="C16" s="24" t="inlineStr">
        <is>
          <t>Pile spacing in x  (≥ 2D)</t>
        </is>
      </c>
      <c r="D16" s="27" t="inlineStr">
        <is>
          <r>
            <rPr>
              <rFont val="Calibri"/>
              <i val="1"/>
              <color rgb="002B2B2B"/>
              <sz val="10"/>
            </rPr>
            <t>l</t>
          </r>
          <r>
            <rPr>
              <rFont val="Calibri"/>
              <i val="1"/>
              <color rgb="002B2B2B"/>
              <sz val="10"/>
              <vertAlign val="subscript"/>
            </rPr>
            <t>x</t>
          </r>
        </is>
      </c>
      <c r="E16" s="25" t="n">
        <v>1800</v>
      </c>
      <c r="F16" s="28" t="inlineStr">
        <is>
          <t>mm</t>
        </is>
      </c>
      <c r="G16" s="26" t="inlineStr">
        <is>
          <t>3D typical</t>
        </is>
      </c>
    </row>
    <row r="17" ht="17" customHeight="1">
      <c r="B17" s="23" t="n"/>
      <c r="C17" s="24" t="inlineStr">
        <is>
          <t>Pile spacing in y  (4 piles; ≥ 2D)</t>
        </is>
      </c>
      <c r="D17" s="27" t="inlineStr">
        <is>
          <r>
            <rPr>
              <rFont val="Calibri"/>
              <i val="1"/>
              <color rgb="002B2B2B"/>
              <sz val="10"/>
            </rPr>
            <t>l</t>
          </r>
          <r>
            <rPr>
              <rFont val="Calibri"/>
              <i val="1"/>
              <color rgb="002B2B2B"/>
              <sz val="10"/>
              <vertAlign val="subscript"/>
            </rPr>
            <t>y</t>
          </r>
        </is>
      </c>
      <c r="E17" s="25" t="n">
        <v>1800</v>
      </c>
      <c r="F17" s="28" t="inlineStr">
        <is>
          <t>mm</t>
        </is>
      </c>
      <c r="G17" s="23" t="n"/>
    </row>
    <row r="18" ht="17" customHeight="1">
      <c r="B18" s="23" t="n"/>
      <c r="C18" s="24" t="inlineStr">
        <is>
          <t>Pile centre to the edge of the cap</t>
        </is>
      </c>
      <c r="D18" s="27" t="inlineStr">
        <is>
          <r>
            <rPr>
              <rFont val="Calibri"/>
              <i val="1"/>
              <color rgb="002B2B2B"/>
              <sz val="10"/>
            </rPr>
            <t>e</t>
          </r>
        </is>
      </c>
      <c r="E18" s="25" t="n">
        <v>450</v>
      </c>
      <c r="F18" s="28" t="inlineStr">
        <is>
          <t>mm</t>
        </is>
      </c>
      <c r="G18" s="26" t="inlineStr">
        <is>
          <t>D/2 + 150 recommended</t>
        </is>
      </c>
    </row>
    <row r="19" ht="17" customHeight="1">
      <c r="B19" s="23" t="n"/>
      <c r="C19" s="24" t="inlineStr">
        <is>
          <t>Cap depth</t>
        </is>
      </c>
      <c r="D19" s="27" t="inlineStr">
        <is>
          <r>
            <rPr>
              <rFont val="Calibri"/>
              <i val="1"/>
              <color rgb="002B2B2B"/>
              <sz val="10"/>
            </rPr>
            <t>h</t>
          </r>
        </is>
      </c>
      <c r="E19" s="25" t="n">
        <v>1100</v>
      </c>
      <c r="F19" s="28" t="inlineStr">
        <is>
          <t>mm</t>
        </is>
      </c>
      <c r="G19" s="23" t="n"/>
    </row>
    <row r="20" ht="17" customHeight="1">
      <c r="B20" s="23" t="n"/>
      <c r="C20" s="24" t="inlineStr">
        <is>
          <t>Column dimension in x</t>
        </is>
      </c>
      <c r="D20" s="27" t="inlineStr">
        <is>
          <r>
            <rPr>
              <rFont val="Calibri"/>
              <i val="1"/>
              <color rgb="002B2B2B"/>
              <sz val="10"/>
            </rPr>
            <t>c</t>
          </r>
          <r>
            <rPr>
              <rFont val="Calibri"/>
              <i val="1"/>
              <color rgb="002B2B2B"/>
              <sz val="10"/>
              <vertAlign val="subscript"/>
            </rPr>
            <t>x</t>
          </r>
        </is>
      </c>
      <c r="E20" s="25" t="n">
        <v>500</v>
      </c>
      <c r="F20" s="28" t="inlineStr">
        <is>
          <t>mm</t>
        </is>
      </c>
      <c r="G20" s="23" t="n"/>
    </row>
    <row r="21" ht="17" customHeight="1">
      <c r="B21" s="23" t="n"/>
      <c r="C21" s="24" t="inlineStr">
        <is>
          <t>Column dimension in y</t>
        </is>
      </c>
      <c r="D21" s="27" t="inlineStr">
        <is>
          <r>
            <rPr>
              <rFont val="Calibri"/>
              <i val="1"/>
              <color rgb="002B2B2B"/>
              <sz val="10"/>
            </rPr>
            <t>c</t>
          </r>
          <r>
            <rPr>
              <rFont val="Calibri"/>
              <i val="1"/>
              <color rgb="002B2B2B"/>
              <sz val="10"/>
              <vertAlign val="subscript"/>
            </rPr>
            <t>y</t>
          </r>
        </is>
      </c>
      <c r="E21" s="25" t="n">
        <v>500</v>
      </c>
      <c r="F21" s="28" t="inlineStr">
        <is>
          <t>mm</t>
        </is>
      </c>
      <c r="G21" s="23" t="n"/>
    </row>
    <row r="22" ht="17" customHeight="1">
      <c r="B22" s="26" t="inlineStr">
        <is>
          <t>4.4.1</t>
        </is>
      </c>
      <c r="C22" s="24" t="inlineStr">
        <is>
          <t>Cover to the tie bars, from the pile head  (≥ 40)</t>
        </is>
      </c>
      <c r="D22" s="27" t="inlineStr">
        <is>
          <r>
            <rPr>
              <rFont val="Calibri"/>
              <i val="1"/>
              <color rgb="002B2B2B"/>
              <sz val="10"/>
            </rPr>
            <t>c</t>
          </r>
          <r>
            <rPr>
              <rFont val="Calibri"/>
              <i val="1"/>
              <color rgb="002B2B2B"/>
              <sz val="10"/>
              <vertAlign val="subscript"/>
            </rPr>
            <t>nom</t>
          </r>
        </is>
      </c>
      <c r="E22" s="25" t="n">
        <v>75</v>
      </c>
      <c r="F22" s="28" t="inlineStr">
        <is>
          <t>mm</t>
        </is>
      </c>
      <c r="G22" s="23" t="n"/>
    </row>
    <row r="23" ht="17" customHeight="1">
      <c r="B23" s="26" t="inlineStr">
        <is>
          <t>8.2(2)</t>
        </is>
      </c>
      <c r="C23" s="24" t="inlineStr">
        <is>
          <t>Maximum aggregate size</t>
        </is>
      </c>
      <c r="D23" s="27" t="inlineStr">
        <is>
          <r>
            <rPr>
              <rFont val="Calibri"/>
              <i val="1"/>
              <color rgb="002B2B2B"/>
              <sz val="10"/>
            </rPr>
            <t>d</t>
          </r>
          <r>
            <rPr>
              <rFont val="Calibri"/>
              <i val="1"/>
              <color rgb="002B2B2B"/>
              <sz val="10"/>
              <vertAlign val="subscript"/>
            </rPr>
            <t>g</t>
          </r>
        </is>
      </c>
      <c r="E23" s="25" t="n">
        <v>20</v>
      </c>
      <c r="F23" s="28" t="inlineStr">
        <is>
          <t>mm</t>
        </is>
      </c>
      <c r="G23" s="23" t="n"/>
    </row>
    <row r="24" ht="17" customHeight="1">
      <c r="B24" s="23" t="n"/>
      <c r="C24" s="24" t="inlineStr">
        <is>
          <t>Ties in x (lower layer): bar diameter</t>
        </is>
      </c>
      <c r="D24" s="27" t="inlineStr">
        <is>
          <r>
            <rPr>
              <rFont val="Calibri"/>
              <i val="1"/>
              <color rgb="002B2B2B"/>
              <sz val="10"/>
            </rPr>
            <t>φ</t>
          </r>
          <r>
            <rPr>
              <rFont val="Calibri"/>
              <i val="1"/>
              <color rgb="002B2B2B"/>
              <sz val="10"/>
              <vertAlign val="subscript"/>
            </rPr>
            <t>x</t>
          </r>
        </is>
      </c>
      <c r="E24" s="25" t="n">
        <v>25</v>
      </c>
      <c r="F24" s="28" t="inlineStr">
        <is>
          <t>mm</t>
        </is>
      </c>
      <c r="G24" s="23" t="n"/>
    </row>
    <row r="25" ht="17" customHeight="1">
      <c r="B25" s="23" t="n"/>
      <c r="C25" s="24" t="inlineStr">
        <is>
          <t>Ties in x: bars over each pile line</t>
        </is>
      </c>
      <c r="D25" s="27" t="inlineStr">
        <is>
          <r>
            <rPr>
              <rFont val="Calibri"/>
              <i val="1"/>
              <color rgb="002B2B2B"/>
              <sz val="10"/>
            </rPr>
            <t>n</t>
          </r>
          <r>
            <rPr>
              <rFont val="Calibri"/>
              <i val="1"/>
              <color rgb="002B2B2B"/>
              <sz val="10"/>
              <vertAlign val="subscript"/>
            </rPr>
            <t>x</t>
          </r>
        </is>
      </c>
      <c r="E25" s="25" t="n">
        <v>6</v>
      </c>
      <c r="F25" s="23" t="n"/>
      <c r="G25" s="23" t="n"/>
    </row>
    <row r="26" ht="17" customHeight="1">
      <c r="B26" s="23" t="n"/>
      <c r="C26" s="24" t="inlineStr">
        <is>
          <t>Ties in y (upper layer, 4 piles): bar diameter</t>
        </is>
      </c>
      <c r="D26" s="27" t="inlineStr">
        <is>
          <r>
            <rPr>
              <rFont val="Calibri"/>
              <i val="1"/>
              <color rgb="002B2B2B"/>
              <sz val="10"/>
            </rPr>
            <t>φ</t>
          </r>
          <r>
            <rPr>
              <rFont val="Calibri"/>
              <i val="1"/>
              <color rgb="002B2B2B"/>
              <sz val="10"/>
              <vertAlign val="subscript"/>
            </rPr>
            <t>y</t>
          </r>
        </is>
      </c>
      <c r="E26" s="25" t="n">
        <v>25</v>
      </c>
      <c r="F26" s="28" t="inlineStr">
        <is>
          <t>mm</t>
        </is>
      </c>
      <c r="G26" s="23" t="n"/>
    </row>
    <row r="27" ht="17" customHeight="1">
      <c r="B27" s="23" t="n"/>
      <c r="C27" s="24" t="inlineStr">
        <is>
          <t>Ties in y: bars over each pile line</t>
        </is>
      </c>
      <c r="D27" s="27" t="inlineStr">
        <is>
          <r>
            <rPr>
              <rFont val="Calibri"/>
              <i val="1"/>
              <color rgb="002B2B2B"/>
              <sz val="10"/>
            </rPr>
            <t>n</t>
          </r>
          <r>
            <rPr>
              <rFont val="Calibri"/>
              <i val="1"/>
              <color rgb="002B2B2B"/>
              <sz val="10"/>
              <vertAlign val="subscript"/>
            </rPr>
            <t>y</t>
          </r>
        </is>
      </c>
      <c r="E27" s="25" t="n">
        <v>6</v>
      </c>
      <c r="F27" s="23" t="n"/>
      <c r="G27" s="23" t="n"/>
    </row>
    <row r="29">
      <c r="B29" s="29" t="inlineStr">
        <is>
          <t>Your pile cap in plan, to scale  ·  tie bars over the pile lines (blue)  ·  shear sections at D/5 inside the pile faces (dashed)</t>
        </is>
      </c>
    </row>
    <row r="50" ht="22" customHeight="1">
      <c r="B50" s="20" t="inlineStr">
        <is>
          <t>Inputs  ·  loads</t>
        </is>
      </c>
      <c r="C50" s="21" t="n"/>
      <c r="D50" s="21" t="n"/>
      <c r="E50" s="21" t="n"/>
      <c r="F50" s="21" t="n"/>
      <c r="G50" s="22" t="inlineStr">
        <is>
          <t>Column loads at the top of the cap</t>
        </is>
      </c>
    </row>
    <row r="51" ht="17" customHeight="1">
      <c r="B51" s="23" t="n"/>
      <c r="C51" s="24" t="inlineStr">
        <is>
          <t>Column load, permanent</t>
        </is>
      </c>
      <c r="D51" s="27" t="inlineStr">
        <is>
          <r>
            <rPr>
              <rFont val="Calibri"/>
              <i val="1"/>
              <color rgb="002B2B2B"/>
              <sz val="10"/>
            </rPr>
            <t>G</t>
          </r>
          <r>
            <rPr>
              <rFont val="Calibri"/>
              <i val="1"/>
              <color rgb="002B2B2B"/>
              <sz val="10"/>
              <vertAlign val="subscript"/>
            </rPr>
            <t>k</t>
          </r>
        </is>
      </c>
      <c r="E51" s="30" t="n">
        <v>2400</v>
      </c>
      <c r="F51" s="28" t="inlineStr">
        <is>
          <t>kN</t>
        </is>
      </c>
      <c r="G51" s="23" t="n"/>
    </row>
    <row r="52" ht="17" customHeight="1">
      <c r="B52" s="23" t="n"/>
      <c r="C52" s="24" t="inlineStr">
        <is>
          <t>Column load, variable</t>
        </is>
      </c>
      <c r="D52" s="27" t="inlineStr">
        <is>
          <r>
            <rPr>
              <rFont val="Calibri"/>
              <i val="1"/>
              <color rgb="002B2B2B"/>
              <sz val="10"/>
            </rPr>
            <t>Q</t>
          </r>
          <r>
            <rPr>
              <rFont val="Calibri"/>
              <i val="1"/>
              <color rgb="002B2B2B"/>
              <sz val="10"/>
              <vertAlign val="subscript"/>
            </rPr>
            <t>k</t>
          </r>
        </is>
      </c>
      <c r="E52" s="30" t="n">
        <v>900</v>
      </c>
      <c r="F52" s="28" t="inlineStr">
        <is>
          <t>kN</t>
        </is>
      </c>
      <c r="G52" s="23" t="n"/>
    </row>
    <row r="53" ht="17" customHeight="1">
      <c r="B53" s="26" t="inlineStr">
        <is>
          <t>EN 1990 A1.2(B)</t>
        </is>
      </c>
      <c r="C53" s="24" t="inlineStr">
        <is>
          <t>Partial factor, permanent</t>
        </is>
      </c>
      <c r="D53" s="27" t="inlineStr">
        <is>
          <r>
            <rPr>
              <rFont val="Calibri"/>
              <i val="1"/>
              <color rgb="002B2B2B"/>
              <sz val="10"/>
            </rPr>
            <t>γ</t>
          </r>
          <r>
            <rPr>
              <rFont val="Calibri"/>
              <i val="1"/>
              <color rgb="002B2B2B"/>
              <sz val="10"/>
              <vertAlign val="subscript"/>
            </rPr>
            <t>G</t>
          </r>
        </is>
      </c>
      <c r="E53" s="31" t="n">
        <v>1.35</v>
      </c>
      <c r="F53" s="23" t="n"/>
      <c r="G53" s="23" t="n"/>
    </row>
    <row r="54" ht="17" customHeight="1">
      <c r="B54" s="26" t="inlineStr">
        <is>
          <t>EN 1990 A1.2(B)</t>
        </is>
      </c>
      <c r="C54" s="24" t="inlineStr">
        <is>
          <t>Partial factor, variable</t>
        </is>
      </c>
      <c r="D54" s="27" t="inlineStr">
        <is>
          <r>
            <rPr>
              <rFont val="Calibri"/>
              <i val="1"/>
              <color rgb="002B2B2B"/>
              <sz val="10"/>
            </rPr>
            <t>γ</t>
          </r>
          <r>
            <rPr>
              <rFont val="Calibri"/>
              <i val="1"/>
              <color rgb="002B2B2B"/>
              <sz val="10"/>
              <vertAlign val="subscript"/>
            </rPr>
            <t>Q</t>
          </r>
        </is>
      </c>
      <c r="E54" s="31" t="n">
        <v>1.5</v>
      </c>
      <c r="F54" s="23" t="n"/>
      <c r="G54" s="23" t="n"/>
    </row>
    <row r="55" ht="17" customHeight="1">
      <c r="B55" s="23" t="n"/>
      <c r="C55" s="24" t="inlineStr">
        <is>
          <t>Pile working capacity (characteristic load)</t>
        </is>
      </c>
      <c r="D55" s="27" t="inlineStr">
        <is>
          <r>
            <rPr>
              <rFont val="Calibri"/>
              <i val="1"/>
              <color rgb="002B2B2B"/>
              <sz val="10"/>
            </rPr>
            <t>P</t>
          </r>
          <r>
            <rPr>
              <rFont val="Calibri"/>
              <i val="1"/>
              <color rgb="002B2B2B"/>
              <sz val="10"/>
              <vertAlign val="subscript"/>
            </rPr>
            <t>allow</t>
          </r>
        </is>
      </c>
      <c r="E55" s="30" t="n">
        <v>1500</v>
      </c>
      <c r="F55" s="28" t="inlineStr">
        <is>
          <t>kN</t>
        </is>
      </c>
      <c r="G55" s="26" t="inlineStr">
        <is>
          <t>From the pile designer</t>
        </is>
      </c>
    </row>
    <row r="56" ht="17" customHeight="1">
      <c r="B56" s="23" t="n"/>
      <c r="C56" s="24" t="inlineStr">
        <is>
          <t>Inputs valid and consistent</t>
        </is>
      </c>
      <c r="D56" s="23" t="n"/>
      <c r="E56" s="9" t="n"/>
      <c r="F56" s="23" t="n"/>
      <c r="G56" s="32">
        <f>IF(inputs_ok,"OK","FAIL")</f>
        <v/>
      </c>
    </row>
    <row r="58">
      <c r="B58" s="29" t="inlineStr">
        <is>
          <t>Section along x, to scale  ·  struts (grey) from the column centre to the piles, tie (blue) at the bars  ·  4 piles: projection of the diagonal truss</t>
        </is>
      </c>
    </row>
    <row r="76" ht="22" customHeight="1">
      <c r="B76" s="20" t="inlineStr">
        <is>
          <t>Results</t>
        </is>
      </c>
      <c r="C76" s="21" t="n"/>
      <c r="D76" s="21" t="n"/>
      <c r="E76" s="21" t="n"/>
      <c r="F76" s="21" t="n"/>
      <c r="G76" s="21" t="n"/>
    </row>
    <row r="77" ht="26" customHeight="1">
      <c r="B77" s="33" t="n"/>
      <c r="C77" s="34" t="inlineStr">
        <is>
          <t>Pile load, characteristic  N / P_allow</t>
        </is>
      </c>
      <c r="D77" s="35" t="inlineStr">
        <is>
          <r>
            <rPr>
              <rFont val="Calibri"/>
              <i val="1"/>
              <color rgb="002B2B2B"/>
              <sz val="11"/>
            </rPr>
            <t>N</t>
          </r>
          <r>
            <rPr>
              <rFont val="Calibri"/>
              <i val="1"/>
              <color rgb="002B2B2B"/>
              <sz val="11"/>
              <vertAlign val="subscript"/>
            </rPr>
            <t>pile</t>
          </r>
        </is>
      </c>
      <c r="E77" s="36">
        <f>IF(inputs_ok,N_pk/P_allow,"–")</f>
        <v/>
      </c>
      <c r="F77" s="37" t="inlineStr"/>
      <c r="G77" s="38">
        <f>IF(NOT(inputs_ok),"FAIL",IF(N_pk&lt;=P_allow,"OK","FAIL"))</f>
        <v/>
      </c>
    </row>
    <row r="78" ht="26" customHeight="1">
      <c r="B78" s="33" t="n"/>
      <c r="C78" s="34" t="inlineStr">
        <is>
          <t>Ties in x  As,req / As,prov</t>
        </is>
      </c>
      <c r="D78" s="35" t="inlineStr">
        <is>
          <r>
            <rPr>
              <rFont val="Calibri"/>
              <i val="1"/>
              <color rgb="002B2B2B"/>
              <sz val="11"/>
            </rPr>
            <t>A</t>
          </r>
          <r>
            <rPr>
              <rFont val="Calibri"/>
              <i val="1"/>
              <color rgb="002B2B2B"/>
              <sz val="11"/>
              <vertAlign val="subscript"/>
            </rPr>
            <t>s,x</t>
          </r>
        </is>
      </c>
      <c r="E78" s="36">
        <f>IF(inputs_ok,As_reqx/As_provx,"–")</f>
        <v/>
      </c>
      <c r="F78" s="37" t="inlineStr"/>
      <c r="G78" s="38">
        <f>IF(NOT(inputs_ok),"FAIL",IF(AND(As_provx&gt;=As_reqx,fit_x),"OK","FAIL"))</f>
        <v/>
      </c>
    </row>
    <row r="79" ht="26" customHeight="1">
      <c r="B79" s="33" t="n"/>
      <c r="C79" s="34" t="inlineStr">
        <is>
          <t>Ties in y  As,req / As,prov</t>
        </is>
      </c>
      <c r="D79" s="35" t="inlineStr">
        <is>
          <r>
            <rPr>
              <rFont val="Calibri"/>
              <i val="1"/>
              <color rgb="002B2B2B"/>
              <sz val="11"/>
            </rPr>
            <t>A</t>
          </r>
          <r>
            <rPr>
              <rFont val="Calibri"/>
              <i val="1"/>
              <color rgb="002B2B2B"/>
              <sz val="11"/>
              <vertAlign val="subscript"/>
            </rPr>
            <t>s,y</t>
          </r>
        </is>
      </c>
      <c r="E79" s="36">
        <f>IF(inputs_ok,IF(n_p=4,As_reqy/As_provy,"–"),"–")</f>
        <v/>
      </c>
      <c r="F79" s="37" t="inlineStr"/>
      <c r="G79" s="38">
        <f>IF(NOT(inputs_ok),"FAIL",IF(n_p=2,"n/a",IF(AND(As_provy&gt;=As_reqy,fit_y),"OK","FAIL")))</f>
        <v/>
      </c>
    </row>
    <row r="80" ht="26" customHeight="1">
      <c r="B80" s="33" t="n"/>
      <c r="C80" s="34" t="inlineStr">
        <is>
          <t>Shear across the cap, x  VEd / VRd</t>
        </is>
      </c>
      <c r="D80" s="33" t="n"/>
      <c r="E80" s="36">
        <f>IF(inputs_ok,V_x/V_Rdx,"–")</f>
        <v/>
      </c>
      <c r="F80" s="37" t="inlineStr"/>
      <c r="G80" s="38">
        <f>IF(NOT(inputs_ok),"FAIL",IF(V_x&lt;=V_Rdx,"OK","FAIL"))</f>
        <v/>
      </c>
    </row>
    <row r="81" ht="26" customHeight="1">
      <c r="B81" s="33" t="n"/>
      <c r="C81" s="34" t="inlineStr">
        <is>
          <t>Shear across the cap, y  VEd / VRd</t>
        </is>
      </c>
      <c r="D81" s="33" t="n"/>
      <c r="E81" s="36">
        <f>IF(inputs_ok,IF(n_p=4,V_y/V_Rdy,"–"),"–")</f>
        <v/>
      </c>
      <c r="F81" s="37" t="inlineStr"/>
      <c r="G81" s="38">
        <f>IF(NOT(inputs_ok),"FAIL",IF(n_p=2,"n/a",IF(V_y&lt;=V_Rdy,"OK","FAIL")))</f>
        <v/>
      </c>
    </row>
    <row r="82" ht="26" customHeight="1">
      <c r="B82" s="33" t="n"/>
      <c r="C82" s="34" t="inlineStr">
        <is>
          <t>Column face  vEd / vRd,max</t>
        </is>
      </c>
      <c r="D82" s="33" t="n"/>
      <c r="E82" s="36">
        <f>IF(inputs_ok,v_Ed0/v_Rdmax,"–")</f>
        <v/>
      </c>
      <c r="F82" s="37" t="inlineStr"/>
      <c r="G82" s="38">
        <f>IF(NOT(inputs_ok),"FAIL",IF(v_Ed0&lt;=v_Rdmax,"OK","FAIL"))</f>
        <v/>
      </c>
    </row>
    <row r="83" ht="26" customHeight="1">
      <c r="B83" s="33" t="n"/>
      <c r="C83" s="34" t="inlineStr">
        <is>
          <t>Truss geometry  cot θ = x_p / d</t>
        </is>
      </c>
      <c r="D83" s="33" t="n"/>
      <c r="E83" s="36">
        <f>IF(inputs_ok,cot_s,"–")</f>
        <v/>
      </c>
      <c r="F83" s="37" t="inlineStr"/>
      <c r="G83" s="38">
        <f>IF(NOT(inputs_ok),"FAIL",IF(cot_s&lt;=2,"OK","! Shallow cap, cot θ &gt; 2"))</f>
        <v/>
      </c>
    </row>
    <row r="84" ht="26" customHeight="1">
      <c r="B84" s="33" t="n"/>
      <c r="C84" s="34" t="inlineStr">
        <is>
          <t>Column face to the nearest pile face  /  2d</t>
        </is>
      </c>
      <c r="D84" s="33" t="n"/>
      <c r="E84" s="36">
        <f>IF(inputs_ok,s_cp/(2*d_m),"–")</f>
        <v/>
      </c>
      <c r="F84" s="37" t="inlineStr"/>
      <c r="G84" s="38">
        <f>IF(NOT(inputs_ok),"FAIL",IF(s_cp&lt;=2*d_m,"n/a: shear across the cap","! Check punching, 6.4"))</f>
        <v/>
      </c>
    </row>
    <row r="85" ht="26" customHeight="1">
      <c r="B85" s="33" t="n"/>
      <c r="C85" s="34" t="inlineStr">
        <is>
          <t>Edge projection beyond the pile face</t>
        </is>
      </c>
      <c r="D85" s="33" t="n"/>
      <c r="E85" s="39">
        <f>IF(inputs_ok,e_p-D_p/2,"–")</f>
        <v/>
      </c>
      <c r="F85" s="37" t="inlineStr">
        <is>
          <t>mm</t>
        </is>
      </c>
      <c r="G85" s="38">
        <f>IF(NOT(inputs_ok),"FAIL",IF(e_p-D_p/2&gt;=150,"OK","! Projection &lt; 150 mm"))</f>
        <v/>
      </c>
    </row>
    <row r="86" ht="79" customHeight="1">
      <c r="B86" s="40" t="inlineStr">
        <is>
          <t>Punching is not calculated here. Piles within 2d of the column face: the shear across the cap at the pile faces (with the av / 2d enhancement) and the column-face check carry it (TCC How to: Foundations). Piles further out leave room for a punching failure around the column inside the pile group: check it separately to 6.4. A shallow cap (struts flatter than about 27°) makes the truss model unreliable: deepen the cap. Anchor the tie bars beyond the pile centres with a full anchorage length (bends allowed, 8.4) and provide side and top bars (9.8.1(4)) and starter bars to the column. For two piles, transverse bars are nominal: not designed here.</t>
        </is>
      </c>
    </row>
    <row r="87"/>
    <row r="88" ht="22" customHeight="1">
      <c r="B88" s="20" t="inlineStr">
        <is>
          <t>Calculation  ·  geometry and pile loads</t>
        </is>
      </c>
      <c r="C88" s="21" t="n"/>
      <c r="D88" s="21" t="n"/>
      <c r="E88" s="21" t="n"/>
      <c r="F88" s="21" t="n"/>
      <c r="G88" s="21" t="n"/>
    </row>
    <row r="89" ht="17" customHeight="1">
      <c r="B89" s="23" t="n"/>
      <c r="C89" s="24" t="inlineStr">
        <is>
          <t>Number of piles</t>
        </is>
      </c>
      <c r="D89" s="27" t="inlineStr">
        <is>
          <r>
            <rPr>
              <rFont val="Calibri"/>
              <i val="1"/>
              <color rgb="002B2B2B"/>
              <sz val="10"/>
            </rPr>
            <t>n</t>
          </r>
        </is>
      </c>
      <c r="E89" s="41">
        <f>IF(inputs_ok,n_p,NA())</f>
        <v/>
      </c>
      <c r="F89" s="23" t="n"/>
      <c r="G89" s="23" t="n"/>
    </row>
    <row r="90" ht="17" customHeight="1">
      <c r="B90" s="23" t="n"/>
      <c r="C90" s="24" t="inlineStr">
        <is>
          <t>Cap length  lx + 2e</t>
        </is>
      </c>
      <c r="D90" s="27" t="inlineStr">
        <is>
          <r>
            <rPr>
              <rFont val="Calibri"/>
              <i val="1"/>
              <color rgb="002B2B2B"/>
              <sz val="10"/>
            </rPr>
            <t>L</t>
          </r>
        </is>
      </c>
      <c r="E90" s="41">
        <f>l_x+2*e_p</f>
        <v/>
      </c>
      <c r="F90" s="28" t="inlineStr">
        <is>
          <t>mm</t>
        </is>
      </c>
      <c r="G90" s="23" t="n"/>
    </row>
    <row r="91" ht="17" customHeight="1">
      <c r="B91" s="23" t="n"/>
      <c r="C91" s="24" t="inlineStr">
        <is>
          <t>Cap width  (2 piles: 2e; 4 piles: ly + 2e)</t>
        </is>
      </c>
      <c r="D91" s="27" t="inlineStr">
        <is>
          <r>
            <rPr>
              <rFont val="Calibri"/>
              <i val="1"/>
              <color rgb="002B2B2B"/>
              <sz val="10"/>
            </rPr>
            <t>B</t>
          </r>
        </is>
      </c>
      <c r="E91" s="41">
        <f>IF(n_p=2,2*e_p,l_y+2*e_p)</f>
        <v/>
      </c>
      <c r="F91" s="28" t="inlineStr">
        <is>
          <t>mm</t>
        </is>
      </c>
      <c r="G91" s="23" t="n"/>
    </row>
    <row r="92" ht="17" customHeight="1">
      <c r="B92" s="23" t="n"/>
      <c r="C92" s="24" t="inlineStr">
        <is>
          <t>Self weight of the cap  25 kN/m³ · L B h</t>
        </is>
      </c>
      <c r="D92" s="27" t="inlineStr">
        <is>
          <r>
            <rPr>
              <rFont val="Calibri"/>
              <i val="1"/>
              <color rgb="002B2B2B"/>
              <sz val="10"/>
            </rPr>
            <t>W</t>
          </r>
          <r>
            <rPr>
              <rFont val="Calibri"/>
              <i val="1"/>
              <color rgb="002B2B2B"/>
              <sz val="10"/>
              <vertAlign val="subscript"/>
            </rPr>
            <t>c</t>
          </r>
        </is>
      </c>
      <c r="E92" s="42">
        <f>IF(inputs_ok,25*L_c*B_c*h_c/1E9,NA())</f>
        <v/>
      </c>
      <c r="F92" s="28" t="inlineStr">
        <is>
          <t>kN</t>
        </is>
      </c>
      <c r="G92" s="23" t="n"/>
    </row>
    <row r="93" ht="17" customHeight="1">
      <c r="B93" s="23" t="n"/>
      <c r="C93" s="24" t="inlineStr">
        <is>
          <t>Pile load, characteristic  (Gk + Qk + Wc) / n</t>
        </is>
      </c>
      <c r="D93" s="27" t="inlineStr">
        <is>
          <r>
            <rPr>
              <rFont val="Calibri"/>
              <i val="1"/>
              <color rgb="002B2B2B"/>
              <sz val="10"/>
            </rPr>
            <t>N</t>
          </r>
          <r>
            <rPr>
              <rFont val="Calibri"/>
              <i val="1"/>
              <color rgb="002B2B2B"/>
              <sz val="10"/>
              <vertAlign val="subscript"/>
            </rPr>
            <t>pile,k</t>
          </r>
        </is>
      </c>
      <c r="E93" s="43">
        <f>IF(inputs_ok,(G_k+Q_k+W_c)/n_p,NA())</f>
        <v/>
      </c>
      <c r="F93" s="28" t="inlineStr">
        <is>
          <t>kN</t>
        </is>
      </c>
      <c r="G93" s="23" t="n"/>
    </row>
    <row r="94" ht="17" customHeight="1">
      <c r="B94" s="26" t="inlineStr">
        <is>
          <t>EN 1990 (6.10)</t>
        </is>
      </c>
      <c r="C94" s="24" t="inlineStr">
        <is>
          <t>Design column load  γG Gk + γQ Qk</t>
        </is>
      </c>
      <c r="D94" s="27" t="inlineStr">
        <is>
          <r>
            <rPr>
              <rFont val="Calibri"/>
              <i val="1"/>
              <color rgb="002B2B2B"/>
              <sz val="10"/>
            </rPr>
            <t>N</t>
          </r>
          <r>
            <rPr>
              <rFont val="Calibri"/>
              <i val="1"/>
              <color rgb="002B2B2B"/>
              <sz val="10"/>
              <vertAlign val="subscript"/>
            </rPr>
            <t>Ed</t>
          </r>
        </is>
      </c>
      <c r="E94" s="42">
        <f>IF(inputs_ok,gamma_G*G_k+gamma_Q*Q_k,NA())</f>
        <v/>
      </c>
      <c r="F94" s="28" t="inlineStr">
        <is>
          <t>kN</t>
        </is>
      </c>
      <c r="G94" s="23" t="n"/>
    </row>
    <row r="95" ht="17" customHeight="1">
      <c r="B95" s="23" t="n"/>
      <c r="C95" s="24" t="inlineStr">
        <is>
          <t>Design load on the truss  NEd + γG Wc</t>
        </is>
      </c>
      <c r="D95" s="27" t="inlineStr">
        <is>
          <r>
            <rPr>
              <rFont val="Calibri"/>
              <i val="1"/>
              <color rgb="002B2B2B"/>
              <sz val="10"/>
            </rPr>
            <t>N</t>
          </r>
        </is>
      </c>
      <c r="E95" s="42">
        <f>IF(inputs_ok,N_Ed+gamma_G*W_c,NA())</f>
        <v/>
      </c>
      <c r="F95" s="28" t="inlineStr">
        <is>
          <t>kN</t>
        </is>
      </c>
      <c r="G95" s="23" t="n"/>
    </row>
    <row r="96" ht="17" customHeight="1">
      <c r="B96" s="23" t="n"/>
      <c r="C96" s="24" t="inlineStr">
        <is>
          <t>Design pile reaction  N / n</t>
        </is>
      </c>
      <c r="D96" s="27" t="inlineStr">
        <is>
          <r>
            <rPr>
              <rFont val="Calibri"/>
              <i val="1"/>
              <color rgb="002B2B2B"/>
              <sz val="10"/>
            </rPr>
            <t>P</t>
          </r>
          <r>
            <rPr>
              <rFont val="Calibri"/>
              <i val="1"/>
              <color rgb="002B2B2B"/>
              <sz val="10"/>
              <vertAlign val="subscript"/>
            </rPr>
            <t>Ed</t>
          </r>
        </is>
      </c>
      <c r="E96" s="42">
        <f>IF(inputs_ok,N_t/n_p,NA())</f>
        <v/>
      </c>
      <c r="F96" s="28" t="inlineStr">
        <is>
          <t>kN</t>
        </is>
      </c>
      <c r="G96" s="23" t="n"/>
    </row>
    <row r="97"/>
    <row r="98" ht="22" customHeight="1">
      <c r="B98" s="20" t="inlineStr">
        <is>
          <t>Calculation  ·  truss and ties</t>
        </is>
      </c>
      <c r="C98" s="21" t="n"/>
      <c r="D98" s="21" t="n"/>
      <c r="E98" s="21" t="n"/>
      <c r="F98" s="21" t="n"/>
      <c r="G98" s="21" t="n"/>
    </row>
    <row r="99" ht="17" customHeight="1">
      <c r="B99" s="26" t="inlineStr">
        <is>
          <t>2.4.2.4(1)</t>
        </is>
      </c>
      <c r="C99" s="24" t="inlineStr">
        <is>
          <t>Partial factor, concrete</t>
        </is>
      </c>
      <c r="D99" s="27" t="inlineStr">
        <is>
          <r>
            <rPr>
              <rFont val="Calibri"/>
              <i val="1"/>
              <color rgb="002B2B2B"/>
              <sz val="10"/>
            </rPr>
            <t>γ</t>
          </r>
          <r>
            <rPr>
              <rFont val="Calibri"/>
              <i val="1"/>
              <color rgb="002B2B2B"/>
              <sz val="10"/>
              <vertAlign val="subscript"/>
            </rPr>
            <t>c</t>
          </r>
        </is>
      </c>
      <c r="E99" s="44">
        <f>IF(inputs_ok,ndp_gamma_c,NA())</f>
        <v/>
      </c>
      <c r="F99" s="23" t="n"/>
      <c r="G99" s="26" t="inlineStr">
        <is>
          <t>NDP sheet</t>
        </is>
      </c>
    </row>
    <row r="100" ht="17" customHeight="1">
      <c r="B100" s="26" t="inlineStr">
        <is>
          <t>2.4.2.4(1)</t>
        </is>
      </c>
      <c r="C100" s="24" t="inlineStr">
        <is>
          <t>Partial factor, reinforcement</t>
        </is>
      </c>
      <c r="D100" s="27" t="inlineStr">
        <is>
          <r>
            <rPr>
              <rFont val="Calibri"/>
              <i val="1"/>
              <color rgb="002B2B2B"/>
              <sz val="10"/>
            </rPr>
            <t>γ</t>
          </r>
          <r>
            <rPr>
              <rFont val="Calibri"/>
              <i val="1"/>
              <color rgb="002B2B2B"/>
              <sz val="10"/>
              <vertAlign val="subscript"/>
            </rPr>
            <t>s</t>
          </r>
        </is>
      </c>
      <c r="E100" s="44">
        <f>IF(inputs_ok,ndp_gamma_s,NA())</f>
        <v/>
      </c>
      <c r="F100" s="23" t="n"/>
      <c r="G100" s="26" t="inlineStr">
        <is>
          <t>NDP sheet</t>
        </is>
      </c>
    </row>
    <row r="101" ht="17" customHeight="1">
      <c r="B101" s="26" t="inlineStr">
        <is>
          <t>3.1.6(1)</t>
        </is>
      </c>
      <c r="C101" s="24" t="inlineStr">
        <is>
          <t>Coefficient on compressive strength (shear)</t>
        </is>
      </c>
      <c r="D101" s="27" t="inlineStr">
        <is>
          <r>
            <rPr>
              <rFont val="Calibri"/>
              <i val="1"/>
              <color rgb="002B2B2B"/>
              <sz val="10"/>
            </rPr>
            <t>α</t>
          </r>
          <r>
            <rPr>
              <rFont val="Calibri"/>
              <i val="1"/>
              <color rgb="002B2B2B"/>
              <sz val="10"/>
              <vertAlign val="subscript"/>
            </rPr>
            <t>cc</t>
          </r>
        </is>
      </c>
      <c r="E101" s="44">
        <f>IF(inputs_ok,ndp_alpha_cc_shear,NA())</f>
        <v/>
      </c>
      <c r="F101" s="23" t="n"/>
      <c r="G101" s="26" t="inlineStr">
        <is>
          <t>NDP sheet</t>
        </is>
      </c>
    </row>
    <row r="102" ht="17" customHeight="1">
      <c r="B102" s="26" t="inlineStr">
        <is>
          <t>6.2.2(1), 6.4.4(1)</t>
        </is>
      </c>
      <c r="C102" s="24" t="inlineStr">
        <is>
          <t>Coefficient  0.18 / γc</t>
        </is>
      </c>
      <c r="D102" s="27" t="inlineStr">
        <is>
          <r>
            <rPr>
              <rFont val="Calibri"/>
              <i val="1"/>
              <color rgb="002B2B2B"/>
              <sz val="10"/>
            </rPr>
            <t>C</t>
          </r>
          <r>
            <rPr>
              <rFont val="Calibri"/>
              <i val="1"/>
              <color rgb="002B2B2B"/>
              <sz val="10"/>
              <vertAlign val="subscript"/>
            </rPr>
            <t>Rd,c</t>
          </r>
        </is>
      </c>
      <c r="E102" s="45">
        <f>IF(inputs_ok,ndp_C_Rdc/ndp_gamma_c,NA())</f>
        <v/>
      </c>
      <c r="F102" s="23" t="n"/>
      <c r="G102" s="26" t="inlineStr">
        <is>
          <t>NDP sheet</t>
        </is>
      </c>
    </row>
    <row r="103" ht="17" customHeight="1">
      <c r="B103" s="26" t="inlineStr">
        <is>
          <t>6.4.5(3)</t>
        </is>
      </c>
      <c r="C103" s="24" t="inlineStr">
        <is>
          <t>Factor on ν fcd for vRd,max</t>
        </is>
      </c>
      <c r="D103" s="23" t="n"/>
      <c r="E103" s="44">
        <f>IF(inputs_ok,ndp_vmax,NA())</f>
        <v/>
      </c>
      <c r="F103" s="23" t="n"/>
      <c r="G103" s="26" t="inlineStr">
        <is>
          <t>NDP sheet</t>
        </is>
      </c>
    </row>
    <row r="104" ht="17" customHeight="1">
      <c r="B104" s="26" t="inlineStr">
        <is>
          <t>Table 3.1</t>
        </is>
      </c>
      <c r="C104" s="24" t="inlineStr">
        <is>
          <t>Characteristic cylinder strength</t>
        </is>
      </c>
      <c r="D104" s="27" t="inlineStr">
        <is>
          <r>
            <rPr>
              <rFont val="Calibri"/>
              <i val="1"/>
              <color rgb="002B2B2B"/>
              <sz val="10"/>
            </rPr>
            <t>f</t>
          </r>
          <r>
            <rPr>
              <rFont val="Calibri"/>
              <i val="1"/>
              <color rgb="002B2B2B"/>
              <sz val="10"/>
              <vertAlign val="subscript"/>
            </rPr>
            <t>ck</t>
          </r>
        </is>
      </c>
      <c r="E104" s="41">
        <f>IF(inputs_ok,VALUE(MID(conc_class,2,FIND("/",conc_class)-2)),NA())</f>
        <v/>
      </c>
      <c r="F104" s="28" t="inlineStr">
        <is>
          <t>MPa</t>
        </is>
      </c>
      <c r="G104" s="23" t="n"/>
    </row>
    <row r="105" ht="17" customHeight="1">
      <c r="B105" s="26" t="inlineStr">
        <is>
          <t>Table 3.1</t>
        </is>
      </c>
      <c r="C105" s="24" t="inlineStr">
        <is>
          <t>Mean tensile strength</t>
        </is>
      </c>
      <c r="D105" s="27" t="inlineStr">
        <is>
          <r>
            <rPr>
              <rFont val="Calibri"/>
              <i val="1"/>
              <color rgb="002B2B2B"/>
              <sz val="10"/>
            </rPr>
            <t>f</t>
          </r>
          <r>
            <rPr>
              <rFont val="Calibri"/>
              <i val="1"/>
              <color rgb="002B2B2B"/>
              <sz val="10"/>
              <vertAlign val="subscript"/>
            </rPr>
            <t>ctm</t>
          </r>
        </is>
      </c>
      <c r="E105" s="44">
        <f>IF(inputs_ok,IF(f_ck&lt;=50,0.3*f_ck^(2/3),2.12*LN(1+(f_ck+8)/10)),NA())</f>
        <v/>
      </c>
      <c r="F105" s="28" t="inlineStr">
        <is>
          <t>MPa</t>
        </is>
      </c>
      <c r="G105" s="23" t="n"/>
    </row>
    <row r="106" ht="17" customHeight="1">
      <c r="B106" s="23" t="n"/>
      <c r="C106" s="24" t="inlineStr">
        <is>
          <t>Effective depth, x ties  h − c − φx/2</t>
        </is>
      </c>
      <c r="D106" s="27" t="inlineStr">
        <is>
          <r>
            <rPr>
              <rFont val="Calibri"/>
              <i val="1"/>
              <color rgb="002B2B2B"/>
              <sz val="10"/>
            </rPr>
            <t>d</t>
          </r>
          <r>
            <rPr>
              <rFont val="Calibri"/>
              <i val="1"/>
              <color rgb="002B2B2B"/>
              <sz val="10"/>
              <vertAlign val="subscript"/>
            </rPr>
            <t>x</t>
          </r>
        </is>
      </c>
      <c r="E106" s="41">
        <f>IF(inputs_ok,h_c-c_nom-phi_x/2,NA())</f>
        <v/>
      </c>
      <c r="F106" s="28" t="inlineStr">
        <is>
          <t>mm</t>
        </is>
      </c>
      <c r="G106" s="23" t="n"/>
    </row>
    <row r="107" ht="17" customHeight="1">
      <c r="B107" s="23" t="n"/>
      <c r="C107" s="24" t="inlineStr">
        <is>
          <t>Effective depth, y ties  h − c − φx − φy/2</t>
        </is>
      </c>
      <c r="D107" s="27" t="inlineStr">
        <is>
          <r>
            <rPr>
              <rFont val="Calibri"/>
              <i val="1"/>
              <color rgb="002B2B2B"/>
              <sz val="10"/>
            </rPr>
            <t>d</t>
          </r>
          <r>
            <rPr>
              <rFont val="Calibri"/>
              <i val="1"/>
              <color rgb="002B2B2B"/>
              <sz val="10"/>
              <vertAlign val="subscript"/>
            </rPr>
            <t>y</t>
          </r>
        </is>
      </c>
      <c r="E107" s="41">
        <f>IF(inputs_ok,h_c-c_nom-phi_x-phi_y/2,NA())</f>
        <v/>
      </c>
      <c r="F107" s="28" t="inlineStr">
        <is>
          <t>mm</t>
        </is>
      </c>
      <c r="G107" s="23" t="n"/>
    </row>
    <row r="108" ht="17" customHeight="1">
      <c r="B108" s="23" t="n"/>
      <c r="C108" s="24" t="inlineStr">
        <is>
          <t>Mean effective depth  (2 piles: dx)</t>
        </is>
      </c>
      <c r="D108" s="27" t="inlineStr">
        <is>
          <r>
            <rPr>
              <rFont val="Calibri"/>
              <i val="1"/>
              <color rgb="002B2B2B"/>
              <sz val="10"/>
            </rPr>
            <t>d</t>
          </r>
        </is>
      </c>
      <c r="E108" s="41">
        <f>IF(inputs_ok,IF(n_p=2,d_x,(d_x+d_y)/2),NA())</f>
        <v/>
      </c>
      <c r="F108" s="28" t="inlineStr">
        <is>
          <t>mm</t>
        </is>
      </c>
      <c r="G108" s="23" t="n"/>
    </row>
    <row r="109" ht="17" customHeight="1">
      <c r="B109" s="23" t="n"/>
      <c r="C109" s="24" t="inlineStr">
        <is>
          <t>Column centre to pile centre in plan</t>
        </is>
      </c>
      <c r="D109" s="27" t="inlineStr">
        <is>
          <r>
            <rPr>
              <rFont val="Calibri"/>
              <i val="1"/>
              <color rgb="002B2B2B"/>
              <sz val="10"/>
            </rPr>
            <t>x</t>
          </r>
          <r>
            <rPr>
              <rFont val="Calibri"/>
              <i val="1"/>
              <color rgb="002B2B2B"/>
              <sz val="10"/>
              <vertAlign val="subscript"/>
            </rPr>
            <t>p</t>
          </r>
        </is>
      </c>
      <c r="E109" s="41">
        <f>IF(inputs_ok,IF(n_p=2,l_x/2,SQRT(l_x^2+l_y^2)/2),NA())</f>
        <v/>
      </c>
      <c r="F109" s="28" t="inlineStr">
        <is>
          <t>mm</t>
        </is>
      </c>
      <c r="G109" s="23" t="n"/>
    </row>
    <row r="110" ht="17" customHeight="1">
      <c r="B110" s="23" t="n"/>
      <c r="C110" s="24" t="inlineStr">
        <is>
          <t>Strut inclination  cot θ = x_p / d</t>
        </is>
      </c>
      <c r="D110" s="27" t="inlineStr">
        <is>
          <r>
            <rPr>
              <rFont val="Calibri"/>
              <i val="1"/>
              <color rgb="002B2B2B"/>
              <sz val="10"/>
            </rPr>
            <t>cot θ</t>
          </r>
        </is>
      </c>
      <c r="E110" s="44">
        <f>IF(inputs_ok,x_p/d_m,NA())</f>
        <v/>
      </c>
      <c r="F110" s="23" t="n"/>
      <c r="G110" s="23" t="n"/>
    </row>
    <row r="111" ht="17" customHeight="1">
      <c r="B111" s="26" t="inlineStr">
        <is>
          <t>6.4.2</t>
        </is>
      </c>
      <c r="C111" s="24" t="inlineStr">
        <is>
          <t>Column corner to the nearest pile face  (4 piles: diagonal)</t>
        </is>
      </c>
      <c r="D111" s="27" t="inlineStr">
        <is>
          <r>
            <rPr>
              <rFont val="Calibri"/>
              <i val="1"/>
              <color rgb="002B2B2B"/>
              <sz val="10"/>
            </rPr>
            <t>s</t>
          </r>
        </is>
      </c>
      <c r="E111" s="41">
        <f>IF(inputs_ok,IF(n_p=2,(l_x-c_x)/2,SQRT(((l_x-c_x)/2)^2+((l_y-c_y)/2)^2))-D_p/2,NA())</f>
        <v/>
      </c>
      <c r="F111" s="28" t="inlineStr">
        <is>
          <t>mm</t>
        </is>
      </c>
      <c r="G111" s="23" t="n"/>
    </row>
    <row r="112" ht="17" customHeight="1">
      <c r="B112" s="26" t="inlineStr">
        <is>
          <t>3.2.7</t>
        </is>
      </c>
      <c r="C112" s="24" t="inlineStr">
        <is>
          <t>Design yield strength</t>
        </is>
      </c>
      <c r="D112" s="27" t="inlineStr">
        <is>
          <r>
            <rPr>
              <rFont val="Calibri"/>
              <i val="1"/>
              <color rgb="002B2B2B"/>
              <sz val="10"/>
            </rPr>
            <t>f</t>
          </r>
          <r>
            <rPr>
              <rFont val="Calibri"/>
              <i val="1"/>
              <color rgb="002B2B2B"/>
              <sz val="10"/>
              <vertAlign val="subscript"/>
            </rPr>
            <t>yd</t>
          </r>
        </is>
      </c>
      <c r="E112" s="42">
        <f>IF(inputs_ok,f_yk/gamma_s,NA())</f>
        <v/>
      </c>
      <c r="F112" s="28" t="inlineStr">
        <is>
          <t>MPa</t>
        </is>
      </c>
      <c r="G112" s="23" t="n"/>
    </row>
    <row r="113" ht="17" customHeight="1">
      <c r="B113" s="23" t="n"/>
      <c r="C113" s="24" t="inlineStr">
        <is>
          <t>Tie force in x  (2 piles: N lx / 4dx; 4 piles: N lx / 8dx per tie)</t>
        </is>
      </c>
      <c r="D113" s="27" t="inlineStr">
        <is>
          <r>
            <rPr>
              <rFont val="Calibri"/>
              <i val="1"/>
              <color rgb="002B2B2B"/>
              <sz val="10"/>
            </rPr>
            <t>T</t>
          </r>
          <r>
            <rPr>
              <rFont val="Calibri"/>
              <i val="1"/>
              <color rgb="002B2B2B"/>
              <sz val="10"/>
              <vertAlign val="subscript"/>
            </rPr>
            <t>x</t>
          </r>
        </is>
      </c>
      <c r="E113" s="43">
        <f>IF(inputs_ok,IF(n_p=2,N_t*l_x/(4*d_x),N_t*l_x/(8*d_x)),NA())</f>
        <v/>
      </c>
      <c r="F113" s="28" t="inlineStr">
        <is>
          <t>kN</t>
        </is>
      </c>
      <c r="G113" s="23" t="n"/>
    </row>
    <row r="114" ht="17" customHeight="1">
      <c r="B114" s="23" t="n"/>
      <c r="C114" s="24" t="inlineStr">
        <is>
          <t>Required area per x tie  T / fyd</t>
        </is>
      </c>
      <c r="D114" s="27" t="inlineStr">
        <is>
          <r>
            <rPr>
              <rFont val="Calibri"/>
              <i val="1"/>
              <color rgb="002B2B2B"/>
              <sz val="10"/>
            </rPr>
            <t>A</t>
          </r>
          <r>
            <rPr>
              <rFont val="Calibri"/>
              <i val="1"/>
              <color rgb="002B2B2B"/>
              <sz val="10"/>
              <vertAlign val="subscript"/>
            </rPr>
            <t>s,req,x</t>
          </r>
        </is>
      </c>
      <c r="E114" s="41">
        <f>IF(inputs_ok,T_x*1000/f_yd,NA())</f>
        <v/>
      </c>
      <c r="F114" s="28" t="inlineStr">
        <is>
          <t>mm²</t>
        </is>
      </c>
      <c r="G114" s="23" t="n"/>
    </row>
    <row r="115" ht="17" customHeight="1">
      <c r="B115" s="23" t="n"/>
      <c r="C115" s="24" t="inlineStr">
        <is>
          <t>Provided per x tie  nx π φx²/4</t>
        </is>
      </c>
      <c r="D115" s="27" t="inlineStr">
        <is>
          <r>
            <rPr>
              <rFont val="Calibri"/>
              <i val="1"/>
              <color rgb="002B2B2B"/>
              <sz val="10"/>
            </rPr>
            <t>A</t>
          </r>
          <r>
            <rPr>
              <rFont val="Calibri"/>
              <i val="1"/>
              <color rgb="002B2B2B"/>
              <sz val="10"/>
              <vertAlign val="subscript"/>
            </rPr>
            <t>s,prov,x</t>
          </r>
        </is>
      </c>
      <c r="E115" s="41">
        <f>IF(inputs_ok,n_x*PI()*phi_x^2/4,NA())</f>
        <v/>
      </c>
      <c r="F115" s="28" t="inlineStr">
        <is>
          <t>mm²</t>
        </is>
      </c>
      <c r="G115" s="23" t="n"/>
    </row>
    <row r="116" ht="17" customHeight="1">
      <c r="B116" s="26" t="inlineStr">
        <is>
          <t>8.2(2)</t>
        </is>
      </c>
      <c r="C116" s="24" t="inlineStr">
        <is>
          <t>Minimum clear gap between bars  max(φx; φy; dg + 5; 20)</t>
        </is>
      </c>
      <c r="D116" s="27" t="inlineStr">
        <is>
          <r>
            <rPr>
              <rFont val="Calibri"/>
              <i val="1"/>
              <color rgb="002B2B2B"/>
              <sz val="10"/>
            </rPr>
            <t>a</t>
          </r>
          <r>
            <rPr>
              <rFont val="Calibri"/>
              <i val="1"/>
              <color rgb="002B2B2B"/>
              <sz val="10"/>
              <vertAlign val="subscript"/>
            </rPr>
            <t>min</t>
          </r>
        </is>
      </c>
      <c r="E116" s="41">
        <f>IF(inputs_ok,MAX(phi_x,phi_y,d_g+5,20),NA())</f>
        <v/>
      </c>
      <c r="F116" s="28" t="inlineStr">
        <is>
          <t>mm</t>
        </is>
      </c>
      <c r="G116" s="23" t="n"/>
    </row>
    <row r="117" ht="17" customHeight="1">
      <c r="B117" s="26" t="inlineStr">
        <is>
          <t>9.8.1(3)</t>
        </is>
      </c>
      <c r="C117" s="24" t="inlineStr">
        <is>
          <t>Band for the x ties  (≤ 1.5D each side of the piles, inside the cover, a gap a_min/2 short of half way to the next pile line)</t>
        </is>
      </c>
      <c r="D117" s="27" t="inlineStr">
        <is>
          <r>
            <rPr>
              <rFont val="Calibri"/>
              <i val="1"/>
              <color rgb="002B2B2B"/>
              <sz val="10"/>
            </rPr>
            <t>b</t>
          </r>
          <r>
            <rPr>
              <rFont val="Calibri"/>
              <i val="1"/>
              <color rgb="002B2B2B"/>
              <sz val="10"/>
              <vertAlign val="subscript"/>
            </rPr>
            <t>x</t>
          </r>
        </is>
      </c>
      <c r="E117" s="41">
        <f>IF(inputs_ok,bw_x,NA())</f>
        <v/>
      </c>
      <c r="F117" s="28" t="inlineStr">
        <is>
          <t>mm</t>
        </is>
      </c>
      <c r="G117" s="23" t="n"/>
    </row>
    <row r="118" ht="17" customHeight="1">
      <c r="B118" s="26" t="inlineStr">
        <is>
          <t>8.2(2)</t>
        </is>
      </c>
      <c r="C118" s="24" t="inlineStr">
        <is>
          <t>x bars fit in the band  nx φx + (nx − 1) a_min</t>
        </is>
      </c>
      <c r="D118" s="23" t="n"/>
      <c r="E118" s="41">
        <f>IF(inputs_ok,n_x*phi_x+(n_x-1)*gap_min,NA())</f>
        <v/>
      </c>
      <c r="F118" s="28" t="inlineStr">
        <is>
          <t>mm</t>
        </is>
      </c>
      <c r="G118" s="32">
        <f>IF(NOT(inputs_ok),"FAIL",IF(fit_x,"OK","FAIL"))</f>
        <v/>
      </c>
    </row>
    <row r="119" ht="17" customHeight="1">
      <c r="B119" s="23" t="n"/>
      <c r="C119" s="24" t="inlineStr">
        <is>
          <t>Tie force in y, per tie  N ly / 8dy  (4 piles)</t>
        </is>
      </c>
      <c r="D119" s="27" t="inlineStr">
        <is>
          <r>
            <rPr>
              <rFont val="Calibri"/>
              <i val="1"/>
              <color rgb="002B2B2B"/>
              <sz val="10"/>
            </rPr>
            <t>T</t>
          </r>
          <r>
            <rPr>
              <rFont val="Calibri"/>
              <i val="1"/>
              <color rgb="002B2B2B"/>
              <sz val="10"/>
              <vertAlign val="subscript"/>
            </rPr>
            <t>y</t>
          </r>
        </is>
      </c>
      <c r="E119" s="43">
        <f>IF(inputs_ok,IF(n_p=4,N_t*l_y/(8*d_y),"–"),NA())</f>
        <v/>
      </c>
      <c r="F119" s="28" t="inlineStr">
        <is>
          <t>kN</t>
        </is>
      </c>
      <c r="G119" s="23" t="n"/>
    </row>
    <row r="120" ht="17" customHeight="1">
      <c r="B120" s="23" t="n"/>
      <c r="C120" s="24" t="inlineStr">
        <is>
          <t>Required area per y tie  T / fyd</t>
        </is>
      </c>
      <c r="D120" s="27" t="inlineStr">
        <is>
          <r>
            <rPr>
              <rFont val="Calibri"/>
              <i val="1"/>
              <color rgb="002B2B2B"/>
              <sz val="10"/>
            </rPr>
            <t>A</t>
          </r>
          <r>
            <rPr>
              <rFont val="Calibri"/>
              <i val="1"/>
              <color rgb="002B2B2B"/>
              <sz val="10"/>
              <vertAlign val="subscript"/>
            </rPr>
            <t>s,req,y</t>
          </r>
        </is>
      </c>
      <c r="E120" s="41">
        <f>IF(inputs_ok,IF(n_p=4,T_y*1000/f_yd,"–"),NA())</f>
        <v/>
      </c>
      <c r="F120" s="28" t="inlineStr">
        <is>
          <t>mm²</t>
        </is>
      </c>
      <c r="G120" s="23" t="n"/>
    </row>
    <row r="121" ht="17" customHeight="1">
      <c r="B121" s="23" t="n"/>
      <c r="C121" s="24" t="inlineStr">
        <is>
          <t>Provided per y tie  ny π φy²/4</t>
        </is>
      </c>
      <c r="D121" s="27" t="inlineStr">
        <is>
          <r>
            <rPr>
              <rFont val="Calibri"/>
              <i val="1"/>
              <color rgb="002B2B2B"/>
              <sz val="10"/>
            </rPr>
            <t>A</t>
          </r>
          <r>
            <rPr>
              <rFont val="Calibri"/>
              <i val="1"/>
              <color rgb="002B2B2B"/>
              <sz val="10"/>
              <vertAlign val="subscript"/>
            </rPr>
            <t>s,prov,y</t>
          </r>
        </is>
      </c>
      <c r="E121" s="41">
        <f>IF(inputs_ok,n_y*PI()*phi_y^2/4,NA())</f>
        <v/>
      </c>
      <c r="F121" s="28" t="inlineStr">
        <is>
          <t>mm²</t>
        </is>
      </c>
      <c r="G121" s="23" t="n"/>
    </row>
    <row r="122" ht="17" customHeight="1">
      <c r="B122" s="26" t="inlineStr">
        <is>
          <t>9.8.1(3)</t>
        </is>
      </c>
      <c r="C122" s="24" t="inlineStr">
        <is>
          <t>Band for the y ties  (as for x)</t>
        </is>
      </c>
      <c r="D122" s="27" t="inlineStr">
        <is>
          <r>
            <rPr>
              <rFont val="Calibri"/>
              <i val="1"/>
              <color rgb="002B2B2B"/>
              <sz val="10"/>
            </rPr>
            <t>b</t>
          </r>
          <r>
            <rPr>
              <rFont val="Calibri"/>
              <i val="1"/>
              <color rgb="002B2B2B"/>
              <sz val="10"/>
              <vertAlign val="subscript"/>
            </rPr>
            <t>y</t>
          </r>
        </is>
      </c>
      <c r="E122" s="41">
        <f>IF(inputs_ok,bw_y,NA())</f>
        <v/>
      </c>
      <c r="F122" s="28" t="inlineStr">
        <is>
          <t>mm</t>
        </is>
      </c>
      <c r="G122" s="23" t="n"/>
    </row>
    <row r="123" ht="17" customHeight="1">
      <c r="B123" s="26" t="inlineStr">
        <is>
          <t>8.2(2)</t>
        </is>
      </c>
      <c r="C123" s="24" t="inlineStr">
        <is>
          <t>y bars fit in the band  ny φy + (ny − 1) a_min</t>
        </is>
      </c>
      <c r="D123" s="23" t="n"/>
      <c r="E123" s="41">
        <f>IF(inputs_ok,n_y*phi_y+(n_y-1)*gap_min,NA())</f>
        <v/>
      </c>
      <c r="F123" s="28" t="inlineStr">
        <is>
          <t>mm</t>
        </is>
      </c>
      <c r="G123" s="32">
        <f>IF(NOT(inputs_ok),"FAIL",IF(OR(n_p=2,fit_y),"OK","FAIL"))</f>
        <v/>
      </c>
    </row>
    <row r="124"/>
    <row r="125" ht="22" customHeight="1">
      <c r="B125" s="20" t="inlineStr">
        <is>
          <t>Calculation  ·  column face, 6.4.5(3)</t>
        </is>
      </c>
      <c r="C125" s="21" t="n"/>
      <c r="D125" s="21" t="n"/>
      <c r="E125" s="21" t="n"/>
      <c r="F125" s="21" t="n"/>
      <c r="G125" s="21" t="n"/>
    </row>
    <row r="126" ht="17" customHeight="1">
      <c r="B126" s="26" t="inlineStr">
        <is>
          <t>(6.6N)</t>
        </is>
      </c>
      <c r="C126" s="24" t="inlineStr">
        <is>
          <t>Strength reduction factor  0.6(1 − fck/250)</t>
        </is>
      </c>
      <c r="D126" s="27" t="inlineStr">
        <is>
          <r>
            <rPr>
              <rFont val="Calibri"/>
              <i val="1"/>
              <color rgb="002B2B2B"/>
              <sz val="10"/>
            </rPr>
            <t>ν</t>
          </r>
        </is>
      </c>
      <c r="E126" s="45">
        <f>IF(inputs_ok,0.6*(1-f_ck/250),NA())</f>
        <v/>
      </c>
      <c r="F126" s="23" t="n"/>
      <c r="G126" s="23" t="n"/>
    </row>
    <row r="127" ht="17" customHeight="1">
      <c r="B127" s="26" t="inlineStr">
        <is>
          <t>3.1.6(1)</t>
        </is>
      </c>
      <c r="C127" s="24" t="inlineStr">
        <is>
          <t>Design strength for shear  αcc fck / γc</t>
        </is>
      </c>
      <c r="D127" s="27" t="inlineStr">
        <is>
          <r>
            <rPr>
              <rFont val="Calibri"/>
              <i val="1"/>
              <color rgb="002B2B2B"/>
              <sz val="10"/>
            </rPr>
            <t>f</t>
          </r>
          <r>
            <rPr>
              <rFont val="Calibri"/>
              <i val="1"/>
              <color rgb="002B2B2B"/>
              <sz val="10"/>
              <vertAlign val="subscript"/>
            </rPr>
            <t>cd</t>
          </r>
        </is>
      </c>
      <c r="E127" s="44">
        <f>IF(inputs_ok,alpha_cc_shear*f_ck/gamma_c,NA())</f>
        <v/>
      </c>
      <c r="F127" s="28" t="inlineStr">
        <is>
          <t>MPa</t>
        </is>
      </c>
      <c r="G127" s="23" t="n"/>
    </row>
    <row r="128" ht="17" customHeight="1">
      <c r="B128" s="26" t="inlineStr">
        <is>
          <t>6.4.5(3)</t>
        </is>
      </c>
      <c r="C128" s="24" t="inlineStr">
        <is>
          <t>Maximum punching stress  vmax ν fcd</t>
        </is>
      </c>
      <c r="D128" s="27" t="inlineStr">
        <is>
          <r>
            <rPr>
              <rFont val="Calibri"/>
              <i val="1"/>
              <color rgb="002B2B2B"/>
              <sz val="10"/>
            </rPr>
            <t>v</t>
          </r>
          <r>
            <rPr>
              <rFont val="Calibri"/>
              <i val="1"/>
              <color rgb="002B2B2B"/>
              <sz val="10"/>
              <vertAlign val="subscript"/>
            </rPr>
            <t>Rd,max</t>
          </r>
        </is>
      </c>
      <c r="E128" s="45">
        <f>IF(inputs_ok,vmax*nu_v*f_cdv,NA())</f>
        <v/>
      </c>
      <c r="F128" s="28" t="inlineStr">
        <is>
          <t>MPa</t>
        </is>
      </c>
      <c r="G128" s="23" t="n"/>
    </row>
    <row r="129" ht="17" customHeight="1">
      <c r="B129" s="26" t="inlineStr">
        <is>
          <t>(6.53)</t>
        </is>
      </c>
      <c r="C129" s="24" t="inlineStr">
        <is>
          <t>Stress at the column face  NEd / (2(cx + cy) d)</t>
        </is>
      </c>
      <c r="D129" s="27" t="inlineStr">
        <is>
          <r>
            <rPr>
              <rFont val="Calibri"/>
              <i val="1"/>
              <color rgb="002B2B2B"/>
              <sz val="10"/>
            </rPr>
            <t>v</t>
          </r>
          <r>
            <rPr>
              <rFont val="Calibri"/>
              <i val="1"/>
              <color rgb="002B2B2B"/>
              <sz val="10"/>
              <vertAlign val="subscript"/>
            </rPr>
            <t>Ed,0</t>
          </r>
        </is>
      </c>
      <c r="E129" s="46">
        <f>IF(inputs_ok,N_Ed*1000/(2*(c_x+c_y)*d_m),NA())</f>
        <v/>
      </c>
      <c r="F129" s="28" t="inlineStr">
        <is>
          <t>MPa</t>
        </is>
      </c>
      <c r="G129" s="23" t="n"/>
    </row>
    <row r="130"/>
    <row r="131" ht="22" customHeight="1">
      <c r="B131" s="20" t="inlineStr">
        <is>
          <t>Calculation  ·  shear across the cap, x direction</t>
        </is>
      </c>
      <c r="C131" s="21" t="n"/>
      <c r="D131" s="21" t="n"/>
      <c r="E131" s="21" t="n"/>
      <c r="F131" s="21" t="n"/>
      <c r="G131" s="21" t="n"/>
    </row>
    <row r="132" ht="17" customHeight="1">
      <c r="B132" s="26" t="inlineStr">
        <is>
          <t>6.2.2(6)</t>
        </is>
      </c>
      <c r="C132" s="24" t="inlineStr">
        <is>
          <t>Column face to the section at D/5 inside the pile face  l_x/2 − c/2 − 0.3D</t>
        </is>
      </c>
      <c r="D132" s="27" t="inlineStr">
        <is>
          <r>
            <rPr>
              <rFont val="Calibri"/>
              <i val="1"/>
              <color rgb="002B2B2B"/>
              <sz val="10"/>
            </rPr>
            <t>a</t>
          </r>
          <r>
            <rPr>
              <rFont val="Calibri"/>
              <i val="1"/>
              <color rgb="002B2B2B"/>
              <sz val="10"/>
              <vertAlign val="subscript"/>
            </rPr>
            <t>v,x</t>
          </r>
        </is>
      </c>
      <c r="E132" s="41">
        <f>IF(inputs_ok,l_x/2-c_x/2-0.3*D_p,NA())</f>
        <v/>
      </c>
      <c r="F132" s="28" t="inlineStr">
        <is>
          <t>mm</t>
        </is>
      </c>
      <c r="G132" s="23" t="n"/>
    </row>
    <row r="133" ht="17" customHeight="1">
      <c r="B133" s="26" t="inlineStr">
        <is>
          <t>6.2.2(6)</t>
        </is>
      </c>
      <c r="C133" s="24" t="inlineStr">
        <is>
          <t>av used  (≥ 0.5d)</t>
        </is>
      </c>
      <c r="D133" s="27" t="inlineStr">
        <is>
          <r>
            <rPr>
              <rFont val="Calibri"/>
              <i val="1"/>
              <color rgb="002B2B2B"/>
              <sz val="10"/>
            </rPr>
            <t>a</t>
          </r>
          <r>
            <rPr>
              <rFont val="Calibri"/>
              <i val="1"/>
              <color rgb="002B2B2B"/>
              <sz val="10"/>
              <vertAlign val="subscript"/>
            </rPr>
            <t>v,x</t>
          </r>
        </is>
      </c>
      <c r="E133" s="41">
        <f>IF(inputs_ok,MAX(av_x,0.5*d_x),NA())</f>
        <v/>
      </c>
      <c r="F133" s="28" t="inlineStr">
        <is>
          <t>mm</t>
        </is>
      </c>
      <c r="G133" s="23" t="n"/>
    </row>
    <row r="134" ht="17" customHeight="1">
      <c r="B134" s="23" t="n"/>
      <c r="C134" s="24" t="inlineStr">
        <is>
          <t>Shear on the section  n/2 · P_Ed</t>
        </is>
      </c>
      <c r="D134" s="27" t="inlineStr">
        <is>
          <r>
            <rPr>
              <rFont val="Calibri"/>
              <i val="1"/>
              <color rgb="002B2B2B"/>
              <sz val="10"/>
            </rPr>
            <t>V</t>
          </r>
          <r>
            <rPr>
              <rFont val="Calibri"/>
              <i val="1"/>
              <color rgb="002B2B2B"/>
              <sz val="10"/>
              <vertAlign val="subscript"/>
            </rPr>
            <t>Ed,x</t>
          </r>
        </is>
      </c>
      <c r="E134" s="43">
        <f>IF(inputs_ok,n_p/2*P_Ed,NA())</f>
        <v/>
      </c>
      <c r="F134" s="28" t="inlineStr">
        <is>
          <t>kN</t>
        </is>
      </c>
      <c r="G134" s="23" t="n"/>
    </row>
    <row r="135" ht="17" customHeight="1">
      <c r="B135" s="26" t="inlineStr">
        <is>
          <t>6.2.2(1)</t>
        </is>
      </c>
      <c r="C135" s="24" t="inlineStr">
        <is>
          <t>Reinforcement ratio  (n/2) As,tie / (b d)</t>
        </is>
      </c>
      <c r="D135" s="27" t="inlineStr">
        <is>
          <r>
            <rPr>
              <rFont val="Calibri"/>
              <i val="1"/>
              <color rgb="002B2B2B"/>
              <sz val="10"/>
            </rPr>
            <t>ρ</t>
          </r>
          <r>
            <rPr>
              <rFont val="Calibri"/>
              <i val="1"/>
              <color rgb="002B2B2B"/>
              <sz val="10"/>
              <vertAlign val="subscript"/>
            </rPr>
            <t>l,x</t>
          </r>
        </is>
      </c>
      <c r="E135" s="47">
        <f>IF(inputs_ok,n_p/2*As_provx/(B_c*d_x),NA())</f>
        <v/>
      </c>
      <c r="F135" s="23" t="n"/>
      <c r="G135" s="23" t="n"/>
    </row>
    <row r="136" ht="17" customHeight="1">
      <c r="B136" s="26" t="inlineStr">
        <is>
          <t>(6.2)</t>
        </is>
      </c>
      <c r="C136" s="24" t="inlineStr">
        <is>
          <t>Basic resistance  max(CRd,c k (100ρ fck)^⅓; vmin)</t>
        </is>
      </c>
      <c r="D136" s="27" t="inlineStr">
        <is>
          <r>
            <rPr>
              <rFont val="Calibri"/>
              <i val="1"/>
              <color rgb="002B2B2B"/>
              <sz val="10"/>
            </rPr>
            <t>v</t>
          </r>
          <r>
            <rPr>
              <rFont val="Calibri"/>
              <i val="1"/>
              <color rgb="002B2B2B"/>
              <sz val="10"/>
              <vertAlign val="subscript"/>
            </rPr>
            <t>Rd,c,x</t>
          </r>
        </is>
      </c>
      <c r="E136" s="45">
        <f>IF(inputs_ok,MAX(C_Rdc*MIN(2,1+SQRT(200/d_x))*(100*MIN(0.02,rho_x)*f_ck)^(1/3),0.035*MIN(2,1+SQRT(200/d_x))^1.5*SQRT(f_ck)),NA())</f>
        <v/>
      </c>
      <c r="F136" s="28" t="inlineStr">
        <is>
          <t>MPa</t>
        </is>
      </c>
      <c r="G136" s="23" t="n"/>
    </row>
    <row r="137" ht="17" customHeight="1">
      <c r="B137" s="23" t="n"/>
      <c r="C137" s="24" t="inlineStr">
        <is>
          <t>Width with enhancement  (3D bands over the piles)</t>
        </is>
      </c>
      <c r="D137" s="27" t="inlineStr">
        <is>
          <r>
            <rPr>
              <rFont val="Calibri"/>
              <i val="1"/>
              <color rgb="002B2B2B"/>
              <sz val="10"/>
            </rPr>
            <t>b</t>
          </r>
          <r>
            <rPr>
              <rFont val="Calibri"/>
              <i val="1"/>
              <color rgb="002B2B2B"/>
              <sz val="10"/>
              <vertAlign val="subscript"/>
            </rPr>
            <t>enh,x</t>
          </r>
        </is>
      </c>
      <c r="E137" s="41">
        <f>IF(inputs_ok,IF(n_p=4,2*(MIN(e_p,1.5*D_p)+MIN(l_y/2,1.5*D_p)),2*MIN(e_p,1.5*D_p)),NA())</f>
        <v/>
      </c>
      <c r="F137" s="28" t="inlineStr">
        <is>
          <t>mm</t>
        </is>
      </c>
      <c r="G137" s="23" t="n"/>
    </row>
    <row r="138" ht="17" customHeight="1">
      <c r="B138" s="26" t="inlineStr">
        <is>
          <t>6.2.2(6)</t>
        </is>
      </c>
      <c r="C138" s="24" t="inlineStr">
        <is>
          <t>Resistance  min(d(b_enh vRd,c max(1; 2d/av) + (b − b_enh) vRd,c); 0.5 b d ν fcd)</t>
        </is>
      </c>
      <c r="D138" s="27" t="inlineStr">
        <is>
          <r>
            <rPr>
              <rFont val="Calibri"/>
              <i val="1"/>
              <color rgb="002B2B2B"/>
              <sz val="10"/>
            </rPr>
            <t>V</t>
          </r>
          <r>
            <rPr>
              <rFont val="Calibri"/>
              <i val="1"/>
              <color rgb="002B2B2B"/>
              <sz val="10"/>
              <vertAlign val="subscript"/>
            </rPr>
            <t>Rd,x</t>
          </r>
        </is>
      </c>
      <c r="E138" s="42">
        <f>IF(inputs_ok,MIN(d_x*(benh_x*vc_x*MAX(1,2*d_x/ave_x)+(B_c-benh_x)*vc_x),0.5*B_c*d_x*nu_v*f_cdv)/1000,NA())</f>
        <v/>
      </c>
      <c r="F138" s="28" t="inlineStr">
        <is>
          <t>kN</t>
        </is>
      </c>
      <c r="G138" s="23" t="n"/>
    </row>
    <row r="139" ht="17" customHeight="1">
      <c r="B139" s="26" t="inlineStr">
        <is>
          <t>(6.2)</t>
        </is>
      </c>
      <c r="C139" s="24" t="inlineStr">
        <is>
          <t>Shear, x direction  VEd ≤ VRd</t>
        </is>
      </c>
      <c r="D139" s="27" t="inlineStr">
        <is>
          <r>
            <rPr>
              <rFont val="Calibri"/>
              <i val="1"/>
              <color rgb="002B2B2B"/>
              <sz val="10"/>
            </rPr>
            <t>V</t>
          </r>
          <r>
            <rPr>
              <rFont val="Calibri"/>
              <i val="1"/>
              <color rgb="002B2B2B"/>
              <sz val="10"/>
              <vertAlign val="subscript"/>
            </rPr>
            <t>Ed,x</t>
          </r>
        </is>
      </c>
      <c r="E139" s="42">
        <f>IF(inputs_ok,V_x,NA())</f>
        <v/>
      </c>
      <c r="F139" s="28" t="inlineStr">
        <is>
          <t>kN</t>
        </is>
      </c>
      <c r="G139" s="32">
        <f>IF(NOT(inputs_ok),"FAIL",IF(V_x&lt;=V_Rdx,"OK","FAIL"))</f>
        <v/>
      </c>
    </row>
    <row r="140"/>
    <row r="141" ht="22" customHeight="1">
      <c r="B141" s="20" t="inlineStr">
        <is>
          <t>Calculation  ·  shear across the cap, y direction  (4 piles)</t>
        </is>
      </c>
      <c r="C141" s="21" t="n"/>
      <c r="D141" s="21" t="n"/>
      <c r="E141" s="21" t="n"/>
      <c r="F141" s="21" t="n"/>
      <c r="G141" s="21" t="n"/>
    </row>
    <row r="142" ht="17" customHeight="1">
      <c r="B142" s="26" t="inlineStr">
        <is>
          <t>6.2.2(6)</t>
        </is>
      </c>
      <c r="C142" s="24" t="inlineStr">
        <is>
          <t>Column face to the section at D/5 inside the pile face  l_y/2 − c/2 − 0.3D</t>
        </is>
      </c>
      <c r="D142" s="27" t="inlineStr">
        <is>
          <r>
            <rPr>
              <rFont val="Calibri"/>
              <i val="1"/>
              <color rgb="002B2B2B"/>
              <sz val="10"/>
            </rPr>
            <t>a</t>
          </r>
          <r>
            <rPr>
              <rFont val="Calibri"/>
              <i val="1"/>
              <color rgb="002B2B2B"/>
              <sz val="10"/>
              <vertAlign val="subscript"/>
            </rPr>
            <t>v,y</t>
          </r>
        </is>
      </c>
      <c r="E142" s="41">
        <f>IF(inputs_ok,IF(n_p=4,l_y/2-c_y/2-0.3*D_p,"–"),NA())</f>
        <v/>
      </c>
      <c r="F142" s="28" t="inlineStr">
        <is>
          <t>mm</t>
        </is>
      </c>
      <c r="G142" s="23" t="n"/>
    </row>
    <row r="143" ht="17" customHeight="1">
      <c r="B143" s="26" t="inlineStr">
        <is>
          <t>6.2.2(6)</t>
        </is>
      </c>
      <c r="C143" s="24" t="inlineStr">
        <is>
          <t>av used  (≥ 0.5d)</t>
        </is>
      </c>
      <c r="D143" s="27" t="inlineStr">
        <is>
          <r>
            <rPr>
              <rFont val="Calibri"/>
              <i val="1"/>
              <color rgb="002B2B2B"/>
              <sz val="10"/>
            </rPr>
            <t>a</t>
          </r>
          <r>
            <rPr>
              <rFont val="Calibri"/>
              <i val="1"/>
              <color rgb="002B2B2B"/>
              <sz val="10"/>
              <vertAlign val="subscript"/>
            </rPr>
            <t>v,y</t>
          </r>
        </is>
      </c>
      <c r="E143" s="41">
        <f>IF(inputs_ok,IF(n_p=4,MAX(av_y,0.5*d_y),"–"),NA())</f>
        <v/>
      </c>
      <c r="F143" s="28" t="inlineStr">
        <is>
          <t>mm</t>
        </is>
      </c>
      <c r="G143" s="23" t="n"/>
    </row>
    <row r="144" ht="17" customHeight="1">
      <c r="B144" s="23" t="n"/>
      <c r="C144" s="24" t="inlineStr">
        <is>
          <t>Shear on the section  n/2 · P_Ed</t>
        </is>
      </c>
      <c r="D144" s="27" t="inlineStr">
        <is>
          <r>
            <rPr>
              <rFont val="Calibri"/>
              <i val="1"/>
              <color rgb="002B2B2B"/>
              <sz val="10"/>
            </rPr>
            <t>V</t>
          </r>
          <r>
            <rPr>
              <rFont val="Calibri"/>
              <i val="1"/>
              <color rgb="002B2B2B"/>
              <sz val="10"/>
              <vertAlign val="subscript"/>
            </rPr>
            <t>Ed,y</t>
          </r>
        </is>
      </c>
      <c r="E144" s="43">
        <f>IF(inputs_ok,IF(n_p=4,n_p/2*P_Ed,"–"),NA())</f>
        <v/>
      </c>
      <c r="F144" s="28" t="inlineStr">
        <is>
          <t>kN</t>
        </is>
      </c>
      <c r="G144" s="23" t="n"/>
    </row>
    <row r="145" ht="17" customHeight="1">
      <c r="B145" s="26" t="inlineStr">
        <is>
          <t>6.2.2(1)</t>
        </is>
      </c>
      <c r="C145" s="24" t="inlineStr">
        <is>
          <t>Reinforcement ratio  (n/2) As,tie / (b d)</t>
        </is>
      </c>
      <c r="D145" s="27" t="inlineStr">
        <is>
          <r>
            <rPr>
              <rFont val="Calibri"/>
              <i val="1"/>
              <color rgb="002B2B2B"/>
              <sz val="10"/>
            </rPr>
            <t>ρ</t>
          </r>
          <r>
            <rPr>
              <rFont val="Calibri"/>
              <i val="1"/>
              <color rgb="002B2B2B"/>
              <sz val="10"/>
              <vertAlign val="subscript"/>
            </rPr>
            <t>l,y</t>
          </r>
        </is>
      </c>
      <c r="E145" s="47">
        <f>IF(inputs_ok,IF(n_p=4,n_p/2*As_provy/(L_c*d_y),"–"),NA())</f>
        <v/>
      </c>
      <c r="F145" s="23" t="n"/>
      <c r="G145" s="23" t="n"/>
    </row>
    <row r="146" ht="17" customHeight="1">
      <c r="B146" s="26" t="inlineStr">
        <is>
          <t>(6.2)</t>
        </is>
      </c>
      <c r="C146" s="24" t="inlineStr">
        <is>
          <t>Basic resistance  max(CRd,c k (100ρ fck)^⅓; vmin)</t>
        </is>
      </c>
      <c r="D146" s="27" t="inlineStr">
        <is>
          <r>
            <rPr>
              <rFont val="Calibri"/>
              <i val="1"/>
              <color rgb="002B2B2B"/>
              <sz val="10"/>
            </rPr>
            <t>v</t>
          </r>
          <r>
            <rPr>
              <rFont val="Calibri"/>
              <i val="1"/>
              <color rgb="002B2B2B"/>
              <sz val="10"/>
              <vertAlign val="subscript"/>
            </rPr>
            <t>Rd,c,y</t>
          </r>
        </is>
      </c>
      <c r="E146" s="45">
        <f>IF(inputs_ok,IF(n_p=4,MAX(C_Rdc*MIN(2,1+SQRT(200/d_y))*(100*MIN(0.02,rho_y)*f_ck)^(1/3),0.035*MIN(2,1+SQRT(200/d_y))^1.5*SQRT(f_ck)),"–"),NA())</f>
        <v/>
      </c>
      <c r="F146" s="28" t="inlineStr">
        <is>
          <t>MPa</t>
        </is>
      </c>
      <c r="G146" s="23" t="n"/>
    </row>
    <row r="147" ht="17" customHeight="1">
      <c r="B147" s="23" t="n"/>
      <c r="C147" s="24" t="inlineStr">
        <is>
          <t>Width with enhancement  (3D bands over the piles)</t>
        </is>
      </c>
      <c r="D147" s="27" t="inlineStr">
        <is>
          <r>
            <rPr>
              <rFont val="Calibri"/>
              <i val="1"/>
              <color rgb="002B2B2B"/>
              <sz val="10"/>
            </rPr>
            <t>b</t>
          </r>
          <r>
            <rPr>
              <rFont val="Calibri"/>
              <i val="1"/>
              <color rgb="002B2B2B"/>
              <sz val="10"/>
              <vertAlign val="subscript"/>
            </rPr>
            <t>enh,y</t>
          </r>
        </is>
      </c>
      <c r="E147" s="41">
        <f>IF(inputs_ok,IF(n_p=4,IF(n_p=4,2*(MIN(e_p,1.5*D_p)+MIN(l_x/2,1.5*D_p)),2*MIN(e_p,1.5*D_p)),"–"),NA())</f>
        <v/>
      </c>
      <c r="F147" s="28" t="inlineStr">
        <is>
          <t>mm</t>
        </is>
      </c>
      <c r="G147" s="23" t="n"/>
    </row>
    <row r="148" ht="17" customHeight="1">
      <c r="B148" s="26" t="inlineStr">
        <is>
          <t>6.2.2(6)</t>
        </is>
      </c>
      <c r="C148" s="24" t="inlineStr">
        <is>
          <t>Resistance  min(d(b_enh vRd,c max(1; 2d/av) + (b − b_enh) vRd,c); 0.5 b d ν fcd)</t>
        </is>
      </c>
      <c r="D148" s="27" t="inlineStr">
        <is>
          <r>
            <rPr>
              <rFont val="Calibri"/>
              <i val="1"/>
              <color rgb="002B2B2B"/>
              <sz val="10"/>
            </rPr>
            <t>V</t>
          </r>
          <r>
            <rPr>
              <rFont val="Calibri"/>
              <i val="1"/>
              <color rgb="002B2B2B"/>
              <sz val="10"/>
              <vertAlign val="subscript"/>
            </rPr>
            <t>Rd,y</t>
          </r>
        </is>
      </c>
      <c r="E148" s="42">
        <f>IF(inputs_ok,IF(n_p=4,MIN(d_y*(benh_y*vc_y*MAX(1,2*d_y/ave_y)+(L_c-benh_y)*vc_y),0.5*L_c*d_y*nu_v*f_cdv)/1000,"–"),NA())</f>
        <v/>
      </c>
      <c r="F148" s="28" t="inlineStr">
        <is>
          <t>kN</t>
        </is>
      </c>
      <c r="G148" s="23" t="n"/>
    </row>
    <row r="149" ht="17" customHeight="1">
      <c r="B149" s="26" t="inlineStr">
        <is>
          <t>(6.2)</t>
        </is>
      </c>
      <c r="C149" s="24" t="inlineStr">
        <is>
          <t>Shear, y direction  VEd ≤ VRd</t>
        </is>
      </c>
      <c r="D149" s="27" t="inlineStr">
        <is>
          <r>
            <rPr>
              <rFont val="Calibri"/>
              <i val="1"/>
              <color rgb="002B2B2B"/>
              <sz val="10"/>
            </rPr>
            <t>V</t>
          </r>
          <r>
            <rPr>
              <rFont val="Calibri"/>
              <i val="1"/>
              <color rgb="002B2B2B"/>
              <sz val="10"/>
              <vertAlign val="subscript"/>
            </rPr>
            <t>Ed,y</t>
          </r>
        </is>
      </c>
      <c r="E149" s="42">
        <f>IF(inputs_ok,V_y,NA())</f>
        <v/>
      </c>
      <c r="F149" s="28" t="inlineStr">
        <is>
          <t>kN</t>
        </is>
      </c>
      <c r="G149" s="32">
        <f>IF(NOT(inputs_ok),"FAIL",IF(OR(n_p=2,V_y&lt;=V_Rdy),"OK","FAIL"))</f>
        <v/>
      </c>
    </row>
    <row r="150" ht="41.5" customHeight="1">
      <c r="B150" s="40" t="inlineStr">
        <is>
          <t>The section at D/5 inside the pile face and the 3D band rule follow TCC How to: Foundations: bands 1.5D each side of each pile line, clipped by the cap edge and half way between the pile lines; within them the shear resistance is enhanced by 2d/av (not below 1), equivalent to β = av/2d of 6.2.2(6). The pile load is the design reaction including the cap weight (conservative).</t>
        </is>
      </c>
    </row>
    <row r="151"/>
    <row r="152" ht="29" customHeight="1">
      <c r="B152" s="40"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150:G150"/>
    <mergeCell ref="E5:G5"/>
    <mergeCell ref="B152:G152"/>
    <mergeCell ref="D2:G2"/>
    <mergeCell ref="B86:G86"/>
    <mergeCell ref="E7:G7"/>
    <mergeCell ref="E6:G6"/>
    <mergeCell ref="C3:G3"/>
  </mergeCells>
  <conditionalFormatting sqref="G9:G153">
    <cfRule type="expression" priority="1" dxfId="0">
      <formula>G9="OK"</formula>
    </cfRule>
    <cfRule type="expression" priority="2" dxfId="1">
      <formula>G9="FAIL"</formula>
    </cfRule>
    <cfRule type="expression" priority="3" dxfId="2">
      <formula>LEFT(G9,1)="!"</formula>
    </cfRule>
  </conditionalFormatting>
  <dataValidations count="20">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"2 piles,4 piles"</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E26" showDropDown="0" showInputMessage="0" showErrorMessage="1" allowBlank="0" errorTitle="NA Engineering" error="Pick a value from the list." type="list" errorStyle="stop">
      <formula1>"8,10,12,16,20,25,32,40"</formula1>
    </dataValidation>
    <dataValidation sqref="E25 E27" showDropDown="0" showInputMessage="0" showErrorMessage="1" allowBlank="0" errorTitle="NA Engineering" error="Pick a value from the list." type="list" errorStyle="stop">
      <formula1>"2,3,4,5,6,7,8,9,10"</formula1>
    </dataValidation>
    <dataValidation sqref="E51" showDropDown="0" showInputMessage="0" showErrorMessage="1" allowBlank="0" errorTitle="NA Engineering" error="Enter a number greater than 0." type="decimal" errorStyle="stop" operator="greaterThan">
      <formula1>0</formula1>
    </dataValidation>
    <dataValidation sqref="E52" showDropDown="0" showInputMessage="0" showErrorMessage="1" allowBlank="0" errorTitle="NA Engineering" error="Enter a number ≥ 0." type="decimal" errorStyle="stop" operator="greaterThanOrEqual">
      <formula1>0</formula1>
    </dataValidation>
    <dataValidation sqref="E53" showDropDown="0" showInputMessage="0" showErrorMessage="1" allowBlank="0" errorTitle="NA Engineering" error="Enter a number greater than 0." type="decimal" errorStyle="stop" operator="greaterThan">
      <formula1>0</formula1>
    </dataValidation>
    <dataValidation sqref="E54" showDropDown="0" showInputMessage="0" showErrorMessage="1" allowBlank="0" errorTitle="NA Engineering" error="Enter a number greater than 0." type="decimal" errorStyle="stop" operator="greaterThan">
      <formula1>0</formula1>
    </dataValidation>
    <dataValidation sqref="E55"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&amp;K8A8A8ANAE-RC-007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K2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cap</t>
        </is>
      </c>
      <c r="G2" t="inlineStr">
        <is>
          <t>x bar 0.0</t>
        </is>
      </c>
      <c r="J2" t="inlineStr">
        <is>
          <t>x bar 0.1</t>
        </is>
      </c>
      <c r="M2" t="inlineStr">
        <is>
          <t>x bar 0.2</t>
        </is>
      </c>
      <c r="P2" t="inlineStr">
        <is>
          <t>x bar 0.3</t>
        </is>
      </c>
      <c r="S2" t="inlineStr">
        <is>
          <t>x bar 0.4</t>
        </is>
      </c>
      <c r="V2" t="inlineStr">
        <is>
          <t>x bar 0.5</t>
        </is>
      </c>
      <c r="Y2" t="inlineStr">
        <is>
          <t>x bar 0.6</t>
        </is>
      </c>
      <c r="AB2" t="inlineStr">
        <is>
          <t>x bar 0.7</t>
        </is>
      </c>
      <c r="AE2" t="inlineStr">
        <is>
          <t>x bar 0.8</t>
        </is>
      </c>
      <c r="AH2" t="inlineStr">
        <is>
          <t>x bar 0.9</t>
        </is>
      </c>
      <c r="AK2" t="inlineStr">
        <is>
          <t>x bar 1.0</t>
        </is>
      </c>
      <c r="AN2" t="inlineStr">
        <is>
          <t>x bar 1.1</t>
        </is>
      </c>
      <c r="AQ2" t="inlineStr">
        <is>
          <t>x bar 1.2</t>
        </is>
      </c>
      <c r="AT2" t="inlineStr">
        <is>
          <t>x bar 1.3</t>
        </is>
      </c>
      <c r="AW2" t="inlineStr">
        <is>
          <t>x bar 1.4</t>
        </is>
      </c>
      <c r="AZ2" t="inlineStr">
        <is>
          <t>x bar 1.5</t>
        </is>
      </c>
      <c r="BC2" t="inlineStr">
        <is>
          <t>x bar 1.6</t>
        </is>
      </c>
      <c r="BF2" t="inlineStr">
        <is>
          <t>x bar 1.7</t>
        </is>
      </c>
      <c r="BI2" t="inlineStr">
        <is>
          <t>x bar 1.8</t>
        </is>
      </c>
      <c r="BL2" t="inlineStr">
        <is>
          <t>x bar 1.9</t>
        </is>
      </c>
      <c r="BO2" t="inlineStr">
        <is>
          <t>y bar 0.0</t>
        </is>
      </c>
      <c r="BR2" t="inlineStr">
        <is>
          <t>y bar 0.1</t>
        </is>
      </c>
      <c r="BU2" t="inlineStr">
        <is>
          <t>y bar 0.2</t>
        </is>
      </c>
      <c r="BX2" t="inlineStr">
        <is>
          <t>y bar 0.3</t>
        </is>
      </c>
      <c r="CA2" t="inlineStr">
        <is>
          <t>y bar 0.4</t>
        </is>
      </c>
      <c r="CD2" t="inlineStr">
        <is>
          <t>y bar 0.5</t>
        </is>
      </c>
      <c r="CG2" t="inlineStr">
        <is>
          <t>y bar 0.6</t>
        </is>
      </c>
      <c r="CJ2" t="inlineStr">
        <is>
          <t>y bar 0.7</t>
        </is>
      </c>
      <c r="CM2" t="inlineStr">
        <is>
          <t>y bar 0.8</t>
        </is>
      </c>
      <c r="CP2" t="inlineStr">
        <is>
          <t>y bar 0.9</t>
        </is>
      </c>
      <c r="CS2" t="inlineStr">
        <is>
          <t>y bar 1.0</t>
        </is>
      </c>
      <c r="CV2" t="inlineStr">
        <is>
          <t>y bar 1.1</t>
        </is>
      </c>
      <c r="CY2" t="inlineStr">
        <is>
          <t>y bar 1.2</t>
        </is>
      </c>
      <c r="DB2" t="inlineStr">
        <is>
          <t>y bar 1.3</t>
        </is>
      </c>
      <c r="DE2" t="inlineStr">
        <is>
          <t>y bar 1.4</t>
        </is>
      </c>
      <c r="DH2" t="inlineStr">
        <is>
          <t>y bar 1.5</t>
        </is>
      </c>
      <c r="DK2" t="inlineStr">
        <is>
          <t>y bar 1.6</t>
        </is>
      </c>
      <c r="DN2" t="inlineStr">
        <is>
          <t>y bar 1.7</t>
        </is>
      </c>
      <c r="DQ2" t="inlineStr">
        <is>
          <t>y bar 1.8</t>
        </is>
      </c>
      <c r="DT2" t="inlineStr">
        <is>
          <t>y bar 1.9</t>
        </is>
      </c>
      <c r="DW2" t="inlineStr">
        <is>
          <t>pile 1,1</t>
        </is>
      </c>
      <c r="DZ2" t="inlineStr">
        <is>
          <t>pile -1,1</t>
        </is>
      </c>
      <c r="EC2" t="inlineStr">
        <is>
          <t>pile 1,-1</t>
        </is>
      </c>
      <c r="EF2" t="inlineStr">
        <is>
          <t>pile -1,-1</t>
        </is>
      </c>
      <c r="EI2" t="inlineStr">
        <is>
          <t>column</t>
        </is>
      </c>
      <c r="EL2" t="inlineStr">
        <is>
          <t>shear x 1</t>
        </is>
      </c>
      <c r="EO2" t="inlineStr">
        <is>
          <t>shear y 1</t>
        </is>
      </c>
      <c r="ER2" t="inlineStr">
        <is>
          <t>shear x -1</t>
        </is>
      </c>
      <c r="EU2" t="inlineStr">
        <is>
          <t>shear y -1</t>
        </is>
      </c>
      <c r="EX2" t="inlineStr">
        <is>
          <t>dim</t>
        </is>
      </c>
      <c r="FA2">
        <f>IF(inputs_ok,"L = "&amp;TEXT(L_c,"0"),"")</f>
        <v/>
      </c>
      <c r="FD2" t="inlineStr">
        <is>
          <t>dim</t>
        </is>
      </c>
      <c r="FG2">
        <f>IF(inputs_ok,"B = "&amp;TEXT(B_c,"0"),"")</f>
        <v/>
      </c>
      <c r="FJ2" t="inlineStr">
        <is>
          <t>dim</t>
        </is>
      </c>
      <c r="FM2">
        <f>IF(inputs_ok,"lx = "&amp;TEXT(l_x,"0"),"")</f>
        <v/>
      </c>
      <c r="FP2" t="inlineStr">
        <is>
          <t>dim</t>
        </is>
      </c>
      <c r="FS2">
        <f>IF(inputs_ok,"ly = "&amp;TEXT(l_y,"0"),"")</f>
        <v/>
      </c>
      <c r="FV2" t="inlineStr">
        <is>
          <t>dim</t>
        </is>
      </c>
      <c r="FY2">
        <f>IF(inputs_ok,"e = "&amp;TEXT(e_p,"0"),"")</f>
        <v/>
      </c>
      <c r="GB2">
        <f>IF(inputs_ok,"D = "&amp;D_p,"")</f>
        <v/>
      </c>
      <c r="GE2">
        <f>IF(inputs_ok,n_x&amp;" × φ"&amp;phi_x,"")</f>
        <v/>
      </c>
      <c r="GH2">
        <f>IF(inputs_ok,IF(n_p=4,n_y&amp;" × φ"&amp;phi_y,""),"")</f>
        <v/>
      </c>
      <c r="GK2" t="inlineStr">
        <is>
          <t>frame</t>
        </is>
      </c>
      <c r="GN2" t="inlineStr">
        <is>
          <t>cap</t>
        </is>
      </c>
      <c r="GQ2" t="inlineStr">
        <is>
          <t>pile 1</t>
        </is>
      </c>
      <c r="GT2" t="inlineStr">
        <is>
          <t>strut 1</t>
        </is>
      </c>
      <c r="GW2" t="inlineStr">
        <is>
          <t>pile -1</t>
        </is>
      </c>
      <c r="GZ2" t="inlineStr">
        <is>
          <t>strut -1</t>
        </is>
      </c>
      <c r="HC2" t="inlineStr">
        <is>
          <t>column</t>
        </is>
      </c>
      <c r="HF2" t="inlineStr">
        <is>
          <t>tie</t>
        </is>
      </c>
      <c r="HI2" t="inlineStr">
        <is>
          <t>dim</t>
        </is>
      </c>
      <c r="HL2">
        <f>IF(inputs_ok,"h = "&amp;TEXT(h_c,"0"),"")</f>
        <v/>
      </c>
      <c r="HO2" t="inlineStr">
        <is>
          <t>dim</t>
        </is>
      </c>
      <c r="HR2">
        <f>IF(inputs_ok,"d = "&amp;TEXT(d_x,"0"),"")</f>
        <v/>
      </c>
      <c r="HU2" t="inlineStr">
        <is>
          <t>dim</t>
        </is>
      </c>
      <c r="HX2">
        <f>IF(inputs_ok,"lx = "&amp;TEXT(l_x,"0"),"")</f>
        <v/>
      </c>
      <c r="IA2">
        <f>IF(inputs_ok,IFERROR("T = "&amp;TEXT(T_x,"0")&amp;" kN"&amp;IF(n_p=4," / tie",""),""),"")</f>
        <v/>
      </c>
      <c r="ID2">
        <f>IF(inputs_ok,"N = "&amp;TEXT(N_t,"0")&amp;" kN","")</f>
        <v/>
      </c>
      <c r="IG2">
        <f>IF(inputs_ok,IFERROR("θ = "&amp;TEXT(DEGREES(ATAN(1/cot_s)),"0")&amp;"°"&amp;IF(n_p=4," (diagonal)",""),""),"")</f>
        <v/>
      </c>
      <c r="IJ2" t="inlineStr">
        <is>
          <t>frame</t>
        </is>
      </c>
    </row>
    <row r="3">
      <c r="A3">
        <f>0</f>
        <v/>
      </c>
      <c r="B3">
        <f>0</f>
        <v/>
      </c>
      <c r="D3">
        <f>IF(inputs_ok,-L_c/2,NA())</f>
        <v/>
      </c>
      <c r="E3">
        <f>-B_c/2</f>
        <v/>
      </c>
      <c r="G3">
        <f>IF(inputs_ok,IF(AND(TRUE,0&lt;n_x),-L_c/2+c_nom,NA()),NA())</f>
        <v/>
      </c>
      <c r="H3">
        <f>IF(AND(TRUE,0&lt;n_x),1*(p_y+bo_c-phi_x/2-0*(bw_x-phi_x)/(n_x-1)),NA())</f>
        <v/>
      </c>
      <c r="J3">
        <f>IF(inputs_ok,IF(AND(TRUE,1&lt;n_x),-L_c/2+c_nom,NA()),NA())</f>
        <v/>
      </c>
      <c r="K3">
        <f>IF(AND(TRUE,1&lt;n_x),1*(p_y+bo_c-phi_x/2-1*(bw_x-phi_x)/(n_x-1)),NA())</f>
        <v/>
      </c>
      <c r="M3">
        <f>IF(inputs_ok,IF(AND(TRUE,2&lt;n_x),-L_c/2+c_nom,NA()),NA())</f>
        <v/>
      </c>
      <c r="N3">
        <f>IF(AND(TRUE,2&lt;n_x),1*(p_y+bo_c-phi_x/2-2*(bw_x-phi_x)/(n_x-1)),NA())</f>
        <v/>
      </c>
      <c r="P3">
        <f>IF(inputs_ok,IF(AND(TRUE,3&lt;n_x),-L_c/2+c_nom,NA()),NA())</f>
        <v/>
      </c>
      <c r="Q3">
        <f>IF(AND(TRUE,3&lt;n_x),1*(p_y+bo_c-phi_x/2-3*(bw_x-phi_x)/(n_x-1)),NA())</f>
        <v/>
      </c>
      <c r="S3">
        <f>IF(inputs_ok,IF(AND(TRUE,4&lt;n_x),-L_c/2+c_nom,NA()),NA())</f>
        <v/>
      </c>
      <c r="T3">
        <f>IF(AND(TRUE,4&lt;n_x),1*(p_y+bo_c-phi_x/2-4*(bw_x-phi_x)/(n_x-1)),NA())</f>
        <v/>
      </c>
      <c r="V3">
        <f>IF(inputs_ok,IF(AND(TRUE,5&lt;n_x),-L_c/2+c_nom,NA()),NA())</f>
        <v/>
      </c>
      <c r="W3">
        <f>IF(AND(TRUE,5&lt;n_x),1*(p_y+bo_c-phi_x/2-5*(bw_x-phi_x)/(n_x-1)),NA())</f>
        <v/>
      </c>
      <c r="Y3">
        <f>IF(inputs_ok,IF(AND(TRUE,6&lt;n_x),-L_c/2+c_nom,NA()),NA())</f>
        <v/>
      </c>
      <c r="Z3">
        <f>IF(AND(TRUE,6&lt;n_x),1*(p_y+bo_c-phi_x/2-6*(bw_x-phi_x)/(n_x-1)),NA())</f>
        <v/>
      </c>
      <c r="AB3">
        <f>IF(inputs_ok,IF(AND(TRUE,7&lt;n_x),-L_c/2+c_nom,NA()),NA())</f>
        <v/>
      </c>
      <c r="AC3">
        <f>IF(AND(TRUE,7&lt;n_x),1*(p_y+bo_c-phi_x/2-7*(bw_x-phi_x)/(n_x-1)),NA())</f>
        <v/>
      </c>
      <c r="AE3">
        <f>IF(inputs_ok,IF(AND(TRUE,8&lt;n_x),-L_c/2+c_nom,NA()),NA())</f>
        <v/>
      </c>
      <c r="AF3">
        <f>IF(AND(TRUE,8&lt;n_x),1*(p_y+bo_c-phi_x/2-8*(bw_x-phi_x)/(n_x-1)),NA())</f>
        <v/>
      </c>
      <c r="AH3">
        <f>IF(inputs_ok,IF(AND(TRUE,9&lt;n_x),-L_c/2+c_nom,NA()),NA())</f>
        <v/>
      </c>
      <c r="AI3">
        <f>IF(AND(TRUE,9&lt;n_x),1*(p_y+bo_c-phi_x/2-9*(bw_x-phi_x)/(n_x-1)),NA())</f>
        <v/>
      </c>
      <c r="AK3">
        <f>IF(inputs_ok,IF(AND(n_p=4,0&lt;n_x),-L_c/2+c_nom,NA()),NA())</f>
        <v/>
      </c>
      <c r="AL3">
        <f>IF(AND(n_p=4,0&lt;n_x),-1*(p_y+bo_c-phi_x/2-0*(bw_x-phi_x)/(n_x-1)),NA())</f>
        <v/>
      </c>
      <c r="AN3">
        <f>IF(inputs_ok,IF(AND(n_p=4,1&lt;n_x),-L_c/2+c_nom,NA()),NA())</f>
        <v/>
      </c>
      <c r="AO3">
        <f>IF(AND(n_p=4,1&lt;n_x),-1*(p_y+bo_c-phi_x/2-1*(bw_x-phi_x)/(n_x-1)),NA())</f>
        <v/>
      </c>
      <c r="AQ3">
        <f>IF(inputs_ok,IF(AND(n_p=4,2&lt;n_x),-L_c/2+c_nom,NA()),NA())</f>
        <v/>
      </c>
      <c r="AR3">
        <f>IF(AND(n_p=4,2&lt;n_x),-1*(p_y+bo_c-phi_x/2-2*(bw_x-phi_x)/(n_x-1)),NA())</f>
        <v/>
      </c>
      <c r="AT3">
        <f>IF(inputs_ok,IF(AND(n_p=4,3&lt;n_x),-L_c/2+c_nom,NA()),NA())</f>
        <v/>
      </c>
      <c r="AU3">
        <f>IF(AND(n_p=4,3&lt;n_x),-1*(p_y+bo_c-phi_x/2-3*(bw_x-phi_x)/(n_x-1)),NA())</f>
        <v/>
      </c>
      <c r="AW3">
        <f>IF(inputs_ok,IF(AND(n_p=4,4&lt;n_x),-L_c/2+c_nom,NA()),NA())</f>
        <v/>
      </c>
      <c r="AX3">
        <f>IF(AND(n_p=4,4&lt;n_x),-1*(p_y+bo_c-phi_x/2-4*(bw_x-phi_x)/(n_x-1)),NA())</f>
        <v/>
      </c>
      <c r="AZ3">
        <f>IF(inputs_ok,IF(AND(n_p=4,5&lt;n_x),-L_c/2+c_nom,NA()),NA())</f>
        <v/>
      </c>
      <c r="BA3">
        <f>IF(AND(n_p=4,5&lt;n_x),-1*(p_y+bo_c-phi_x/2-5*(bw_x-phi_x)/(n_x-1)),NA())</f>
        <v/>
      </c>
      <c r="BC3">
        <f>IF(inputs_ok,IF(AND(n_p=4,6&lt;n_x),-L_c/2+c_nom,NA()),NA())</f>
        <v/>
      </c>
      <c r="BD3">
        <f>IF(AND(n_p=4,6&lt;n_x),-1*(p_y+bo_c-phi_x/2-6*(bw_x-phi_x)/(n_x-1)),NA())</f>
        <v/>
      </c>
      <c r="BF3">
        <f>IF(inputs_ok,IF(AND(n_p=4,7&lt;n_x),-L_c/2+c_nom,NA()),NA())</f>
        <v/>
      </c>
      <c r="BG3">
        <f>IF(AND(n_p=4,7&lt;n_x),-1*(p_y+bo_c-phi_x/2-7*(bw_x-phi_x)/(n_x-1)),NA())</f>
        <v/>
      </c>
      <c r="BI3">
        <f>IF(inputs_ok,IF(AND(n_p=4,8&lt;n_x),-L_c/2+c_nom,NA()),NA())</f>
        <v/>
      </c>
      <c r="BJ3">
        <f>IF(AND(n_p=4,8&lt;n_x),-1*(p_y+bo_c-phi_x/2-8*(bw_x-phi_x)/(n_x-1)),NA())</f>
        <v/>
      </c>
      <c r="BL3">
        <f>IF(inputs_ok,IF(AND(n_p=4,9&lt;n_x),-L_c/2+c_nom,NA()),NA())</f>
        <v/>
      </c>
      <c r="BM3">
        <f>IF(AND(n_p=4,9&lt;n_x),-1*(p_y+bo_c-phi_x/2-9*(bw_x-phi_x)/(n_x-1)),NA())</f>
        <v/>
      </c>
      <c r="BO3">
        <f>IF(inputs_ok,IF(AND(n_p=4,0&lt;n_y),1*(l_x/2+bo_c-phi_y/2-0*(bw_y-phi_y)/(n_y-1)),NA()),NA())</f>
        <v/>
      </c>
      <c r="BP3">
        <f>IF(AND(n_p=4,0&lt;n_y),-B_c/2+c_nom,NA())</f>
        <v/>
      </c>
      <c r="BR3">
        <f>IF(inputs_ok,IF(AND(n_p=4,1&lt;n_y),1*(l_x/2+bo_c-phi_y/2-1*(bw_y-phi_y)/(n_y-1)),NA()),NA())</f>
        <v/>
      </c>
      <c r="BS3">
        <f>IF(AND(n_p=4,1&lt;n_y),-B_c/2+c_nom,NA())</f>
        <v/>
      </c>
      <c r="BU3">
        <f>IF(inputs_ok,IF(AND(n_p=4,2&lt;n_y),1*(l_x/2+bo_c-phi_y/2-2*(bw_y-phi_y)/(n_y-1)),NA()),NA())</f>
        <v/>
      </c>
      <c r="BV3">
        <f>IF(AND(n_p=4,2&lt;n_y),-B_c/2+c_nom,NA())</f>
        <v/>
      </c>
      <c r="BX3">
        <f>IF(inputs_ok,IF(AND(n_p=4,3&lt;n_y),1*(l_x/2+bo_c-phi_y/2-3*(bw_y-phi_y)/(n_y-1)),NA()),NA())</f>
        <v/>
      </c>
      <c r="BY3">
        <f>IF(AND(n_p=4,3&lt;n_y),-B_c/2+c_nom,NA())</f>
        <v/>
      </c>
      <c r="CA3">
        <f>IF(inputs_ok,IF(AND(n_p=4,4&lt;n_y),1*(l_x/2+bo_c-phi_y/2-4*(bw_y-phi_y)/(n_y-1)),NA()),NA())</f>
        <v/>
      </c>
      <c r="CB3">
        <f>IF(AND(n_p=4,4&lt;n_y),-B_c/2+c_nom,NA())</f>
        <v/>
      </c>
      <c r="CD3">
        <f>IF(inputs_ok,IF(AND(n_p=4,5&lt;n_y),1*(l_x/2+bo_c-phi_y/2-5*(bw_y-phi_y)/(n_y-1)),NA()),NA())</f>
        <v/>
      </c>
      <c r="CE3">
        <f>IF(AND(n_p=4,5&lt;n_y),-B_c/2+c_nom,NA())</f>
        <v/>
      </c>
      <c r="CG3">
        <f>IF(inputs_ok,IF(AND(n_p=4,6&lt;n_y),1*(l_x/2+bo_c-phi_y/2-6*(bw_y-phi_y)/(n_y-1)),NA()),NA())</f>
        <v/>
      </c>
      <c r="CH3">
        <f>IF(AND(n_p=4,6&lt;n_y),-B_c/2+c_nom,NA())</f>
        <v/>
      </c>
      <c r="CJ3">
        <f>IF(inputs_ok,IF(AND(n_p=4,7&lt;n_y),1*(l_x/2+bo_c-phi_y/2-7*(bw_y-phi_y)/(n_y-1)),NA()),NA())</f>
        <v/>
      </c>
      <c r="CK3">
        <f>IF(AND(n_p=4,7&lt;n_y),-B_c/2+c_nom,NA())</f>
        <v/>
      </c>
      <c r="CM3">
        <f>IF(inputs_ok,IF(AND(n_p=4,8&lt;n_y),1*(l_x/2+bo_c-phi_y/2-8*(bw_y-phi_y)/(n_y-1)),NA()),NA())</f>
        <v/>
      </c>
      <c r="CN3">
        <f>IF(AND(n_p=4,8&lt;n_y),-B_c/2+c_nom,NA())</f>
        <v/>
      </c>
      <c r="CP3">
        <f>IF(inputs_ok,IF(AND(n_p=4,9&lt;n_y),1*(l_x/2+bo_c-phi_y/2-9*(bw_y-phi_y)/(n_y-1)),NA()),NA())</f>
        <v/>
      </c>
      <c r="CQ3">
        <f>IF(AND(n_p=4,9&lt;n_y),-B_c/2+c_nom,NA())</f>
        <v/>
      </c>
      <c r="CS3">
        <f>IF(inputs_ok,IF(AND(n_p=4,0&lt;n_y),-1*(l_x/2+bo_c-phi_y/2-0*(bw_y-phi_y)/(n_y-1)),NA()),NA())</f>
        <v/>
      </c>
      <c r="CT3">
        <f>IF(AND(n_p=4,0&lt;n_y),-B_c/2+c_nom,NA())</f>
        <v/>
      </c>
      <c r="CV3">
        <f>IF(inputs_ok,IF(AND(n_p=4,1&lt;n_y),-1*(l_x/2+bo_c-phi_y/2-1*(bw_y-phi_y)/(n_y-1)),NA()),NA())</f>
        <v/>
      </c>
      <c r="CW3">
        <f>IF(AND(n_p=4,1&lt;n_y),-B_c/2+c_nom,NA())</f>
        <v/>
      </c>
      <c r="CY3">
        <f>IF(inputs_ok,IF(AND(n_p=4,2&lt;n_y),-1*(l_x/2+bo_c-phi_y/2-2*(bw_y-phi_y)/(n_y-1)),NA()),NA())</f>
        <v/>
      </c>
      <c r="CZ3">
        <f>IF(AND(n_p=4,2&lt;n_y),-B_c/2+c_nom,NA())</f>
        <v/>
      </c>
      <c r="DB3">
        <f>IF(inputs_ok,IF(AND(n_p=4,3&lt;n_y),-1*(l_x/2+bo_c-phi_y/2-3*(bw_y-phi_y)/(n_y-1)),NA()),NA())</f>
        <v/>
      </c>
      <c r="DC3">
        <f>IF(AND(n_p=4,3&lt;n_y),-B_c/2+c_nom,NA())</f>
        <v/>
      </c>
      <c r="DE3">
        <f>IF(inputs_ok,IF(AND(n_p=4,4&lt;n_y),-1*(l_x/2+bo_c-phi_y/2-4*(bw_y-phi_y)/(n_y-1)),NA()),NA())</f>
        <v/>
      </c>
      <c r="DF3">
        <f>IF(AND(n_p=4,4&lt;n_y),-B_c/2+c_nom,NA())</f>
        <v/>
      </c>
      <c r="DH3">
        <f>IF(inputs_ok,IF(AND(n_p=4,5&lt;n_y),-1*(l_x/2+bo_c-phi_y/2-5*(bw_y-phi_y)/(n_y-1)),NA()),NA())</f>
        <v/>
      </c>
      <c r="DI3">
        <f>IF(AND(n_p=4,5&lt;n_y),-B_c/2+c_nom,NA())</f>
        <v/>
      </c>
      <c r="DK3">
        <f>IF(inputs_ok,IF(AND(n_p=4,6&lt;n_y),-1*(l_x/2+bo_c-phi_y/2-6*(bw_y-phi_y)/(n_y-1)),NA()),NA())</f>
        <v/>
      </c>
      <c r="DL3">
        <f>IF(AND(n_p=4,6&lt;n_y),-B_c/2+c_nom,NA())</f>
        <v/>
      </c>
      <c r="DN3">
        <f>IF(inputs_ok,IF(AND(n_p=4,7&lt;n_y),-1*(l_x/2+bo_c-phi_y/2-7*(bw_y-phi_y)/(n_y-1)),NA()),NA())</f>
        <v/>
      </c>
      <c r="DO3">
        <f>IF(AND(n_p=4,7&lt;n_y),-B_c/2+c_nom,NA())</f>
        <v/>
      </c>
      <c r="DQ3">
        <f>IF(inputs_ok,IF(AND(n_p=4,8&lt;n_y),-1*(l_x/2+bo_c-phi_y/2-8*(bw_y-phi_y)/(n_y-1)),NA()),NA())</f>
        <v/>
      </c>
      <c r="DR3">
        <f>IF(AND(n_p=4,8&lt;n_y),-B_c/2+c_nom,NA())</f>
        <v/>
      </c>
      <c r="DT3">
        <f>IF(inputs_ok,IF(AND(n_p=4,9&lt;n_y),-1*(l_x/2+bo_c-phi_y/2-9*(bw_y-phi_y)/(n_y-1)),NA()),NA())</f>
        <v/>
      </c>
      <c r="DU3">
        <f>IF(AND(n_p=4,9&lt;n_y),-B_c/2+c_nom,NA())</f>
        <v/>
      </c>
      <c r="DW3">
        <f>IF(inputs_ok,IF(TRUE,(1*l_x/2)+(D_p/2)*1.000000,NA()),NA())</f>
        <v/>
      </c>
      <c r="DX3">
        <f>IF(TRUE,(1*p_y)+(D_p/2)*0.000000,NA())</f>
        <v/>
      </c>
      <c r="DZ3">
        <f>IF(inputs_ok,IF(TRUE,(-1*l_x/2)+(D_p/2)*1.000000,NA()),NA())</f>
        <v/>
      </c>
      <c r="EA3">
        <f>IF(TRUE,(1*p_y)+(D_p/2)*0.000000,NA())</f>
        <v/>
      </c>
      <c r="EC3">
        <f>IF(inputs_ok,IF(n_p=4,(1*l_x/2)+(D_p/2)*1.000000,NA()),NA())</f>
        <v/>
      </c>
      <c r="ED3">
        <f>IF(n_p=4,(-1*p_y)+(D_p/2)*0.000000,NA())</f>
        <v/>
      </c>
      <c r="EF3">
        <f>IF(inputs_ok,IF(n_p=4,(-1*l_x/2)+(D_p/2)*1.000000,NA()),NA())</f>
        <v/>
      </c>
      <c r="EG3">
        <f>IF(n_p=4,(-1*p_y)+(D_p/2)*0.000000,NA())</f>
        <v/>
      </c>
      <c r="EI3">
        <f>IF(inputs_ok,-c_x/2,NA())</f>
        <v/>
      </c>
      <c r="EJ3">
        <f>-c_y/2</f>
        <v/>
      </c>
      <c r="EL3">
        <f>IF(inputs_ok,1*(l_x/2-0.3*D_p),NA())</f>
        <v/>
      </c>
      <c r="EM3">
        <f>-B_c/2</f>
        <v/>
      </c>
      <c r="EO3">
        <f>IF(inputs_ok,IF(n_p=4,-L_c/2,NA()),NA())</f>
        <v/>
      </c>
      <c r="EP3">
        <f>IF(n_p=4,1*(l_y/2-0.3*D_p),NA())</f>
        <v/>
      </c>
      <c r="ER3">
        <f>IF(inputs_ok,-1*(l_x/2-0.3*D_p),NA())</f>
        <v/>
      </c>
      <c r="ES3">
        <f>-B_c/2</f>
        <v/>
      </c>
      <c r="EU3">
        <f>IF(inputs_ok,IF(n_p=4,-L_c/2,NA()),NA())</f>
        <v/>
      </c>
      <c r="EV3">
        <f>IF(n_p=4,-1*(l_y/2-0.3*D_p),NA())</f>
        <v/>
      </c>
      <c r="EX3">
        <f>IF(inputs_ok,IF(TRUE,-L_c/2,NA()),NA())</f>
        <v/>
      </c>
      <c r="EY3">
        <f>IF(TRUE,-B_c/2-0.07*MAX(L_c,B_c),NA())</f>
        <v/>
      </c>
      <c r="FA3">
        <f>IF(inputs_ok,IF(TRUE,((-L_c/2)+(L_c/2))/2,NA()),NA())</f>
        <v/>
      </c>
      <c r="FB3">
        <f>IF(TRUE,((-B_c/2-0.07*MAX(L_c,B_c))+(-B_c/2-0.07*MAX(L_c,B_c)))/2,NA())</f>
        <v/>
      </c>
      <c r="FD3">
        <f>IF(inputs_ok,IF(TRUE,L_c/2+0.07*MAX(L_c,B_c),NA()),NA())</f>
        <v/>
      </c>
      <c r="FE3">
        <f>IF(TRUE,-B_c/2,NA())</f>
        <v/>
      </c>
      <c r="FG3">
        <f>IF(inputs_ok,IF(TRUE,((L_c/2+0.07*MAX(L_c,B_c))+(L_c/2+0.07*MAX(L_c,B_c)))/2,NA()),NA())</f>
        <v/>
      </c>
      <c r="FH3">
        <f>IF(TRUE,((-B_c/2)+(B_c/2))/2,NA())</f>
        <v/>
      </c>
      <c r="FJ3">
        <f>IF(inputs_ok,IF(TRUE,-l_x/2,NA()),NA())</f>
        <v/>
      </c>
      <c r="FK3">
        <f>IF(TRUE,B_c/2+0.6*0.07*MAX(L_c,B_c),NA())</f>
        <v/>
      </c>
      <c r="FM3">
        <f>IF(inputs_ok,IF(TRUE,((-l_x/2)+(l_x/2))/2,NA()),NA())</f>
        <v/>
      </c>
      <c r="FN3">
        <f>IF(TRUE,((B_c/2+0.6*0.07*MAX(L_c,B_c))+(B_c/2+0.6*0.07*MAX(L_c,B_c)))/2,NA())</f>
        <v/>
      </c>
      <c r="FP3">
        <f>IF(inputs_ok,IF(n_p=4,-L_c/2-0.6*0.07*MAX(L_c,B_c),NA()),NA())</f>
        <v/>
      </c>
      <c r="FQ3">
        <f>IF(n_p=4,-p_y,NA())</f>
        <v/>
      </c>
      <c r="FS3">
        <f>IF(inputs_ok,IF(n_p=4,((-L_c/2-0.6*0.07*MAX(L_c,B_c))+(-L_c/2-0.6*0.07*MAX(L_c,B_c)))/2,NA()),NA())</f>
        <v/>
      </c>
      <c r="FT3">
        <f>IF(n_p=4,((-p_y)+(p_y))/2,NA())</f>
        <v/>
      </c>
      <c r="FV3">
        <f>IF(inputs_ok,IF(TRUE,l_x/2,NA()),NA())</f>
        <v/>
      </c>
      <c r="FW3">
        <f>IF(TRUE,B_c/2+0.6*0.07*MAX(L_c,B_c),NA())</f>
        <v/>
      </c>
      <c r="FY3">
        <f>IF(inputs_ok,IF(TRUE,((l_x/2)+(L_c/2))/2,NA()),NA())</f>
        <v/>
      </c>
      <c r="FZ3">
        <f>IF(TRUE,((B_c/2+0.6*0.07*MAX(L_c,B_c))+(B_c/2+0.6*0.07*MAX(L_c,B_c)))/2,NA())</f>
        <v/>
      </c>
      <c r="GB3">
        <f>IF(inputs_ok,l_x/2,NA())</f>
        <v/>
      </c>
      <c r="GC3">
        <f>p_y</f>
        <v/>
      </c>
      <c r="GE3">
        <f>IF(inputs_ok,0,NA())</f>
        <v/>
      </c>
      <c r="GF3">
        <f>p_y</f>
        <v/>
      </c>
      <c r="GH3">
        <f>IF(inputs_ok,-l_x/2,NA())</f>
        <v/>
      </c>
      <c r="GI3">
        <f>0</f>
        <v/>
      </c>
      <c r="GK3">
        <f>((-L_c/2-2*0.07*MAX(L_c,B_c))+(L_c/2+2.2*0.07*MAX(L_c,B_c)))/2-MAX((B_c/2+1.4*0.07*MAX(L_c,B_c))-(-B_c/2-1.6*0.07*MAX(L_c,B_c)),((L_c/2+2.2*0.07*MAX(L_c,B_c))-(-L_c/2-2*0.07*MAX(L_c,B_c)))/1.55)*0.58*1.55</f>
        <v/>
      </c>
      <c r="GL3">
        <f>((-B_c/2-1.6*0.07*MAX(L_c,B_c))+(B_c/2+1.4*0.07*MAX(L_c,B_c)))/2-MAX((B_c/2+1.4*0.07*MAX(L_c,B_c))-(-B_c/2-1.6*0.07*MAX(L_c,B_c)),((L_c/2+2.2*0.07*MAX(L_c,B_c))-(-L_c/2-2*0.07*MAX(L_c,B_c)))/1.55)*0.58</f>
        <v/>
      </c>
      <c r="GN3">
        <f>IF(inputs_ok,-L_c/2,NA())</f>
        <v/>
      </c>
      <c r="GO3">
        <f>0</f>
        <v/>
      </c>
      <c r="GQ3">
        <f>IF(inputs_ok,1*l_x/2-D_p/2,NA())</f>
        <v/>
      </c>
      <c r="GR3">
        <f>-0.6*h_c</f>
        <v/>
      </c>
      <c r="GT3">
        <f>IF(inputs_ok,0,NA())</f>
        <v/>
      </c>
      <c r="GU3">
        <f>h_c</f>
        <v/>
      </c>
      <c r="GW3">
        <f>IF(inputs_ok,-1*l_x/2-D_p/2,NA())</f>
        <v/>
      </c>
      <c r="GX3">
        <f>-0.6*h_c</f>
        <v/>
      </c>
      <c r="GZ3">
        <f>IF(inputs_ok,0,NA())</f>
        <v/>
      </c>
      <c r="HA3">
        <f>h_c</f>
        <v/>
      </c>
      <c r="HC3">
        <f>IF(inputs_ok,-c_x/2,NA())</f>
        <v/>
      </c>
      <c r="HD3">
        <f>h_c+0.45*h_c</f>
        <v/>
      </c>
      <c r="HF3">
        <f>IF(inputs_ok,-L_c/2+c_nom,NA())</f>
        <v/>
      </c>
      <c r="HG3">
        <f>c_nom+phi_x/2</f>
        <v/>
      </c>
      <c r="HI3">
        <f>IF(inputs_ok,IF(TRUE,L_c/2+0.06*L_c,NA()),NA())</f>
        <v/>
      </c>
      <c r="HJ3">
        <f>IF(TRUE,0,NA())</f>
        <v/>
      </c>
      <c r="HL3">
        <f>IF(inputs_ok,IF(TRUE,((L_c/2+0.06*L_c)+(L_c/2+0.06*L_c))/2,NA()),NA())</f>
        <v/>
      </c>
      <c r="HM3">
        <f>IF(TRUE,((0)+(h_c))/2,NA())</f>
        <v/>
      </c>
      <c r="HO3">
        <f>IF(inputs_ok,IF(TRUE,-L_c/2-0.06*L_c,NA()),NA())</f>
        <v/>
      </c>
      <c r="HP3">
        <f>IF(TRUE,c_nom+phi_x/2,NA())</f>
        <v/>
      </c>
      <c r="HR3">
        <f>IF(inputs_ok,IF(TRUE,((-L_c/2-0.06*L_c)+(-L_c/2-0.06*L_c))/2,NA()),NA())</f>
        <v/>
      </c>
      <c r="HS3">
        <f>IF(TRUE,((c_nom+phi_x/2)+(h_c))/2,NA())</f>
        <v/>
      </c>
      <c r="HU3">
        <f>IF(inputs_ok,IF(TRUE,-l_x/2,NA()),NA())</f>
        <v/>
      </c>
      <c r="HV3">
        <f>IF(TRUE,-0.75*h_c,NA())</f>
        <v/>
      </c>
      <c r="HX3">
        <f>IF(inputs_ok,IF(TRUE,((-l_x/2)+(l_x/2))/2,NA()),NA())</f>
        <v/>
      </c>
      <c r="HY3">
        <f>IF(TRUE,((-0.75*h_c)+(-0.75*h_c))/2,NA())</f>
        <v/>
      </c>
      <c r="IA3">
        <f>IF(inputs_ok,0,NA())</f>
        <v/>
      </c>
      <c r="IB3">
        <f>c_nom+phi_x/2</f>
        <v/>
      </c>
      <c r="ID3">
        <f>IF(inputs_ok,0,NA())</f>
        <v/>
      </c>
      <c r="IE3">
        <f>h_c+0.45*h_c</f>
        <v/>
      </c>
      <c r="IG3">
        <f>IF(inputs_ok,-l_x/4,NA())</f>
        <v/>
      </c>
      <c r="IH3">
        <f>h_c/2</f>
        <v/>
      </c>
      <c r="IJ3">
        <f>((-L_c/2-4*0.06*L_c)+(L_c/2+4*0.06*L_c))/2-MAX((h_c+0.45*h_c)-(-0.9*h_c),((L_c/2+4*0.06*L_c)-(-L_c/2-4*0.06*L_c))/1.55)*0.58*1.55</f>
        <v/>
      </c>
      <c r="IK3">
        <f>((-0.9*h_c)+(h_c+0.45*h_c))/2-MAX((h_c+0.45*h_c)-(-0.9*h_c),((L_c/2+4*0.06*L_c)-(-L_c/2-4*0.06*L_c))/1.55)*0.58</f>
        <v/>
      </c>
    </row>
    <row r="4">
      <c r="D4">
        <f>IF(inputs_ok,L_c/2,NA())</f>
        <v/>
      </c>
      <c r="E4">
        <f>-B_c/2</f>
        <v/>
      </c>
      <c r="G4">
        <f>IF(inputs_ok,IF(AND(TRUE,0&lt;n_x),L_c/2-c_nom,NA()),NA())</f>
        <v/>
      </c>
      <c r="H4">
        <f>IF(AND(TRUE,0&lt;n_x),1*(p_y+bo_c-phi_x/2-0*(bw_x-phi_x)/(n_x-1)),NA())</f>
        <v/>
      </c>
      <c r="J4">
        <f>IF(inputs_ok,IF(AND(TRUE,1&lt;n_x),L_c/2-c_nom,NA()),NA())</f>
        <v/>
      </c>
      <c r="K4">
        <f>IF(AND(TRUE,1&lt;n_x),1*(p_y+bo_c-phi_x/2-1*(bw_x-phi_x)/(n_x-1)),NA())</f>
        <v/>
      </c>
      <c r="M4">
        <f>IF(inputs_ok,IF(AND(TRUE,2&lt;n_x),L_c/2-c_nom,NA()),NA())</f>
        <v/>
      </c>
      <c r="N4">
        <f>IF(AND(TRUE,2&lt;n_x),1*(p_y+bo_c-phi_x/2-2*(bw_x-phi_x)/(n_x-1)),NA())</f>
        <v/>
      </c>
      <c r="P4">
        <f>IF(inputs_ok,IF(AND(TRUE,3&lt;n_x),L_c/2-c_nom,NA()),NA())</f>
        <v/>
      </c>
      <c r="Q4">
        <f>IF(AND(TRUE,3&lt;n_x),1*(p_y+bo_c-phi_x/2-3*(bw_x-phi_x)/(n_x-1)),NA())</f>
        <v/>
      </c>
      <c r="S4">
        <f>IF(inputs_ok,IF(AND(TRUE,4&lt;n_x),L_c/2-c_nom,NA()),NA())</f>
        <v/>
      </c>
      <c r="T4">
        <f>IF(AND(TRUE,4&lt;n_x),1*(p_y+bo_c-phi_x/2-4*(bw_x-phi_x)/(n_x-1)),NA())</f>
        <v/>
      </c>
      <c r="V4">
        <f>IF(inputs_ok,IF(AND(TRUE,5&lt;n_x),L_c/2-c_nom,NA()),NA())</f>
        <v/>
      </c>
      <c r="W4">
        <f>IF(AND(TRUE,5&lt;n_x),1*(p_y+bo_c-phi_x/2-5*(bw_x-phi_x)/(n_x-1)),NA())</f>
        <v/>
      </c>
      <c r="Y4">
        <f>IF(inputs_ok,IF(AND(TRUE,6&lt;n_x),L_c/2-c_nom,NA()),NA())</f>
        <v/>
      </c>
      <c r="Z4">
        <f>IF(AND(TRUE,6&lt;n_x),1*(p_y+bo_c-phi_x/2-6*(bw_x-phi_x)/(n_x-1)),NA())</f>
        <v/>
      </c>
      <c r="AB4">
        <f>IF(inputs_ok,IF(AND(TRUE,7&lt;n_x),L_c/2-c_nom,NA()),NA())</f>
        <v/>
      </c>
      <c r="AC4">
        <f>IF(AND(TRUE,7&lt;n_x),1*(p_y+bo_c-phi_x/2-7*(bw_x-phi_x)/(n_x-1)),NA())</f>
        <v/>
      </c>
      <c r="AE4">
        <f>IF(inputs_ok,IF(AND(TRUE,8&lt;n_x),L_c/2-c_nom,NA()),NA())</f>
        <v/>
      </c>
      <c r="AF4">
        <f>IF(AND(TRUE,8&lt;n_x),1*(p_y+bo_c-phi_x/2-8*(bw_x-phi_x)/(n_x-1)),NA())</f>
        <v/>
      </c>
      <c r="AH4">
        <f>IF(inputs_ok,IF(AND(TRUE,9&lt;n_x),L_c/2-c_nom,NA()),NA())</f>
        <v/>
      </c>
      <c r="AI4">
        <f>IF(AND(TRUE,9&lt;n_x),1*(p_y+bo_c-phi_x/2-9*(bw_x-phi_x)/(n_x-1)),NA())</f>
        <v/>
      </c>
      <c r="AK4">
        <f>IF(inputs_ok,IF(AND(n_p=4,0&lt;n_x),L_c/2-c_nom,NA()),NA())</f>
        <v/>
      </c>
      <c r="AL4">
        <f>IF(AND(n_p=4,0&lt;n_x),-1*(p_y+bo_c-phi_x/2-0*(bw_x-phi_x)/(n_x-1)),NA())</f>
        <v/>
      </c>
      <c r="AN4">
        <f>IF(inputs_ok,IF(AND(n_p=4,1&lt;n_x),L_c/2-c_nom,NA()),NA())</f>
        <v/>
      </c>
      <c r="AO4">
        <f>IF(AND(n_p=4,1&lt;n_x),-1*(p_y+bo_c-phi_x/2-1*(bw_x-phi_x)/(n_x-1)),NA())</f>
        <v/>
      </c>
      <c r="AQ4">
        <f>IF(inputs_ok,IF(AND(n_p=4,2&lt;n_x),L_c/2-c_nom,NA()),NA())</f>
        <v/>
      </c>
      <c r="AR4">
        <f>IF(AND(n_p=4,2&lt;n_x),-1*(p_y+bo_c-phi_x/2-2*(bw_x-phi_x)/(n_x-1)),NA())</f>
        <v/>
      </c>
      <c r="AT4">
        <f>IF(inputs_ok,IF(AND(n_p=4,3&lt;n_x),L_c/2-c_nom,NA()),NA())</f>
        <v/>
      </c>
      <c r="AU4">
        <f>IF(AND(n_p=4,3&lt;n_x),-1*(p_y+bo_c-phi_x/2-3*(bw_x-phi_x)/(n_x-1)),NA())</f>
        <v/>
      </c>
      <c r="AW4">
        <f>IF(inputs_ok,IF(AND(n_p=4,4&lt;n_x),L_c/2-c_nom,NA()),NA())</f>
        <v/>
      </c>
      <c r="AX4">
        <f>IF(AND(n_p=4,4&lt;n_x),-1*(p_y+bo_c-phi_x/2-4*(bw_x-phi_x)/(n_x-1)),NA())</f>
        <v/>
      </c>
      <c r="AZ4">
        <f>IF(inputs_ok,IF(AND(n_p=4,5&lt;n_x),L_c/2-c_nom,NA()),NA())</f>
        <v/>
      </c>
      <c r="BA4">
        <f>IF(AND(n_p=4,5&lt;n_x),-1*(p_y+bo_c-phi_x/2-5*(bw_x-phi_x)/(n_x-1)),NA())</f>
        <v/>
      </c>
      <c r="BC4">
        <f>IF(inputs_ok,IF(AND(n_p=4,6&lt;n_x),L_c/2-c_nom,NA()),NA())</f>
        <v/>
      </c>
      <c r="BD4">
        <f>IF(AND(n_p=4,6&lt;n_x),-1*(p_y+bo_c-phi_x/2-6*(bw_x-phi_x)/(n_x-1)),NA())</f>
        <v/>
      </c>
      <c r="BF4">
        <f>IF(inputs_ok,IF(AND(n_p=4,7&lt;n_x),L_c/2-c_nom,NA()),NA())</f>
        <v/>
      </c>
      <c r="BG4">
        <f>IF(AND(n_p=4,7&lt;n_x),-1*(p_y+bo_c-phi_x/2-7*(bw_x-phi_x)/(n_x-1)),NA())</f>
        <v/>
      </c>
      <c r="BI4">
        <f>IF(inputs_ok,IF(AND(n_p=4,8&lt;n_x),L_c/2-c_nom,NA()),NA())</f>
        <v/>
      </c>
      <c r="BJ4">
        <f>IF(AND(n_p=4,8&lt;n_x),-1*(p_y+bo_c-phi_x/2-8*(bw_x-phi_x)/(n_x-1)),NA())</f>
        <v/>
      </c>
      <c r="BL4">
        <f>IF(inputs_ok,IF(AND(n_p=4,9&lt;n_x),L_c/2-c_nom,NA()),NA())</f>
        <v/>
      </c>
      <c r="BM4">
        <f>IF(AND(n_p=4,9&lt;n_x),-1*(p_y+bo_c-phi_x/2-9*(bw_x-phi_x)/(n_x-1)),NA())</f>
        <v/>
      </c>
      <c r="BO4">
        <f>IF(inputs_ok,IF(AND(n_p=4,0&lt;n_y),1*(l_x/2+bo_c-phi_y/2-0*(bw_y-phi_y)/(n_y-1)),NA()),NA())</f>
        <v/>
      </c>
      <c r="BP4">
        <f>IF(AND(n_p=4,0&lt;n_y),B_c/2-c_nom,NA())</f>
        <v/>
      </c>
      <c r="BR4">
        <f>IF(inputs_ok,IF(AND(n_p=4,1&lt;n_y),1*(l_x/2+bo_c-phi_y/2-1*(bw_y-phi_y)/(n_y-1)),NA()),NA())</f>
        <v/>
      </c>
      <c r="BS4">
        <f>IF(AND(n_p=4,1&lt;n_y),B_c/2-c_nom,NA())</f>
        <v/>
      </c>
      <c r="BU4">
        <f>IF(inputs_ok,IF(AND(n_p=4,2&lt;n_y),1*(l_x/2+bo_c-phi_y/2-2*(bw_y-phi_y)/(n_y-1)),NA()),NA())</f>
        <v/>
      </c>
      <c r="BV4">
        <f>IF(AND(n_p=4,2&lt;n_y),B_c/2-c_nom,NA())</f>
        <v/>
      </c>
      <c r="BX4">
        <f>IF(inputs_ok,IF(AND(n_p=4,3&lt;n_y),1*(l_x/2+bo_c-phi_y/2-3*(bw_y-phi_y)/(n_y-1)),NA()),NA())</f>
        <v/>
      </c>
      <c r="BY4">
        <f>IF(AND(n_p=4,3&lt;n_y),B_c/2-c_nom,NA())</f>
        <v/>
      </c>
      <c r="CA4">
        <f>IF(inputs_ok,IF(AND(n_p=4,4&lt;n_y),1*(l_x/2+bo_c-phi_y/2-4*(bw_y-phi_y)/(n_y-1)),NA()),NA())</f>
        <v/>
      </c>
      <c r="CB4">
        <f>IF(AND(n_p=4,4&lt;n_y),B_c/2-c_nom,NA())</f>
        <v/>
      </c>
      <c r="CD4">
        <f>IF(inputs_ok,IF(AND(n_p=4,5&lt;n_y),1*(l_x/2+bo_c-phi_y/2-5*(bw_y-phi_y)/(n_y-1)),NA()),NA())</f>
        <v/>
      </c>
      <c r="CE4">
        <f>IF(AND(n_p=4,5&lt;n_y),B_c/2-c_nom,NA())</f>
        <v/>
      </c>
      <c r="CG4">
        <f>IF(inputs_ok,IF(AND(n_p=4,6&lt;n_y),1*(l_x/2+bo_c-phi_y/2-6*(bw_y-phi_y)/(n_y-1)),NA()),NA())</f>
        <v/>
      </c>
      <c r="CH4">
        <f>IF(AND(n_p=4,6&lt;n_y),B_c/2-c_nom,NA())</f>
        <v/>
      </c>
      <c r="CJ4">
        <f>IF(inputs_ok,IF(AND(n_p=4,7&lt;n_y),1*(l_x/2+bo_c-phi_y/2-7*(bw_y-phi_y)/(n_y-1)),NA()),NA())</f>
        <v/>
      </c>
      <c r="CK4">
        <f>IF(AND(n_p=4,7&lt;n_y),B_c/2-c_nom,NA())</f>
        <v/>
      </c>
      <c r="CM4">
        <f>IF(inputs_ok,IF(AND(n_p=4,8&lt;n_y),1*(l_x/2+bo_c-phi_y/2-8*(bw_y-phi_y)/(n_y-1)),NA()),NA())</f>
        <v/>
      </c>
      <c r="CN4">
        <f>IF(AND(n_p=4,8&lt;n_y),B_c/2-c_nom,NA())</f>
        <v/>
      </c>
      <c r="CP4">
        <f>IF(inputs_ok,IF(AND(n_p=4,9&lt;n_y),1*(l_x/2+bo_c-phi_y/2-9*(bw_y-phi_y)/(n_y-1)),NA()),NA())</f>
        <v/>
      </c>
      <c r="CQ4">
        <f>IF(AND(n_p=4,9&lt;n_y),B_c/2-c_nom,NA())</f>
        <v/>
      </c>
      <c r="CS4">
        <f>IF(inputs_ok,IF(AND(n_p=4,0&lt;n_y),-1*(l_x/2+bo_c-phi_y/2-0*(bw_y-phi_y)/(n_y-1)),NA()),NA())</f>
        <v/>
      </c>
      <c r="CT4">
        <f>IF(AND(n_p=4,0&lt;n_y),B_c/2-c_nom,NA())</f>
        <v/>
      </c>
      <c r="CV4">
        <f>IF(inputs_ok,IF(AND(n_p=4,1&lt;n_y),-1*(l_x/2+bo_c-phi_y/2-1*(bw_y-phi_y)/(n_y-1)),NA()),NA())</f>
        <v/>
      </c>
      <c r="CW4">
        <f>IF(AND(n_p=4,1&lt;n_y),B_c/2-c_nom,NA())</f>
        <v/>
      </c>
      <c r="CY4">
        <f>IF(inputs_ok,IF(AND(n_p=4,2&lt;n_y),-1*(l_x/2+bo_c-phi_y/2-2*(bw_y-phi_y)/(n_y-1)),NA()),NA())</f>
        <v/>
      </c>
      <c r="CZ4">
        <f>IF(AND(n_p=4,2&lt;n_y),B_c/2-c_nom,NA())</f>
        <v/>
      </c>
      <c r="DB4">
        <f>IF(inputs_ok,IF(AND(n_p=4,3&lt;n_y),-1*(l_x/2+bo_c-phi_y/2-3*(bw_y-phi_y)/(n_y-1)),NA()),NA())</f>
        <v/>
      </c>
      <c r="DC4">
        <f>IF(AND(n_p=4,3&lt;n_y),B_c/2-c_nom,NA())</f>
        <v/>
      </c>
      <c r="DE4">
        <f>IF(inputs_ok,IF(AND(n_p=4,4&lt;n_y),-1*(l_x/2+bo_c-phi_y/2-4*(bw_y-phi_y)/(n_y-1)),NA()),NA())</f>
        <v/>
      </c>
      <c r="DF4">
        <f>IF(AND(n_p=4,4&lt;n_y),B_c/2-c_nom,NA())</f>
        <v/>
      </c>
      <c r="DH4">
        <f>IF(inputs_ok,IF(AND(n_p=4,5&lt;n_y),-1*(l_x/2+bo_c-phi_y/2-5*(bw_y-phi_y)/(n_y-1)),NA()),NA())</f>
        <v/>
      </c>
      <c r="DI4">
        <f>IF(AND(n_p=4,5&lt;n_y),B_c/2-c_nom,NA())</f>
        <v/>
      </c>
      <c r="DK4">
        <f>IF(inputs_ok,IF(AND(n_p=4,6&lt;n_y),-1*(l_x/2+bo_c-phi_y/2-6*(bw_y-phi_y)/(n_y-1)),NA()),NA())</f>
        <v/>
      </c>
      <c r="DL4">
        <f>IF(AND(n_p=4,6&lt;n_y),B_c/2-c_nom,NA())</f>
        <v/>
      </c>
      <c r="DN4">
        <f>IF(inputs_ok,IF(AND(n_p=4,7&lt;n_y),-1*(l_x/2+bo_c-phi_y/2-7*(bw_y-phi_y)/(n_y-1)),NA()),NA())</f>
        <v/>
      </c>
      <c r="DO4">
        <f>IF(AND(n_p=4,7&lt;n_y),B_c/2-c_nom,NA())</f>
        <v/>
      </c>
      <c r="DQ4">
        <f>IF(inputs_ok,IF(AND(n_p=4,8&lt;n_y),-1*(l_x/2+bo_c-phi_y/2-8*(bw_y-phi_y)/(n_y-1)),NA()),NA())</f>
        <v/>
      </c>
      <c r="DR4">
        <f>IF(AND(n_p=4,8&lt;n_y),B_c/2-c_nom,NA())</f>
        <v/>
      </c>
      <c r="DT4">
        <f>IF(inputs_ok,IF(AND(n_p=4,9&lt;n_y),-1*(l_x/2+bo_c-phi_y/2-9*(bw_y-phi_y)/(n_y-1)),NA()),NA())</f>
        <v/>
      </c>
      <c r="DU4">
        <f>IF(AND(n_p=4,9&lt;n_y),B_c/2-c_nom,NA())</f>
        <v/>
      </c>
      <c r="DW4">
        <f>IF(inputs_ok,IF(TRUE,(1*l_x/2)+(D_p/2)*0.965926,NA()),NA())</f>
        <v/>
      </c>
      <c r="DX4">
        <f>IF(TRUE,(1*p_y)+(D_p/2)*0.258819,NA())</f>
        <v/>
      </c>
      <c r="DZ4">
        <f>IF(inputs_ok,IF(TRUE,(-1*l_x/2)+(D_p/2)*0.965926,NA()),NA())</f>
        <v/>
      </c>
      <c r="EA4">
        <f>IF(TRUE,(1*p_y)+(D_p/2)*0.258819,NA())</f>
        <v/>
      </c>
      <c r="EC4">
        <f>IF(inputs_ok,IF(n_p=4,(1*l_x/2)+(D_p/2)*0.965926,NA()),NA())</f>
        <v/>
      </c>
      <c r="ED4">
        <f>IF(n_p=4,(-1*p_y)+(D_p/2)*0.258819,NA())</f>
        <v/>
      </c>
      <c r="EF4">
        <f>IF(inputs_ok,IF(n_p=4,(-1*l_x/2)+(D_p/2)*0.965926,NA()),NA())</f>
        <v/>
      </c>
      <c r="EG4">
        <f>IF(n_p=4,(-1*p_y)+(D_p/2)*0.258819,NA())</f>
        <v/>
      </c>
      <c r="EI4">
        <f>IF(inputs_ok,c_x/2,NA())</f>
        <v/>
      </c>
      <c r="EJ4">
        <f>-c_y/2</f>
        <v/>
      </c>
      <c r="EL4">
        <f>IF(inputs_ok,1*(l_x/2-0.3*D_p),NA())</f>
        <v/>
      </c>
      <c r="EM4">
        <f>B_c/2</f>
        <v/>
      </c>
      <c r="EO4">
        <f>IF(inputs_ok,IF(n_p=4,L_c/2,NA()),NA())</f>
        <v/>
      </c>
      <c r="EP4">
        <f>IF(n_p=4,1*(l_y/2-0.3*D_p),NA())</f>
        <v/>
      </c>
      <c r="ER4">
        <f>IF(inputs_ok,-1*(l_x/2-0.3*D_p),NA())</f>
        <v/>
      </c>
      <c r="ES4">
        <f>B_c/2</f>
        <v/>
      </c>
      <c r="EU4">
        <f>IF(inputs_ok,IF(n_p=4,L_c/2,NA()),NA())</f>
        <v/>
      </c>
      <c r="EV4">
        <f>IF(n_p=4,-1*(l_y/2-0.3*D_p),NA())</f>
        <v/>
      </c>
      <c r="EX4">
        <f>IF(inputs_ok,IF(TRUE,L_c/2,NA()),NA())</f>
        <v/>
      </c>
      <c r="EY4">
        <f>IF(TRUE,-B_c/2-0.07*MAX(L_c,B_c),NA())</f>
        <v/>
      </c>
      <c r="FD4">
        <f>IF(inputs_ok,IF(TRUE,L_c/2+0.07*MAX(L_c,B_c),NA()),NA())</f>
        <v/>
      </c>
      <c r="FE4">
        <f>IF(TRUE,B_c/2,NA())</f>
        <v/>
      </c>
      <c r="FJ4">
        <f>IF(inputs_ok,IF(TRUE,l_x/2,NA()),NA())</f>
        <v/>
      </c>
      <c r="FK4">
        <f>IF(TRUE,B_c/2+0.6*0.07*MAX(L_c,B_c),NA())</f>
        <v/>
      </c>
      <c r="FP4">
        <f>IF(inputs_ok,IF(n_p=4,-L_c/2-0.6*0.07*MAX(L_c,B_c),NA()),NA())</f>
        <v/>
      </c>
      <c r="FQ4">
        <f>IF(n_p=4,p_y,NA())</f>
        <v/>
      </c>
      <c r="FV4">
        <f>IF(inputs_ok,IF(TRUE,L_c/2,NA()),NA())</f>
        <v/>
      </c>
      <c r="FW4">
        <f>IF(TRUE,B_c/2+0.6*0.07*MAX(L_c,B_c),NA())</f>
        <v/>
      </c>
      <c r="GK4">
        <f>((-L_c/2-2*0.07*MAX(L_c,B_c))+(L_c/2+2.2*0.07*MAX(L_c,B_c)))/2+MAX((B_c/2+1.4*0.07*MAX(L_c,B_c))-(-B_c/2-1.6*0.07*MAX(L_c,B_c)),((L_c/2+2.2*0.07*MAX(L_c,B_c))-(-L_c/2-2*0.07*MAX(L_c,B_c)))/1.55)*0.58*1.55</f>
        <v/>
      </c>
      <c r="GL4">
        <f>((-B_c/2-1.6*0.07*MAX(L_c,B_c))+(B_c/2+1.4*0.07*MAX(L_c,B_c)))/2+MAX((B_c/2+1.4*0.07*MAX(L_c,B_c))-(-B_c/2-1.6*0.07*MAX(L_c,B_c)),((L_c/2+2.2*0.07*MAX(L_c,B_c))-(-L_c/2-2*0.07*MAX(L_c,B_c)))/1.55)*0.58</f>
        <v/>
      </c>
      <c r="GN4">
        <f>IF(inputs_ok,L_c/2,NA())</f>
        <v/>
      </c>
      <c r="GO4">
        <f>0</f>
        <v/>
      </c>
      <c r="GQ4">
        <f>IF(inputs_ok,1*l_x/2-D_p/2,NA())</f>
        <v/>
      </c>
      <c r="GR4">
        <f>0</f>
        <v/>
      </c>
      <c r="GT4">
        <f>IF(inputs_ok,1*l_x/2,NA())</f>
        <v/>
      </c>
      <c r="GU4">
        <f>c_nom+phi_x/2</f>
        <v/>
      </c>
      <c r="GW4">
        <f>IF(inputs_ok,-1*l_x/2-D_p/2,NA())</f>
        <v/>
      </c>
      <c r="GX4">
        <f>0</f>
        <v/>
      </c>
      <c r="GZ4">
        <f>IF(inputs_ok,-1*l_x/2,NA())</f>
        <v/>
      </c>
      <c r="HA4">
        <f>c_nom+phi_x/2</f>
        <v/>
      </c>
      <c r="HC4">
        <f>IF(inputs_ok,-c_x/2,NA())</f>
        <v/>
      </c>
      <c r="HD4">
        <f>h_c</f>
        <v/>
      </c>
      <c r="HF4">
        <f>IF(inputs_ok,L_c/2-c_nom,NA())</f>
        <v/>
      </c>
      <c r="HG4">
        <f>c_nom+phi_x/2</f>
        <v/>
      </c>
      <c r="HI4">
        <f>IF(inputs_ok,IF(TRUE,L_c/2+0.06*L_c,NA()),NA())</f>
        <v/>
      </c>
      <c r="HJ4">
        <f>IF(TRUE,h_c,NA())</f>
        <v/>
      </c>
      <c r="HO4">
        <f>IF(inputs_ok,IF(TRUE,-L_c/2-0.06*L_c,NA()),NA())</f>
        <v/>
      </c>
      <c r="HP4">
        <f>IF(TRUE,h_c,NA())</f>
        <v/>
      </c>
      <c r="HU4">
        <f>IF(inputs_ok,IF(TRUE,l_x/2,NA()),NA())</f>
        <v/>
      </c>
      <c r="HV4">
        <f>IF(TRUE,-0.75*h_c,NA())</f>
        <v/>
      </c>
      <c r="IJ4">
        <f>((-L_c/2-4*0.06*L_c)+(L_c/2+4*0.06*L_c))/2+MAX((h_c+0.45*h_c)-(-0.9*h_c),((L_c/2+4*0.06*L_c)-(-L_c/2-4*0.06*L_c))/1.55)*0.58*1.55</f>
        <v/>
      </c>
      <c r="IK4">
        <f>((-0.9*h_c)+(h_c+0.45*h_c))/2+MAX((h_c+0.45*h_c)-(-0.9*h_c),((L_c/2+4*0.06*L_c)-(-L_c/2-4*0.06*L_c))/1.55)*0.58</f>
        <v/>
      </c>
    </row>
    <row r="5">
      <c r="D5">
        <f>IF(inputs_ok,L_c/2,NA())</f>
        <v/>
      </c>
      <c r="E5">
        <f>B_c/2</f>
        <v/>
      </c>
      <c r="DW5">
        <f>IF(inputs_ok,IF(TRUE,(1*l_x/2)+(D_p/2)*0.866025,NA()),NA())</f>
        <v/>
      </c>
      <c r="DX5">
        <f>IF(TRUE,(1*p_y)+(D_p/2)*0.500000,NA())</f>
        <v/>
      </c>
      <c r="DZ5">
        <f>IF(inputs_ok,IF(TRUE,(-1*l_x/2)+(D_p/2)*0.866025,NA()),NA())</f>
        <v/>
      </c>
      <c r="EA5">
        <f>IF(TRUE,(1*p_y)+(D_p/2)*0.500000,NA())</f>
        <v/>
      </c>
      <c r="EC5">
        <f>IF(inputs_ok,IF(n_p=4,(1*l_x/2)+(D_p/2)*0.866025,NA()),NA())</f>
        <v/>
      </c>
      <c r="ED5">
        <f>IF(n_p=4,(-1*p_y)+(D_p/2)*0.500000,NA())</f>
        <v/>
      </c>
      <c r="EF5">
        <f>IF(inputs_ok,IF(n_p=4,(-1*l_x/2)+(D_p/2)*0.866025,NA()),NA())</f>
        <v/>
      </c>
      <c r="EG5">
        <f>IF(n_p=4,(-1*p_y)+(D_p/2)*0.500000,NA())</f>
        <v/>
      </c>
      <c r="EI5">
        <f>IF(inputs_ok,c_x/2,NA())</f>
        <v/>
      </c>
      <c r="EJ5">
        <f>c_y/2</f>
        <v/>
      </c>
      <c r="GN5">
        <f>IF(inputs_ok,L_c/2,NA())</f>
        <v/>
      </c>
      <c r="GO5">
        <f>h_c</f>
        <v/>
      </c>
      <c r="GQ5">
        <f>IF(inputs_ok,1*l_x/2+D_p/2,NA())</f>
        <v/>
      </c>
      <c r="GR5">
        <f>0</f>
        <v/>
      </c>
      <c r="GW5">
        <f>IF(inputs_ok,-1*l_x/2+D_p/2,NA())</f>
        <v/>
      </c>
      <c r="GX5">
        <f>0</f>
        <v/>
      </c>
      <c r="HC5">
        <f>IF(inputs_ok,c_x/2,NA())</f>
        <v/>
      </c>
      <c r="HD5">
        <f>h_c</f>
        <v/>
      </c>
    </row>
    <row r="6">
      <c r="D6">
        <f>IF(inputs_ok,-L_c/2,NA())</f>
        <v/>
      </c>
      <c r="E6">
        <f>B_c/2</f>
        <v/>
      </c>
      <c r="DW6">
        <f>IF(inputs_ok,IF(TRUE,(1*l_x/2)+(D_p/2)*0.707107,NA()),NA())</f>
        <v/>
      </c>
      <c r="DX6">
        <f>IF(TRUE,(1*p_y)+(D_p/2)*0.707107,NA())</f>
        <v/>
      </c>
      <c r="DZ6">
        <f>IF(inputs_ok,IF(TRUE,(-1*l_x/2)+(D_p/2)*0.707107,NA()),NA())</f>
        <v/>
      </c>
      <c r="EA6">
        <f>IF(TRUE,(1*p_y)+(D_p/2)*0.707107,NA())</f>
        <v/>
      </c>
      <c r="EC6">
        <f>IF(inputs_ok,IF(n_p=4,(1*l_x/2)+(D_p/2)*0.707107,NA()),NA())</f>
        <v/>
      </c>
      <c r="ED6">
        <f>IF(n_p=4,(-1*p_y)+(D_p/2)*0.707107,NA())</f>
        <v/>
      </c>
      <c r="EF6">
        <f>IF(inputs_ok,IF(n_p=4,(-1*l_x/2)+(D_p/2)*0.707107,NA()),NA())</f>
        <v/>
      </c>
      <c r="EG6">
        <f>IF(n_p=4,(-1*p_y)+(D_p/2)*0.707107,NA())</f>
        <v/>
      </c>
      <c r="EI6">
        <f>IF(inputs_ok,-c_x/2,NA())</f>
        <v/>
      </c>
      <c r="EJ6">
        <f>c_y/2</f>
        <v/>
      </c>
      <c r="GN6">
        <f>IF(inputs_ok,-L_c/2,NA())</f>
        <v/>
      </c>
      <c r="GO6">
        <f>h_c</f>
        <v/>
      </c>
      <c r="GQ6">
        <f>IF(inputs_ok,1*l_x/2+D_p/2,NA())</f>
        <v/>
      </c>
      <c r="GR6">
        <f>-0.6*h_c</f>
        <v/>
      </c>
      <c r="GW6">
        <f>IF(inputs_ok,-1*l_x/2+D_p/2,NA())</f>
        <v/>
      </c>
      <c r="GX6">
        <f>-0.6*h_c</f>
        <v/>
      </c>
      <c r="HC6">
        <f>IF(inputs_ok,c_x/2,NA())</f>
        <v/>
      </c>
      <c r="HD6">
        <f>h_c+0.45*h_c</f>
        <v/>
      </c>
    </row>
    <row r="7">
      <c r="D7">
        <f>IF(inputs_ok,-L_c/2,NA())</f>
        <v/>
      </c>
      <c r="E7">
        <f>-B_c/2</f>
        <v/>
      </c>
      <c r="DW7">
        <f>IF(inputs_ok,IF(TRUE,(1*l_x/2)+(D_p/2)*0.500000,NA()),NA())</f>
        <v/>
      </c>
      <c r="DX7">
        <f>IF(TRUE,(1*p_y)+(D_p/2)*0.866025,NA())</f>
        <v/>
      </c>
      <c r="DZ7">
        <f>IF(inputs_ok,IF(TRUE,(-1*l_x/2)+(D_p/2)*0.500000,NA()),NA())</f>
        <v/>
      </c>
      <c r="EA7">
        <f>IF(TRUE,(1*p_y)+(D_p/2)*0.866025,NA())</f>
        <v/>
      </c>
      <c r="EC7">
        <f>IF(inputs_ok,IF(n_p=4,(1*l_x/2)+(D_p/2)*0.500000,NA()),NA())</f>
        <v/>
      </c>
      <c r="ED7">
        <f>IF(n_p=4,(-1*p_y)+(D_p/2)*0.866025,NA())</f>
        <v/>
      </c>
      <c r="EF7">
        <f>IF(inputs_ok,IF(n_p=4,(-1*l_x/2)+(D_p/2)*0.500000,NA()),NA())</f>
        <v/>
      </c>
      <c r="EG7">
        <f>IF(n_p=4,(-1*p_y)+(D_p/2)*0.866025,NA())</f>
        <v/>
      </c>
      <c r="EI7">
        <f>IF(inputs_ok,-c_x/2,NA())</f>
        <v/>
      </c>
      <c r="EJ7">
        <f>-c_y/2</f>
        <v/>
      </c>
      <c r="GN7">
        <f>IF(inputs_ok,-L_c/2,NA())</f>
        <v/>
      </c>
      <c r="GO7">
        <f>0</f>
        <v/>
      </c>
    </row>
    <row r="8">
      <c r="DW8">
        <f>IF(inputs_ok,IF(TRUE,(1*l_x/2)+(D_p/2)*0.258819,NA()),NA())</f>
        <v/>
      </c>
      <c r="DX8">
        <f>IF(TRUE,(1*p_y)+(D_p/2)*0.965926,NA())</f>
        <v/>
      </c>
      <c r="DZ8">
        <f>IF(inputs_ok,IF(TRUE,(-1*l_x/2)+(D_p/2)*0.258819,NA()),NA())</f>
        <v/>
      </c>
      <c r="EA8">
        <f>IF(TRUE,(1*p_y)+(D_p/2)*0.965926,NA())</f>
        <v/>
      </c>
      <c r="EC8">
        <f>IF(inputs_ok,IF(n_p=4,(1*l_x/2)+(D_p/2)*0.258819,NA()),NA())</f>
        <v/>
      </c>
      <c r="ED8">
        <f>IF(n_p=4,(-1*p_y)+(D_p/2)*0.965926,NA())</f>
        <v/>
      </c>
      <c r="EF8">
        <f>IF(inputs_ok,IF(n_p=4,(-1*l_x/2)+(D_p/2)*0.258819,NA()),NA())</f>
        <v/>
      </c>
      <c r="EG8">
        <f>IF(n_p=4,(-1*p_y)+(D_p/2)*0.965926,NA())</f>
        <v/>
      </c>
    </row>
    <row r="9">
      <c r="DW9">
        <f>IF(inputs_ok,IF(TRUE,(1*l_x/2)+(D_p/2)*0.000000,NA()),NA())</f>
        <v/>
      </c>
      <c r="DX9">
        <f>IF(TRUE,(1*p_y)+(D_p/2)*1.000000,NA())</f>
        <v/>
      </c>
      <c r="DZ9">
        <f>IF(inputs_ok,IF(TRUE,(-1*l_x/2)+(D_p/2)*0.000000,NA()),NA())</f>
        <v/>
      </c>
      <c r="EA9">
        <f>IF(TRUE,(1*p_y)+(D_p/2)*1.000000,NA())</f>
        <v/>
      </c>
      <c r="EC9">
        <f>IF(inputs_ok,IF(n_p=4,(1*l_x/2)+(D_p/2)*0.000000,NA()),NA())</f>
        <v/>
      </c>
      <c r="ED9">
        <f>IF(n_p=4,(-1*p_y)+(D_p/2)*1.000000,NA())</f>
        <v/>
      </c>
      <c r="EF9">
        <f>IF(inputs_ok,IF(n_p=4,(-1*l_x/2)+(D_p/2)*0.000000,NA()),NA())</f>
        <v/>
      </c>
      <c r="EG9">
        <f>IF(n_p=4,(-1*p_y)+(D_p/2)*1.000000,NA())</f>
        <v/>
      </c>
    </row>
    <row r="10">
      <c r="DW10">
        <f>IF(inputs_ok,IF(TRUE,(1*l_x/2)+(D_p/2)*-0.258819,NA()),NA())</f>
        <v/>
      </c>
      <c r="DX10">
        <f>IF(TRUE,(1*p_y)+(D_p/2)*0.965926,NA())</f>
        <v/>
      </c>
      <c r="DZ10">
        <f>IF(inputs_ok,IF(TRUE,(-1*l_x/2)+(D_p/2)*-0.258819,NA()),NA())</f>
        <v/>
      </c>
      <c r="EA10">
        <f>IF(TRUE,(1*p_y)+(D_p/2)*0.965926,NA())</f>
        <v/>
      </c>
      <c r="EC10">
        <f>IF(inputs_ok,IF(n_p=4,(1*l_x/2)+(D_p/2)*-0.258819,NA()),NA())</f>
        <v/>
      </c>
      <c r="ED10">
        <f>IF(n_p=4,(-1*p_y)+(D_p/2)*0.965926,NA())</f>
        <v/>
      </c>
      <c r="EF10">
        <f>IF(inputs_ok,IF(n_p=4,(-1*l_x/2)+(D_p/2)*-0.258819,NA()),NA())</f>
        <v/>
      </c>
      <c r="EG10">
        <f>IF(n_p=4,(-1*p_y)+(D_p/2)*0.965926,NA())</f>
        <v/>
      </c>
    </row>
    <row r="11">
      <c r="DW11">
        <f>IF(inputs_ok,IF(TRUE,(1*l_x/2)+(D_p/2)*-0.500000,NA()),NA())</f>
        <v/>
      </c>
      <c r="DX11">
        <f>IF(TRUE,(1*p_y)+(D_p/2)*0.866025,NA())</f>
        <v/>
      </c>
      <c r="DZ11">
        <f>IF(inputs_ok,IF(TRUE,(-1*l_x/2)+(D_p/2)*-0.500000,NA()),NA())</f>
        <v/>
      </c>
      <c r="EA11">
        <f>IF(TRUE,(1*p_y)+(D_p/2)*0.866025,NA())</f>
        <v/>
      </c>
      <c r="EC11">
        <f>IF(inputs_ok,IF(n_p=4,(1*l_x/2)+(D_p/2)*-0.500000,NA()),NA())</f>
        <v/>
      </c>
      <c r="ED11">
        <f>IF(n_p=4,(-1*p_y)+(D_p/2)*0.866025,NA())</f>
        <v/>
      </c>
      <c r="EF11">
        <f>IF(inputs_ok,IF(n_p=4,(-1*l_x/2)+(D_p/2)*-0.500000,NA()),NA())</f>
        <v/>
      </c>
      <c r="EG11">
        <f>IF(n_p=4,(-1*p_y)+(D_p/2)*0.866025,NA())</f>
        <v/>
      </c>
    </row>
    <row r="12">
      <c r="DW12">
        <f>IF(inputs_ok,IF(TRUE,(1*l_x/2)+(D_p/2)*-0.707107,NA()),NA())</f>
        <v/>
      </c>
      <c r="DX12">
        <f>IF(TRUE,(1*p_y)+(D_p/2)*0.707107,NA())</f>
        <v/>
      </c>
      <c r="DZ12">
        <f>IF(inputs_ok,IF(TRUE,(-1*l_x/2)+(D_p/2)*-0.707107,NA()),NA())</f>
        <v/>
      </c>
      <c r="EA12">
        <f>IF(TRUE,(1*p_y)+(D_p/2)*0.707107,NA())</f>
        <v/>
      </c>
      <c r="EC12">
        <f>IF(inputs_ok,IF(n_p=4,(1*l_x/2)+(D_p/2)*-0.707107,NA()),NA())</f>
        <v/>
      </c>
      <c r="ED12">
        <f>IF(n_p=4,(-1*p_y)+(D_p/2)*0.707107,NA())</f>
        <v/>
      </c>
      <c r="EF12">
        <f>IF(inputs_ok,IF(n_p=4,(-1*l_x/2)+(D_p/2)*-0.707107,NA()),NA())</f>
        <v/>
      </c>
      <c r="EG12">
        <f>IF(n_p=4,(-1*p_y)+(D_p/2)*0.707107,NA())</f>
        <v/>
      </c>
    </row>
    <row r="13">
      <c r="DW13">
        <f>IF(inputs_ok,IF(TRUE,(1*l_x/2)+(D_p/2)*-0.866025,NA()),NA())</f>
        <v/>
      </c>
      <c r="DX13">
        <f>IF(TRUE,(1*p_y)+(D_p/2)*0.500000,NA())</f>
        <v/>
      </c>
      <c r="DZ13">
        <f>IF(inputs_ok,IF(TRUE,(-1*l_x/2)+(D_p/2)*-0.866025,NA()),NA())</f>
        <v/>
      </c>
      <c r="EA13">
        <f>IF(TRUE,(1*p_y)+(D_p/2)*0.500000,NA())</f>
        <v/>
      </c>
      <c r="EC13">
        <f>IF(inputs_ok,IF(n_p=4,(1*l_x/2)+(D_p/2)*-0.866025,NA()),NA())</f>
        <v/>
      </c>
      <c r="ED13">
        <f>IF(n_p=4,(-1*p_y)+(D_p/2)*0.500000,NA())</f>
        <v/>
      </c>
      <c r="EF13">
        <f>IF(inputs_ok,IF(n_p=4,(-1*l_x/2)+(D_p/2)*-0.866025,NA()),NA())</f>
        <v/>
      </c>
      <c r="EG13">
        <f>IF(n_p=4,(-1*p_y)+(D_p/2)*0.500000,NA())</f>
        <v/>
      </c>
    </row>
    <row r="14">
      <c r="DW14">
        <f>IF(inputs_ok,IF(TRUE,(1*l_x/2)+(D_p/2)*-0.965926,NA()),NA())</f>
        <v/>
      </c>
      <c r="DX14">
        <f>IF(TRUE,(1*p_y)+(D_p/2)*0.258819,NA())</f>
        <v/>
      </c>
      <c r="DZ14">
        <f>IF(inputs_ok,IF(TRUE,(-1*l_x/2)+(D_p/2)*-0.965926,NA()),NA())</f>
        <v/>
      </c>
      <c r="EA14">
        <f>IF(TRUE,(1*p_y)+(D_p/2)*0.258819,NA())</f>
        <v/>
      </c>
      <c r="EC14">
        <f>IF(inputs_ok,IF(n_p=4,(1*l_x/2)+(D_p/2)*-0.965926,NA()),NA())</f>
        <v/>
      </c>
      <c r="ED14">
        <f>IF(n_p=4,(-1*p_y)+(D_p/2)*0.258819,NA())</f>
        <v/>
      </c>
      <c r="EF14">
        <f>IF(inputs_ok,IF(n_p=4,(-1*l_x/2)+(D_p/2)*-0.965926,NA()),NA())</f>
        <v/>
      </c>
      <c r="EG14">
        <f>IF(n_p=4,(-1*p_y)+(D_p/2)*0.258819,NA())</f>
        <v/>
      </c>
    </row>
    <row r="15">
      <c r="DW15">
        <f>IF(inputs_ok,IF(TRUE,(1*l_x/2)+(D_p/2)*-1.000000,NA()),NA())</f>
        <v/>
      </c>
      <c r="DX15">
        <f>IF(TRUE,(1*p_y)+(D_p/2)*0.000000,NA())</f>
        <v/>
      </c>
      <c r="DZ15">
        <f>IF(inputs_ok,IF(TRUE,(-1*l_x/2)+(D_p/2)*-1.000000,NA()),NA())</f>
        <v/>
      </c>
      <c r="EA15">
        <f>IF(TRUE,(1*p_y)+(D_p/2)*0.000000,NA())</f>
        <v/>
      </c>
      <c r="EC15">
        <f>IF(inputs_ok,IF(n_p=4,(1*l_x/2)+(D_p/2)*-1.000000,NA()),NA())</f>
        <v/>
      </c>
      <c r="ED15">
        <f>IF(n_p=4,(-1*p_y)+(D_p/2)*0.000000,NA())</f>
        <v/>
      </c>
      <c r="EF15">
        <f>IF(inputs_ok,IF(n_p=4,(-1*l_x/2)+(D_p/2)*-1.000000,NA()),NA())</f>
        <v/>
      </c>
      <c r="EG15">
        <f>IF(n_p=4,(-1*p_y)+(D_p/2)*0.000000,NA())</f>
        <v/>
      </c>
    </row>
    <row r="16">
      <c r="DW16">
        <f>IF(inputs_ok,IF(TRUE,(1*l_x/2)+(D_p/2)*-0.965926,NA()),NA())</f>
        <v/>
      </c>
      <c r="DX16">
        <f>IF(TRUE,(1*p_y)+(D_p/2)*-0.258819,NA())</f>
        <v/>
      </c>
      <c r="DZ16">
        <f>IF(inputs_ok,IF(TRUE,(-1*l_x/2)+(D_p/2)*-0.965926,NA()),NA())</f>
        <v/>
      </c>
      <c r="EA16">
        <f>IF(TRUE,(1*p_y)+(D_p/2)*-0.258819,NA())</f>
        <v/>
      </c>
      <c r="EC16">
        <f>IF(inputs_ok,IF(n_p=4,(1*l_x/2)+(D_p/2)*-0.965926,NA()),NA())</f>
        <v/>
      </c>
      <c r="ED16">
        <f>IF(n_p=4,(-1*p_y)+(D_p/2)*-0.258819,NA())</f>
        <v/>
      </c>
      <c r="EF16">
        <f>IF(inputs_ok,IF(n_p=4,(-1*l_x/2)+(D_p/2)*-0.965926,NA()),NA())</f>
        <v/>
      </c>
      <c r="EG16">
        <f>IF(n_p=4,(-1*p_y)+(D_p/2)*-0.258819,NA())</f>
        <v/>
      </c>
    </row>
    <row r="17">
      <c r="DW17">
        <f>IF(inputs_ok,IF(TRUE,(1*l_x/2)+(D_p/2)*-0.866025,NA()),NA())</f>
        <v/>
      </c>
      <c r="DX17">
        <f>IF(TRUE,(1*p_y)+(D_p/2)*-0.500000,NA())</f>
        <v/>
      </c>
      <c r="DZ17">
        <f>IF(inputs_ok,IF(TRUE,(-1*l_x/2)+(D_p/2)*-0.866025,NA()),NA())</f>
        <v/>
      </c>
      <c r="EA17">
        <f>IF(TRUE,(1*p_y)+(D_p/2)*-0.500000,NA())</f>
        <v/>
      </c>
      <c r="EC17">
        <f>IF(inputs_ok,IF(n_p=4,(1*l_x/2)+(D_p/2)*-0.866025,NA()),NA())</f>
        <v/>
      </c>
      <c r="ED17">
        <f>IF(n_p=4,(-1*p_y)+(D_p/2)*-0.500000,NA())</f>
        <v/>
      </c>
      <c r="EF17">
        <f>IF(inputs_ok,IF(n_p=4,(-1*l_x/2)+(D_p/2)*-0.866025,NA()),NA())</f>
        <v/>
      </c>
      <c r="EG17">
        <f>IF(n_p=4,(-1*p_y)+(D_p/2)*-0.500000,NA())</f>
        <v/>
      </c>
    </row>
    <row r="18">
      <c r="DW18">
        <f>IF(inputs_ok,IF(TRUE,(1*l_x/2)+(D_p/2)*-0.707107,NA()),NA())</f>
        <v/>
      </c>
      <c r="DX18">
        <f>IF(TRUE,(1*p_y)+(D_p/2)*-0.707107,NA())</f>
        <v/>
      </c>
      <c r="DZ18">
        <f>IF(inputs_ok,IF(TRUE,(-1*l_x/2)+(D_p/2)*-0.707107,NA()),NA())</f>
        <v/>
      </c>
      <c r="EA18">
        <f>IF(TRUE,(1*p_y)+(D_p/2)*-0.707107,NA())</f>
        <v/>
      </c>
      <c r="EC18">
        <f>IF(inputs_ok,IF(n_p=4,(1*l_x/2)+(D_p/2)*-0.707107,NA()),NA())</f>
        <v/>
      </c>
      <c r="ED18">
        <f>IF(n_p=4,(-1*p_y)+(D_p/2)*-0.707107,NA())</f>
        <v/>
      </c>
      <c r="EF18">
        <f>IF(inputs_ok,IF(n_p=4,(-1*l_x/2)+(D_p/2)*-0.707107,NA()),NA())</f>
        <v/>
      </c>
      <c r="EG18">
        <f>IF(n_p=4,(-1*p_y)+(D_p/2)*-0.707107,NA())</f>
        <v/>
      </c>
    </row>
    <row r="19">
      <c r="DW19">
        <f>IF(inputs_ok,IF(TRUE,(1*l_x/2)+(D_p/2)*-0.500000,NA()),NA())</f>
        <v/>
      </c>
      <c r="DX19">
        <f>IF(TRUE,(1*p_y)+(D_p/2)*-0.866025,NA())</f>
        <v/>
      </c>
      <c r="DZ19">
        <f>IF(inputs_ok,IF(TRUE,(-1*l_x/2)+(D_p/2)*-0.500000,NA()),NA())</f>
        <v/>
      </c>
      <c r="EA19">
        <f>IF(TRUE,(1*p_y)+(D_p/2)*-0.866025,NA())</f>
        <v/>
      </c>
      <c r="EC19">
        <f>IF(inputs_ok,IF(n_p=4,(1*l_x/2)+(D_p/2)*-0.500000,NA()),NA())</f>
        <v/>
      </c>
      <c r="ED19">
        <f>IF(n_p=4,(-1*p_y)+(D_p/2)*-0.866025,NA())</f>
        <v/>
      </c>
      <c r="EF19">
        <f>IF(inputs_ok,IF(n_p=4,(-1*l_x/2)+(D_p/2)*-0.500000,NA()),NA())</f>
        <v/>
      </c>
      <c r="EG19">
        <f>IF(n_p=4,(-1*p_y)+(D_p/2)*-0.866025,NA())</f>
        <v/>
      </c>
    </row>
    <row r="20">
      <c r="DW20">
        <f>IF(inputs_ok,IF(TRUE,(1*l_x/2)+(D_p/2)*-0.258819,NA()),NA())</f>
        <v/>
      </c>
      <c r="DX20">
        <f>IF(TRUE,(1*p_y)+(D_p/2)*-0.965926,NA())</f>
        <v/>
      </c>
      <c r="DZ20">
        <f>IF(inputs_ok,IF(TRUE,(-1*l_x/2)+(D_p/2)*-0.258819,NA()),NA())</f>
        <v/>
      </c>
      <c r="EA20">
        <f>IF(TRUE,(1*p_y)+(D_p/2)*-0.965926,NA())</f>
        <v/>
      </c>
      <c r="EC20">
        <f>IF(inputs_ok,IF(n_p=4,(1*l_x/2)+(D_p/2)*-0.258819,NA()),NA())</f>
        <v/>
      </c>
      <c r="ED20">
        <f>IF(n_p=4,(-1*p_y)+(D_p/2)*-0.965926,NA())</f>
        <v/>
      </c>
      <c r="EF20">
        <f>IF(inputs_ok,IF(n_p=4,(-1*l_x/2)+(D_p/2)*-0.258819,NA()),NA())</f>
        <v/>
      </c>
      <c r="EG20">
        <f>IF(n_p=4,(-1*p_y)+(D_p/2)*-0.965926,NA())</f>
        <v/>
      </c>
    </row>
    <row r="21">
      <c r="DW21">
        <f>IF(inputs_ok,IF(TRUE,(1*l_x/2)+(D_p/2)*-0.000000,NA()),NA())</f>
        <v/>
      </c>
      <c r="DX21">
        <f>IF(TRUE,(1*p_y)+(D_p/2)*-1.000000,NA())</f>
        <v/>
      </c>
      <c r="DZ21">
        <f>IF(inputs_ok,IF(TRUE,(-1*l_x/2)+(D_p/2)*-0.000000,NA()),NA())</f>
        <v/>
      </c>
      <c r="EA21">
        <f>IF(TRUE,(1*p_y)+(D_p/2)*-1.000000,NA())</f>
        <v/>
      </c>
      <c r="EC21">
        <f>IF(inputs_ok,IF(n_p=4,(1*l_x/2)+(D_p/2)*-0.000000,NA()),NA())</f>
        <v/>
      </c>
      <c r="ED21">
        <f>IF(n_p=4,(-1*p_y)+(D_p/2)*-1.000000,NA())</f>
        <v/>
      </c>
      <c r="EF21">
        <f>IF(inputs_ok,IF(n_p=4,(-1*l_x/2)+(D_p/2)*-0.000000,NA()),NA())</f>
        <v/>
      </c>
      <c r="EG21">
        <f>IF(n_p=4,(-1*p_y)+(D_p/2)*-1.000000,NA())</f>
        <v/>
      </c>
    </row>
    <row r="22">
      <c r="DW22">
        <f>IF(inputs_ok,IF(TRUE,(1*l_x/2)+(D_p/2)*0.258819,NA()),NA())</f>
        <v/>
      </c>
      <c r="DX22">
        <f>IF(TRUE,(1*p_y)+(D_p/2)*-0.965926,NA())</f>
        <v/>
      </c>
      <c r="DZ22">
        <f>IF(inputs_ok,IF(TRUE,(-1*l_x/2)+(D_p/2)*0.258819,NA()),NA())</f>
        <v/>
      </c>
      <c r="EA22">
        <f>IF(TRUE,(1*p_y)+(D_p/2)*-0.965926,NA())</f>
        <v/>
      </c>
      <c r="EC22">
        <f>IF(inputs_ok,IF(n_p=4,(1*l_x/2)+(D_p/2)*0.258819,NA()),NA())</f>
        <v/>
      </c>
      <c r="ED22">
        <f>IF(n_p=4,(-1*p_y)+(D_p/2)*-0.965926,NA())</f>
        <v/>
      </c>
      <c r="EF22">
        <f>IF(inputs_ok,IF(n_p=4,(-1*l_x/2)+(D_p/2)*0.258819,NA()),NA())</f>
        <v/>
      </c>
      <c r="EG22">
        <f>IF(n_p=4,(-1*p_y)+(D_p/2)*-0.965926,NA())</f>
        <v/>
      </c>
    </row>
    <row r="23">
      <c r="DW23">
        <f>IF(inputs_ok,IF(TRUE,(1*l_x/2)+(D_p/2)*0.500000,NA()),NA())</f>
        <v/>
      </c>
      <c r="DX23">
        <f>IF(TRUE,(1*p_y)+(D_p/2)*-0.866025,NA())</f>
        <v/>
      </c>
      <c r="DZ23">
        <f>IF(inputs_ok,IF(TRUE,(-1*l_x/2)+(D_p/2)*0.500000,NA()),NA())</f>
        <v/>
      </c>
      <c r="EA23">
        <f>IF(TRUE,(1*p_y)+(D_p/2)*-0.866025,NA())</f>
        <v/>
      </c>
      <c r="EC23">
        <f>IF(inputs_ok,IF(n_p=4,(1*l_x/2)+(D_p/2)*0.500000,NA()),NA())</f>
        <v/>
      </c>
      <c r="ED23">
        <f>IF(n_p=4,(-1*p_y)+(D_p/2)*-0.866025,NA())</f>
        <v/>
      </c>
      <c r="EF23">
        <f>IF(inputs_ok,IF(n_p=4,(-1*l_x/2)+(D_p/2)*0.500000,NA()),NA())</f>
        <v/>
      </c>
      <c r="EG23">
        <f>IF(n_p=4,(-1*p_y)+(D_p/2)*-0.866025,NA())</f>
        <v/>
      </c>
    </row>
    <row r="24">
      <c r="DW24">
        <f>IF(inputs_ok,IF(TRUE,(1*l_x/2)+(D_p/2)*0.707107,NA()),NA())</f>
        <v/>
      </c>
      <c r="DX24">
        <f>IF(TRUE,(1*p_y)+(D_p/2)*-0.707107,NA())</f>
        <v/>
      </c>
      <c r="DZ24">
        <f>IF(inputs_ok,IF(TRUE,(-1*l_x/2)+(D_p/2)*0.707107,NA()),NA())</f>
        <v/>
      </c>
      <c r="EA24">
        <f>IF(TRUE,(1*p_y)+(D_p/2)*-0.707107,NA())</f>
        <v/>
      </c>
      <c r="EC24">
        <f>IF(inputs_ok,IF(n_p=4,(1*l_x/2)+(D_p/2)*0.707107,NA()),NA())</f>
        <v/>
      </c>
      <c r="ED24">
        <f>IF(n_p=4,(-1*p_y)+(D_p/2)*-0.707107,NA())</f>
        <v/>
      </c>
      <c r="EF24">
        <f>IF(inputs_ok,IF(n_p=4,(-1*l_x/2)+(D_p/2)*0.707107,NA()),NA())</f>
        <v/>
      </c>
      <c r="EG24">
        <f>IF(n_p=4,(-1*p_y)+(D_p/2)*-0.707107,NA())</f>
        <v/>
      </c>
    </row>
    <row r="25">
      <c r="DW25">
        <f>IF(inputs_ok,IF(TRUE,(1*l_x/2)+(D_p/2)*0.866025,NA()),NA())</f>
        <v/>
      </c>
      <c r="DX25">
        <f>IF(TRUE,(1*p_y)+(D_p/2)*-0.500000,NA())</f>
        <v/>
      </c>
      <c r="DZ25">
        <f>IF(inputs_ok,IF(TRUE,(-1*l_x/2)+(D_p/2)*0.866025,NA()),NA())</f>
        <v/>
      </c>
      <c r="EA25">
        <f>IF(TRUE,(1*p_y)+(D_p/2)*-0.500000,NA())</f>
        <v/>
      </c>
      <c r="EC25">
        <f>IF(inputs_ok,IF(n_p=4,(1*l_x/2)+(D_p/2)*0.866025,NA()),NA())</f>
        <v/>
      </c>
      <c r="ED25">
        <f>IF(n_p=4,(-1*p_y)+(D_p/2)*-0.500000,NA())</f>
        <v/>
      </c>
      <c r="EF25">
        <f>IF(inputs_ok,IF(n_p=4,(-1*l_x/2)+(D_p/2)*0.866025,NA()),NA())</f>
        <v/>
      </c>
      <c r="EG25">
        <f>IF(n_p=4,(-1*p_y)+(D_p/2)*-0.500000,NA())</f>
        <v/>
      </c>
    </row>
    <row r="26">
      <c r="DW26">
        <f>IF(inputs_ok,IF(TRUE,(1*l_x/2)+(D_p/2)*0.965926,NA()),NA())</f>
        <v/>
      </c>
      <c r="DX26">
        <f>IF(TRUE,(1*p_y)+(D_p/2)*-0.258819,NA())</f>
        <v/>
      </c>
      <c r="DZ26">
        <f>IF(inputs_ok,IF(TRUE,(-1*l_x/2)+(D_p/2)*0.965926,NA()),NA())</f>
        <v/>
      </c>
      <c r="EA26">
        <f>IF(TRUE,(1*p_y)+(D_p/2)*-0.258819,NA())</f>
        <v/>
      </c>
      <c r="EC26">
        <f>IF(inputs_ok,IF(n_p=4,(1*l_x/2)+(D_p/2)*0.965926,NA()),NA())</f>
        <v/>
      </c>
      <c r="ED26">
        <f>IF(n_p=4,(-1*p_y)+(D_p/2)*-0.258819,NA())</f>
        <v/>
      </c>
      <c r="EF26">
        <f>IF(inputs_ok,IF(n_p=4,(-1*l_x/2)+(D_p/2)*0.965926,NA()),NA())</f>
        <v/>
      </c>
      <c r="EG26">
        <f>IF(n_p=4,(-1*p_y)+(D_p/2)*-0.258819,NA())</f>
        <v/>
      </c>
    </row>
    <row r="27">
      <c r="DW27">
        <f>IF(inputs_ok,IF(TRUE,(1*l_x/2)+(D_p/2)*1.000000,NA()),NA())</f>
        <v/>
      </c>
      <c r="DX27">
        <f>IF(TRUE,(1*p_y)+(D_p/2)*-0.000000,NA())</f>
        <v/>
      </c>
      <c r="DZ27">
        <f>IF(inputs_ok,IF(TRUE,(-1*l_x/2)+(D_p/2)*1.000000,NA()),NA())</f>
        <v/>
      </c>
      <c r="EA27">
        <f>IF(TRUE,(1*p_y)+(D_p/2)*-0.000000,NA())</f>
        <v/>
      </c>
      <c r="EC27">
        <f>IF(inputs_ok,IF(n_p=4,(1*l_x/2)+(D_p/2)*1.000000,NA()),NA())</f>
        <v/>
      </c>
      <c r="ED27">
        <f>IF(n_p=4,(-1*p_y)+(D_p/2)*-0.000000,NA())</f>
        <v/>
      </c>
      <c r="EF27">
        <f>IF(inputs_ok,IF(n_p=4,(-1*l_x/2)+(D_p/2)*1.000000,NA()),NA())</f>
        <v/>
      </c>
      <c r="EG27">
        <f>IF(n_p=4,(-1*p_y)+(D_p/2)*-0.000000,NA())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8"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9" t="inlineStr">
        <is>
          <t>Parameter</t>
        </is>
      </c>
      <c r="C5" s="49" t="inlineStr">
        <is>
          <t>Clause</t>
        </is>
      </c>
      <c r="D5" s="49" t="inlineStr">
        <is>
          <t>UK NA</t>
        </is>
      </c>
      <c r="E5" s="49" t="inlineStr">
        <is>
          <t>PL NA</t>
        </is>
      </c>
      <c r="F5" s="49" t="inlineStr">
        <is>
          <t>Notes</t>
        </is>
      </c>
    </row>
    <row r="6">
      <c r="B6" s="50" t="inlineStr">
        <is>
          <t>Partial factor, concrete  γc</t>
        </is>
      </c>
      <c r="C6" s="51" t="inlineStr">
        <is>
          <t>2.4.2.4(1)</t>
        </is>
      </c>
      <c r="D6" s="52" t="n">
        <v>1.5</v>
      </c>
      <c r="E6" s="52" t="n">
        <v>1.4</v>
      </c>
      <c r="F6" s="51" t="inlineStr">
        <is>
          <t>Persistent &amp; transient. UK NA: recommended; PL: NA.2, Table NA.2</t>
        </is>
      </c>
    </row>
    <row r="7">
      <c r="B7" s="50" t="inlineStr">
        <is>
          <t>Partial factor, reinforcement  γs</t>
        </is>
      </c>
      <c r="C7" s="51" t="inlineStr">
        <is>
          <t>2.4.2.4(1)</t>
        </is>
      </c>
      <c r="D7" s="52" t="n">
        <v>1.15</v>
      </c>
      <c r="E7" s="52" t="n">
        <v>1.15</v>
      </c>
      <c r="F7" s="51" t="inlineStr">
        <is>
          <t>UK NA: recommended; PL: NA.2, Table NA.2</t>
        </is>
      </c>
    </row>
    <row r="8">
      <c r="B8" s="50" t="inlineStr">
        <is>
          <t>αcc  (compression in flexure / axial)</t>
        </is>
      </c>
      <c r="C8" s="51" t="inlineStr">
        <is>
          <t>3.1.6(1)</t>
        </is>
      </c>
      <c r="D8" s="52" t="n">
        <v>0.85</v>
      </c>
      <c r="E8" s="52" t="n">
        <v>1</v>
      </c>
      <c r="F8" s="51" t="inlineStr">
        <is>
          <t>UK NA: 0.85; PL: recommended (NA.9)</t>
        </is>
      </c>
    </row>
    <row r="9">
      <c r="B9" s="50" t="inlineStr">
        <is>
          <t>αcc,pl  (plain concrete, compression)</t>
        </is>
      </c>
      <c r="C9" s="51" t="inlineStr">
        <is>
          <t>12.3.1(1)</t>
        </is>
      </c>
      <c r="D9" s="52" t="n">
        <v>0.6</v>
      </c>
      <c r="E9" s="52" t="n">
        <v>0.8</v>
      </c>
      <c r="F9" s="51" t="inlineStr">
        <is>
          <t>UK NA Table NA.1: 0.6; PL: recommended (NA.9)</t>
        </is>
      </c>
    </row>
    <row r="10">
      <c r="B10" s="50" t="inlineStr">
        <is>
          <t>αcc  (shear and punching)</t>
        </is>
      </c>
      <c r="C10" s="51" t="inlineStr">
        <is>
          <t>3.1.6(1)</t>
        </is>
      </c>
      <c r="D10" s="52" t="n">
        <v>1</v>
      </c>
      <c r="E10" s="52" t="n">
        <v>1</v>
      </c>
      <c r="F10" s="51" t="inlineStr">
        <is>
          <t>UK NA: 1.0 for other phenomena; PL: recommended (NA.9)</t>
        </is>
      </c>
    </row>
    <row r="11">
      <c r="B11" s="50" t="inlineStr">
        <is>
          <t>αct  (design tensile strength)</t>
        </is>
      </c>
      <c r="C11" s="51" t="inlineStr">
        <is>
          <t>3.1.6(2)</t>
        </is>
      </c>
      <c r="D11" s="52" t="n">
        <v>1</v>
      </c>
      <c r="E11" s="52" t="n">
        <v>1</v>
      </c>
      <c r="F11" s="51" t="inlineStr">
        <is>
          <t>Recommended value in both annexes</t>
        </is>
      </c>
    </row>
    <row r="12">
      <c r="B12" s="50" t="inlineStr">
        <is>
          <t>CRd,c numerator  (CRd,c = value / γc)</t>
        </is>
      </c>
      <c r="C12" s="51" t="inlineStr">
        <is>
          <t>6.2.2(1), 6.4.4(1)</t>
        </is>
      </c>
      <c r="D12" s="52" t="n">
        <v>0.18</v>
      </c>
      <c r="E12" s="52" t="n">
        <v>0.18</v>
      </c>
      <c r="F12" s="51" t="inlineStr">
        <is>
          <t>Recommended value in both annexes</t>
        </is>
      </c>
    </row>
    <row r="13">
      <c r="B13" s="50" t="inlineStr">
        <is>
          <t>k1  (axial stress term, punching)</t>
        </is>
      </c>
      <c r="C13" s="51" t="inlineStr">
        <is>
          <t>6.4.4(1)</t>
        </is>
      </c>
      <c r="D13" s="52" t="n">
        <v>0.1</v>
      </c>
      <c r="E13" s="52" t="n">
        <v>0.1</v>
      </c>
      <c r="F13" s="51" t="inlineStr">
        <is>
          <t>Recommended value in both annexes</t>
        </is>
      </c>
    </row>
    <row r="14">
      <c r="B14" s="50" t="inlineStr">
        <is>
          <t>vRd,max factor  (vRd,max = factor · ν · fcd)</t>
        </is>
      </c>
      <c r="C14" s="51" t="inlineStr">
        <is>
          <t>6.4.5(3)</t>
        </is>
      </c>
      <c r="D14" s="52" t="n">
        <v>0.5</v>
      </c>
      <c r="E14" s="52" t="n">
        <v>0.4</v>
      </c>
      <c r="F14" s="51" t="inlineStr">
        <is>
          <t>UK NA: 0.5 ν fcd; PL: recommended value (NA.9), 0.4 ν fcd since EN 1992-1-1 AC:2010 (PN-EN 1992-1-1:2008/AC:2011)</t>
        </is>
      </c>
    </row>
    <row r="15">
      <c r="B15" s="50" t="inlineStr">
        <is>
          <t>kmax  (vEd ≤ kmax · vRd,c at u1)</t>
        </is>
      </c>
      <c r="C15" s="51" t="inlineStr">
        <is>
          <t>6.4.5</t>
        </is>
      </c>
      <c r="D15" s="52" t="n">
        <v>2</v>
      </c>
      <c r="E15" s="52" t="n">
        <v>1.5</v>
      </c>
      <c r="F15" s="51" t="inlineStr">
        <is>
          <t>UK NA 6.4.5(3): 2 vRd,c. PL: no limit in PN-EN 1992-1-1:2008; 1.5 (A1:2014 recommendation) applied conservatively</t>
        </is>
      </c>
    </row>
    <row r="16">
      <c r="B16" s="50" t="inlineStr">
        <is>
          <t>φlarge  (large bar threshold, mm)</t>
        </is>
      </c>
      <c r="C16" s="51" t="inlineStr">
        <is>
          <t>8.8(1)</t>
        </is>
      </c>
      <c r="D16" s="52" t="n">
        <v>40</v>
      </c>
      <c r="E16" s="52" t="n">
        <v>32</v>
      </c>
      <c r="F16" s="51" t="inlineStr">
        <is>
          <t>UK NA: 40 mm; PL: 32 mm recommended (NA.9)</t>
        </is>
      </c>
    </row>
    <row r="17">
      <c r="B17" s="50" t="inlineStr">
        <is>
          <t>cot θ upper limit  (variable strut)</t>
        </is>
      </c>
      <c r="C17" s="51" t="inlineStr">
        <is>
          <t>6.2.3(2)</t>
        </is>
      </c>
      <c r="D17" s="52" t="n">
        <v>2.5</v>
      </c>
      <c r="E17" s="52" t="n">
        <v>2</v>
      </c>
      <c r="F17" s="51" t="inlineStr">
        <is>
          <t>UK NA: 2.5 (1.25 with axial tension); PL: NA.4, 1 ≤ cot θ ≤ 2.0</t>
        </is>
      </c>
    </row>
    <row r="18">
      <c r="B18" s="50" t="inlineStr">
        <is>
          <t>k1  (x/d limit, δ ≥ k1 + k2 xu/d)</t>
        </is>
      </c>
      <c r="C18" s="51" t="inlineStr">
        <is>
          <t>5.5(4)</t>
        </is>
      </c>
      <c r="D18" s="52" t="n">
        <v>0.4</v>
      </c>
      <c r="E18" s="52" t="n">
        <v>0.44</v>
      </c>
      <c r="F18" s="51" t="inlineStr">
        <is>
          <t>UK NA for fyk ≤ 500 MPa; PL: recommended (NA.9)</t>
        </is>
      </c>
    </row>
    <row r="19">
      <c r="B19" s="50" t="inlineStr">
        <is>
          <t>k2  (x/d limit, εcu2 = 0.0035)</t>
        </is>
      </c>
      <c r="C19" s="51" t="inlineStr">
        <is>
          <t>5.5(4)</t>
        </is>
      </c>
      <c r="D19" s="52" t="n">
        <v>1</v>
      </c>
      <c r="E19" s="52" t="n">
        <v>1.25</v>
      </c>
      <c r="F19" s="51" t="inlineStr">
        <is>
          <t>UK NA: 0.6 + 0.0014/εcu2; PL: 1.25(0.6 + 0.0014/εcu2)</t>
        </is>
      </c>
    </row>
    <row r="20">
      <c r="B20" s="50" t="inlineStr">
        <is>
          <t>Upper limit on the (310/σs) factor  (0 = none)</t>
        </is>
      </c>
      <c r="C20" s="51" t="inlineStr">
        <is>
          <t>7.4.2(2)</t>
        </is>
      </c>
      <c r="D20" s="52" t="n">
        <v>1.5</v>
      </c>
      <c r="E20" s="52" t="n">
        <v>0</v>
      </c>
      <c r="F20" s="51" t="inlineStr">
        <is>
          <t>UK NA Table NA.5 Note 5: (310/σs) or (500/fyk)(As,prov/As,req) ≤ 1.5; PL: none</t>
        </is>
      </c>
    </row>
    <row r="21">
      <c r="B21" s="50" t="inlineStr">
        <is>
          <t>L/d not to exceed 40 K  (1 = applies)</t>
        </is>
      </c>
      <c r="C21" s="51" t="inlineStr">
        <is>
          <t>7.4.2(2)</t>
        </is>
      </c>
      <c r="D21" s="52" t="n">
        <v>1</v>
      </c>
      <c r="E21" s="52" t="n">
        <v>0</v>
      </c>
      <c r="F21" s="51" t="inlineStr">
        <is>
          <t>UK NA Table NA.5 Note 6; not in EN text</t>
        </is>
      </c>
    </row>
    <row r="22">
      <c r="B22" s="50" t="inlineStr">
        <is>
          <t>φmin  (longitudinal bars in columns, mm)</t>
        </is>
      </c>
      <c r="C22" s="51" t="inlineStr">
        <is>
          <t>9.5.2(1)</t>
        </is>
      </c>
      <c r="D22" s="52" t="n">
        <v>12</v>
      </c>
      <c r="E22" s="52" t="n">
        <v>6</v>
      </c>
      <c r="F22" s="51" t="inlineStr">
        <is>
          <t>UK NA: 12 mm; PL: NA.6, 6 mm</t>
        </is>
      </c>
    </row>
    <row r="23">
      <c r="B23" s="50" t="inlineStr">
        <is>
          <t>k3  (crack spacing)</t>
        </is>
      </c>
      <c r="C23" s="51" t="inlineStr">
        <is>
          <t>7.3.4(3)</t>
        </is>
      </c>
      <c r="D23" s="52" t="n">
        <v>3.4</v>
      </c>
      <c r="E23" s="52" t="n">
        <v>3.4</v>
      </c>
      <c r="F23" s="51" t="inlineStr">
        <is>
          <t>Recommended value in both annexes</t>
        </is>
      </c>
    </row>
    <row r="24">
      <c r="B24" s="50" t="inlineStr">
        <is>
          <t>k4  (crack spacing)</t>
        </is>
      </c>
      <c r="C24" s="51" t="inlineStr">
        <is>
          <t>7.3.4(3)</t>
        </is>
      </c>
      <c r="D24" s="52" t="n">
        <v>0.425</v>
      </c>
      <c r="E24" s="52" t="n">
        <v>0.425</v>
      </c>
      <c r="F24" s="51" t="inlineStr">
        <is>
          <t>Recommended value in both annexes</t>
        </is>
      </c>
    </row>
    <row r="25">
      <c r="B25" s="50" t="inlineStr">
        <is>
          <t>k1  (concrete stress, characteristic; XD, XF, XS)</t>
        </is>
      </c>
      <c r="C25" s="51" t="inlineStr">
        <is>
          <t>7.2(2)</t>
        </is>
      </c>
      <c r="D25" s="52" t="n">
        <v>0.6</v>
      </c>
      <c r="E25" s="52" t="n">
        <v>1</v>
      </c>
      <c r="F25" s="51" t="inlineStr">
        <is>
          <t>UK NA: recommended; PL: NA.5, k1 = 1.0</t>
        </is>
      </c>
    </row>
    <row r="26">
      <c r="B26" s="50" t="inlineStr">
        <is>
          <t>k2  (concrete stress, quasi-permanent; linear creep)</t>
        </is>
      </c>
      <c r="C26" s="51" t="inlineStr">
        <is>
          <t>7.2(3)</t>
        </is>
      </c>
      <c r="D26" s="52" t="n">
        <v>0.45</v>
      </c>
      <c r="E26" s="52" t="n">
        <v>0.45</v>
      </c>
      <c r="F26" s="51" t="inlineStr">
        <is>
          <t>Recommended value in both annexes (UK NA; PL NA.9)</t>
        </is>
      </c>
    </row>
    <row r="27">
      <c r="B27" s="50" t="inlineStr">
        <is>
          <t>k3  (steel stress, characteristic)</t>
        </is>
      </c>
      <c r="C27" s="51" t="inlineStr">
        <is>
          <t>7.2(5)</t>
        </is>
      </c>
      <c r="D27" s="52" t="n">
        <v>0.8</v>
      </c>
      <c r="E27" s="52" t="n">
        <v>0.8</v>
      </c>
      <c r="F27" s="51" t="inlineStr">
        <is>
          <t>Recommended value in both annexes (UK NA; PL NA.9)</t>
        </is>
      </c>
    </row>
    <row r="28">
      <c r="B28" s="50" t="inlineStr">
        <is>
          <t>k4  (steel stress, imposed deformation)</t>
        </is>
      </c>
      <c r="C28" s="51" t="inlineStr">
        <is>
          <t>7.2(5)</t>
        </is>
      </c>
      <c r="D28" s="52" t="n">
        <v>1</v>
      </c>
      <c r="E28" s="52" t="n">
        <v>1</v>
      </c>
      <c r="F28" s="51"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&amp;K8A8A8ANAE-RC-007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NAE-RC-007 Pile cap</dc:title>
  <dc:subject xmlns:dc="http://purl.org/dc/elements/1.1/">Reinforced concrete foundations  ·  truss model, EN 1992-1-1 §6.2, §6.5, §9.8.1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