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L_f">'Calculation'!$E$14</definedName>
    <definedName name="B_f">'Calculation'!$E$15</definedName>
    <definedName name="h_f">'Calculation'!$E$16</definedName>
    <definedName name="c_x">'Calculation'!$E$17</definedName>
    <definedName name="c_y">'Calculation'!$E$18</definedName>
    <definedName name="o_x">'Calculation'!$E$19</definedName>
    <definedName name="c_nom">'Calculation'!$E$20</definedName>
    <definedName name="d_g">'Calculation'!$E$21</definedName>
    <definedName name="phi_x">'Calculation'!$E$22</definedName>
    <definedName name="s_x">'Calculation'!$E$23</definedName>
    <definedName name="phi_y">'Calculation'!$E$24</definedName>
    <definedName name="s_y">'Calculation'!$E$25</definedName>
    <definedName name="G_k">'Calculation'!$E$49</definedName>
    <definedName name="Q_k">'Calculation'!$E$50</definedName>
    <definedName name="M_Gk">'Calculation'!$E$51</definedName>
    <definedName name="M_Qk">'Calculation'!$E$52</definedName>
    <definedName name="gamma_G">'Calculation'!$E$53</definedName>
    <definedName name="gamma_Q">'Calculation'!$E$54</definedName>
    <definedName name="D_s">'Calculation'!$E$55</definedName>
    <definedName name="gamma_soil">'Calculation'!$E$56</definedName>
    <definedName name="q_allow">'Calculation'!$E$57</definedName>
    <definedName name="inputs_ok">IFERROR(AND(OR(NA_sel="UK NA (BS EN)",NA_sel="PL NA (PN-EN)"),OR(conc_class="C20/25",conc_class="C25/30",conc_class="C28/35",conc_class="C30/37",conc_class="C32/40",conc_class="C35/45",conc_class="C40/50",conc_class="C45/55",conc_class="C50/60"),ISNUMBER(f_yk),f_yk&gt;0,ISNUMBER(L_f),L_f&gt;0,ISNUMBER(B_f),B_f&gt;0,ISNUMBER(h_f),h_f&gt;0,ISNUMBER(c_x),c_x&gt;0,ISNUMBER(c_y),c_y&gt;0,ISNUMBER(o_x),o_x&gt;=-100000,ISNUMBER(c_nom),c_nom&gt;0,ISNUMBER(d_g),d_g&gt;0,OR(AND(ISNUMBER(phi_x),phi_x=8),AND(ISNUMBER(phi_x),phi_x=10),AND(ISNUMBER(phi_x),phi_x=12),AND(ISNUMBER(phi_x),phi_x=16),AND(ISNUMBER(phi_x),phi_x=20),AND(ISNUMBER(phi_x),phi_x=25),AND(ISNUMBER(phi_x),phi_x=32),AND(ISNUMBER(phi_x),phi_x=40)),ISNUMBER(s_x),s_x&gt;0,OR(AND(ISNUMBER(phi_y),phi_y=8),AND(ISNUMBER(phi_y),phi_y=10),AND(ISNUMBER(phi_y),phi_y=12),AND(ISNUMBER(phi_y),phi_y=16),AND(ISNUMBER(phi_y),phi_y=20),AND(ISNUMBER(phi_y),phi_y=25),AND(ISNUMBER(phi_y),phi_y=32),AND(ISNUMBER(phi_y),phi_y=40)),ISNUMBER(s_y),s_y&gt;0,ISNUMBER(G_k),G_k&gt;0,ISNUMBER(Q_k),Q_k&gt;=0,ISNUMBER(M_Gk),M_Gk&gt;=-100000,ISNUMBER(M_Qk),M_Qk&gt;=-100000,ISNUMBER(gamma_G),gamma_G&gt;0,ISNUMBER(gamma_Q),gamma_Q&gt;0,ISNUMBER(D_s),D_s&gt;=0,ISNUMBER(gamma_soil),gamma_soil&gt;0,ISNUMBER(q_allow),q_allow&gt;0,AND(f_yk&gt;=400,f_yk&lt;=500,ABS(o_x)+c_x/2&lt;L_f/2,c_y&lt;B_f,h_f&gt;c_nom+phi_x+phi_y,c_nom&gt;=40,s_x-phi_x&gt;=gap_min,s_y-phi_y&gt;=gap_min)),FALSE)</definedName>
    <definedName name="input_status">'Calculation'!$G$58</definedName>
    <definedName name="bearing_status">'Calculation'!$G$79</definedName>
    <definedName name="ecc_status">'Calculation'!$G$80</definedName>
    <definedName name="bendx_ok">IFERROR(AND(uls_ok,K_x&lt;=K_lim,As_provx&gt;=MAX(As_reqx,As_minx)),FALSE)</definedName>
    <definedName name="bendy_ok">IFERROR(AND(uls_ok,K_y&lt;=K_lim,As_provy&gt;=MAX(As_reqy,As_miny)),FALSE)</definedName>
    <definedName name="bendx_status">'Calculation'!$G$81</definedName>
    <definedName name="bendy_status">'Calculation'!$G$82</definedName>
    <definedName name="top_status">'Calculation'!$G$83</definedName>
    <definedName name="shear_status">'Calculation'!$G$84</definedName>
    <definedName name="punch_status">'Calculation'!$G$85</definedName>
    <definedName name="gap_min">'Calculation'!$E$89</definedName>
    <definedName name="W_f">'Calculation'!$E$92</definedName>
    <definedName name="W_s">'Calculation'!$E$93</definedName>
    <definedName name="M_ws">'Calculation'!$E$94</definedName>
    <definedName name="N_k">'Calculation'!$E$95</definedName>
    <definedName name="M_k">'Calculation'!$E$96</definedName>
    <definedName name="e_k">'Calculation'!$E$97</definedName>
    <definedName name="q_maxk">'Calculation'!$E$98</definedName>
    <definedName name="gamma_c">'Calculation'!$E$102</definedName>
    <definedName name="gamma_s">'Calculation'!$E$103</definedName>
    <definedName name="alpha_cc">'Calculation'!$E$104</definedName>
    <definedName name="alpha_cc_shear">'Calculation'!$E$105</definedName>
    <definedName name="C_Rdc">'Calculation'!$E$106</definedName>
    <definedName name="vmax">'Calculation'!$E$107</definedName>
    <definedName name="k1_red">'Calculation'!$E$108</definedName>
    <definedName name="k2_red">'Calculation'!$E$109</definedName>
    <definedName name="f_ck">'Calculation'!$E$110</definedName>
    <definedName name="f_ctm">'Calculation'!$E$111</definedName>
    <definedName name="N_Ed">'Calculation'!$E$112</definedName>
    <definedName name="M_Ed">'Calculation'!$E$113</definedName>
    <definedName name="w_d">'Calculation'!$E$114</definedName>
    <definedName name="N_t">'Calculation'!$E$115</definedName>
    <definedName name="M_t">'Calculation'!$E$116</definedName>
    <definedName name="e_d">'Calculation'!$E$117</definedName>
    <definedName name="uls_ok">e_d&lt;=L_f/3</definedName>
    <definedName name="g_sg">IF(M_t&lt;0,-1,1)</definedName>
    <definedName name="L_m">L_f/1000</definedName>
    <definedName name="B_m">B_f/1000</definedName>
    <definedName name="o_m">'Calculation'!$E$120</definedName>
    <definedName name="L_c">'Calculation'!$E$121</definedName>
    <definedName name="q_Ed">'Calculation'!$E$122</definedName>
    <definedName name="q_b">'Calculation'!$E$123</definedName>
    <definedName name="q_a">'Calculation'!$E$124</definedName>
    <definedName name="x_0">'Calculation'!$E$125</definedName>
    <definedName name="q_min">'Calculation'!$E$126</definedName>
    <definedName name="d_x">'Calculation'!$E$129</definedName>
    <definedName name="d_y">'Calculation'!$E$130</definedName>
    <definedName name="x_R">'Calculation'!$E$131</definedName>
    <definedName name="x_L">'Calculation'!$E$132</definedName>
    <definedName name="M_R">'Calculation'!$E$133</definedName>
    <definedName name="M_L">'Calculation'!$E$134</definedName>
    <definedName name="M_Edx">'Calculation'!$E$135</definedName>
    <definedName name="tq_B">q_a-w_d</definedName>
    <definedName name="tq_C">-(q_a*x_0+q_b*x_0^2/2+w_d*L_m/2)</definedName>
    <definedName name="tq_D">MAX(0,tq_B^2-2*q_b*tq_C)</definedName>
    <definedName name="x_s">'Calculation'!$E$136</definedName>
    <definedName name="M_s">'Calculation'!$E$137</definedName>
    <definedName name="M_top">'Calculation'!$E$138</definedName>
    <definedName name="M_Edy">'Calculation'!$E$139</definedName>
    <definedName name="f_yd">'Calculation'!$E$140</definedName>
    <definedName name="xi_y">'Calculation'!$E$141</definedName>
    <definedName name="xi_lim">'Calculation'!$E$142</definedName>
    <definedName name="K_lim">'Calculation'!$E$143</definedName>
    <definedName name="K_x">'Calculation'!$E$144</definedName>
    <definedName name="z_x">'Calculation'!$E$145</definedName>
    <definedName name="As_reqx">'Calculation'!$E$146</definedName>
    <definedName name="As_minx">'Calculation'!$E$147</definedName>
    <definedName name="As_provx">'Calculation'!$E$148</definedName>
    <definedName name="K_y">'Calculation'!$E$149</definedName>
    <definedName name="z_y">'Calculation'!$E$150</definedName>
    <definedName name="As_reqy">'Calculation'!$E$151</definedName>
    <definedName name="As_miny">'Calculation'!$E$152</definedName>
    <definedName name="As_provy">'Calculation'!$E$153</definedName>
    <definedName name="V_R">'Calculation'!$E$156</definedName>
    <definedName name="V_L">'Calculation'!$E$157</definedName>
    <definedName name="V_Edx">'Calculation'!$E$158</definedName>
    <definedName name="V_Edy">'Calculation'!$E$159</definedName>
    <definedName name="rho_x">'Calculation'!$E$160</definedName>
    <definedName name="V_Rdx">'Calculation'!$E$161</definedName>
    <definedName name="rho_y">'Calculation'!$E$163</definedName>
    <definedName name="V_Rdy">'Calculation'!$E$164</definedName>
    <definedName name="d_eff">'Calculation'!$E$168</definedName>
    <definedName name="k_size">'Calculation'!$E$169</definedName>
    <definedName name="rho_l">'Calculation'!$E$170</definedName>
    <definedName name="v_Rdc">'Calculation'!$E$171</definedName>
    <definedName name="k_e">'Calculation'!$E$172</definedName>
    <definedName name="q_c">'Calculation'!$E$173</definedName>
    <definedName name="ed_r">'Calculation'!$E$174</definedName>
    <definedName name="ed_l">'Calculation'!$E$175</definedName>
    <definedName name="ed_y">'Calculation'!$E$176</definedName>
    <definedName name="dW_col">'Calculation'!$E$177</definedName>
    <definedName name="punch_edge">NOT(AND(2*d_eff&lt;=ed_y,OR(2*d_eff&lt;=ed_r,2*d_eff&lt;=ed_l)))</definedName>
    <definedName name="u_0">'Calculation'!$E$178</definedName>
    <definedName name="W_0">'Calculation'!$E$179</definedName>
    <definedName name="beta_0">'Calculation'!$E$180</definedName>
    <definedName name="nu_v">'Calculation'!$E$181</definedName>
    <definedName name="v_Rdmax">'Calculation'!$E$182</definedName>
    <definedName name="v_Ed0">'Calculation'!$E$183</definedName>
    <definedName name="qn_min">q_min-w_d</definedName>
    <definedName name="punch_util">MAX('Calculation'!$G$185:$G$227)</definedName>
    <definedName name="punch_any">COUNT('Calculation'!$G$185:$G$227)&gt;0</definedName>
    <definedName name="gov_row">MATCH(punch_util,'Calculation'!$G$185:$G$227,0)</definedName>
    <definedName name="a_gov">IF(punch_any,INDEX('Calculation'!$B$185:$B$227,gov_row),0)</definedName>
    <definedName name="u_gov_closed">IFERROR(INDEX('Calculation'!$W$185:$W$227,gov_row)=1,FALSE)</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'Calculation'!$A$1:$H$231</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family val="2"/>
      <i val="1"/>
      <color rgb="008A8A8A"/>
      <sz val="9"/>
      <scheme val="minor"/>
    </font>
    <font>
      <name val="Calibri"/>
      <b val="1"/>
      <color rgb="002B2B2B"/>
      <sz val="9"/>
    </font>
    <font>
      <name val="Calibri"/>
      <color rgb="002B2B2B"/>
      <sz val="11"/>
    </font>
    <font>
      <name val="Calibri"/>
      <b val="1"/>
      <color rgb="002B2B2B"/>
      <sz val="15"/>
    </font>
    <font>
      <name val="Calibri"/>
      <i val="1"/>
      <color rgb="008A8A8A"/>
      <sz val="8.5"/>
    </font>
    <font>
      <name val="Calibri"/>
      <b val="1"/>
      <color rgb="008A8A8A"/>
      <sz val="9"/>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9">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0" fontId="14" fillId="0" borderId="0" pivotButton="0" quotePrefix="0" xfId="0"/>
    <xf numFmtId="1"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5" fillId="0" borderId="1" applyAlignment="1" pivotButton="0" quotePrefix="0" xfId="0">
      <alignment horizontal="center" vertical="center"/>
    </xf>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66" fontId="17" fillId="4" borderId="0" applyAlignment="1" pivotButton="0" quotePrefix="0" xfId="0">
      <alignment horizontal="center" vertical="center"/>
    </xf>
    <xf numFmtId="165" fontId="17" fillId="4" borderId="0" applyAlignment="1" pivotButton="0" quotePrefix="0" xfId="0">
      <alignment horizontal="center" vertical="center"/>
    </xf>
    <xf numFmtId="0" fontId="18" fillId="0" borderId="0" applyAlignment="1" pivotButton="0" quotePrefix="0" xfId="0">
      <alignment vertical="top" wrapText="1"/>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2" fontId="5" fillId="0" borderId="1" applyAlignment="1" pivotButton="0" quotePrefix="0" xfId="0">
      <alignment horizontal="center" vertical="center"/>
    </xf>
    <xf numFmtId="165" fontId="12" fillId="0" borderId="1" applyAlignment="1" pivotButton="0" quotePrefix="0" xfId="0">
      <alignment horizontal="center" vertical="center"/>
    </xf>
    <xf numFmtId="166" fontId="5" fillId="0" borderId="1" applyAlignment="1" pivotButton="0" quotePrefix="0" xfId="0">
      <alignment horizontal="center" vertical="center"/>
    </xf>
    <xf numFmtId="167" fontId="5" fillId="0" borderId="1" applyAlignment="1" pivotButton="0" quotePrefix="0" xfId="0">
      <alignment horizontal="center" vertical="center"/>
    </xf>
    <xf numFmtId="0" fontId="19" fillId="0" borderId="0" applyAlignment="1" pivotButton="0" quotePrefix="0" xfId="0">
      <alignment horizontal="center"/>
    </xf>
    <xf numFmtId="1" fontId="5" fillId="0" borderId="1" applyAlignment="1" pivotButton="0" quotePrefix="0" xfId="0">
      <alignment horizontal="center"/>
    </xf>
    <xf numFmtId="165" fontId="5" fillId="0" borderId="1" applyAlignment="1" pivotButton="0" quotePrefix="0" xfId="0">
      <alignment horizontal="center"/>
    </xf>
    <xf numFmtId="166" fontId="5" fillId="0" borderId="1" applyAlignment="1" pivotButton="0" quotePrefix="0" xfId="0">
      <alignment horizontal="center"/>
    </xf>
    <xf numFmtId="2" fontId="12" fillId="0" borderId="1" applyAlignment="1" pivotButton="0" quotePrefix="0" xfId="0">
      <alignment horizontal="center"/>
    </xf>
    <xf numFmtId="0" fontId="20" fillId="0" borderId="0" pivotButton="0" quotePrefix="0" xfId="0"/>
    <xf numFmtId="0" fontId="19"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4">
    <dxf>
      <fill>
        <patternFill patternType="solid">
          <fgColor rgb="00DCE8EC"/>
          <bgColor rgb="00DCE8EC"/>
        </patternFill>
      </fill>
    </dxf>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base</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'Geometry'!$A$3:$A$7</f>
            </numRef>
          </xVal>
          <yVal>
            <numRef>
              <f>'Geometry'!$B$3:$B$7</f>
            </numRef>
          </yVal>
          <smooth val="0"/>
        </ser>
        <ser>
          <idx val="1"/>
          <order val="1"/>
          <tx>
            <v>axis x</v>
          </tx>
          <spPr>
            <a:ln xmlns:a="http://schemas.openxmlformats.org/drawingml/2006/main" w="9525">
              <a:solidFill>
                <a:srgbClr val="9A9A9A"/>
              </a:solidFill>
              <a:prstDash val="dashDot"/>
            </a:ln>
          </spPr>
          <marker>
            <symbol val="none"/>
            <spPr>
              <a:ln xmlns:a="http://schemas.openxmlformats.org/drawingml/2006/main">
                <a:prstDash val="solid"/>
              </a:ln>
            </spPr>
          </marker>
          <xVal>
            <numRef>
              <f>'Geometry'!$D$3:$D$4</f>
            </numRef>
          </xVal>
          <yVal>
            <numRef>
              <f>'Geometry'!$E$3:$E$4</f>
            </numRef>
          </yVal>
          <smooth val="0"/>
        </ser>
        <ser>
          <idx val="2"/>
          <order val="2"/>
          <tx>
            <v>axis y</v>
          </tx>
          <spPr>
            <a:ln xmlns:a="http://schemas.openxmlformats.org/drawingml/2006/main" w="9525">
              <a:solidFill>
                <a:srgbClr val="9A9A9A"/>
              </a:solidFill>
              <a:prstDash val="dashDot"/>
            </a:ln>
          </spPr>
          <marker>
            <symbol val="none"/>
            <spPr>
              <a:ln xmlns:a="http://schemas.openxmlformats.org/drawingml/2006/main">
                <a:prstDash val="solid"/>
              </a:ln>
            </spPr>
          </marker>
          <xVal>
            <numRef>
              <f>'Geometry'!$G$3:$G$4</f>
            </numRef>
          </xVal>
          <yVal>
            <numRef>
              <f>'Geometry'!$H$3:$H$4</f>
            </numRef>
          </yVal>
          <smooth val="0"/>
        </ser>
        <ser>
          <idx val="3"/>
          <order val="3"/>
          <tx>
            <v>column</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'Geometry'!$J$3:$J$7</f>
            </numRef>
          </xVal>
          <yVal>
            <numRef>
              <f>'Geometry'!$K$3:$K$7</f>
            </numRef>
          </yVal>
          <smooth val="0"/>
        </ser>
        <ser>
          <idx val="4"/>
          <order val="4"/>
          <tx>
            <v>u crit</v>
          </tx>
          <spPr>
            <a:ln xmlns:a="http://schemas.openxmlformats.org/drawingml/2006/main" w="22225">
              <a:solidFill>
                <a:srgbClr val="5B7F8A"/>
              </a:solidFill>
              <a:prstDash val="solid"/>
            </a:ln>
          </spPr>
          <marker>
            <symbol val="none"/>
            <spPr>
              <a:ln xmlns:a="http://schemas.openxmlformats.org/drawingml/2006/main">
                <a:prstDash val="solid"/>
              </a:ln>
            </spPr>
          </marker>
          <xVal>
            <numRef>
              <f>'Geometry'!$M$3:$M$47</f>
            </numRef>
          </xVal>
          <yVal>
            <numRef>
              <f>'Geometry'!$N$3:$N$47</f>
            </numRef>
          </yVal>
          <smooth val="0"/>
        </ser>
        <ser>
          <idx val="5"/>
          <order val="5"/>
          <tx>
            <v>shear right</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'Geometry'!$P$3:$P$4</f>
            </numRef>
          </xVal>
          <yVal>
            <numRef>
              <f>'Geometry'!$Q$3:$Q$4</f>
            </numRef>
          </yVal>
          <smooth val="0"/>
        </ser>
        <ser>
          <idx val="6"/>
          <order val="6"/>
          <tx>
            <v>shear left</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'Geometry'!$S$3:$S$4</f>
            </numRef>
          </xVal>
          <yVal>
            <numRef>
              <f>'Geometry'!$T$3:$T$4</f>
            </numRef>
          </yVal>
          <smooth val="0"/>
        </ser>
        <ser>
          <idx val="7"/>
          <order val="7"/>
          <tx>
            <v>shear top</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'Geometry'!$V$3:$V$4</f>
            </numRef>
          </xVal>
          <yVal>
            <numRef>
              <f>'Geometry'!$W$3:$W$4</f>
            </numRef>
          </yVal>
          <smooth val="0"/>
        </ser>
        <ser>
          <idx val="8"/>
          <order val="8"/>
          <tx>
            <v>shear bottom</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'Geometry'!$Y$3:$Y$4</f>
            </numRef>
          </xVal>
          <yVal>
            <numRef>
              <f>'Geometry'!$Z$3:$Z$4</f>
            </numRef>
          </yVal>
          <smooth val="0"/>
        </ser>
        <ser>
          <idx val="9"/>
          <order val="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'Geometry'!$AB$3:$AB$4</f>
            </numRef>
          </xVal>
          <yVal>
            <numRef>
              <f>'Geometry'!$AC$3:$AC$4</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'Geometry'!$AE$3</f>
            </numRef>
          </xVal>
          <yVal>
            <numRef>
              <f>'Geometry'!$AF$3</f>
            </numRef>
          </yVal>
          <smooth val="0"/>
        </ser>
        <ser>
          <idx val="11"/>
          <order val="1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'Geometry'!$AH$3:$AH$4</f>
            </numRef>
          </xVal>
          <yVal>
            <numRef>
              <f>'Geometry'!$AI$3:$AI$4</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'Geometry'!$AK$3</f>
            </numRef>
          </xVal>
          <yVal>
            <numRef>
              <f>'Geometry'!$AL$3</f>
            </numRef>
          </yVal>
          <smooth val="0"/>
        </ser>
        <ser>
          <idx val="13"/>
          <order val="1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'Geometry'!$AN$3:$AN$4</f>
            </numRef>
          </xVal>
          <yVal>
            <numRef>
              <f>'Geometry'!$AO$3:$AO$4</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'Geometry'!$AQ$3</f>
            </numRef>
          </xVal>
          <yVal>
            <numRef>
              <f>'Geometry'!$AR$3</f>
            </numRef>
          </yVal>
          <smooth val="0"/>
        </ser>
        <ser>
          <idx val="15"/>
          <order val="1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'Geometry'!$AT$3:$AT$4</f>
            </numRef>
          </xVal>
          <yVal>
            <numRef>
              <f>'Geometry'!$AU$3:$AU$4</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'Geometry'!$AW$3</f>
            </numRef>
          </xVal>
          <yVal>
            <numRef>
              <f>'Geometry'!$AX$3</f>
            </numRef>
          </yVal>
          <smooth val="0"/>
        </ser>
        <ser>
          <idx val="17"/>
          <order val="17"/>
          <tx>
            <strRef>
              <f>'Geometry'!$AZ$2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5B7F8A"/>
                    </a:solidFill>
                  </a:defRPr>
                </a:pPr>
                <a:r>
                  <a:t/>
                </a:r>
                <a:endParaRPr sz="900">
                  <a:solidFill>
                    <a:srgbClr val="5B7F8A"/>
                  </a:solidFill>
                </a:endParaRPr>
              </a:p>
            </txPr>
            <dLblPos val="t"/>
            <showLegendKey val="0"/>
            <showVal val="0"/>
            <showCatName val="0"/>
            <showSerName val="1"/>
            <showPercent val="0"/>
          </dLbls>
          <xVal>
            <numRef>
              <f>'Geometry'!$AZ$3</f>
            </numRef>
          </xVal>
          <yVal>
            <numRef>
              <f>'Geometry'!$BA$3</f>
            </numRef>
          </yVal>
          <smooth val="0"/>
        </ser>
        <ser>
          <idx val="18"/>
          <order val="18"/>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'Geometry'!$BC$3</f>
            </numRef>
          </xVal>
          <yVal>
            <numRef>
              <f>'Geometry'!$BD$3</f>
            </numRef>
          </yVal>
          <smooth val="0"/>
        </ser>
        <ser>
          <idx val="19"/>
          <order val="19"/>
          <tx>
            <v>x</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'Geometry'!$BF$3</f>
            </numRef>
          </xVal>
          <yVal>
            <numRef>
              <f>'Geometry'!$BG$3</f>
            </numRef>
          </yVal>
          <smooth val="0"/>
        </ser>
        <ser>
          <idx val="20"/>
          <order val="20"/>
          <tx>
            <v>frame</v>
          </tx>
          <spPr>
            <a:ln xmlns:a="http://schemas.openxmlformats.org/drawingml/2006/main">
              <a:noFill/>
              <a:prstDash val="solid"/>
            </a:ln>
          </spPr>
          <marker>
            <symbol val="none"/>
            <spPr>
              <a:ln xmlns:a="http://schemas.openxmlformats.org/drawingml/2006/main">
                <a:prstDash val="solid"/>
              </a:ln>
            </spPr>
          </marker>
          <xVal>
            <numRef>
              <f>'Geometry'!$BI$3:$BI$4</f>
            </numRef>
          </xVal>
          <yVal>
            <numRef>
              <f>'Geometry'!$BJ$3:$BJ$4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v>base</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'Geometry'!$BL$3:$BL$7</f>
            </numRef>
          </xVal>
          <yVal>
            <numRef>
              <f>'Geometry'!$BM$3:$BM$7</f>
            </numRef>
          </yVal>
          <smooth val="0"/>
        </ser>
        <ser>
          <idx val="1"/>
          <order val="1"/>
          <tx>
            <v>column</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'Geometry'!$BO$3:$BO$6</f>
            </numRef>
          </xVal>
          <yVal>
            <numRef>
              <f>'Geometry'!$BP$3:$BP$6</f>
            </numRef>
          </yVal>
          <smooth val="0"/>
        </ser>
        <ser>
          <idx val="2"/>
          <order val="2"/>
          <tx>
            <v>ground</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'Geometry'!$BR$3:$BR$4</f>
            </numRef>
          </xVal>
          <yVal>
            <numRef>
              <f>'Geometry'!$BS$3:$BS$4</f>
            </numRef>
          </yVal>
          <smooth val="0"/>
        </ser>
        <ser>
          <idx val="3"/>
          <order val="3"/>
          <tx>
            <v>bars x</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'Geometry'!$BU$3:$BU$4</f>
            </numRef>
          </xVal>
          <yVal>
            <numRef>
              <f>'Geometry'!$BV$3:$BV$4</f>
            </numRef>
          </yVal>
          <smooth val="0"/>
        </ser>
        <ser>
          <idx val="4"/>
          <order val="4"/>
          <tx>
            <v>pressure</v>
          </tx>
          <spPr>
            <a:ln xmlns:a="http://schemas.openxmlformats.org/drawingml/2006/main" w="19050">
              <a:solidFill>
                <a:srgbClr val="B3261E"/>
              </a:solidFill>
              <a:prstDash val="solid"/>
            </a:ln>
          </spPr>
          <marker>
            <symbol val="none"/>
            <spPr>
              <a:ln xmlns:a="http://schemas.openxmlformats.org/drawingml/2006/main">
                <a:prstDash val="solid"/>
              </a:ln>
            </spPr>
          </marker>
          <xVal>
            <numRef>
              <f>'Geometry'!$BX$3:$BX$8</f>
            </numRef>
          </xVal>
          <yVal>
            <numRef>
              <f>'Geometry'!$BY$3:$BY$8</f>
            </numRef>
          </yVal>
          <smooth val="0"/>
        </ser>
        <ser>
          <idx val="5"/>
          <order val="5"/>
          <tx>
            <strRef>
              <f>'Geometry'!$CA$2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b"/>
            <showLegendKey val="0"/>
            <showVal val="0"/>
            <showCatName val="0"/>
            <showSerName val="1"/>
            <showPercent val="0"/>
          </dLbls>
          <xVal>
            <numRef>
              <f>'Geometry'!$CA$3</f>
            </numRef>
          </xVal>
          <yVal>
            <numRef>
              <f>'Geometry'!$CB$3</f>
            </numRef>
          </yVal>
          <smooth val="0"/>
        </ser>
        <ser>
          <idx val="6"/>
          <order val="6"/>
          <tx>
            <strRef>
              <f>'Geometry'!$CD$2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'Geometry'!$CD$3</f>
            </numRef>
          </xVal>
          <yVal>
            <numRef>
              <f>'Geometry'!$CE$3</f>
            </numRef>
          </yVal>
          <smooth val="0"/>
        </ser>
        <ser>
          <idx val="7"/>
          <order val="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'Geometry'!$CG$3:$CG$4</f>
            </numRef>
          </xVal>
          <yVal>
            <numRef>
              <f>'Geometry'!$CH$3:$CH$4</f>
            </numRef>
          </yVal>
          <smooth val="0"/>
        </ser>
        <ser>
          <idx val="8"/>
          <order val="8"/>
          <tx>
            <strRef>
              <f>'Geometry'!$CJ$2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'Geometry'!$CJ$3</f>
            </numRef>
          </xVal>
          <yVal>
            <numRef>
              <f>'Geometry'!$CK$3</f>
            </numRef>
          </yVal>
          <smooth val="0"/>
        </ser>
        <ser>
          <idx val="9"/>
          <order val="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'Geometry'!$CM$3:$CM$4</f>
            </numRef>
          </xVal>
          <yVal>
            <numRef>
              <f>'Geometry'!$CN$3:$CN$4</f>
            </numRef>
          </yVal>
          <smooth val="0"/>
        </ser>
        <ser>
          <idx val="10"/>
          <order val="10"/>
          <tx>
            <strRef>
              <f>'Geometry'!$CP$2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'Geometry'!$CP$3</f>
            </numRef>
          </xVal>
          <yVal>
            <numRef>
              <f>'Geometry'!$CQ$3</f>
            </numRef>
          </yVal>
          <smooth val="0"/>
        </ser>
        <ser>
          <idx val="11"/>
          <order val="11"/>
          <tx>
            <strRef>
              <f>'Geometry'!$CS$2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'Geometry'!$CS$3</f>
            </numRef>
          </xVal>
          <yVal>
            <numRef>
              <f>'Geometry'!$CT$3</f>
            </numRef>
          </yVal>
          <smooth val="0"/>
        </ser>
        <ser>
          <idx val="12"/>
          <order val="12"/>
          <tx>
            <v>frame</v>
          </tx>
          <spPr>
            <a:ln xmlns:a="http://schemas.openxmlformats.org/drawingml/2006/main">
              <a:noFill/>
              <a:prstDash val="solid"/>
            </a:ln>
          </spPr>
          <marker>
            <symbol val="none"/>
            <spPr>
              <a:ln xmlns:a="http://schemas.openxmlformats.org/drawingml/2006/main">
                <a:prstDash val="solid"/>
              </a:ln>
            </spPr>
          </marker>
          <xVal>
            <numRef>
              <f>'Geometry'!$CV$3:$CV$4</f>
            </numRef>
          </xVal>
          <yVal>
            <numRef>
              <f>'Geometry'!$CW$3:$CW$4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27</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60</row>
      <rowOff>0</rowOff>
    </from>
    <ext cx="4464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Pad footing</t>
        </is>
      </c>
    </row>
    <row r="8" ht="20" customHeight="1">
      <c r="B8" s="4" t="inlineStr">
        <is>
          <t>Reinforced concrete foundations  ·  EN 1992-1-1 §6.2, §6.4.4, §9.8  ·  UK NA / PN-EN</t>
        </is>
      </c>
    </row>
    <row r="10">
      <c r="B10" s="5" t="inlineStr">
        <is>
          <t>Reference</t>
        </is>
      </c>
      <c r="C10" s="6" t="inlineStr">
        <is>
          <t>NAE-RC-006  ·  version 1.0</t>
        </is>
      </c>
    </row>
    <row r="11" ht="31" customHeight="1">
      <c r="B11" s="5" t="inlineStr">
        <is>
          <t>Standards</t>
        </is>
      </c>
      <c r="C11" s="7" t="inlineStr">
        <is>
          <t>BS EN 1992-1-1:2004 with UK NA  ·  PN-EN 1992-1-1:2008 with Polish NA (NDP sources listed on the NDP sheet)  ·  EN 1990 load combination by the user</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Rectangular pad footing under one rectangular column: gross bearing pressure against an allowable value, bending at the column faces in both directions, one-way shear at d from the faces and punching at the column base to 6.4.4(2), with the column anywhere on the footing and a moment about one axis.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92.5" customHeight="1">
      <c r="B22" s="7" t="inlineStr">
        <is>
          <t>Rigid footing, linear soil pressure, no tension at the base (partial contact when e &gt; L/6). Eccentricities above L/3 need special precautions (EN 1997-1 6.5.4) and are not covered: the sheet reports FAIL. Moment about the y axis only (eccentricity along L); column offset along x only. Bearing is checked with characteristic loads against an allowable gross pressure given by the geotechnical engineer; EN 1997-1 bearing resistance, sliding and settlement are not covered. Structural checks take the design contact pressure from the column loads, footing and backfill (γG on the weights, also where favourable; check with 1.0 if that governs the eccentricity), less the downward load of footing and backfill. A negative moment at a column face is reported as top tension (9.8.2.1(3)); top bars are not designed. Bending is taken at the column faces with the whole width effective; across B the pressure is uniform. One-way shear is checked at d from the faces without the av/2d reduction (conservative). Punching uses closed control perimeters inside the base at a = 0.1d to 2d, the net pressure inside each perimeter deducted (6.48) using the pressure at the column centre, and (6.51) with W at distance a. Perimeters running to a free edge (6.4.2(4)) are not checked; the sheet warns when the column is within d of an edge. No shear reinforcement. Concrete classes up to C50/60.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Foundations.
•  The Concrete Centre, Worked Examples to Eurocode 2: Volume 1 (pad footing).
•  The Concrete Centre, RC Spreadsheets v4, TCC81 Foundation Pads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&amp;K8A8A8ANAE-RC-006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W230"/>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s>
  <sheetData>
    <row r="1" ht="8" customHeight="1">
      <c r="A1" s="1" t="n"/>
      <c r="B1" s="1" t="n"/>
      <c r="C1" s="1" t="n"/>
      <c r="D1" s="1" t="n"/>
      <c r="E1" s="1" t="n"/>
      <c r="F1" s="1" t="n"/>
      <c r="G1" s="1" t="n"/>
      <c r="H1" s="1" t="n"/>
    </row>
    <row r="2" ht="30" customHeight="1">
      <c r="A2" s="1" t="n"/>
      <c r="B2" s="1" t="n"/>
      <c r="C2" s="1" t="n"/>
      <c r="D2" s="14" t="inlineStr">
        <is>
          <t>Pad footing</t>
        </is>
      </c>
      <c r="H2" s="1" t="n"/>
    </row>
    <row r="3" ht="16" customHeight="1">
      <c r="A3" s="1" t="n"/>
      <c r="B3" s="1" t="n"/>
      <c r="C3" s="15" t="inlineStr">
        <is>
          <t>NAE-RC-006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geometry</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C30/37</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Footing length (x, direction of the moment)</t>
        </is>
      </c>
      <c r="D14" s="27" t="inlineStr">
        <is>
          <r>
            <rPr>
              <rFont val="Calibri"/>
              <i val="1"/>
              <color rgb="002B2B2B"/>
              <sz val="10"/>
            </rPr>
            <t>L</t>
          </r>
        </is>
      </c>
      <c r="E14" s="25" t="n">
        <v>2700</v>
      </c>
      <c r="F14" s="28" t="inlineStr">
        <is>
          <t>mm</t>
        </is>
      </c>
      <c r="G14" s="23" t="n"/>
    </row>
    <row r="15" ht="17" customHeight="1">
      <c r="B15" s="23" t="n"/>
      <c r="C15" s="24" t="inlineStr">
        <is>
          <t>Footing width (y)</t>
        </is>
      </c>
      <c r="D15" s="27" t="inlineStr">
        <is>
          <r>
            <rPr>
              <rFont val="Calibri"/>
              <i val="1"/>
              <color rgb="002B2B2B"/>
              <sz val="10"/>
            </rPr>
            <t>B</t>
          </r>
        </is>
      </c>
      <c r="E15" s="25" t="n">
        <v>2700</v>
      </c>
      <c r="F15" s="28" t="inlineStr">
        <is>
          <t>mm</t>
        </is>
      </c>
      <c r="G15" s="23" t="n"/>
    </row>
    <row r="16" ht="17" customHeight="1">
      <c r="B16" s="23" t="n"/>
      <c r="C16" s="24" t="inlineStr">
        <is>
          <t>Footing depth</t>
        </is>
      </c>
      <c r="D16" s="27" t="inlineStr">
        <is>
          <r>
            <rPr>
              <rFont val="Calibri"/>
              <i val="1"/>
              <color rgb="002B2B2B"/>
              <sz val="10"/>
            </rPr>
            <t>h</t>
          </r>
        </is>
      </c>
      <c r="E16" s="25" t="n">
        <v>600</v>
      </c>
      <c r="F16" s="28" t="inlineStr">
        <is>
          <t>mm</t>
        </is>
      </c>
      <c r="G16" s="23" t="n"/>
    </row>
    <row r="17" ht="17" customHeight="1">
      <c r="B17" s="23" t="n"/>
      <c r="C17" s="24" t="inlineStr">
        <is>
          <t>Column dimension in x</t>
        </is>
      </c>
      <c r="D17" s="27" t="inlineStr">
        <is>
          <r>
            <rPr>
              <rFont val="Calibri"/>
              <i val="1"/>
              <color rgb="002B2B2B"/>
              <sz val="10"/>
            </rPr>
            <t>c</t>
          </r>
          <r>
            <rPr>
              <rFont val="Calibri"/>
              <i val="1"/>
              <color rgb="002B2B2B"/>
              <sz val="10"/>
              <vertAlign val="subscript"/>
            </rPr>
            <t>x</t>
          </r>
        </is>
      </c>
      <c r="E17" s="25" t="n">
        <v>400</v>
      </c>
      <c r="F17" s="28" t="inlineStr">
        <is>
          <t>mm</t>
        </is>
      </c>
      <c r="G17" s="23" t="n"/>
    </row>
    <row r="18" ht="17" customHeight="1">
      <c r="B18" s="23" t="n"/>
      <c r="C18" s="24" t="inlineStr">
        <is>
          <t>Column dimension in y</t>
        </is>
      </c>
      <c r="D18" s="27" t="inlineStr">
        <is>
          <r>
            <rPr>
              <rFont val="Calibri"/>
              <i val="1"/>
              <color rgb="002B2B2B"/>
              <sz val="10"/>
            </rPr>
            <t>c</t>
          </r>
          <r>
            <rPr>
              <rFont val="Calibri"/>
              <i val="1"/>
              <color rgb="002B2B2B"/>
              <sz val="10"/>
              <vertAlign val="subscript"/>
            </rPr>
            <t>y</t>
          </r>
        </is>
      </c>
      <c r="E18" s="25" t="n">
        <v>400</v>
      </c>
      <c r="F18" s="28" t="inlineStr">
        <is>
          <t>mm</t>
        </is>
      </c>
      <c r="G18" s="23" t="n"/>
    </row>
    <row r="19" ht="17" customHeight="1">
      <c r="B19" s="23" t="n"/>
      <c r="C19" s="24" t="inlineStr">
        <is>
          <t>Column offset from the footing centre in x  (+ / −)</t>
        </is>
      </c>
      <c r="D19" s="27" t="inlineStr">
        <is>
          <r>
            <rPr>
              <rFont val="Calibri"/>
              <i val="1"/>
              <color rgb="002B2B2B"/>
              <sz val="10"/>
            </rPr>
            <t>o</t>
          </r>
          <r>
            <rPr>
              <rFont val="Calibri"/>
              <i val="1"/>
              <color rgb="002B2B2B"/>
              <sz val="10"/>
              <vertAlign val="subscript"/>
            </rPr>
            <t>x</t>
          </r>
        </is>
      </c>
      <c r="E19" s="25" t="n">
        <v>0</v>
      </c>
      <c r="F19" s="28" t="inlineStr">
        <is>
          <t>mm</t>
        </is>
      </c>
      <c r="G19" s="26" t="inlineStr">
        <is>
          <t>0 = central column</t>
        </is>
      </c>
    </row>
    <row r="20" ht="17" customHeight="1">
      <c r="B20" s="26" t="inlineStr">
        <is>
          <t>4.4.1.3(4)</t>
        </is>
      </c>
      <c r="C20" s="24" t="inlineStr">
        <is>
          <t>Nominal cover to the bottom bars  (≥ 40 on blinding)</t>
        </is>
      </c>
      <c r="D20" s="27" t="inlineStr">
        <is>
          <r>
            <rPr>
              <rFont val="Calibri"/>
              <i val="1"/>
              <color rgb="002B2B2B"/>
              <sz val="10"/>
            </rPr>
            <t>c</t>
          </r>
          <r>
            <rPr>
              <rFont val="Calibri"/>
              <i val="1"/>
              <color rgb="002B2B2B"/>
              <sz val="10"/>
              <vertAlign val="subscript"/>
            </rPr>
            <t>nom</t>
          </r>
        </is>
      </c>
      <c r="E20" s="25" t="n">
        <v>50</v>
      </c>
      <c r="F20" s="28" t="inlineStr">
        <is>
          <t>mm</t>
        </is>
      </c>
      <c r="G20" s="26" t="inlineStr">
        <is>
          <t>75 if cast on soil</t>
        </is>
      </c>
    </row>
    <row r="21" ht="17" customHeight="1">
      <c r="B21" s="26" t="inlineStr">
        <is>
          <t>8.2(2)</t>
        </is>
      </c>
      <c r="C21" s="24" t="inlineStr">
        <is>
          <t>Maximum aggregate size</t>
        </is>
      </c>
      <c r="D21" s="27" t="inlineStr">
        <is>
          <r>
            <rPr>
              <rFont val="Calibri"/>
              <i val="1"/>
              <color rgb="002B2B2B"/>
              <sz val="10"/>
            </rPr>
            <t>d</t>
          </r>
          <r>
            <rPr>
              <rFont val="Calibri"/>
              <i val="1"/>
              <color rgb="002B2B2B"/>
              <sz val="10"/>
              <vertAlign val="subscript"/>
            </rPr>
            <t>g</t>
          </r>
        </is>
      </c>
      <c r="E21" s="25" t="n">
        <v>20</v>
      </c>
      <c r="F21" s="28" t="inlineStr">
        <is>
          <t>mm</t>
        </is>
      </c>
      <c r="G21" s="23" t="n"/>
    </row>
    <row r="22" ht="17" customHeight="1">
      <c r="B22" s="23" t="n"/>
      <c r="C22" s="24" t="inlineStr">
        <is>
          <t>Bottom bars spanning x (lower layer), diameter</t>
        </is>
      </c>
      <c r="D22" s="27" t="inlineStr">
        <is>
          <r>
            <rPr>
              <rFont val="Calibri"/>
              <i val="1"/>
              <color rgb="002B2B2B"/>
              <sz val="10"/>
            </rPr>
            <t>φ</t>
          </r>
          <r>
            <rPr>
              <rFont val="Calibri"/>
              <i val="1"/>
              <color rgb="002B2B2B"/>
              <sz val="10"/>
              <vertAlign val="subscript"/>
            </rPr>
            <t>x</t>
          </r>
        </is>
      </c>
      <c r="E22" s="25" t="n">
        <v>16</v>
      </c>
      <c r="F22" s="28" t="inlineStr">
        <is>
          <t>mm</t>
        </is>
      </c>
      <c r="G22" s="23" t="n"/>
    </row>
    <row r="23" ht="17" customHeight="1">
      <c r="B23" s="23" t="n"/>
      <c r="C23" s="24" t="inlineStr">
        <is>
          <t>Bottom bars spanning x, centres</t>
        </is>
      </c>
      <c r="D23" s="27" t="inlineStr">
        <is>
          <r>
            <rPr>
              <rFont val="Calibri"/>
              <i val="1"/>
              <color rgb="002B2B2B"/>
              <sz val="10"/>
            </rPr>
            <t>s</t>
          </r>
          <r>
            <rPr>
              <rFont val="Calibri"/>
              <i val="1"/>
              <color rgb="002B2B2B"/>
              <sz val="10"/>
              <vertAlign val="subscript"/>
            </rPr>
            <t>x</t>
          </r>
        </is>
      </c>
      <c r="E23" s="25" t="n">
        <v>200</v>
      </c>
      <c r="F23" s="28" t="inlineStr">
        <is>
          <t>mm</t>
        </is>
      </c>
      <c r="G23" s="23" t="n"/>
    </row>
    <row r="24" ht="17" customHeight="1">
      <c r="B24" s="23" t="n"/>
      <c r="C24" s="24" t="inlineStr">
        <is>
          <t>Bottom bars spanning y (upper layer), diameter</t>
        </is>
      </c>
      <c r="D24" s="27" t="inlineStr">
        <is>
          <r>
            <rPr>
              <rFont val="Calibri"/>
              <i val="1"/>
              <color rgb="002B2B2B"/>
              <sz val="10"/>
            </rPr>
            <t>φ</t>
          </r>
          <r>
            <rPr>
              <rFont val="Calibri"/>
              <i val="1"/>
              <color rgb="002B2B2B"/>
              <sz val="10"/>
              <vertAlign val="subscript"/>
            </rPr>
            <t>y</t>
          </r>
        </is>
      </c>
      <c r="E24" s="25" t="n">
        <v>16</v>
      </c>
      <c r="F24" s="28" t="inlineStr">
        <is>
          <t>mm</t>
        </is>
      </c>
      <c r="G24" s="23" t="n"/>
    </row>
    <row r="25" ht="17" customHeight="1">
      <c r="B25" s="23" t="n"/>
      <c r="C25" s="24" t="inlineStr">
        <is>
          <t>Bottom bars spanning y, centres</t>
        </is>
      </c>
      <c r="D25" s="27" t="inlineStr">
        <is>
          <r>
            <rPr>
              <rFont val="Calibri"/>
              <i val="1"/>
              <color rgb="002B2B2B"/>
              <sz val="10"/>
            </rPr>
            <t>s</t>
          </r>
          <r>
            <rPr>
              <rFont val="Calibri"/>
              <i val="1"/>
              <color rgb="002B2B2B"/>
              <sz val="10"/>
              <vertAlign val="subscript"/>
            </rPr>
            <t>y</t>
          </r>
        </is>
      </c>
      <c r="E25" s="25" t="n">
        <v>200</v>
      </c>
      <c r="F25" s="28" t="inlineStr">
        <is>
          <t>mm</t>
        </is>
      </c>
      <c r="G25" s="23" t="n"/>
    </row>
    <row r="27">
      <c r="B27" s="29" t="inlineStr">
        <is>
          <t>Your footing in plan, to scale  ·  punching perimeter at the governing a (blue)  ·  shear sections at d (dashed)</t>
        </is>
      </c>
    </row>
    <row r="48" ht="22" customHeight="1">
      <c r="B48" s="20" t="inlineStr">
        <is>
          <t>Inputs  ·  loads and ground</t>
        </is>
      </c>
      <c r="C48" s="21" t="n"/>
      <c r="D48" s="21" t="n"/>
      <c r="E48" s="21" t="n"/>
      <c r="F48" s="21" t="n"/>
      <c r="G48" s="22" t="inlineStr">
        <is>
          <t>Column loads at the top of the footing</t>
        </is>
      </c>
    </row>
    <row r="49" ht="17" customHeight="1">
      <c r="B49" s="23" t="n"/>
      <c r="C49" s="24" t="inlineStr">
        <is>
          <t>Column load, permanent</t>
        </is>
      </c>
      <c r="D49" s="27" t="inlineStr">
        <is>
          <r>
            <rPr>
              <rFont val="Calibri"/>
              <i val="1"/>
              <color rgb="002B2B2B"/>
              <sz val="10"/>
            </rPr>
            <t>G</t>
          </r>
          <r>
            <rPr>
              <rFont val="Calibri"/>
              <i val="1"/>
              <color rgb="002B2B2B"/>
              <sz val="10"/>
              <vertAlign val="subscript"/>
            </rPr>
            <t>k</t>
          </r>
        </is>
      </c>
      <c r="E49" s="30" t="n">
        <v>900</v>
      </c>
      <c r="F49" s="28" t="inlineStr">
        <is>
          <t>kN</t>
        </is>
      </c>
      <c r="G49" s="23" t="n"/>
    </row>
    <row r="50" ht="17" customHeight="1">
      <c r="B50" s="23" t="n"/>
      <c r="C50" s="24" t="inlineStr">
        <is>
          <t>Column load, variable</t>
        </is>
      </c>
      <c r="D50" s="27" t="inlineStr">
        <is>
          <r>
            <rPr>
              <rFont val="Calibri"/>
              <i val="1"/>
              <color rgb="002B2B2B"/>
              <sz val="10"/>
            </rPr>
            <t>Q</t>
          </r>
          <r>
            <rPr>
              <rFont val="Calibri"/>
              <i val="1"/>
              <color rgb="002B2B2B"/>
              <sz val="10"/>
              <vertAlign val="subscript"/>
            </rPr>
            <t>k</t>
          </r>
        </is>
      </c>
      <c r="E50" s="30" t="n">
        <v>400</v>
      </c>
      <c r="F50" s="28" t="inlineStr">
        <is>
          <t>kN</t>
        </is>
      </c>
      <c r="G50" s="23" t="n"/>
    </row>
    <row r="51" ht="17" customHeight="1">
      <c r="B51" s="23" t="n"/>
      <c r="C51" s="24" t="inlineStr">
        <is>
          <t>Column moment about y, permanent  (+ = pressure up at +x)</t>
        </is>
      </c>
      <c r="D51" s="27" t="inlineStr">
        <is>
          <r>
            <rPr>
              <rFont val="Calibri"/>
              <i val="1"/>
              <color rgb="002B2B2B"/>
              <sz val="10"/>
            </rPr>
            <t>M</t>
          </r>
          <r>
            <rPr>
              <rFont val="Calibri"/>
              <i val="1"/>
              <color rgb="002B2B2B"/>
              <sz val="10"/>
              <vertAlign val="subscript"/>
            </rPr>
            <t>G,k</t>
          </r>
        </is>
      </c>
      <c r="E51" s="31" t="n">
        <v>30</v>
      </c>
      <c r="F51" s="28" t="inlineStr">
        <is>
          <t>kNm</t>
        </is>
      </c>
      <c r="G51" s="23" t="n"/>
    </row>
    <row r="52" ht="17" customHeight="1">
      <c r="B52" s="23" t="n"/>
      <c r="C52" s="24" t="inlineStr">
        <is>
          <t>Column moment about y, variable</t>
        </is>
      </c>
      <c r="D52" s="27" t="inlineStr">
        <is>
          <r>
            <rPr>
              <rFont val="Calibri"/>
              <i val="1"/>
              <color rgb="002B2B2B"/>
              <sz val="10"/>
            </rPr>
            <t>M</t>
          </r>
          <r>
            <rPr>
              <rFont val="Calibri"/>
              <i val="1"/>
              <color rgb="002B2B2B"/>
              <sz val="10"/>
              <vertAlign val="subscript"/>
            </rPr>
            <t>Q,k</t>
          </r>
        </is>
      </c>
      <c r="E52" s="31" t="n">
        <v>40</v>
      </c>
      <c r="F52" s="28" t="inlineStr">
        <is>
          <t>kNm</t>
        </is>
      </c>
      <c r="G52" s="23" t="n"/>
    </row>
    <row r="53" ht="17" customHeight="1">
      <c r="B53" s="26" t="inlineStr">
        <is>
          <t>EN 1990 A1.2(B)</t>
        </is>
      </c>
      <c r="C53" s="24" t="inlineStr">
        <is>
          <t>Partial factor, permanent</t>
        </is>
      </c>
      <c r="D53" s="27" t="inlineStr">
        <is>
          <r>
            <rPr>
              <rFont val="Calibri"/>
              <i val="1"/>
              <color rgb="002B2B2B"/>
              <sz val="10"/>
            </rPr>
            <t>γ</t>
          </r>
          <r>
            <rPr>
              <rFont val="Calibri"/>
              <i val="1"/>
              <color rgb="002B2B2B"/>
              <sz val="10"/>
              <vertAlign val="subscript"/>
            </rPr>
            <t>G</t>
          </r>
        </is>
      </c>
      <c r="E53" s="32" t="n">
        <v>1.35</v>
      </c>
      <c r="F53" s="23" t="n"/>
      <c r="G53" s="23" t="n"/>
    </row>
    <row r="54" ht="17" customHeight="1">
      <c r="B54" s="26" t="inlineStr">
        <is>
          <t>EN 1990 A1.2(B)</t>
        </is>
      </c>
      <c r="C54" s="24" t="inlineStr">
        <is>
          <t>Partial factor, variable</t>
        </is>
      </c>
      <c r="D54" s="27" t="inlineStr">
        <is>
          <r>
            <rPr>
              <rFont val="Calibri"/>
              <i val="1"/>
              <color rgb="002B2B2B"/>
              <sz val="10"/>
            </rPr>
            <t>γ</t>
          </r>
          <r>
            <rPr>
              <rFont val="Calibri"/>
              <i val="1"/>
              <color rgb="002B2B2B"/>
              <sz val="10"/>
              <vertAlign val="subscript"/>
            </rPr>
            <t>Q</t>
          </r>
        </is>
      </c>
      <c r="E54" s="32" t="n">
        <v>1.5</v>
      </c>
      <c r="F54" s="23" t="n"/>
      <c r="G54" s="23" t="n"/>
    </row>
    <row r="55" ht="17" customHeight="1">
      <c r="B55" s="23" t="n"/>
      <c r="C55" s="24" t="inlineStr">
        <is>
          <t>Depth of backfill over the footing</t>
        </is>
      </c>
      <c r="D55" s="27" t="inlineStr">
        <is>
          <r>
            <rPr>
              <rFont val="Calibri"/>
              <i val="1"/>
              <color rgb="002B2B2B"/>
              <sz val="10"/>
            </rPr>
            <t>D</t>
          </r>
          <r>
            <rPr>
              <rFont val="Calibri"/>
              <i val="1"/>
              <color rgb="002B2B2B"/>
              <sz val="10"/>
              <vertAlign val="subscript"/>
            </rPr>
            <t>s</t>
          </r>
        </is>
      </c>
      <c r="E55" s="25" t="n">
        <v>500</v>
      </c>
      <c r="F55" s="28" t="inlineStr">
        <is>
          <t>mm</t>
        </is>
      </c>
      <c r="G55" s="23" t="n"/>
    </row>
    <row r="56" ht="17" customHeight="1">
      <c r="B56" s="23" t="n"/>
      <c r="C56" s="24" t="inlineStr">
        <is>
          <t>Unit weight of backfill</t>
        </is>
      </c>
      <c r="D56" s="27" t="inlineStr">
        <is>
          <r>
            <rPr>
              <rFont val="Calibri"/>
              <i val="1"/>
              <color rgb="002B2B2B"/>
              <sz val="10"/>
            </rPr>
            <t>γ</t>
          </r>
          <r>
            <rPr>
              <rFont val="Calibri"/>
              <i val="1"/>
              <color rgb="002B2B2B"/>
              <sz val="10"/>
              <vertAlign val="subscript"/>
            </rPr>
            <t>soil</t>
          </r>
        </is>
      </c>
      <c r="E56" s="31" t="n">
        <v>18</v>
      </c>
      <c r="F56" s="28" t="inlineStr">
        <is>
          <t>kN/m³</t>
        </is>
      </c>
      <c r="G56" s="23" t="n"/>
    </row>
    <row r="57" ht="17" customHeight="1">
      <c r="B57" s="23" t="n"/>
      <c r="C57" s="24" t="inlineStr">
        <is>
          <t>Allowable gross bearing pressure</t>
        </is>
      </c>
      <c r="D57" s="27" t="inlineStr">
        <is>
          <r>
            <rPr>
              <rFont val="Calibri"/>
              <i val="1"/>
              <color rgb="002B2B2B"/>
              <sz val="10"/>
            </rPr>
            <t>q</t>
          </r>
          <r>
            <rPr>
              <rFont val="Calibri"/>
              <i val="1"/>
              <color rgb="002B2B2B"/>
              <sz val="10"/>
              <vertAlign val="subscript"/>
            </rPr>
            <t>allow</t>
          </r>
        </is>
      </c>
      <c r="E57" s="30" t="n">
        <v>250</v>
      </c>
      <c r="F57" s="28" t="inlineStr">
        <is>
          <t>kPa</t>
        </is>
      </c>
      <c r="G57" s="26" t="inlineStr">
        <is>
          <t>From the ground investigation</t>
        </is>
      </c>
    </row>
    <row r="58" ht="17" customHeight="1">
      <c r="B58" s="23" t="n"/>
      <c r="C58" s="24" t="inlineStr">
        <is>
          <t>Inputs valid and consistent</t>
        </is>
      </c>
      <c r="D58" s="23" t="n"/>
      <c r="E58" s="9" t="n"/>
      <c r="F58" s="23" t="n"/>
      <c r="G58" s="33">
        <f>IF(inputs_ok,"OK","FAIL")</f>
        <v/>
      </c>
    </row>
    <row r="60">
      <c r="B60" s="29" t="inlineStr">
        <is>
          <t>Section along x  ·  gross ULS contact pressure incl. footing and backfill (shape to scale, ordinates not)</t>
        </is>
      </c>
    </row>
    <row r="78" ht="22" customHeight="1">
      <c r="B78" s="20" t="inlineStr">
        <is>
          <t>Results</t>
        </is>
      </c>
      <c r="C78" s="21" t="n"/>
      <c r="D78" s="21" t="n"/>
      <c r="E78" s="21" t="n"/>
      <c r="F78" s="21" t="n"/>
      <c r="G78" s="21" t="n"/>
    </row>
    <row r="79" ht="26" customHeight="1">
      <c r="B79" s="34" t="n"/>
      <c r="C79" s="35" t="inlineStr">
        <is>
          <t>Bearing pressure, characteristic  q / q_allow</t>
        </is>
      </c>
      <c r="D79" s="36" t="inlineStr">
        <is>
          <r>
            <rPr>
              <rFont val="Calibri"/>
              <i val="1"/>
              <color rgb="002B2B2B"/>
              <sz val="11"/>
            </rPr>
            <t>q</t>
          </r>
          <r>
            <rPr>
              <rFont val="Calibri"/>
              <i val="1"/>
              <color rgb="002B2B2B"/>
              <sz val="11"/>
              <vertAlign val="subscript"/>
            </rPr>
            <t>max</t>
          </r>
        </is>
      </c>
      <c r="E79" s="37">
        <f>q_maxk/q_allow</f>
        <v/>
      </c>
      <c r="F79" s="38" t="inlineStr"/>
      <c r="G79" s="39">
        <f>IF(NOT(inputs_ok),"FAIL",IF(e_k&lt;=L_f/3,IF(q_maxk&lt;=q_allow,"OK","FAIL"),"FAIL"))</f>
        <v/>
      </c>
    </row>
    <row r="80" ht="26" customHeight="1">
      <c r="B80" s="34" t="n"/>
      <c r="C80" s="35" t="inlineStr">
        <is>
          <t>Eccentricity, characteristic  e / L</t>
        </is>
      </c>
      <c r="D80" s="36" t="inlineStr">
        <is>
          <r>
            <rPr>
              <rFont val="Calibri"/>
              <i val="1"/>
              <color rgb="002B2B2B"/>
              <sz val="11"/>
            </rPr>
            <t>e</t>
          </r>
        </is>
      </c>
      <c r="E80" s="40">
        <f>e_k/L_f</f>
        <v/>
      </c>
      <c r="F80" s="38" t="inlineStr"/>
      <c r="G80" s="39">
        <f>IF(NOT(inputs_ok),"FAIL",IF(e_k&lt;=L_f/6,"OK",IF(e_k&lt;=L_f/3,"! Partial contact","FAIL")))</f>
        <v/>
      </c>
    </row>
    <row r="81" ht="26" customHeight="1">
      <c r="B81" s="34" t="n"/>
      <c r="C81" s="35" t="inlineStr">
        <is>
          <t>Bending, bars spanning x  As,prov / As,req</t>
        </is>
      </c>
      <c r="D81" s="36" t="inlineStr">
        <is>
          <r>
            <rPr>
              <rFont val="Calibri"/>
              <i val="1"/>
              <color rgb="002B2B2B"/>
              <sz val="11"/>
            </rPr>
            <t>A</t>
          </r>
          <r>
            <rPr>
              <rFont val="Calibri"/>
              <i val="1"/>
              <color rgb="002B2B2B"/>
              <sz val="11"/>
              <vertAlign val="subscript"/>
            </rPr>
            <t>s,x</t>
          </r>
        </is>
      </c>
      <c r="E81" s="37">
        <f>IF(uls_ok,IFERROR(As_provx/MAX(As_reqx,As_minx),"–"),"–")</f>
        <v/>
      </c>
      <c r="F81" s="38" t="inlineStr"/>
      <c r="G81" s="39">
        <f>IF(NOT(inputs_ok),"FAIL",IF(bendx_ok,"OK","FAIL"))</f>
        <v/>
      </c>
    </row>
    <row r="82" ht="26" customHeight="1">
      <c r="B82" s="34" t="n"/>
      <c r="C82" s="35" t="inlineStr">
        <is>
          <t>Bending, bars spanning y  As,prov / As,req</t>
        </is>
      </c>
      <c r="D82" s="36" t="inlineStr">
        <is>
          <r>
            <rPr>
              <rFont val="Calibri"/>
              <i val="1"/>
              <color rgb="002B2B2B"/>
              <sz val="11"/>
            </rPr>
            <t>A</t>
          </r>
          <r>
            <rPr>
              <rFont val="Calibri"/>
              <i val="1"/>
              <color rgb="002B2B2B"/>
              <sz val="11"/>
              <vertAlign val="subscript"/>
            </rPr>
            <t>s,y</t>
          </r>
        </is>
      </c>
      <c r="E82" s="37">
        <f>IF(uls_ok,IFERROR(As_provy/MAX(As_reqy,As_miny),"–"),"–")</f>
        <v/>
      </c>
      <c r="F82" s="38" t="inlineStr"/>
      <c r="G82" s="39">
        <f>IF(NOT(inputs_ok),"FAIL",IF(bendy_ok,"OK","FAIL"))</f>
        <v/>
      </c>
    </row>
    <row r="83" ht="26" customHeight="1">
      <c r="B83" s="34" t="n"/>
      <c r="C83" s="35" t="inlineStr">
        <is>
          <t>Top face: hogging moment at a column face</t>
        </is>
      </c>
      <c r="D83" s="36" t="inlineStr">
        <is>
          <r>
            <rPr>
              <rFont val="Calibri"/>
              <i val="1"/>
              <color rgb="002B2B2B"/>
              <sz val="11"/>
            </rPr>
            <t>M</t>
          </r>
          <r>
            <rPr>
              <rFont val="Calibri"/>
              <i val="1"/>
              <color rgb="002B2B2B"/>
              <sz val="11"/>
              <vertAlign val="subscript"/>
            </rPr>
            <t>top</t>
          </r>
        </is>
      </c>
      <c r="E83" s="41">
        <f>IF(uls_ok,IFERROR(M_top,"–"),"–")</f>
        <v/>
      </c>
      <c r="F83" s="38" t="inlineStr">
        <is>
          <t>kNm</t>
        </is>
      </c>
      <c r="G83" s="39">
        <f>IF(NOT(inputs_ok),"FAIL",IF(NOT(uls_ok),"FAIL",IF(M_top&lt;0,"! Top bars needed","OK")))</f>
        <v/>
      </c>
    </row>
    <row r="84" ht="26" customHeight="1">
      <c r="B84" s="34" t="n"/>
      <c r="C84" s="35" t="inlineStr">
        <is>
          <t>One-way shear at d  VEd / VRd,c  (worse direction)</t>
        </is>
      </c>
      <c r="D84" s="34" t="n"/>
      <c r="E84" s="37">
        <f>IF(uls_ok,IFERROR(MAX(V_Edx/V_Rdx,V_Edy/V_Rdy),"–"),"–")</f>
        <v/>
      </c>
      <c r="F84" s="38" t="inlineStr"/>
      <c r="G84" s="39">
        <f>IF(NOT(inputs_ok),"FAIL",IF(NOT(uls_ok),"FAIL",IF(AND(V_Edx&lt;=V_Rdx,V_Edy&lt;=V_Rdy),"OK","FAIL")))</f>
        <v/>
      </c>
    </row>
    <row r="85" ht="26" customHeight="1">
      <c r="B85" s="34" t="n"/>
      <c r="C85" s="35" t="inlineStr">
        <is>
          <t>Punching  vEd / vRd at the critical perimeter</t>
        </is>
      </c>
      <c r="D85" s="34" t="n"/>
      <c r="E85" s="37">
        <f>IF(AND(uls_ok,punch_any),punch_util,"–")</f>
        <v/>
      </c>
      <c r="F85" s="38" t="inlineStr"/>
      <c r="G85" s="39">
        <f>IF(NOT(inputs_ok),"FAIL",IF(NOT(uls_ok),"FAIL",IF(v_Ed0&gt;v_Rdmax,"FAIL",IF(NOT(punch_any),"! No perimeter inside",IF(punch_util&gt;1,"FAIL",IF(punch_edge,"! Some perimeters not checked","OK"))))))</f>
        <v/>
      </c>
    </row>
    <row r="86" ht="54" customHeight="1">
      <c r="B86" s="42" t="inlineStr">
        <is>
          <t>Punching perimeters run around the column, to one edge or to a corner of the base, whichever is shortest (6.4.2(4)); perimeters reaching two opposite edges are left to the one-way shear check and flagged. Bars are taken as spread uniformly over the footing. Where the footing is much wider than the column, consider concentrating bars near the column. Anchor the bars to 9.8.2.2 and provide starter bars to the column.</t>
        </is>
      </c>
    </row>
    <row r="88" ht="22" customHeight="1">
      <c r="B88" s="20" t="inlineStr">
        <is>
          <t>Calculation  ·  bearing (characteristic)</t>
        </is>
      </c>
      <c r="C88" s="21" t="n"/>
      <c r="D88" s="21" t="n"/>
      <c r="E88" s="21" t="n"/>
      <c r="F88" s="21" t="n"/>
      <c r="G88" s="21" t="n"/>
    </row>
    <row r="89" ht="17" customHeight="1">
      <c r="B89" s="26" t="inlineStr">
        <is>
          <t>8.2(2)</t>
        </is>
      </c>
      <c r="C89" s="24" t="inlineStr">
        <is>
          <t>Minimum clear gap between bars  max(φx; φy; dg + 5; 20)</t>
        </is>
      </c>
      <c r="D89" s="27" t="inlineStr">
        <is>
          <r>
            <rPr>
              <rFont val="Calibri"/>
              <i val="1"/>
              <color rgb="002B2B2B"/>
              <sz val="10"/>
            </rPr>
            <t>a</t>
          </r>
          <r>
            <rPr>
              <rFont val="Calibri"/>
              <i val="1"/>
              <color rgb="002B2B2B"/>
              <sz val="10"/>
              <vertAlign val="subscript"/>
            </rPr>
            <t>min</t>
          </r>
        </is>
      </c>
      <c r="E89" s="43">
        <f>MAX(phi_x,phi_y,d_g+5,20)</f>
        <v/>
      </c>
      <c r="F89" s="28" t="inlineStr">
        <is>
          <t>mm</t>
        </is>
      </c>
      <c r="G89" s="23" t="n"/>
    </row>
    <row r="90" ht="17" customHeight="1">
      <c r="B90" s="26" t="inlineStr">
        <is>
          <t>8.2(2)</t>
        </is>
      </c>
      <c r="C90" s="24" t="inlineStr">
        <is>
          <t>Clear gap, x bars  sx − φx</t>
        </is>
      </c>
      <c r="D90" s="23" t="n"/>
      <c r="E90" s="43">
        <f>s_x-phi_x</f>
        <v/>
      </c>
      <c r="F90" s="28" t="inlineStr">
        <is>
          <t>mm</t>
        </is>
      </c>
      <c r="G90" s="33">
        <f>IF(NOT(inputs_ok),"FAIL",IF(s_x-phi_x&gt;=gap_min,"OK","FAIL"))</f>
        <v/>
      </c>
    </row>
    <row r="91" ht="17" customHeight="1">
      <c r="B91" s="26" t="inlineStr">
        <is>
          <t>8.2(2)</t>
        </is>
      </c>
      <c r="C91" s="24" t="inlineStr">
        <is>
          <t>Clear gap, y bars  sy − φy</t>
        </is>
      </c>
      <c r="D91" s="23" t="n"/>
      <c r="E91" s="43">
        <f>s_y-phi_y</f>
        <v/>
      </c>
      <c r="F91" s="28" t="inlineStr">
        <is>
          <t>mm</t>
        </is>
      </c>
      <c r="G91" s="33">
        <f>IF(NOT(inputs_ok),"FAIL",IF(s_y-phi_y&gt;=gap_min,"OK","FAIL"))</f>
        <v/>
      </c>
    </row>
    <row r="92" ht="17" customHeight="1">
      <c r="B92" s="23" t="n"/>
      <c r="C92" s="24" t="inlineStr">
        <is>
          <t>Self weight of footing  25 kN/m³ · L B h</t>
        </is>
      </c>
      <c r="D92" s="27" t="inlineStr">
        <is>
          <r>
            <rPr>
              <rFont val="Calibri"/>
              <i val="1"/>
              <color rgb="002B2B2B"/>
              <sz val="10"/>
            </rPr>
            <t>W</t>
          </r>
          <r>
            <rPr>
              <rFont val="Calibri"/>
              <i val="1"/>
              <color rgb="002B2B2B"/>
              <sz val="10"/>
              <vertAlign val="subscript"/>
            </rPr>
            <t>f</t>
          </r>
        </is>
      </c>
      <c r="E92" s="44">
        <f>25*L_f*B_f*h_f/1E9</f>
        <v/>
      </c>
      <c r="F92" s="28" t="inlineStr">
        <is>
          <t>kN</t>
        </is>
      </c>
      <c r="G92" s="23" t="n"/>
    </row>
    <row r="93" ht="17" customHeight="1">
      <c r="B93" s="23" t="n"/>
      <c r="C93" s="24" t="inlineStr">
        <is>
          <t>Backfill over the footing  γsoil (L B − cx cy) Ds</t>
        </is>
      </c>
      <c r="D93" s="27" t="inlineStr">
        <is>
          <r>
            <rPr>
              <rFont val="Calibri"/>
              <i val="1"/>
              <color rgb="002B2B2B"/>
              <sz val="10"/>
            </rPr>
            <t>W</t>
          </r>
          <r>
            <rPr>
              <rFont val="Calibri"/>
              <i val="1"/>
              <color rgb="002B2B2B"/>
              <sz val="10"/>
              <vertAlign val="subscript"/>
            </rPr>
            <t>s</t>
          </r>
        </is>
      </c>
      <c r="E93" s="44">
        <f>gamma_soil*(L_f*B_f-c_x*c_y)*D_s/1E9</f>
        <v/>
      </c>
      <c r="F93" s="28" t="inlineStr">
        <is>
          <t>kN</t>
        </is>
      </c>
      <c r="G93" s="23" t="n"/>
    </row>
    <row r="94" ht="17" customHeight="1">
      <c r="B94" s="23" t="n"/>
      <c r="C94" s="24" t="inlineStr">
        <is>
          <t>Moment of the backfill (none over the column)  −γsoil cx cy Ds ox</t>
        </is>
      </c>
      <c r="D94" s="27" t="inlineStr">
        <is>
          <r>
            <rPr>
              <rFont val="Calibri"/>
              <i val="1"/>
              <color rgb="002B2B2B"/>
              <sz val="10"/>
            </rPr>
            <t>M</t>
          </r>
          <r>
            <rPr>
              <rFont val="Calibri"/>
              <i val="1"/>
              <color rgb="002B2B2B"/>
              <sz val="10"/>
              <vertAlign val="subscript"/>
            </rPr>
            <t>ws</t>
          </r>
        </is>
      </c>
      <c r="E94" s="45">
        <f>-gamma_soil*c_x*c_y*D_s/1E9*o_x/1000</f>
        <v/>
      </c>
      <c r="F94" s="28" t="inlineStr">
        <is>
          <t>kNm</t>
        </is>
      </c>
      <c r="G94" s="23" t="n"/>
    </row>
    <row r="95" ht="17" customHeight="1">
      <c r="B95" s="23" t="n"/>
      <c r="C95" s="24" t="inlineStr">
        <is>
          <t>Total vertical load at the base  Gk + Qk + Wf + Ws</t>
        </is>
      </c>
      <c r="D95" s="27" t="inlineStr">
        <is>
          <r>
            <rPr>
              <rFont val="Calibri"/>
              <i val="1"/>
              <color rgb="002B2B2B"/>
              <sz val="10"/>
            </rPr>
            <t>N</t>
          </r>
          <r>
            <rPr>
              <rFont val="Calibri"/>
              <i val="1"/>
              <color rgb="002B2B2B"/>
              <sz val="10"/>
              <vertAlign val="subscript"/>
            </rPr>
            <t>k</t>
          </r>
        </is>
      </c>
      <c r="E95" s="44">
        <f>G_k+Q_k+W_f+W_s</f>
        <v/>
      </c>
      <c r="F95" s="28" t="inlineStr">
        <is>
          <t>kN</t>
        </is>
      </c>
      <c r="G95" s="23" t="n"/>
    </row>
    <row r="96" ht="17" customHeight="1">
      <c r="B96" s="23" t="n"/>
      <c r="C96" s="24" t="inlineStr">
        <is>
          <t>Moment about the base centre  MG,k + MQ,k + (Gk + Qk) ox + Mws</t>
        </is>
      </c>
      <c r="D96" s="27" t="inlineStr">
        <is>
          <r>
            <rPr>
              <rFont val="Calibri"/>
              <i val="1"/>
              <color rgb="002B2B2B"/>
              <sz val="10"/>
            </rPr>
            <t>M</t>
          </r>
          <r>
            <rPr>
              <rFont val="Calibri"/>
              <i val="1"/>
              <color rgb="002B2B2B"/>
              <sz val="10"/>
              <vertAlign val="subscript"/>
            </rPr>
            <t>k</t>
          </r>
        </is>
      </c>
      <c r="E96" s="44">
        <f>M_Gk+M_Qk+(G_k+Q_k)*o_x/1000+M_ws</f>
        <v/>
      </c>
      <c r="F96" s="28" t="inlineStr">
        <is>
          <t>kNm</t>
        </is>
      </c>
      <c r="G96" s="23" t="n"/>
    </row>
    <row r="97" ht="17" customHeight="1">
      <c r="B97" s="23" t="n"/>
      <c r="C97" s="24" t="inlineStr">
        <is>
          <t>Eccentricity  |Mk| / Nk</t>
        </is>
      </c>
      <c r="D97" s="27" t="inlineStr">
        <is>
          <r>
            <rPr>
              <rFont val="Calibri"/>
              <i val="1"/>
              <color rgb="002B2B2B"/>
              <sz val="10"/>
            </rPr>
            <t>e</t>
          </r>
          <r>
            <rPr>
              <rFont val="Calibri"/>
              <i val="1"/>
              <color rgb="002B2B2B"/>
              <sz val="10"/>
              <vertAlign val="subscript"/>
            </rPr>
            <t>k</t>
          </r>
        </is>
      </c>
      <c r="E97" s="43">
        <f>ABS(M_k)/N_k*1000</f>
        <v/>
      </c>
      <c r="F97" s="28" t="inlineStr">
        <is>
          <t>mm</t>
        </is>
      </c>
      <c r="G97" s="23" t="n"/>
    </row>
    <row r="98" ht="17" customHeight="1">
      <c r="B98" s="23" t="n"/>
      <c r="C98" s="24" t="inlineStr">
        <is>
          <t>Maximum pressure  (e ≤ L/6: N/(BL)(1 + 6e/L); else 2N / (3B(L/2 − e)))</t>
        </is>
      </c>
      <c r="D98" s="27" t="inlineStr">
        <is>
          <r>
            <rPr>
              <rFont val="Calibri"/>
              <i val="1"/>
              <color rgb="002B2B2B"/>
              <sz val="10"/>
            </rPr>
            <t>q</t>
          </r>
          <r>
            <rPr>
              <rFont val="Calibri"/>
              <i val="1"/>
              <color rgb="002B2B2B"/>
              <sz val="10"/>
              <vertAlign val="subscript"/>
            </rPr>
            <t>max</t>
          </r>
        </is>
      </c>
      <c r="E98" s="46">
        <f>IF(e_k&gt;=L_f/2,NA(),IF(e_k&lt;=L_f/6,N_k/(L_f*B_f)*1E6*(1+6*e_k/L_f),2*N_k/(3*B_f*(L_f/2-e_k))*1E6))</f>
        <v/>
      </c>
      <c r="F98" s="28" t="inlineStr">
        <is>
          <t>kPa</t>
        </is>
      </c>
      <c r="G98" s="23" t="n"/>
    </row>
    <row r="99" ht="17" customHeight="1">
      <c r="B99" s="23" t="n"/>
      <c r="C99" s="24" t="inlineStr">
        <is>
          <t>Maximum pressure against the allowable</t>
        </is>
      </c>
      <c r="D99" s="27" t="inlineStr">
        <is>
          <r>
            <rPr>
              <rFont val="Calibri"/>
              <i val="1"/>
              <color rgb="002B2B2B"/>
              <sz val="10"/>
            </rPr>
            <t>q</t>
          </r>
          <r>
            <rPr>
              <rFont val="Calibri"/>
              <i val="1"/>
              <color rgb="002B2B2B"/>
              <sz val="10"/>
              <vertAlign val="subscript"/>
            </rPr>
            <t>allow</t>
          </r>
        </is>
      </c>
      <c r="E99" s="43">
        <f>q_allow</f>
        <v/>
      </c>
      <c r="F99" s="28" t="inlineStr">
        <is>
          <t>kPa</t>
        </is>
      </c>
      <c r="G99" s="33">
        <f>IF(NOT(inputs_ok),"FAIL",IF(AND(e_k&lt;=L_f/3,q_maxk&lt;=q_allow),"OK","FAIL"))</f>
        <v/>
      </c>
    </row>
    <row r="101" ht="22" customHeight="1">
      <c r="B101" s="20" t="inlineStr">
        <is>
          <t>Calculation  ·  ULS contact pressure</t>
        </is>
      </c>
      <c r="C101" s="21" t="n"/>
      <c r="D101" s="21" t="n"/>
      <c r="E101" s="21" t="n"/>
      <c r="F101" s="21" t="n"/>
      <c r="G101" s="21" t="n"/>
    </row>
    <row r="102" ht="17" customHeight="1">
      <c r="B102" s="26" t="inlineStr">
        <is>
          <t>2.4.2.4(1)</t>
        </is>
      </c>
      <c r="C102" s="24" t="inlineStr">
        <is>
          <t>Partial factor, concrete</t>
        </is>
      </c>
      <c r="D102" s="27" t="inlineStr">
        <is>
          <r>
            <rPr>
              <rFont val="Calibri"/>
              <i val="1"/>
              <color rgb="002B2B2B"/>
              <sz val="10"/>
            </rPr>
            <t>γ</t>
          </r>
          <r>
            <rPr>
              <rFont val="Calibri"/>
              <i val="1"/>
              <color rgb="002B2B2B"/>
              <sz val="10"/>
              <vertAlign val="subscript"/>
            </rPr>
            <t>c</t>
          </r>
        </is>
      </c>
      <c r="E102" s="45">
        <f>ndp_gamma_c</f>
        <v/>
      </c>
      <c r="F102" s="23" t="n"/>
      <c r="G102" s="26" t="inlineStr">
        <is>
          <t>NDP sheet</t>
        </is>
      </c>
    </row>
    <row r="103" ht="17" customHeight="1">
      <c r="B103" s="26" t="inlineStr">
        <is>
          <t>2.4.2.4(1)</t>
        </is>
      </c>
      <c r="C103" s="24" t="inlineStr">
        <is>
          <t>Partial factor, reinforcement</t>
        </is>
      </c>
      <c r="D103" s="27" t="inlineStr">
        <is>
          <r>
            <rPr>
              <rFont val="Calibri"/>
              <i val="1"/>
              <color rgb="002B2B2B"/>
              <sz val="10"/>
            </rPr>
            <t>γ</t>
          </r>
          <r>
            <rPr>
              <rFont val="Calibri"/>
              <i val="1"/>
              <color rgb="002B2B2B"/>
              <sz val="10"/>
              <vertAlign val="subscript"/>
            </rPr>
            <t>s</t>
          </r>
        </is>
      </c>
      <c r="E103" s="45">
        <f>ndp_gamma_s</f>
        <v/>
      </c>
      <c r="F103" s="23" t="n"/>
      <c r="G103" s="26" t="inlineStr">
        <is>
          <t>NDP sheet</t>
        </is>
      </c>
    </row>
    <row r="104" ht="17" customHeight="1">
      <c r="B104" s="26" t="inlineStr">
        <is>
          <t>3.1.6(1)</t>
        </is>
      </c>
      <c r="C104" s="24" t="inlineStr">
        <is>
          <t>Coefficient on compressive strength (flexure)</t>
        </is>
      </c>
      <c r="D104" s="27" t="inlineStr">
        <is>
          <r>
            <rPr>
              <rFont val="Calibri"/>
              <i val="1"/>
              <color rgb="002B2B2B"/>
              <sz val="10"/>
            </rPr>
            <t>α</t>
          </r>
          <r>
            <rPr>
              <rFont val="Calibri"/>
              <i val="1"/>
              <color rgb="002B2B2B"/>
              <sz val="10"/>
              <vertAlign val="subscript"/>
            </rPr>
            <t>cc</t>
          </r>
        </is>
      </c>
      <c r="E104" s="45">
        <f>ndp_alpha_cc</f>
        <v/>
      </c>
      <c r="F104" s="23" t="n"/>
      <c r="G104" s="26" t="inlineStr">
        <is>
          <t>NDP sheet</t>
        </is>
      </c>
    </row>
    <row r="105" ht="17" customHeight="1">
      <c r="B105" s="26" t="inlineStr">
        <is>
          <t>3.1.6(1)</t>
        </is>
      </c>
      <c r="C105" s="24" t="inlineStr">
        <is>
          <t>Coefficient on compressive strength (shear)</t>
        </is>
      </c>
      <c r="D105" s="27" t="inlineStr">
        <is>
          <r>
            <rPr>
              <rFont val="Calibri"/>
              <i val="1"/>
              <color rgb="002B2B2B"/>
              <sz val="10"/>
            </rPr>
            <t>α</t>
          </r>
          <r>
            <rPr>
              <rFont val="Calibri"/>
              <i val="1"/>
              <color rgb="002B2B2B"/>
              <sz val="10"/>
              <vertAlign val="subscript"/>
            </rPr>
            <t>cc</t>
          </r>
        </is>
      </c>
      <c r="E105" s="45">
        <f>ndp_alpha_cc_shear</f>
        <v/>
      </c>
      <c r="F105" s="23" t="n"/>
      <c r="G105" s="26" t="inlineStr">
        <is>
          <t>NDP sheet</t>
        </is>
      </c>
    </row>
    <row r="106" ht="17" customHeight="1">
      <c r="B106" s="26" t="inlineStr">
        <is>
          <t>6.2.2(1), 6.4.4(1)</t>
        </is>
      </c>
      <c r="C106" s="24" t="inlineStr">
        <is>
          <t>Coefficient  0.18 / γc</t>
        </is>
      </c>
      <c r="D106" s="27" t="inlineStr">
        <is>
          <r>
            <rPr>
              <rFont val="Calibri"/>
              <i val="1"/>
              <color rgb="002B2B2B"/>
              <sz val="10"/>
            </rPr>
            <t>C</t>
          </r>
          <r>
            <rPr>
              <rFont val="Calibri"/>
              <i val="1"/>
              <color rgb="002B2B2B"/>
              <sz val="10"/>
              <vertAlign val="subscript"/>
            </rPr>
            <t>Rd,c</t>
          </r>
        </is>
      </c>
      <c r="E106" s="47">
        <f>ndp_C_Rdc/ndp_gamma_c</f>
        <v/>
      </c>
      <c r="F106" s="23" t="n"/>
      <c r="G106" s="26" t="inlineStr">
        <is>
          <t>NDP sheet</t>
        </is>
      </c>
    </row>
    <row r="107" ht="17" customHeight="1">
      <c r="B107" s="26" t="inlineStr">
        <is>
          <t>6.4.5(3)</t>
        </is>
      </c>
      <c r="C107" s="24" t="inlineStr">
        <is>
          <t>Factor on ν fcd for vRd,max</t>
        </is>
      </c>
      <c r="D107" s="23" t="n"/>
      <c r="E107" s="45">
        <f>ndp_vmax</f>
        <v/>
      </c>
      <c r="F107" s="23" t="n"/>
      <c r="G107" s="26" t="inlineStr">
        <is>
          <t>NDP sheet</t>
        </is>
      </c>
    </row>
    <row r="108" ht="17" customHeight="1">
      <c r="B108" s="26" t="inlineStr">
        <is>
          <t>5.5(4)</t>
        </is>
      </c>
      <c r="C108" s="24" t="inlineStr">
        <is>
          <t>Coefficient for x/d limit</t>
        </is>
      </c>
      <c r="D108" s="27" t="inlineStr">
        <is>
          <r>
            <rPr>
              <rFont val="Calibri"/>
              <i val="1"/>
              <color rgb="002B2B2B"/>
              <sz val="10"/>
            </rPr>
            <t>k</t>
          </r>
          <r>
            <rPr>
              <rFont val="Calibri"/>
              <i val="1"/>
              <color rgb="002B2B2B"/>
              <sz val="10"/>
              <vertAlign val="subscript"/>
            </rPr>
            <t>1</t>
          </r>
        </is>
      </c>
      <c r="E108" s="45">
        <f>ndp_k1_red</f>
        <v/>
      </c>
      <c r="F108" s="23" t="n"/>
      <c r="G108" s="26" t="inlineStr">
        <is>
          <t>NDP sheet</t>
        </is>
      </c>
    </row>
    <row r="109" ht="17" customHeight="1">
      <c r="B109" s="26" t="inlineStr">
        <is>
          <t>5.5(4)</t>
        </is>
      </c>
      <c r="C109" s="24" t="inlineStr">
        <is>
          <t>Coefficient for x/d limit</t>
        </is>
      </c>
      <c r="D109" s="27" t="inlineStr">
        <is>
          <r>
            <rPr>
              <rFont val="Calibri"/>
              <i val="1"/>
              <color rgb="002B2B2B"/>
              <sz val="10"/>
            </rPr>
            <t>k</t>
          </r>
          <r>
            <rPr>
              <rFont val="Calibri"/>
              <i val="1"/>
              <color rgb="002B2B2B"/>
              <sz val="10"/>
              <vertAlign val="subscript"/>
            </rPr>
            <t>2</t>
          </r>
        </is>
      </c>
      <c r="E109" s="45">
        <f>ndp_k2_red</f>
        <v/>
      </c>
      <c r="F109" s="23" t="n"/>
      <c r="G109" s="26" t="inlineStr">
        <is>
          <t>NDP sheet</t>
        </is>
      </c>
    </row>
    <row r="110" ht="17" customHeight="1">
      <c r="B110" s="26" t="inlineStr">
        <is>
          <t>Table 3.1</t>
        </is>
      </c>
      <c r="C110" s="24" t="inlineStr">
        <is>
          <t>Characteristic cylinder strength</t>
        </is>
      </c>
      <c r="D110" s="27" t="inlineStr">
        <is>
          <r>
            <rPr>
              <rFont val="Calibri"/>
              <i val="1"/>
              <color rgb="002B2B2B"/>
              <sz val="10"/>
            </rPr>
            <t>f</t>
          </r>
          <r>
            <rPr>
              <rFont val="Calibri"/>
              <i val="1"/>
              <color rgb="002B2B2B"/>
              <sz val="10"/>
              <vertAlign val="subscript"/>
            </rPr>
            <t>ck</t>
          </r>
        </is>
      </c>
      <c r="E110" s="43">
        <f>VALUE(MID(conc_class,2,FIND("/",conc_class)-2))</f>
        <v/>
      </c>
      <c r="F110" s="28" t="inlineStr">
        <is>
          <t>MPa</t>
        </is>
      </c>
      <c r="G110" s="23" t="n"/>
    </row>
    <row r="111" ht="17" customHeight="1">
      <c r="B111" s="26" t="inlineStr">
        <is>
          <t>Table 3.1</t>
        </is>
      </c>
      <c r="C111" s="24" t="inlineStr">
        <is>
          <t>Mean tensile strength</t>
        </is>
      </c>
      <c r="D111" s="27" t="inlineStr">
        <is>
          <r>
            <rPr>
              <rFont val="Calibri"/>
              <i val="1"/>
              <color rgb="002B2B2B"/>
              <sz val="10"/>
            </rPr>
            <t>f</t>
          </r>
          <r>
            <rPr>
              <rFont val="Calibri"/>
              <i val="1"/>
              <color rgb="002B2B2B"/>
              <sz val="10"/>
              <vertAlign val="subscript"/>
            </rPr>
            <t>ctm</t>
          </r>
        </is>
      </c>
      <c r="E111" s="45">
        <f>IF(f_ck&lt;=50,0.3*f_ck^(2/3),2.12*LN(1+(f_ck+8)/10))</f>
        <v/>
      </c>
      <c r="F111" s="28" t="inlineStr">
        <is>
          <t>MPa</t>
        </is>
      </c>
      <c r="G111" s="23" t="n"/>
    </row>
    <row r="112" ht="17" customHeight="1">
      <c r="B112" s="26" t="inlineStr">
        <is>
          <t>EN 1990 (6.10)</t>
        </is>
      </c>
      <c r="C112" s="24" t="inlineStr">
        <is>
          <t>Design column load  γG Gk + γQ Qk</t>
        </is>
      </c>
      <c r="D112" s="27" t="inlineStr">
        <is>
          <r>
            <rPr>
              <rFont val="Calibri"/>
              <i val="1"/>
              <color rgb="002B2B2B"/>
              <sz val="10"/>
            </rPr>
            <t>N</t>
          </r>
          <r>
            <rPr>
              <rFont val="Calibri"/>
              <i val="1"/>
              <color rgb="002B2B2B"/>
              <sz val="10"/>
              <vertAlign val="subscript"/>
            </rPr>
            <t>Ed</t>
          </r>
        </is>
      </c>
      <c r="E112" s="44">
        <f>gamma_G*G_k+gamma_Q*Q_k</f>
        <v/>
      </c>
      <c r="F112" s="28" t="inlineStr">
        <is>
          <t>kN</t>
        </is>
      </c>
      <c r="G112" s="23" t="n"/>
    </row>
    <row r="113" ht="17" customHeight="1">
      <c r="B113" s="26" t="inlineStr">
        <is>
          <t>EN 1990 (6.10)</t>
        </is>
      </c>
      <c r="C113" s="24" t="inlineStr">
        <is>
          <t>Design column moment  γG MG,k + γQ MQ,k</t>
        </is>
      </c>
      <c r="D113" s="27" t="inlineStr">
        <is>
          <r>
            <rPr>
              <rFont val="Calibri"/>
              <i val="1"/>
              <color rgb="002B2B2B"/>
              <sz val="10"/>
            </rPr>
            <t>M</t>
          </r>
          <r>
            <rPr>
              <rFont val="Calibri"/>
              <i val="1"/>
              <color rgb="002B2B2B"/>
              <sz val="10"/>
              <vertAlign val="subscript"/>
            </rPr>
            <t>Ed</t>
          </r>
        </is>
      </c>
      <c r="E113" s="44">
        <f>gamma_G*M_Gk+gamma_Q*M_Qk</f>
        <v/>
      </c>
      <c r="F113" s="28" t="inlineStr">
        <is>
          <t>kNm</t>
        </is>
      </c>
      <c r="G113" s="23" t="n"/>
    </row>
    <row r="114" ht="17" customHeight="1">
      <c r="B114" s="23" t="n"/>
      <c r="C114" s="24" t="inlineStr">
        <is>
          <t>Downward load of footing and backfill  γG (25 h + γsoil Ds)</t>
        </is>
      </c>
      <c r="D114" s="27" t="inlineStr">
        <is>
          <r>
            <rPr>
              <rFont val="Calibri"/>
              <i val="1"/>
              <color rgb="002B2B2B"/>
              <sz val="10"/>
            </rPr>
            <t>w</t>
          </r>
          <r>
            <rPr>
              <rFont val="Calibri"/>
              <i val="1"/>
              <color rgb="002B2B2B"/>
              <sz val="10"/>
              <vertAlign val="subscript"/>
            </rPr>
            <t>d</t>
          </r>
        </is>
      </c>
      <c r="E114" s="44">
        <f>gamma_G*(25*h_f+gamma_soil*D_s)/1000</f>
        <v/>
      </c>
      <c r="F114" s="28" t="inlineStr">
        <is>
          <t>kPa</t>
        </is>
      </c>
      <c r="G114" s="23" t="n"/>
    </row>
    <row r="115" ht="17" customHeight="1">
      <c r="B115" s="23" t="n"/>
      <c r="C115" s="24" t="inlineStr">
        <is>
          <t>Total design load at the base  NEd + γG (Wf + Ws)</t>
        </is>
      </c>
      <c r="D115" s="27" t="inlineStr">
        <is>
          <r>
            <rPr>
              <rFont val="Calibri"/>
              <i val="1"/>
              <color rgb="002B2B2B"/>
              <sz val="10"/>
            </rPr>
            <t>N</t>
          </r>
          <r>
            <rPr>
              <rFont val="Calibri"/>
              <i val="1"/>
              <color rgb="002B2B2B"/>
              <sz val="10"/>
              <vertAlign val="subscript"/>
            </rPr>
            <t>t</t>
          </r>
        </is>
      </c>
      <c r="E115" s="44">
        <f>N_Ed+gamma_G*(W_f+W_s)</f>
        <v/>
      </c>
      <c r="F115" s="28" t="inlineStr">
        <is>
          <t>kN</t>
        </is>
      </c>
      <c r="G115" s="23" t="n"/>
    </row>
    <row r="116" ht="17" customHeight="1">
      <c r="B116" s="23" t="n"/>
      <c r="C116" s="24" t="inlineStr">
        <is>
          <t>Moment about the base centre  MEd + NEd ox + γG Mws</t>
        </is>
      </c>
      <c r="D116" s="27" t="inlineStr">
        <is>
          <r>
            <rPr>
              <rFont val="Calibri"/>
              <i val="1"/>
              <color rgb="002B2B2B"/>
              <sz val="10"/>
            </rPr>
            <t>M</t>
          </r>
          <r>
            <rPr>
              <rFont val="Calibri"/>
              <i val="1"/>
              <color rgb="002B2B2B"/>
              <sz val="10"/>
              <vertAlign val="subscript"/>
            </rPr>
            <t>t</t>
          </r>
        </is>
      </c>
      <c r="E116" s="44">
        <f>M_Ed+N_Ed*o_x/1000+gamma_G*M_ws</f>
        <v/>
      </c>
      <c r="F116" s="28" t="inlineStr">
        <is>
          <t>kNm</t>
        </is>
      </c>
      <c r="G116" s="23" t="n"/>
    </row>
    <row r="117" ht="17" customHeight="1">
      <c r="B117" s="23" t="n"/>
      <c r="C117" s="24" t="inlineStr">
        <is>
          <t>Eccentricity  |Mt| / Nt</t>
        </is>
      </c>
      <c r="D117" s="27" t="inlineStr">
        <is>
          <r>
            <rPr>
              <rFont val="Calibri"/>
              <i val="1"/>
              <color rgb="002B2B2B"/>
              <sz val="10"/>
            </rPr>
            <t>e</t>
          </r>
          <r>
            <rPr>
              <rFont val="Calibri"/>
              <i val="1"/>
              <color rgb="002B2B2B"/>
              <sz val="10"/>
              <vertAlign val="subscript"/>
            </rPr>
            <t>d</t>
          </r>
        </is>
      </c>
      <c r="E117" s="43">
        <f>ABS(M_t)/N_t*1000</f>
        <v/>
      </c>
      <c r="F117" s="28" t="inlineStr">
        <is>
          <t>mm</t>
        </is>
      </c>
      <c r="G117" s="23" t="n"/>
    </row>
    <row r="118" ht="17" customHeight="1">
      <c r="B118" s="26" t="inlineStr">
        <is>
          <t>EN 1997-1 6.5.4</t>
        </is>
      </c>
      <c r="C118" s="24" t="inlineStr">
        <is>
          <t>Design eccentricity  e ≤ L/3  (beyond: special precautions, not covered)</t>
        </is>
      </c>
      <c r="D118" s="27" t="inlineStr">
        <is>
          <r>
            <rPr>
              <rFont val="Calibri"/>
              <i val="1"/>
              <color rgb="002B2B2B"/>
              <sz val="10"/>
            </rPr>
            <t>L/3</t>
          </r>
        </is>
      </c>
      <c r="E118" s="43">
        <f>L_f/3</f>
        <v/>
      </c>
      <c r="F118" s="28" t="inlineStr">
        <is>
          <t>mm</t>
        </is>
      </c>
      <c r="G118" s="33">
        <f>IF(NOT(inputs_ok),"FAIL",IF(e_d&lt;=L_f/3,"OK","FAIL"))</f>
        <v/>
      </c>
    </row>
    <row r="119" ht="41.5" customHeight="1">
      <c r="B119" s="42" t="inlineStr">
        <is>
          <t>Below, x is measured from the base centre in metres towards the more heavily loaded edge; a column offset against the moment is mirrored accordingly. Footing and backfill (factored by γG) are included in the contact pressure and subtracted again as the downward load w on the parts of the base that are checked.</t>
        </is>
      </c>
    </row>
    <row r="120" ht="17" customHeight="1">
      <c r="B120" s="23" t="n"/>
      <c r="C120" s="24" t="inlineStr">
        <is>
          <t>Column centre  ox, towards the heavier edge</t>
        </is>
      </c>
      <c r="D120" s="27" t="inlineStr">
        <is>
          <r>
            <rPr>
              <rFont val="Calibri"/>
              <i val="1"/>
              <color rgb="002B2B2B"/>
              <sz val="10"/>
            </rPr>
            <t>x</t>
          </r>
          <r>
            <rPr>
              <rFont val="Calibri"/>
              <i val="1"/>
              <color rgb="002B2B2B"/>
              <sz val="10"/>
              <vertAlign val="subscript"/>
            </rPr>
            <t>c</t>
          </r>
        </is>
      </c>
      <c r="E120" s="47">
        <f>g_sg*o_x/1000</f>
        <v/>
      </c>
      <c r="F120" s="28" t="inlineStr">
        <is>
          <t>m</t>
        </is>
      </c>
      <c r="G120" s="23" t="n"/>
    </row>
    <row r="121" ht="17" customHeight="1">
      <c r="B121" s="23" t="n"/>
      <c r="C121" s="24" t="inlineStr">
        <is>
          <t>Length in contact  (L, or 3(L/2 − e))</t>
        </is>
      </c>
      <c r="D121" s="27" t="inlineStr">
        <is>
          <r>
            <rPr>
              <rFont val="Calibri"/>
              <i val="1"/>
              <color rgb="002B2B2B"/>
              <sz val="10"/>
            </rPr>
            <t>L</t>
          </r>
          <r>
            <rPr>
              <rFont val="Calibri"/>
              <i val="1"/>
              <color rgb="002B2B2B"/>
              <sz val="10"/>
              <vertAlign val="subscript"/>
            </rPr>
            <t>c</t>
          </r>
        </is>
      </c>
      <c r="E121" s="47">
        <f>IF(e_d&lt;=L_f/6,L_m,3*(L_m/2-e_d/1000))</f>
        <v/>
      </c>
      <c r="F121" s="28" t="inlineStr">
        <is>
          <t>m</t>
        </is>
      </c>
      <c r="G121" s="23" t="n"/>
    </row>
    <row r="122" ht="17" customHeight="1">
      <c r="B122" s="23" t="n"/>
      <c r="C122" s="24" t="inlineStr">
        <is>
          <t>Maximum design pressure (gross)</t>
        </is>
      </c>
      <c r="D122" s="27" t="inlineStr">
        <is>
          <r>
            <rPr>
              <rFont val="Calibri"/>
              <i val="1"/>
              <color rgb="002B2B2B"/>
              <sz val="10"/>
            </rPr>
            <t>q</t>
          </r>
          <r>
            <rPr>
              <rFont val="Calibri"/>
              <i val="1"/>
              <color rgb="002B2B2B"/>
              <sz val="10"/>
              <vertAlign val="subscript"/>
            </rPr>
            <t>Ed,max</t>
          </r>
        </is>
      </c>
      <c r="E122" s="46">
        <f>IF(e_d&lt;=L_f/6,N_t/(B_m*L_m)*(1+6*e_d/L_f),2*N_t/(B_m*L_c))</f>
        <v/>
      </c>
      <c r="F122" s="28" t="inlineStr">
        <is>
          <t>kPa</t>
        </is>
      </c>
      <c r="G122" s="23" t="n"/>
    </row>
    <row r="123" ht="17" customHeight="1">
      <c r="B123" s="23" t="n"/>
      <c r="C123" s="24" t="inlineStr">
        <is>
          <t>Pressure gradient</t>
        </is>
      </c>
      <c r="D123" s="27" t="inlineStr">
        <is>
          <r>
            <rPr>
              <rFont val="Calibri"/>
              <i val="1"/>
              <color rgb="002B2B2B"/>
              <sz val="10"/>
            </rPr>
            <t>q</t>
          </r>
          <r>
            <rPr>
              <rFont val="Calibri"/>
              <i val="1"/>
              <color rgb="002B2B2B"/>
              <sz val="10"/>
              <vertAlign val="subscript"/>
            </rPr>
            <t>b</t>
          </r>
        </is>
      </c>
      <c r="E123" s="44">
        <f>IF(e_d&lt;=L_f/6,12*ABS(M_t)/(B_m*L_m^3),q_Ed/L_c)</f>
        <v/>
      </c>
      <c r="F123" s="28" t="inlineStr">
        <is>
          <t>kPa/m</t>
        </is>
      </c>
      <c r="G123" s="23" t="n"/>
    </row>
    <row r="124" ht="17" customHeight="1">
      <c r="B124" s="23" t="n"/>
      <c r="C124" s="24" t="inlineStr">
        <is>
          <t>Pressure at the base centre (linear)</t>
        </is>
      </c>
      <c r="D124" s="27" t="inlineStr">
        <is>
          <r>
            <rPr>
              <rFont val="Calibri"/>
              <i val="1"/>
              <color rgb="002B2B2B"/>
              <sz val="10"/>
            </rPr>
            <t>q</t>
          </r>
          <r>
            <rPr>
              <rFont val="Calibri"/>
              <i val="1"/>
              <color rgb="002B2B2B"/>
              <sz val="10"/>
              <vertAlign val="subscript"/>
            </rPr>
            <t>a</t>
          </r>
        </is>
      </c>
      <c r="E124" s="44">
        <f>q_Ed-q_b*L_m/2</f>
        <v/>
      </c>
      <c r="F124" s="28" t="inlineStr">
        <is>
          <t>kPa</t>
        </is>
      </c>
      <c r="G124" s="23" t="n"/>
    </row>
    <row r="125" ht="17" customHeight="1">
      <c r="B125" s="23" t="n"/>
      <c r="C125" s="24" t="inlineStr">
        <is>
          <t>Start of contact  x0 = L/2 − Lc</t>
        </is>
      </c>
      <c r="D125" s="27" t="inlineStr">
        <is>
          <r>
            <rPr>
              <rFont val="Calibri"/>
              <i val="1"/>
              <color rgb="002B2B2B"/>
              <sz val="10"/>
            </rPr>
            <t>x</t>
          </r>
          <r>
            <rPr>
              <rFont val="Calibri"/>
              <i val="1"/>
              <color rgb="002B2B2B"/>
              <sz val="10"/>
              <vertAlign val="subscript"/>
            </rPr>
            <t>0</t>
          </r>
        </is>
      </c>
      <c r="E125" s="47">
        <f>L_m/2-L_c</f>
        <v/>
      </c>
      <c r="F125" s="28" t="inlineStr">
        <is>
          <t>m</t>
        </is>
      </c>
      <c r="G125" s="23" t="n"/>
    </row>
    <row r="126" ht="17" customHeight="1">
      <c r="B126" s="23" t="n"/>
      <c r="C126" s="24" t="inlineStr">
        <is>
          <t>Minimum design pressure (gross)</t>
        </is>
      </c>
      <c r="D126" s="27" t="inlineStr">
        <is>
          <r>
            <rPr>
              <rFont val="Calibri"/>
              <i val="1"/>
              <color rgb="002B2B2B"/>
              <sz val="10"/>
            </rPr>
            <t>q</t>
          </r>
          <r>
            <rPr>
              <rFont val="Calibri"/>
              <i val="1"/>
              <color rgb="002B2B2B"/>
              <sz val="10"/>
              <vertAlign val="subscript"/>
            </rPr>
            <t>Ed,min</t>
          </r>
        </is>
      </c>
      <c r="E126" s="44">
        <f>MAX(0,q_a-q_b*L_m/2)</f>
        <v/>
      </c>
      <c r="F126" s="28" t="inlineStr">
        <is>
          <t>kPa</t>
        </is>
      </c>
      <c r="G126" s="23" t="n"/>
    </row>
    <row r="128" ht="22" customHeight="1">
      <c r="B128" s="20" t="inlineStr">
        <is>
          <t>Calculation  ·  bending</t>
        </is>
      </c>
      <c r="C128" s="21" t="n"/>
      <c r="D128" s="21" t="n"/>
      <c r="E128" s="21" t="n"/>
      <c r="F128" s="21" t="n"/>
      <c r="G128" s="21" t="n"/>
    </row>
    <row r="129" ht="17" customHeight="1">
      <c r="B129" s="23" t="n"/>
      <c r="C129" s="24" t="inlineStr">
        <is>
          <t>Effective depth, x bars  h − c − φx/2</t>
        </is>
      </c>
      <c r="D129" s="27" t="inlineStr">
        <is>
          <r>
            <rPr>
              <rFont val="Calibri"/>
              <i val="1"/>
              <color rgb="002B2B2B"/>
              <sz val="10"/>
            </rPr>
            <t>d</t>
          </r>
          <r>
            <rPr>
              <rFont val="Calibri"/>
              <i val="1"/>
              <color rgb="002B2B2B"/>
              <sz val="10"/>
              <vertAlign val="subscript"/>
            </rPr>
            <t>x</t>
          </r>
        </is>
      </c>
      <c r="E129" s="43">
        <f>h_f-c_nom-phi_x/2</f>
        <v/>
      </c>
      <c r="F129" s="28" t="inlineStr">
        <is>
          <t>mm</t>
        </is>
      </c>
      <c r="G129" s="23" t="n"/>
    </row>
    <row r="130" ht="17" customHeight="1">
      <c r="B130" s="23" t="n"/>
      <c r="C130" s="24" t="inlineStr">
        <is>
          <t>Effective depth, y bars  h − c − φx − φy/2</t>
        </is>
      </c>
      <c r="D130" s="27" t="inlineStr">
        <is>
          <r>
            <rPr>
              <rFont val="Calibri"/>
              <i val="1"/>
              <color rgb="002B2B2B"/>
              <sz val="10"/>
            </rPr>
            <t>d</t>
          </r>
          <r>
            <rPr>
              <rFont val="Calibri"/>
              <i val="1"/>
              <color rgb="002B2B2B"/>
              <sz val="10"/>
              <vertAlign val="subscript"/>
            </rPr>
            <t>y</t>
          </r>
        </is>
      </c>
      <c r="E130" s="43">
        <f>h_f-c_nom-phi_x-phi_y/2</f>
        <v/>
      </c>
      <c r="F130" s="28" t="inlineStr">
        <is>
          <t>mm</t>
        </is>
      </c>
      <c r="G130" s="23" t="n"/>
    </row>
    <row r="131" ht="17" customHeight="1">
      <c r="B131" s="23" t="n"/>
      <c r="C131" s="24" t="inlineStr">
        <is>
          <t>Column face on the heavier side</t>
        </is>
      </c>
      <c r="D131" s="27" t="inlineStr">
        <is>
          <r>
            <rPr>
              <rFont val="Calibri"/>
              <i val="1"/>
              <color rgb="002B2B2B"/>
              <sz val="10"/>
            </rPr>
            <t>x</t>
          </r>
          <r>
            <rPr>
              <rFont val="Calibri"/>
              <i val="1"/>
              <color rgb="002B2B2B"/>
              <sz val="10"/>
              <vertAlign val="subscript"/>
            </rPr>
            <t>R</t>
          </r>
        </is>
      </c>
      <c r="E131" s="47">
        <f>o_m+c_x/2000</f>
        <v/>
      </c>
      <c r="F131" s="28" t="inlineStr">
        <is>
          <t>m</t>
        </is>
      </c>
      <c r="G131" s="23" t="n"/>
    </row>
    <row r="132" ht="17" customHeight="1">
      <c r="B132" s="23" t="n"/>
      <c r="C132" s="24" t="inlineStr">
        <is>
          <t>Column face on the lighter side</t>
        </is>
      </c>
      <c r="D132" s="27" t="inlineStr">
        <is>
          <r>
            <rPr>
              <rFont val="Calibri"/>
              <i val="1"/>
              <color rgb="002B2B2B"/>
              <sz val="10"/>
            </rPr>
            <t>x</t>
          </r>
          <r>
            <rPr>
              <rFont val="Calibri"/>
              <i val="1"/>
              <color rgb="002B2B2B"/>
              <sz val="10"/>
              <vertAlign val="subscript"/>
            </rPr>
            <t>L</t>
          </r>
        </is>
      </c>
      <c r="E132" s="47">
        <f>o_m-c_x/2000</f>
        <v/>
      </c>
      <c r="F132" s="28" t="inlineStr">
        <is>
          <t>m</t>
        </is>
      </c>
      <c r="G132" s="23" t="n"/>
    </row>
    <row r="133" ht="17" customHeight="1">
      <c r="B133" s="23" t="n"/>
      <c r="C133" s="24" t="inlineStr">
        <is>
          <t>Moment at the face, heavier side  B ∫ (q − w)(x − xR) dx</t>
        </is>
      </c>
      <c r="D133" s="27" t="inlineStr">
        <is>
          <r>
            <rPr>
              <rFont val="Calibri"/>
              <i val="1"/>
              <color rgb="002B2B2B"/>
              <sz val="10"/>
            </rPr>
            <t>M</t>
          </r>
          <r>
            <rPr>
              <rFont val="Calibri"/>
              <i val="1"/>
              <color rgb="002B2B2B"/>
              <sz val="10"/>
              <vertAlign val="subscript"/>
            </rPr>
            <t>R</t>
          </r>
        </is>
      </c>
      <c r="E133" s="44">
        <f>B_m*(IF(MAX(x_R,x_0)&gt;=(L_m/2),0,q_a*((L_m/2)^2/2-MAX(x_R,x_0)^2/2-(x_R)*((L_m/2)-MAX(x_R,x_0)))+q_b*((L_m/2)^3/3-MAX(x_R,x_0)^3/3-(x_R)*((L_m/2)^2-MAX(x_R,x_0)^2)/2))-w_d*(L_m/2-x_R)^2/2)</f>
        <v/>
      </c>
      <c r="F133" s="28" t="inlineStr">
        <is>
          <t>kNm</t>
        </is>
      </c>
      <c r="G133" s="23" t="n"/>
    </row>
    <row r="134" ht="17" customHeight="1">
      <c r="B134" s="23" t="n"/>
      <c r="C134" s="24" t="inlineStr">
        <is>
          <t>Moment at the face, lighter side  B ∫ (q − w)(xL − x) dx</t>
        </is>
      </c>
      <c r="D134" s="27" t="inlineStr">
        <is>
          <r>
            <rPr>
              <rFont val="Calibri"/>
              <i val="1"/>
              <color rgb="002B2B2B"/>
              <sz val="10"/>
            </rPr>
            <t>M</t>
          </r>
          <r>
            <rPr>
              <rFont val="Calibri"/>
              <i val="1"/>
              <color rgb="002B2B2B"/>
              <sz val="10"/>
              <vertAlign val="subscript"/>
            </rPr>
            <t>L</t>
          </r>
        </is>
      </c>
      <c r="E134" s="44">
        <f>B_m*(IF(x_0&gt;=(x_L),0,q_a*((x_L)*((x_L)-x_0)-((x_L)^2-x_0^2)/2)+q_b*((x_L)*((x_L)^2-x_0^2)/2-((x_L)^3-x_0^3)/3))-w_d*(x_L+L_m/2)^2/2)</f>
        <v/>
      </c>
      <c r="F134" s="28" t="inlineStr">
        <is>
          <t>kNm</t>
        </is>
      </c>
      <c r="G134" s="23" t="n"/>
    </row>
    <row r="135" ht="17" customHeight="1">
      <c r="B135" s="23" t="n"/>
      <c r="C135" s="24" t="inlineStr">
        <is>
          <t>Design moment for x bars, bottom (whole width B)</t>
        </is>
      </c>
      <c r="D135" s="27" t="inlineStr">
        <is>
          <r>
            <rPr>
              <rFont val="Calibri"/>
              <i val="1"/>
              <color rgb="002B2B2B"/>
              <sz val="10"/>
            </rPr>
            <t>M</t>
          </r>
          <r>
            <rPr>
              <rFont val="Calibri"/>
              <i val="1"/>
              <color rgb="002B2B2B"/>
              <sz val="10"/>
              <vertAlign val="subscript"/>
            </rPr>
            <t>Ed,x</t>
          </r>
        </is>
      </c>
      <c r="E135" s="46">
        <f>MAX(M_R,M_L,0)</f>
        <v/>
      </c>
      <c r="F135" s="28" t="inlineStr">
        <is>
          <t>kNm</t>
        </is>
      </c>
      <c r="G135" s="23" t="n"/>
    </row>
    <row r="136" ht="17" customHeight="1">
      <c r="B136" s="23" t="n"/>
      <c r="C136" s="24" t="inlineStr">
        <is>
          <t>Zero shear between the light edge and the face (hogging extremum)</t>
        </is>
      </c>
      <c r="D136" s="27" t="inlineStr">
        <is>
          <r>
            <rPr>
              <rFont val="Calibri"/>
              <i val="1"/>
              <color rgb="002B2B2B"/>
              <sz val="10"/>
            </rPr>
            <t>x</t>
          </r>
          <r>
            <rPr>
              <rFont val="Calibri"/>
              <i val="1"/>
              <color rgb="002B2B2B"/>
              <sz val="10"/>
              <vertAlign val="subscript"/>
            </rPr>
            <t>s</t>
          </r>
        </is>
      </c>
      <c r="E136" s="47">
        <f>IF(tq_B+SQRT(tq_D)&gt;0,-2*tq_C/(tq_B+SQRT(tq_D)),x_L)</f>
        <v/>
      </c>
      <c r="F136" s="28" t="inlineStr">
        <is>
          <t>m</t>
        </is>
      </c>
      <c r="G136" s="23" t="n"/>
    </row>
    <row r="137" ht="17" customHeight="1">
      <c r="B137" s="23" t="n"/>
      <c r="C137" s="24" t="inlineStr">
        <is>
          <t>Moment there  (negative = top tension)</t>
        </is>
      </c>
      <c r="D137" s="27" t="inlineStr">
        <is>
          <r>
            <rPr>
              <rFont val="Calibri"/>
              <i val="1"/>
              <color rgb="002B2B2B"/>
              <sz val="10"/>
            </rPr>
            <t>M</t>
          </r>
          <r>
            <rPr>
              <rFont val="Calibri"/>
              <i val="1"/>
              <color rgb="002B2B2B"/>
              <sz val="10"/>
              <vertAlign val="subscript"/>
            </rPr>
            <t>s</t>
          </r>
        </is>
      </c>
      <c r="E137" s="44">
        <f>IF(AND(x_s&gt;-L_m/2,x_s&lt;x_L),B_m*(IF(x_0&gt;=(x_s),0,q_a*((x_s)*((x_s)-x_0)-((x_s)^2-x_0^2)/2)+q_b*((x_s)*((x_s)^2-x_0^2)/2-((x_s)^3-x_0^3)/3))-w_d*(x_s+L_m/2)^2/2),0)</f>
        <v/>
      </c>
      <c r="F137" s="28" t="inlineStr">
        <is>
          <t>kNm</t>
        </is>
      </c>
      <c r="G137" s="23" t="n"/>
    </row>
    <row r="138" ht="17" customHeight="1">
      <c r="B138" s="26" t="inlineStr">
        <is>
          <t>9.8.2.1(3)</t>
        </is>
      </c>
      <c r="C138" s="24" t="inlineStr">
        <is>
          <t>Largest hogging moment (top tension, negative)</t>
        </is>
      </c>
      <c r="D138" s="27" t="inlineStr">
        <is>
          <r>
            <rPr>
              <rFont val="Calibri"/>
              <i val="1"/>
              <color rgb="002B2B2B"/>
              <sz val="10"/>
            </rPr>
            <t>M</t>
          </r>
          <r>
            <rPr>
              <rFont val="Calibri"/>
              <i val="1"/>
              <color rgb="002B2B2B"/>
              <sz val="10"/>
              <vertAlign val="subscript"/>
            </rPr>
            <t>top</t>
          </r>
        </is>
      </c>
      <c r="E138" s="44">
        <f>MIN(M_R,M_L,M_s,0)</f>
        <v/>
      </c>
      <c r="F138" s="28" t="inlineStr">
        <is>
          <t>kNm</t>
        </is>
      </c>
      <c r="G138" s="23" t="n"/>
    </row>
    <row r="139" ht="17" customHeight="1">
      <c r="B139" s="23" t="n"/>
      <c r="C139" s="24" t="inlineStr">
        <is>
          <t>Design moment for y bars (whole length L)  (Nt/B − w L)((B − cy)/2)²/2</t>
        </is>
      </c>
      <c r="D139" s="27" t="inlineStr">
        <is>
          <r>
            <rPr>
              <rFont val="Calibri"/>
              <i val="1"/>
              <color rgb="002B2B2B"/>
              <sz val="10"/>
            </rPr>
            <t>M</t>
          </r>
          <r>
            <rPr>
              <rFont val="Calibri"/>
              <i val="1"/>
              <color rgb="002B2B2B"/>
              <sz val="10"/>
              <vertAlign val="subscript"/>
            </rPr>
            <t>Ed,y</t>
          </r>
        </is>
      </c>
      <c r="E139" s="46">
        <f>(N_t/B_m-w_d*L_m)*((B_m-c_y/1000)/2)^2/2</f>
        <v/>
      </c>
      <c r="F139" s="28" t="inlineStr">
        <is>
          <t>kNm</t>
        </is>
      </c>
      <c r="G139" s="23" t="n"/>
    </row>
    <row r="140" ht="17" customHeight="1">
      <c r="B140" s="26" t="inlineStr">
        <is>
          <t>3.2.7</t>
        </is>
      </c>
      <c r="C140" s="24" t="inlineStr">
        <is>
          <t>Design yield strength</t>
        </is>
      </c>
      <c r="D140" s="27" t="inlineStr">
        <is>
          <r>
            <rPr>
              <rFont val="Calibri"/>
              <i val="1"/>
              <color rgb="002B2B2B"/>
              <sz val="10"/>
            </rPr>
            <t>f</t>
          </r>
          <r>
            <rPr>
              <rFont val="Calibri"/>
              <i val="1"/>
              <color rgb="002B2B2B"/>
              <sz val="10"/>
              <vertAlign val="subscript"/>
            </rPr>
            <t>yd</t>
          </r>
        </is>
      </c>
      <c r="E140" s="44">
        <f>f_yk/gamma_s</f>
        <v/>
      </c>
      <c r="F140" s="28" t="inlineStr">
        <is>
          <t>MPa</t>
        </is>
      </c>
      <c r="G140" s="23" t="n"/>
    </row>
    <row r="141" ht="17" customHeight="1">
      <c r="B141" s="26" t="inlineStr">
        <is>
          <t>3.2.7</t>
        </is>
      </c>
      <c r="C141" s="24" t="inlineStr">
        <is>
          <t>Neutral axis depth at first yield</t>
        </is>
      </c>
      <c r="D141" s="27" t="inlineStr">
        <is>
          <r>
            <rPr>
              <rFont val="Calibri"/>
              <i val="1"/>
              <color rgb="002B2B2B"/>
              <sz val="10"/>
            </rPr>
            <t>ξ</t>
          </r>
          <r>
            <rPr>
              <rFont val="Calibri"/>
              <i val="1"/>
              <color rgb="002B2B2B"/>
              <sz val="10"/>
              <vertAlign val="subscript"/>
            </rPr>
            <t>y</t>
          </r>
        </is>
      </c>
      <c r="E141" s="47">
        <f>0.0035/(0.0035+f_yd/200000)</f>
        <v/>
      </c>
      <c r="F141" s="23" t="n"/>
      <c r="G141" s="23" t="n"/>
    </row>
    <row r="142" ht="17" customHeight="1">
      <c r="B142" s="26" t="inlineStr">
        <is>
          <t>5.5(4)</t>
        </is>
      </c>
      <c r="C142" s="24" t="inlineStr">
        <is>
          <t>Limiting neutral axis depth, no redistribution  min((1 − k1)/k2; ξy)</t>
        </is>
      </c>
      <c r="D142" s="27" t="inlineStr">
        <is>
          <r>
            <rPr>
              <rFont val="Calibri"/>
              <i val="1"/>
              <color rgb="002B2B2B"/>
              <sz val="10"/>
            </rPr>
            <t>x</t>
          </r>
          <r>
            <rPr>
              <rFont val="Calibri"/>
              <i val="1"/>
              <color rgb="002B2B2B"/>
              <sz val="10"/>
              <vertAlign val="subscript"/>
            </rPr>
            <t>u/d</t>
          </r>
        </is>
      </c>
      <c r="E142" s="47">
        <f>MIN(xi_y,(1-k1_red)/k2_red)</f>
        <v/>
      </c>
      <c r="F142" s="23" t="n"/>
      <c r="G142" s="23" t="n"/>
    </row>
    <row r="143" ht="17" customHeight="1">
      <c r="B143" s="26" t="inlineStr">
        <is>
          <t>3.1.7(3)</t>
        </is>
      </c>
      <c r="C143" s="24" t="inlineStr">
        <is>
          <t>Limiting K  (αcc/γc) 0.8 ξ (1 − 0.4 ξ)</t>
        </is>
      </c>
      <c r="D143" s="27" t="inlineStr">
        <is>
          <r>
            <rPr>
              <rFont val="Calibri"/>
              <i val="1"/>
              <color rgb="002B2B2B"/>
              <sz val="10"/>
            </rPr>
            <t>K'</t>
          </r>
        </is>
      </c>
      <c r="E143" s="47">
        <f>alpha_cc/gamma_c*0.8*xi_lim*(1-0.4*xi_lim)</f>
        <v/>
      </c>
      <c r="F143" s="23" t="n"/>
      <c r="G143" s="23" t="n"/>
    </row>
    <row r="144" ht="17" customHeight="1">
      <c r="B144" s="23" t="n"/>
      <c r="C144" s="24" t="inlineStr">
        <is>
          <t>K for x bars  MEd,x / (b d² fck)  ≤ K'</t>
        </is>
      </c>
      <c r="D144" s="27" t="inlineStr">
        <is>
          <r>
            <rPr>
              <rFont val="Calibri"/>
              <i val="1"/>
              <color rgb="002B2B2B"/>
              <sz val="10"/>
            </rPr>
            <t>K</t>
          </r>
          <r>
            <rPr>
              <rFont val="Calibri"/>
              <i val="1"/>
              <color rgb="002B2B2B"/>
              <sz val="10"/>
              <vertAlign val="subscript"/>
            </rPr>
            <t>x</t>
          </r>
        </is>
      </c>
      <c r="E144" s="47">
        <f>M_Edx*1E6/(B_f*d_x^2*f_ck)</f>
        <v/>
      </c>
      <c r="F144" s="23" t="n"/>
      <c r="G144" s="33">
        <f>IF(NOT(inputs_ok),"FAIL",IF(K_x&lt;=K_lim,"OK","FAIL"))</f>
        <v/>
      </c>
    </row>
    <row r="145" ht="17" customHeight="1">
      <c r="B145" s="23" t="n"/>
      <c r="C145" s="24" t="inlineStr">
        <is>
          <t>Lever arm, x bars  ≤ 0.95 d</t>
        </is>
      </c>
      <c r="D145" s="27" t="inlineStr">
        <is>
          <r>
            <rPr>
              <rFont val="Calibri"/>
              <i val="1"/>
              <color rgb="002B2B2B"/>
              <sz val="10"/>
            </rPr>
            <t>z</t>
          </r>
          <r>
            <rPr>
              <rFont val="Calibri"/>
              <i val="1"/>
              <color rgb="002B2B2B"/>
              <sz val="10"/>
              <vertAlign val="subscript"/>
            </rPr>
            <t>x</t>
          </r>
        </is>
      </c>
      <c r="E145" s="43">
        <f>IF(K_x&lt;=K_lim,MIN(0.95*d_x,d_x*(1-0.4*(1-SQRT(1-2*K_x/(alpha_cc/gamma_c)))/0.8)),NA())</f>
        <v/>
      </c>
      <c r="F145" s="28" t="inlineStr">
        <is>
          <t>mm</t>
        </is>
      </c>
      <c r="G145" s="23" t="n"/>
    </row>
    <row r="146" ht="17" customHeight="1">
      <c r="B146" s="23" t="n"/>
      <c r="C146" s="24" t="inlineStr">
        <is>
          <t>Required, x bars  MEd,x / (fyd z)</t>
        </is>
      </c>
      <c r="D146" s="27" t="inlineStr">
        <is>
          <r>
            <rPr>
              <rFont val="Calibri"/>
              <i val="1"/>
              <color rgb="002B2B2B"/>
              <sz val="10"/>
            </rPr>
            <t>A</t>
          </r>
          <r>
            <rPr>
              <rFont val="Calibri"/>
              <i val="1"/>
              <color rgb="002B2B2B"/>
              <sz val="10"/>
              <vertAlign val="subscript"/>
            </rPr>
            <t>s,req,x</t>
          </r>
        </is>
      </c>
      <c r="E146" s="43">
        <f>M_Edx*1E6/(f_yd*z_x)</f>
        <v/>
      </c>
      <c r="F146" s="28" t="inlineStr">
        <is>
          <t>mm²</t>
        </is>
      </c>
      <c r="G146" s="23" t="n"/>
    </row>
    <row r="147" ht="17" customHeight="1">
      <c r="B147" s="26" t="inlineStr">
        <is>
          <t>(9.1N)</t>
        </is>
      </c>
      <c r="C147" s="24" t="inlineStr">
        <is>
          <t>Minimum, x bars  max(0.26 fctm/fyk; 0.0013) b d</t>
        </is>
      </c>
      <c r="D147" s="27" t="inlineStr">
        <is>
          <r>
            <rPr>
              <rFont val="Calibri"/>
              <i val="1"/>
              <color rgb="002B2B2B"/>
              <sz val="10"/>
            </rPr>
            <t>A</t>
          </r>
          <r>
            <rPr>
              <rFont val="Calibri"/>
              <i val="1"/>
              <color rgb="002B2B2B"/>
              <sz val="10"/>
              <vertAlign val="subscript"/>
            </rPr>
            <t>s,min,x</t>
          </r>
        </is>
      </c>
      <c r="E147" s="43">
        <f>MAX(0.26*f_ctm/f_yk,0.0013)*B_f*d_x</f>
        <v/>
      </c>
      <c r="F147" s="28" t="inlineStr">
        <is>
          <t>mm²</t>
        </is>
      </c>
      <c r="G147" s="23" t="n"/>
    </row>
    <row r="148" ht="17" customHeight="1">
      <c r="B148" s="23" t="n"/>
      <c r="C148" s="24" t="inlineStr">
        <is>
          <t>Provided, x bars  π φ²/4 · b / s</t>
        </is>
      </c>
      <c r="D148" s="27" t="inlineStr">
        <is>
          <r>
            <rPr>
              <rFont val="Calibri"/>
              <i val="1"/>
              <color rgb="002B2B2B"/>
              <sz val="10"/>
            </rPr>
            <t>A</t>
          </r>
          <r>
            <rPr>
              <rFont val="Calibri"/>
              <i val="1"/>
              <color rgb="002B2B2B"/>
              <sz val="10"/>
              <vertAlign val="subscript"/>
            </rPr>
            <t>s,prov,x</t>
          </r>
        </is>
      </c>
      <c r="E148" s="43">
        <f>PI()*phi_x^2/4*B_f/s_x</f>
        <v/>
      </c>
      <c r="F148" s="28" t="inlineStr">
        <is>
          <t>mm²</t>
        </is>
      </c>
      <c r="G148" s="33">
        <f>IF(NOT(inputs_ok),"FAIL",IF(PI()*phi_x^2/4*B_f/s_x&gt;=MAX(As_reqx,As_minx),"OK","FAIL"))</f>
        <v/>
      </c>
    </row>
    <row r="149" ht="17" customHeight="1">
      <c r="B149" s="23" t="n"/>
      <c r="C149" s="24" t="inlineStr">
        <is>
          <t>K for y bars  MEd,y / (b d² fck)  ≤ K'</t>
        </is>
      </c>
      <c r="D149" s="27" t="inlineStr">
        <is>
          <r>
            <rPr>
              <rFont val="Calibri"/>
              <i val="1"/>
              <color rgb="002B2B2B"/>
              <sz val="10"/>
            </rPr>
            <t>K</t>
          </r>
          <r>
            <rPr>
              <rFont val="Calibri"/>
              <i val="1"/>
              <color rgb="002B2B2B"/>
              <sz val="10"/>
              <vertAlign val="subscript"/>
            </rPr>
            <t>y</t>
          </r>
        </is>
      </c>
      <c r="E149" s="47">
        <f>M_Edy*1E6/(L_f*d_y^2*f_ck)</f>
        <v/>
      </c>
      <c r="F149" s="23" t="n"/>
      <c r="G149" s="33">
        <f>IF(NOT(inputs_ok),"FAIL",IF(K_y&lt;=K_lim,"OK","FAIL"))</f>
        <v/>
      </c>
    </row>
    <row r="150" ht="17" customHeight="1">
      <c r="B150" s="23" t="n"/>
      <c r="C150" s="24" t="inlineStr">
        <is>
          <t>Lever arm, y bars  ≤ 0.95 d</t>
        </is>
      </c>
      <c r="D150" s="27" t="inlineStr">
        <is>
          <r>
            <rPr>
              <rFont val="Calibri"/>
              <i val="1"/>
              <color rgb="002B2B2B"/>
              <sz val="10"/>
            </rPr>
            <t>z</t>
          </r>
          <r>
            <rPr>
              <rFont val="Calibri"/>
              <i val="1"/>
              <color rgb="002B2B2B"/>
              <sz val="10"/>
              <vertAlign val="subscript"/>
            </rPr>
            <t>y</t>
          </r>
        </is>
      </c>
      <c r="E150" s="43">
        <f>IF(K_y&lt;=K_lim,MIN(0.95*d_y,d_y*(1-0.4*(1-SQRT(1-2*K_y/(alpha_cc/gamma_c)))/0.8)),NA())</f>
        <v/>
      </c>
      <c r="F150" s="28" t="inlineStr">
        <is>
          <t>mm</t>
        </is>
      </c>
      <c r="G150" s="23" t="n"/>
    </row>
    <row r="151" ht="17" customHeight="1">
      <c r="B151" s="23" t="n"/>
      <c r="C151" s="24" t="inlineStr">
        <is>
          <t>Required, y bars  MEd,y / (fyd z)</t>
        </is>
      </c>
      <c r="D151" s="27" t="inlineStr">
        <is>
          <r>
            <rPr>
              <rFont val="Calibri"/>
              <i val="1"/>
              <color rgb="002B2B2B"/>
              <sz val="10"/>
            </rPr>
            <t>A</t>
          </r>
          <r>
            <rPr>
              <rFont val="Calibri"/>
              <i val="1"/>
              <color rgb="002B2B2B"/>
              <sz val="10"/>
              <vertAlign val="subscript"/>
            </rPr>
            <t>s,req,y</t>
          </r>
        </is>
      </c>
      <c r="E151" s="43">
        <f>M_Edy*1E6/(f_yd*z_y)</f>
        <v/>
      </c>
      <c r="F151" s="28" t="inlineStr">
        <is>
          <t>mm²</t>
        </is>
      </c>
      <c r="G151" s="23" t="n"/>
    </row>
    <row r="152" ht="17" customHeight="1">
      <c r="B152" s="26" t="inlineStr">
        <is>
          <t>(9.1N)</t>
        </is>
      </c>
      <c r="C152" s="24" t="inlineStr">
        <is>
          <t>Minimum, y bars  max(0.26 fctm/fyk; 0.0013) b d</t>
        </is>
      </c>
      <c r="D152" s="27" t="inlineStr">
        <is>
          <r>
            <rPr>
              <rFont val="Calibri"/>
              <i val="1"/>
              <color rgb="002B2B2B"/>
              <sz val="10"/>
            </rPr>
            <t>A</t>
          </r>
          <r>
            <rPr>
              <rFont val="Calibri"/>
              <i val="1"/>
              <color rgb="002B2B2B"/>
              <sz val="10"/>
              <vertAlign val="subscript"/>
            </rPr>
            <t>s,min,y</t>
          </r>
        </is>
      </c>
      <c r="E152" s="43">
        <f>MAX(0.26*f_ctm/f_yk,0.0013)*L_f*d_y</f>
        <v/>
      </c>
      <c r="F152" s="28" t="inlineStr">
        <is>
          <t>mm²</t>
        </is>
      </c>
      <c r="G152" s="23" t="n"/>
    </row>
    <row r="153" ht="17" customHeight="1">
      <c r="B153" s="23" t="n"/>
      <c r="C153" s="24" t="inlineStr">
        <is>
          <t>Provided, y bars  π φ²/4 · b / s</t>
        </is>
      </c>
      <c r="D153" s="27" t="inlineStr">
        <is>
          <r>
            <rPr>
              <rFont val="Calibri"/>
              <i val="1"/>
              <color rgb="002B2B2B"/>
              <sz val="10"/>
            </rPr>
            <t>A</t>
          </r>
          <r>
            <rPr>
              <rFont val="Calibri"/>
              <i val="1"/>
              <color rgb="002B2B2B"/>
              <sz val="10"/>
              <vertAlign val="subscript"/>
            </rPr>
            <t>s,prov,y</t>
          </r>
        </is>
      </c>
      <c r="E153" s="43">
        <f>PI()*phi_y^2/4*L_f/s_y</f>
        <v/>
      </c>
      <c r="F153" s="28" t="inlineStr">
        <is>
          <t>mm²</t>
        </is>
      </c>
      <c r="G153" s="33">
        <f>IF(NOT(inputs_ok),"FAIL",IF(PI()*phi_y^2/4*L_f/s_y&gt;=MAX(As_reqy,As_miny),"OK","FAIL"))</f>
        <v/>
      </c>
    </row>
    <row r="155" ht="22" customHeight="1">
      <c r="B155" s="20" t="inlineStr">
        <is>
          <t>Calculation  ·  one-way shear at d from the column faces</t>
        </is>
      </c>
      <c r="C155" s="21" t="n"/>
      <c r="D155" s="21" t="n"/>
      <c r="E155" s="21" t="n"/>
      <c r="F155" s="21" t="n"/>
      <c r="G155" s="21" t="n"/>
    </row>
    <row r="156" ht="17" customHeight="1">
      <c r="B156" s="23" t="n"/>
      <c r="C156" s="24" t="inlineStr">
        <is>
          <t>Shear at d, heavier side</t>
        </is>
      </c>
      <c r="D156" s="27" t="inlineStr">
        <is>
          <r>
            <rPr>
              <rFont val="Calibri"/>
              <i val="1"/>
              <color rgb="002B2B2B"/>
              <sz val="10"/>
            </rPr>
            <t>V</t>
          </r>
          <r>
            <rPr>
              <rFont val="Calibri"/>
              <i val="1"/>
              <color rgb="002B2B2B"/>
              <sz val="10"/>
              <vertAlign val="subscript"/>
            </rPr>
            <t>R</t>
          </r>
        </is>
      </c>
      <c r="E156" s="44">
        <f>B_m*(IF(MAX(x_R+d_x/1000,x_0)&gt;=(L_m/2),0,q_a*((L_m/2)-MAX(x_R+d_x/1000,x_0))+q_b*((L_m/2)^2-MAX(x_R+d_x/1000,x_0)^2)/2)-w_d*MAX(0,L_m/2-x_R-d_x/1000))</f>
        <v/>
      </c>
      <c r="F156" s="28" t="inlineStr">
        <is>
          <t>kN</t>
        </is>
      </c>
      <c r="G156" s="23" t="n"/>
    </row>
    <row r="157" ht="17" customHeight="1">
      <c r="B157" s="23" t="n"/>
      <c r="C157" s="24" t="inlineStr">
        <is>
          <t>Shear at d, lighter side</t>
        </is>
      </c>
      <c r="D157" s="27" t="inlineStr">
        <is>
          <r>
            <rPr>
              <rFont val="Calibri"/>
              <i val="1"/>
              <color rgb="002B2B2B"/>
              <sz val="10"/>
            </rPr>
            <t>V</t>
          </r>
          <r>
            <rPr>
              <rFont val="Calibri"/>
              <i val="1"/>
              <color rgb="002B2B2B"/>
              <sz val="10"/>
              <vertAlign val="subscript"/>
            </rPr>
            <t>L</t>
          </r>
        </is>
      </c>
      <c r="E157" s="44">
        <f>B_m*(IF(x_0&gt;=(x_L-d_x/1000),0,q_a*((x_L-d_x/1000)-x_0)+q_b*((x_L-d_x/1000)^2-x_0^2)/2)-w_d*MAX(0,x_L-d_x/1000+L_m/2))</f>
        <v/>
      </c>
      <c r="F157" s="28" t="inlineStr">
        <is>
          <t>kN</t>
        </is>
      </c>
      <c r="G157" s="23" t="n"/>
    </row>
    <row r="158" ht="17" customHeight="1">
      <c r="B158" s="23" t="n"/>
      <c r="C158" s="24" t="inlineStr">
        <is>
          <t>Design shear across B (x bars)</t>
        </is>
      </c>
      <c r="D158" s="27" t="inlineStr">
        <is>
          <r>
            <rPr>
              <rFont val="Calibri"/>
              <i val="1"/>
              <color rgb="002B2B2B"/>
              <sz val="10"/>
            </rPr>
            <t>V</t>
          </r>
          <r>
            <rPr>
              <rFont val="Calibri"/>
              <i val="1"/>
              <color rgb="002B2B2B"/>
              <sz val="10"/>
              <vertAlign val="subscript"/>
            </rPr>
            <t>Ed,x</t>
          </r>
        </is>
      </c>
      <c r="E158" s="46">
        <f>MAX(ABS(V_R),ABS(V_L))</f>
        <v/>
      </c>
      <c r="F158" s="28" t="inlineStr">
        <is>
          <t>kN</t>
        </is>
      </c>
      <c r="G158" s="23" t="n"/>
    </row>
    <row r="159" ht="17" customHeight="1">
      <c r="B159" s="23" t="n"/>
      <c r="C159" s="24" t="inlineStr">
        <is>
          <t>Design shear across L (y bars)  |Nt/B − w L| ((B − cy)/2 − dy)</t>
        </is>
      </c>
      <c r="D159" s="27" t="inlineStr">
        <is>
          <r>
            <rPr>
              <rFont val="Calibri"/>
              <i val="1"/>
              <color rgb="002B2B2B"/>
              <sz val="10"/>
            </rPr>
            <t>V</t>
          </r>
          <r>
            <rPr>
              <rFont val="Calibri"/>
              <i val="1"/>
              <color rgb="002B2B2B"/>
              <sz val="10"/>
              <vertAlign val="subscript"/>
            </rPr>
            <t>Ed,y</t>
          </r>
        </is>
      </c>
      <c r="E159" s="46">
        <f>ABS(N_t/B_m-w_d*L_m)*MAX(0,(B_m-c_y/1000)/2-d_y/1000)</f>
        <v/>
      </c>
      <c r="F159" s="28" t="inlineStr">
        <is>
          <t>kN</t>
        </is>
      </c>
      <c r="G159" s="23" t="n"/>
    </row>
    <row r="160" ht="17" customHeight="1">
      <c r="B160" s="26" t="inlineStr">
        <is>
          <t>6.2.2(1)</t>
        </is>
      </c>
      <c r="C160" s="24" t="inlineStr">
        <is>
          <t>Reinforcement ratio, x bars</t>
        </is>
      </c>
      <c r="D160" s="27" t="inlineStr">
        <is>
          <r>
            <rPr>
              <rFont val="Calibri"/>
              <i val="1"/>
              <color rgb="002B2B2B"/>
              <sz val="10"/>
            </rPr>
            <t>ρ</t>
          </r>
          <r>
            <rPr>
              <rFont val="Calibri"/>
              <i val="1"/>
              <color rgb="002B2B2B"/>
              <sz val="10"/>
              <vertAlign val="subscript"/>
            </rPr>
            <t>l,x</t>
          </r>
        </is>
      </c>
      <c r="E160" s="48">
        <f>As_provx/(B_f*d_x)</f>
        <v/>
      </c>
      <c r="F160" s="23" t="n"/>
      <c r="G160" s="23" t="n"/>
    </row>
    <row r="161" ht="17" customHeight="1">
      <c r="B161" s="26" t="inlineStr">
        <is>
          <t>(6.2)</t>
        </is>
      </c>
      <c r="C161" s="24" t="inlineStr">
        <is>
          <t>Resistance, x direction  max(CRd,c k (100ρ fck)^⅓; vmin) b d</t>
        </is>
      </c>
      <c r="D161" s="27" t="inlineStr">
        <is>
          <r>
            <rPr>
              <rFont val="Calibri"/>
              <i val="1"/>
              <color rgb="002B2B2B"/>
              <sz val="10"/>
            </rPr>
            <t>V</t>
          </r>
          <r>
            <rPr>
              <rFont val="Calibri"/>
              <i val="1"/>
              <color rgb="002B2B2B"/>
              <sz val="10"/>
              <vertAlign val="subscript"/>
            </rPr>
            <t>Rd,c,x</t>
          </r>
        </is>
      </c>
      <c r="E161" s="44">
        <f>MAX(C_Rdc*MIN(2,1+SQRT(200/d_x))*(100*MIN(0.02,rho_x)*f_ck)^(1/3),0.035*MIN(2,1+SQRT(200/d_x))^1.5*SQRT(f_ck))*B_f*d_x/1000</f>
        <v/>
      </c>
      <c r="F161" s="28" t="inlineStr">
        <is>
          <t>kN</t>
        </is>
      </c>
      <c r="G161" s="23" t="n"/>
    </row>
    <row r="162" ht="17" customHeight="1">
      <c r="B162" s="26" t="inlineStr">
        <is>
          <t>(6.2)</t>
        </is>
      </c>
      <c r="C162" s="24" t="inlineStr">
        <is>
          <t>Shear, x direction  VEd ≤ VRd,c</t>
        </is>
      </c>
      <c r="D162" s="27" t="inlineStr">
        <is>
          <r>
            <rPr>
              <rFont val="Calibri"/>
              <i val="1"/>
              <color rgb="002B2B2B"/>
              <sz val="10"/>
            </rPr>
            <t>V</t>
          </r>
          <r>
            <rPr>
              <rFont val="Calibri"/>
              <i val="1"/>
              <color rgb="002B2B2B"/>
              <sz val="10"/>
              <vertAlign val="subscript"/>
            </rPr>
            <t>Ed,x</t>
          </r>
        </is>
      </c>
      <c r="E162" s="44">
        <f>V_Edx</f>
        <v/>
      </c>
      <c r="F162" s="28" t="inlineStr">
        <is>
          <t>kN</t>
        </is>
      </c>
      <c r="G162" s="33">
        <f>IF(NOT(inputs_ok),"FAIL",IF(V_Edx&lt;=V_Rdx,"OK","FAIL"))</f>
        <v/>
      </c>
    </row>
    <row r="163" ht="17" customHeight="1">
      <c r="B163" s="26" t="inlineStr">
        <is>
          <t>6.2.2(1)</t>
        </is>
      </c>
      <c r="C163" s="24" t="inlineStr">
        <is>
          <t>Reinforcement ratio, y bars</t>
        </is>
      </c>
      <c r="D163" s="27" t="inlineStr">
        <is>
          <r>
            <rPr>
              <rFont val="Calibri"/>
              <i val="1"/>
              <color rgb="002B2B2B"/>
              <sz val="10"/>
            </rPr>
            <t>ρ</t>
          </r>
          <r>
            <rPr>
              <rFont val="Calibri"/>
              <i val="1"/>
              <color rgb="002B2B2B"/>
              <sz val="10"/>
              <vertAlign val="subscript"/>
            </rPr>
            <t>l,y</t>
          </r>
        </is>
      </c>
      <c r="E163" s="48">
        <f>As_provy/(L_f*d_y)</f>
        <v/>
      </c>
      <c r="F163" s="23" t="n"/>
      <c r="G163" s="23" t="n"/>
    </row>
    <row r="164" ht="17" customHeight="1">
      <c r="B164" s="26" t="inlineStr">
        <is>
          <t>(6.2)</t>
        </is>
      </c>
      <c r="C164" s="24" t="inlineStr">
        <is>
          <t>Resistance, y direction  max(CRd,c k (100ρ fck)^⅓; vmin) b d</t>
        </is>
      </c>
      <c r="D164" s="27" t="inlineStr">
        <is>
          <r>
            <rPr>
              <rFont val="Calibri"/>
              <i val="1"/>
              <color rgb="002B2B2B"/>
              <sz val="10"/>
            </rPr>
            <t>V</t>
          </r>
          <r>
            <rPr>
              <rFont val="Calibri"/>
              <i val="1"/>
              <color rgb="002B2B2B"/>
              <sz val="10"/>
              <vertAlign val="subscript"/>
            </rPr>
            <t>Rd,c,y</t>
          </r>
        </is>
      </c>
      <c r="E164" s="44">
        <f>MAX(C_Rdc*MIN(2,1+SQRT(200/d_y))*(100*MIN(0.02,rho_y)*f_ck)^(1/3),0.035*MIN(2,1+SQRT(200/d_y))^1.5*SQRT(f_ck))*L_f*d_y/1000</f>
        <v/>
      </c>
      <c r="F164" s="28" t="inlineStr">
        <is>
          <t>kN</t>
        </is>
      </c>
      <c r="G164" s="23" t="n"/>
    </row>
    <row r="165" ht="17" customHeight="1">
      <c r="B165" s="26" t="inlineStr">
        <is>
          <t>(6.2)</t>
        </is>
      </c>
      <c r="C165" s="24" t="inlineStr">
        <is>
          <t>Shear, y direction  VEd ≤ VRd,c</t>
        </is>
      </c>
      <c r="D165" s="27" t="inlineStr">
        <is>
          <r>
            <rPr>
              <rFont val="Calibri"/>
              <i val="1"/>
              <color rgb="002B2B2B"/>
              <sz val="10"/>
            </rPr>
            <t>V</t>
          </r>
          <r>
            <rPr>
              <rFont val="Calibri"/>
              <i val="1"/>
              <color rgb="002B2B2B"/>
              <sz val="10"/>
              <vertAlign val="subscript"/>
            </rPr>
            <t>Ed,y</t>
          </r>
        </is>
      </c>
      <c r="E165" s="44">
        <f>V_Edy</f>
        <v/>
      </c>
      <c r="F165" s="28" t="inlineStr">
        <is>
          <t>kN</t>
        </is>
      </c>
      <c r="G165" s="33">
        <f>IF(NOT(inputs_ok),"FAIL",IF(V_Edy&lt;=V_Rdy,"OK","FAIL"))</f>
        <v/>
      </c>
    </row>
    <row r="167" ht="22" customHeight="1">
      <c r="B167" s="20" t="inlineStr">
        <is>
          <t>Calculation  ·  punching at the column base, 6.4.4(2)</t>
        </is>
      </c>
      <c r="C167" s="21" t="n"/>
      <c r="D167" s="21" t="n"/>
      <c r="E167" s="21" t="n"/>
      <c r="F167" s="21" t="n"/>
      <c r="G167" s="21" t="n"/>
    </row>
    <row r="168" ht="17" customHeight="1">
      <c r="B168" s="23" t="n"/>
      <c r="C168" s="24" t="inlineStr">
        <is>
          <t>Mean effective depth</t>
        </is>
      </c>
      <c r="D168" s="27" t="inlineStr">
        <is>
          <r>
            <rPr>
              <rFont val="Calibri"/>
              <i val="1"/>
              <color rgb="002B2B2B"/>
              <sz val="10"/>
            </rPr>
            <t>d</t>
          </r>
        </is>
      </c>
      <c r="E168" s="43">
        <f>(d_x+d_y)/2</f>
        <v/>
      </c>
      <c r="F168" s="28" t="inlineStr">
        <is>
          <t>mm</t>
        </is>
      </c>
      <c r="G168" s="23" t="n"/>
    </row>
    <row r="169" ht="17" customHeight="1">
      <c r="B169" s="26" t="inlineStr">
        <is>
          <t>6.4.4(1)</t>
        </is>
      </c>
      <c r="C169" s="24" t="inlineStr">
        <is>
          <t>Size factor  1 + √(200/d) ≤ 2</t>
        </is>
      </c>
      <c r="D169" s="27" t="inlineStr">
        <is>
          <r>
            <rPr>
              <rFont val="Calibri"/>
              <i val="1"/>
              <color rgb="002B2B2B"/>
              <sz val="10"/>
            </rPr>
            <t>k</t>
          </r>
        </is>
      </c>
      <c r="E169" s="47">
        <f>MIN(2,1+SQRT(200/d_eff))</f>
        <v/>
      </c>
      <c r="F169" s="23" t="n"/>
      <c r="G169" s="23" t="n"/>
    </row>
    <row r="170" ht="17" customHeight="1">
      <c r="B170" s="26" t="inlineStr">
        <is>
          <t>6.4.4(1)</t>
        </is>
      </c>
      <c r="C170" s="24" t="inlineStr">
        <is>
          <t>Mean ratio  √(ρx ρy) ≤ 0.02</t>
        </is>
      </c>
      <c r="D170" s="27" t="inlineStr">
        <is>
          <r>
            <rPr>
              <rFont val="Calibri"/>
              <i val="1"/>
              <color rgb="002B2B2B"/>
              <sz val="10"/>
            </rPr>
            <t>ρ</t>
          </r>
          <r>
            <rPr>
              <rFont val="Calibri"/>
              <i val="1"/>
              <color rgb="002B2B2B"/>
              <sz val="10"/>
              <vertAlign val="subscript"/>
            </rPr>
            <t>l</t>
          </r>
        </is>
      </c>
      <c r="E170" s="48">
        <f>MIN(0.02,SQRT(rho_x*rho_y))</f>
        <v/>
      </c>
      <c r="F170" s="23" t="n"/>
      <c r="G170" s="23" t="n"/>
    </row>
    <row r="171" ht="17" customHeight="1">
      <c r="B171" s="26" t="inlineStr">
        <is>
          <t>(6.50)</t>
        </is>
      </c>
      <c r="C171" s="24" t="inlineStr">
        <is>
          <t>Basic resistance  max(CRd,c k (100ρ fck)^⅓; vmin)</t>
        </is>
      </c>
      <c r="D171" s="27" t="inlineStr">
        <is>
          <r>
            <rPr>
              <rFont val="Calibri"/>
              <i val="1"/>
              <color rgb="002B2B2B"/>
              <sz val="10"/>
            </rPr>
            <t>v</t>
          </r>
          <r>
            <rPr>
              <rFont val="Calibri"/>
              <i val="1"/>
              <color rgb="002B2B2B"/>
              <sz val="10"/>
              <vertAlign val="subscript"/>
            </rPr>
            <t>Rd,c</t>
          </r>
        </is>
      </c>
      <c r="E171" s="47">
        <f>MAX(C_Rdc*k_size*(100*rho_l*f_ck)^(1/3),0.035*k_size^1.5*SQRT(f_ck))</f>
        <v/>
      </c>
      <c r="F171" s="28" t="inlineStr">
        <is>
          <t>MPa</t>
        </is>
      </c>
      <c r="G171" s="23" t="n"/>
    </row>
    <row r="172" ht="17" customHeight="1">
      <c r="B172" s="26" t="inlineStr">
        <is>
          <t>Table 6.1</t>
        </is>
      </c>
      <c r="C172" s="24" t="inlineStr">
        <is>
          <t>k for the column moment  (ratio cx/cy)</t>
        </is>
      </c>
      <c r="D172" s="27" t="inlineStr">
        <is>
          <r>
            <rPr>
              <rFont val="Calibri"/>
              <i val="1"/>
              <color rgb="002B2B2B"/>
              <sz val="10"/>
            </rPr>
            <t>k</t>
          </r>
        </is>
      </c>
      <c r="E172" s="47">
        <f>IF(c_x/c_y&lt;=0.5,0.45,IF(c_x/c_y&lt;=1,0.45+0.3*(c_x/c_y-0.5),IF(c_x/c_y&lt;=2,0.6+0.1*(c_x/c_y-1),IF(c_x/c_y&lt;=3,0.7+0.1*(c_x/c_y-2),0.8))))</f>
        <v/>
      </c>
      <c r="F172" s="23" t="n"/>
      <c r="G172" s="23" t="n"/>
    </row>
    <row r="173" ht="17" customHeight="1">
      <c r="B173" s="23" t="n"/>
      <c r="C173" s="24" t="inlineStr">
        <is>
          <t>Net pressure at the column centre  q − w  (signed)</t>
        </is>
      </c>
      <c r="D173" s="27" t="inlineStr">
        <is>
          <r>
            <rPr>
              <rFont val="Calibri"/>
              <i val="1"/>
              <color rgb="002B2B2B"/>
              <sz val="10"/>
            </rPr>
            <t>q</t>
          </r>
          <r>
            <rPr>
              <rFont val="Calibri"/>
              <i val="1"/>
              <color rgb="002B2B2B"/>
              <sz val="10"/>
              <vertAlign val="subscript"/>
            </rPr>
            <t>c</t>
          </r>
        </is>
      </c>
      <c r="E173" s="44">
        <f>IF(o_m&gt;=x_0,q_a+q_b*o_m,0)-w_d</f>
        <v/>
      </c>
      <c r="F173" s="28" t="inlineStr">
        <is>
          <t>kPa</t>
        </is>
      </c>
      <c r="G173" s="23" t="n"/>
    </row>
    <row r="174" ht="17" customHeight="1">
      <c r="B174" s="23" t="n"/>
      <c r="C174" s="24" t="inlineStr">
        <is>
          <t>Column face to the edge, +x side</t>
        </is>
      </c>
      <c r="D174" s="27" t="inlineStr">
        <is>
          <r>
            <rPr>
              <rFont val="Calibri"/>
              <i val="1"/>
              <color rgb="002B2B2B"/>
              <sz val="10"/>
            </rPr>
            <t>e</t>
          </r>
          <r>
            <rPr>
              <rFont val="Calibri"/>
              <i val="1"/>
              <color rgb="002B2B2B"/>
              <sz val="10"/>
              <vertAlign val="subscript"/>
            </rPr>
            <t>r</t>
          </r>
        </is>
      </c>
      <c r="E174" s="43">
        <f>L_f/2-o_x-c_x/2</f>
        <v/>
      </c>
      <c r="F174" s="28" t="inlineStr">
        <is>
          <t>mm</t>
        </is>
      </c>
      <c r="G174" s="23" t="n"/>
    </row>
    <row r="175" ht="17" customHeight="1">
      <c r="B175" s="23" t="n"/>
      <c r="C175" s="24" t="inlineStr">
        <is>
          <t>Column face to the edge, −x side</t>
        </is>
      </c>
      <c r="D175" s="27" t="inlineStr">
        <is>
          <r>
            <rPr>
              <rFont val="Calibri"/>
              <i val="1"/>
              <color rgb="002B2B2B"/>
              <sz val="10"/>
            </rPr>
            <t>e</t>
          </r>
          <r>
            <rPr>
              <rFont val="Calibri"/>
              <i val="1"/>
              <color rgb="002B2B2B"/>
              <sz val="10"/>
              <vertAlign val="subscript"/>
            </rPr>
            <t>l</t>
          </r>
        </is>
      </c>
      <c r="E175" s="43">
        <f>L_f/2+o_x-c_x/2</f>
        <v/>
      </c>
      <c r="F175" s="28" t="inlineStr">
        <is>
          <t>mm</t>
        </is>
      </c>
      <c r="G175" s="23" t="n"/>
    </row>
    <row r="176" ht="17" customHeight="1">
      <c r="B176" s="23" t="n"/>
      <c r="C176" s="24" t="inlineStr">
        <is>
          <t>Column face to the edges in y</t>
        </is>
      </c>
      <c r="D176" s="27" t="inlineStr">
        <is>
          <r>
            <rPr>
              <rFont val="Calibri"/>
              <i val="1"/>
              <color rgb="002B2B2B"/>
              <sz val="10"/>
            </rPr>
            <t>e</t>
          </r>
          <r>
            <rPr>
              <rFont val="Calibri"/>
              <i val="1"/>
              <color rgb="002B2B2B"/>
              <sz val="10"/>
              <vertAlign val="subscript"/>
            </rPr>
            <t>y</t>
          </r>
        </is>
      </c>
      <c r="E176" s="43">
        <f>B_f/2-c_y/2</f>
        <v/>
      </c>
      <c r="F176" s="28" t="inlineStr">
        <is>
          <t>mm</t>
        </is>
      </c>
      <c r="G176" s="23" t="n"/>
    </row>
    <row r="177" ht="17" customHeight="1">
      <c r="B177" s="23" t="n"/>
      <c r="C177" s="24" t="inlineStr">
        <is>
          <t>No backfill over the column  γG γsoil Ds cx cy</t>
        </is>
      </c>
      <c r="D177" s="27" t="inlineStr">
        <is>
          <r>
            <rPr>
              <rFont val="Calibri"/>
              <i val="1"/>
              <color rgb="002B2B2B"/>
              <sz val="10"/>
            </rPr>
            <t>ΔW</t>
          </r>
        </is>
      </c>
      <c r="E177" s="44">
        <f>gamma_G*gamma_soil*D_s/1000*c_x*c_y/1E6</f>
        <v/>
      </c>
      <c r="F177" s="28" t="inlineStr">
        <is>
          <t>kN</t>
        </is>
      </c>
      <c r="G177" s="23" t="n"/>
    </row>
    <row r="178" ht="17" customHeight="1">
      <c r="B178" s="26" t="inlineStr">
        <is>
          <t>6.4.5(3)</t>
        </is>
      </c>
      <c r="C178" s="24" t="inlineStr">
        <is>
          <t>Column perimeter</t>
        </is>
      </c>
      <c r="D178" s="27" t="inlineStr">
        <is>
          <r>
            <rPr>
              <rFont val="Calibri"/>
              <i val="1"/>
              <color rgb="002B2B2B"/>
              <sz val="10"/>
            </rPr>
            <t>u</t>
          </r>
          <r>
            <rPr>
              <rFont val="Calibri"/>
              <i val="1"/>
              <color rgb="002B2B2B"/>
              <sz val="10"/>
              <vertAlign val="subscript"/>
            </rPr>
            <t>0</t>
          </r>
        </is>
      </c>
      <c r="E178" s="43">
        <f>2*(c_x+c_y)</f>
        <v/>
      </c>
      <c r="F178" s="28" t="inlineStr">
        <is>
          <t>mm</t>
        </is>
      </c>
      <c r="G178" s="23" t="n"/>
    </row>
    <row r="179" ht="17" customHeight="1">
      <c r="B179" s="26" t="inlineStr">
        <is>
          <t>(6.41)</t>
        </is>
      </c>
      <c r="C179" s="24" t="inlineStr">
        <is>
          <t>W at the column face  cx²/2 + cx cy</t>
        </is>
      </c>
      <c r="D179" s="27" t="inlineStr">
        <is>
          <r>
            <rPr>
              <rFont val="Calibri"/>
              <i val="1"/>
              <color rgb="002B2B2B"/>
              <sz val="10"/>
            </rPr>
            <t>W</t>
          </r>
          <r>
            <rPr>
              <rFont val="Calibri"/>
              <i val="1"/>
              <color rgb="002B2B2B"/>
              <sz val="10"/>
              <vertAlign val="subscript"/>
            </rPr>
            <t>0</t>
          </r>
        </is>
      </c>
      <c r="E179" s="43">
        <f>c_x^2/2+c_x*c_y</f>
        <v/>
      </c>
      <c r="F179" s="28" t="inlineStr">
        <is>
          <t>mm²</t>
        </is>
      </c>
      <c r="G179" s="23" t="n"/>
    </row>
    <row r="180" ht="17" customHeight="1">
      <c r="B180" s="26" t="inlineStr">
        <is>
          <t>(6.51)</t>
        </is>
      </c>
      <c r="C180" s="24" t="inlineStr">
        <is>
          <t>β at the column face  1 + k MEd u0 / (NEd W0)</t>
        </is>
      </c>
      <c r="D180" s="27" t="inlineStr">
        <is>
          <r>
            <rPr>
              <rFont val="Calibri"/>
              <i val="1"/>
              <color rgb="002B2B2B"/>
              <sz val="10"/>
            </rPr>
            <t>β</t>
          </r>
          <r>
            <rPr>
              <rFont val="Calibri"/>
              <i val="1"/>
              <color rgb="002B2B2B"/>
              <sz val="10"/>
              <vertAlign val="subscript"/>
            </rPr>
            <t>0</t>
          </r>
        </is>
      </c>
      <c r="E180" s="47">
        <f>1+k_e*ABS(M_Ed)/N_Ed*u_0/W_0*1000</f>
        <v/>
      </c>
      <c r="F180" s="23" t="n"/>
      <c r="G180" s="23" t="n"/>
    </row>
    <row r="181" ht="17" customHeight="1">
      <c r="B181" s="26" t="inlineStr">
        <is>
          <t>(6.6N)</t>
        </is>
      </c>
      <c r="C181" s="24" t="inlineStr">
        <is>
          <t>Strength reduction factor  0.6(1 − fck/250)</t>
        </is>
      </c>
      <c r="D181" s="27" t="inlineStr">
        <is>
          <r>
            <rPr>
              <rFont val="Calibri"/>
              <i val="1"/>
              <color rgb="002B2B2B"/>
              <sz val="10"/>
            </rPr>
            <t>ν</t>
          </r>
        </is>
      </c>
      <c r="E181" s="47">
        <f>0.6*(1-f_ck/250)</f>
        <v/>
      </c>
      <c r="F181" s="23" t="n"/>
      <c r="G181" s="23" t="n"/>
    </row>
    <row r="182" ht="17" customHeight="1">
      <c r="B182" s="26" t="inlineStr">
        <is>
          <t>6.4.5(3)</t>
        </is>
      </c>
      <c r="C182" s="24" t="inlineStr">
        <is>
          <t>Maximum punching stress  vmax ν αcc fck / γc</t>
        </is>
      </c>
      <c r="D182" s="27" t="inlineStr">
        <is>
          <r>
            <rPr>
              <rFont val="Calibri"/>
              <i val="1"/>
              <color rgb="002B2B2B"/>
              <sz val="10"/>
            </rPr>
            <t>v</t>
          </r>
          <r>
            <rPr>
              <rFont val="Calibri"/>
              <i val="1"/>
              <color rgb="002B2B2B"/>
              <sz val="10"/>
              <vertAlign val="subscript"/>
            </rPr>
            <t>Rd,max</t>
          </r>
        </is>
      </c>
      <c r="E182" s="47">
        <f>vmax*nu_v*alpha_cc_shear*f_ck/gamma_c</f>
        <v/>
      </c>
      <c r="F182" s="28" t="inlineStr">
        <is>
          <t>MPa</t>
        </is>
      </c>
      <c r="G182" s="23" t="n"/>
    </row>
    <row r="183" ht="17" customHeight="1">
      <c r="B183" s="26" t="inlineStr">
        <is>
          <t>(6.53)</t>
        </is>
      </c>
      <c r="C183" s="24" t="inlineStr">
        <is>
          <t>Shear stress at the column face  β0 NEd / (u0 d)</t>
        </is>
      </c>
      <c r="D183" s="27" t="inlineStr">
        <is>
          <r>
            <rPr>
              <rFont val="Calibri"/>
              <i val="1"/>
              <color rgb="002B2B2B"/>
              <sz val="10"/>
            </rPr>
            <t>v</t>
          </r>
          <r>
            <rPr>
              <rFont val="Calibri"/>
              <i val="1"/>
              <color rgb="002B2B2B"/>
              <sz val="10"/>
              <vertAlign val="subscript"/>
            </rPr>
            <t>Ed,0</t>
          </r>
        </is>
      </c>
      <c r="E183" s="47">
        <f>beta_0*N_Ed*1000/(u_0*d_eff)</f>
        <v/>
      </c>
      <c r="F183" s="28" t="inlineStr">
        <is>
          <t>MPa</t>
        </is>
      </c>
      <c r="G183" s="33">
        <f>IF(NOT(inputs_ok),"FAIL",IF(v_Ed0&lt;=v_Rdmax,"OK","FAIL"))</f>
        <v/>
      </c>
    </row>
    <row r="184">
      <c r="B184" s="49" t="inlineStr">
        <is>
          <t>a (mm)</t>
        </is>
      </c>
      <c r="C184" s="49" t="inlineStr">
        <is>
          <t>u (mm)</t>
        </is>
      </c>
      <c r="D184" s="49" t="inlineStr">
        <is>
          <t>VEd,red (kN)</t>
        </is>
      </c>
      <c r="E184" s="49" t="inlineStr">
        <is>
          <t>vEd (MPa)</t>
        </is>
      </c>
      <c r="F184" s="49" t="inlineStr">
        <is>
          <t>vRd (MPa)</t>
        </is>
      </c>
      <c r="G184" s="49" t="inlineStr">
        <is>
          <t>vEd / vRd</t>
        </is>
      </c>
    </row>
    <row r="185" ht="16" customHeight="1">
      <c r="B185" s="50">
        <f>0.05*d_eff</f>
        <v/>
      </c>
      <c r="C185" s="50">
        <f>IF(AND($B185&lt;=ed_y,OR($B185&lt;=ed_l,$B185&lt;=ed_r)),INDEX($O185:$T185,$W185),"–")</f>
        <v/>
      </c>
      <c r="D185" s="51">
        <f>IF(AND($B185&lt;=ed_y,OR($B185&lt;=ed_l,$B185&lt;=ed_r)),IF($W185=1,$U185,$V185),"–")</f>
        <v/>
      </c>
      <c r="E185" s="52">
        <f>IF(AND($B185&lt;=ed_y,OR($B185&lt;=ed_l,$B185&lt;=ed_r)),MAX($I185:$N185),"–")</f>
        <v/>
      </c>
      <c r="F185" s="52">
        <f>v_Rdc*2*d_eff/$B185</f>
        <v/>
      </c>
      <c r="G185" s="53">
        <f>IF(AND($B185&lt;=ed_y,OR($B185&lt;=ed_l,$B185&lt;=ed_r)),$E185/$F185,"–")</f>
        <v/>
      </c>
      <c r="I185">
        <f>IF(AND($B185&lt;=ed_r,$B185&lt;=ed_l,$B185&lt;=ed_y),(MAX(0,$U185)*1000/(2*(c_x+c_y)+2*PI()*$B185)+k_e*ABS(M_Ed)*1E6/(c_x^2/2+c_x*c_y+2*c_y*$B185+4*$B185^2+PI()*$B185*c_x))/d_eff,-1)</f>
        <v/>
      </c>
      <c r="J185">
        <f>IF(AND($B185&lt;=ed_l,$B185&lt;=ed_y),(MAX(0,$V185)*1000/(c_y+PI()*$B185+2*(c_x+ed_r))+k_e*ABS(M_Ed)*1E6/(c_y*(c_x/2+$B185)+PI()*$B185*c_x/2+2*$B185^2+c_x^2/4+(c_x/2+ed_r)^2))/d_eff,-1)</f>
        <v/>
      </c>
      <c r="K185">
        <f>IF(AND($B185&lt;=ed_r,$B185&lt;=ed_y),(MAX(0,$V185)*1000/(c_y+PI()*$B185+2*(c_x+ed_l))+k_e*ABS(M_Ed)*1E6/(c_y*(c_x/2+$B185)+PI()*$B185*c_x/2+2*$B185^2+c_x^2/4+(c_x/2+ed_l)^2))/d_eff,-1)</f>
        <v/>
      </c>
      <c r="L185">
        <f>IF(AND($B185&lt;=ed_r,$B185&lt;=ed_l,$B185&lt;=ed_y),(MAX(0,$V185)*1000/(c_x+PI()*$B185+2*(c_y+ed_y))+k_e*ABS(M_Ed)*1E6/(c_x^2/4+PI()*$B185*c_x/2+2*$B185^2+(c_x+2*$B185)*(c_y+ed_y)))/d_eff,-1)</f>
        <v/>
      </c>
      <c r="M185">
        <f>IF(AND($B185&lt;=ed_l,$B185&lt;=ed_y),(MAX(0,$V185)*1000/(c_x+ed_r+c_y+ed_y+PI()*$B185/2)+k_e*ABS(M_Ed)*1E6/(PI()*$B185*c_x/4+$B185^2+c_x^2/8+(c_x/2+ed_r)^2/2+(c_x/2+$B185)*(c_y+ed_y)))/d_eff,-1)</f>
        <v/>
      </c>
      <c r="N185">
        <f>IF(AND($B185&lt;=ed_r,$B185&lt;=ed_y),(MAX(0,$V185)*1000/(c_x+ed_l+c_y+ed_y+PI()*$B185/2)+k_e*ABS(M_Ed)*1E6/(PI()*$B185*c_x/4+$B185^2+c_x^2/8+(c_x/2+ed_l)^2/2+(c_x/2+$B185)*(c_y+ed_y)))/d_eff,-1)</f>
        <v/>
      </c>
      <c r="O185">
        <f>IF(AND($B185&lt;=ed_r,$B185&lt;=ed_l,$B185&lt;=ed_y),(2*(c_x+c_y)+2*PI()*$B185),"")</f>
        <v/>
      </c>
      <c r="P185">
        <f>IF(AND($B185&lt;=ed_l,$B185&lt;=ed_y),(c_y+PI()*$B185+2*(c_x+ed_r)),"")</f>
        <v/>
      </c>
      <c r="Q185">
        <f>IF(AND($B185&lt;=ed_r,$B185&lt;=ed_y),(c_y+PI()*$B185+2*(c_x+ed_l)),"")</f>
        <v/>
      </c>
      <c r="R185">
        <f>IF(AND($B185&lt;=ed_r,$B185&lt;=ed_l,$B185&lt;=ed_y),(c_x+PI()*$B185+2*(c_y+ed_y)),"")</f>
        <v/>
      </c>
      <c r="S185">
        <f>IF(AND($B185&lt;=ed_l,$B185&lt;=ed_y),(c_x+ed_r+c_y+ed_y+PI()*$B185/2),"")</f>
        <v/>
      </c>
      <c r="T185">
        <f>IF(AND($B185&lt;=ed_r,$B185&lt;=ed_y),(c_x+ed_l+c_y+ed_y+PI()*$B185/2),"")</f>
        <v/>
      </c>
      <c r="U185">
        <f>N_Ed-q_c*(c_x*c_y+2*$B185*(c_x+c_y)+PI()*$B185^2)/1E6-dW_col</f>
        <v/>
      </c>
      <c r="V185">
        <f>N_Ed-dW_col-IF(AND($B185&lt;=ed_r,$B185&lt;=ed_l,$B185&lt;=ed_y),q_c*(c_x*c_y+2*$B185*(c_x+c_y)+PI()*$B185^2)+MIN(0,qn_min)*(L_f*B_f-(c_x*c_y+2*$B185*(c_x+c_y)+PI()*$B185^2)),IF(qn_min&gt;=0,qn_min*(c_x*(c_y+2*$B185)+c_y*(MIN($B185,ed_r)+MIN($B185,ed_l))),qn_min*L_f*B_f))/1E6</f>
        <v/>
      </c>
      <c r="W185">
        <f>IF(AND($B185&lt;=ed_y,OR($B185&lt;=ed_l,$B185&lt;=ed_r)),MATCH(MAX($I185:$N185),$I185:$N185,0),0)</f>
        <v/>
      </c>
    </row>
    <row r="186" ht="16" customHeight="1">
      <c r="B186" s="50">
        <f>0.1*d_eff</f>
        <v/>
      </c>
      <c r="C186" s="50">
        <f>IF(AND($B186&lt;=ed_y,OR($B186&lt;=ed_l,$B186&lt;=ed_r)),INDEX($O186:$T186,$W186),"–")</f>
        <v/>
      </c>
      <c r="D186" s="51">
        <f>IF(AND($B186&lt;=ed_y,OR($B186&lt;=ed_l,$B186&lt;=ed_r)),IF($W186=1,$U186,$V186),"–")</f>
        <v/>
      </c>
      <c r="E186" s="52">
        <f>IF(AND($B186&lt;=ed_y,OR($B186&lt;=ed_l,$B186&lt;=ed_r)),MAX($I186:$N186),"–")</f>
        <v/>
      </c>
      <c r="F186" s="52">
        <f>v_Rdc*2*d_eff/$B186</f>
        <v/>
      </c>
      <c r="G186" s="53">
        <f>IF(AND($B186&lt;=ed_y,OR($B186&lt;=ed_l,$B186&lt;=ed_r)),$E186/$F186,"–")</f>
        <v/>
      </c>
      <c r="I186">
        <f>IF(AND($B186&lt;=ed_r,$B186&lt;=ed_l,$B186&lt;=ed_y),(MAX(0,$U186)*1000/(2*(c_x+c_y)+2*PI()*$B186)+k_e*ABS(M_Ed)*1E6/(c_x^2/2+c_x*c_y+2*c_y*$B186+4*$B186^2+PI()*$B186*c_x))/d_eff,-1)</f>
        <v/>
      </c>
      <c r="J186">
        <f>IF(AND($B186&lt;=ed_l,$B186&lt;=ed_y),(MAX(0,$V186)*1000/(c_y+PI()*$B186+2*(c_x+ed_r))+k_e*ABS(M_Ed)*1E6/(c_y*(c_x/2+$B186)+PI()*$B186*c_x/2+2*$B186^2+c_x^2/4+(c_x/2+ed_r)^2))/d_eff,-1)</f>
        <v/>
      </c>
      <c r="K186">
        <f>IF(AND($B186&lt;=ed_r,$B186&lt;=ed_y),(MAX(0,$V186)*1000/(c_y+PI()*$B186+2*(c_x+ed_l))+k_e*ABS(M_Ed)*1E6/(c_y*(c_x/2+$B186)+PI()*$B186*c_x/2+2*$B186^2+c_x^2/4+(c_x/2+ed_l)^2))/d_eff,-1)</f>
        <v/>
      </c>
      <c r="L186">
        <f>IF(AND($B186&lt;=ed_r,$B186&lt;=ed_l,$B186&lt;=ed_y),(MAX(0,$V186)*1000/(c_x+PI()*$B186+2*(c_y+ed_y))+k_e*ABS(M_Ed)*1E6/(c_x^2/4+PI()*$B186*c_x/2+2*$B186^2+(c_x+2*$B186)*(c_y+ed_y)))/d_eff,-1)</f>
        <v/>
      </c>
      <c r="M186">
        <f>IF(AND($B186&lt;=ed_l,$B186&lt;=ed_y),(MAX(0,$V186)*1000/(c_x+ed_r+c_y+ed_y+PI()*$B186/2)+k_e*ABS(M_Ed)*1E6/(PI()*$B186*c_x/4+$B186^2+c_x^2/8+(c_x/2+ed_r)^2/2+(c_x/2+$B186)*(c_y+ed_y)))/d_eff,-1)</f>
        <v/>
      </c>
      <c r="N186">
        <f>IF(AND($B186&lt;=ed_r,$B186&lt;=ed_y),(MAX(0,$V186)*1000/(c_x+ed_l+c_y+ed_y+PI()*$B186/2)+k_e*ABS(M_Ed)*1E6/(PI()*$B186*c_x/4+$B186^2+c_x^2/8+(c_x/2+ed_l)^2/2+(c_x/2+$B186)*(c_y+ed_y)))/d_eff,-1)</f>
        <v/>
      </c>
      <c r="O186">
        <f>IF(AND($B186&lt;=ed_r,$B186&lt;=ed_l,$B186&lt;=ed_y),(2*(c_x+c_y)+2*PI()*$B186),"")</f>
        <v/>
      </c>
      <c r="P186">
        <f>IF(AND($B186&lt;=ed_l,$B186&lt;=ed_y),(c_y+PI()*$B186+2*(c_x+ed_r)),"")</f>
        <v/>
      </c>
      <c r="Q186">
        <f>IF(AND($B186&lt;=ed_r,$B186&lt;=ed_y),(c_y+PI()*$B186+2*(c_x+ed_l)),"")</f>
        <v/>
      </c>
      <c r="R186">
        <f>IF(AND($B186&lt;=ed_r,$B186&lt;=ed_l,$B186&lt;=ed_y),(c_x+PI()*$B186+2*(c_y+ed_y)),"")</f>
        <v/>
      </c>
      <c r="S186">
        <f>IF(AND($B186&lt;=ed_l,$B186&lt;=ed_y),(c_x+ed_r+c_y+ed_y+PI()*$B186/2),"")</f>
        <v/>
      </c>
      <c r="T186">
        <f>IF(AND($B186&lt;=ed_r,$B186&lt;=ed_y),(c_x+ed_l+c_y+ed_y+PI()*$B186/2),"")</f>
        <v/>
      </c>
      <c r="U186">
        <f>N_Ed-q_c*(c_x*c_y+2*$B186*(c_x+c_y)+PI()*$B186^2)/1E6-dW_col</f>
        <v/>
      </c>
      <c r="V186">
        <f>N_Ed-dW_col-IF(AND($B186&lt;=ed_r,$B186&lt;=ed_l,$B186&lt;=ed_y),q_c*(c_x*c_y+2*$B186*(c_x+c_y)+PI()*$B186^2)+MIN(0,qn_min)*(L_f*B_f-(c_x*c_y+2*$B186*(c_x+c_y)+PI()*$B186^2)),IF(qn_min&gt;=0,qn_min*(c_x*(c_y+2*$B186)+c_y*(MIN($B186,ed_r)+MIN($B186,ed_l))),qn_min*L_f*B_f))/1E6</f>
        <v/>
      </c>
      <c r="W186">
        <f>IF(AND($B186&lt;=ed_y,OR($B186&lt;=ed_l,$B186&lt;=ed_r)),MATCH(MAX($I186:$N186),$I186:$N186,0),0)</f>
        <v/>
      </c>
    </row>
    <row r="187" ht="16" customHeight="1">
      <c r="B187" s="50">
        <f>0.15*d_eff</f>
        <v/>
      </c>
      <c r="C187" s="50">
        <f>IF(AND($B187&lt;=ed_y,OR($B187&lt;=ed_l,$B187&lt;=ed_r)),INDEX($O187:$T187,$W187),"–")</f>
        <v/>
      </c>
      <c r="D187" s="51">
        <f>IF(AND($B187&lt;=ed_y,OR($B187&lt;=ed_l,$B187&lt;=ed_r)),IF($W187=1,$U187,$V187),"–")</f>
        <v/>
      </c>
      <c r="E187" s="52">
        <f>IF(AND($B187&lt;=ed_y,OR($B187&lt;=ed_l,$B187&lt;=ed_r)),MAX($I187:$N187),"–")</f>
        <v/>
      </c>
      <c r="F187" s="52">
        <f>v_Rdc*2*d_eff/$B187</f>
        <v/>
      </c>
      <c r="G187" s="53">
        <f>IF(AND($B187&lt;=ed_y,OR($B187&lt;=ed_l,$B187&lt;=ed_r)),$E187/$F187,"–")</f>
        <v/>
      </c>
      <c r="I187">
        <f>IF(AND($B187&lt;=ed_r,$B187&lt;=ed_l,$B187&lt;=ed_y),(MAX(0,$U187)*1000/(2*(c_x+c_y)+2*PI()*$B187)+k_e*ABS(M_Ed)*1E6/(c_x^2/2+c_x*c_y+2*c_y*$B187+4*$B187^2+PI()*$B187*c_x))/d_eff,-1)</f>
        <v/>
      </c>
      <c r="J187">
        <f>IF(AND($B187&lt;=ed_l,$B187&lt;=ed_y),(MAX(0,$V187)*1000/(c_y+PI()*$B187+2*(c_x+ed_r))+k_e*ABS(M_Ed)*1E6/(c_y*(c_x/2+$B187)+PI()*$B187*c_x/2+2*$B187^2+c_x^2/4+(c_x/2+ed_r)^2))/d_eff,-1)</f>
        <v/>
      </c>
      <c r="K187">
        <f>IF(AND($B187&lt;=ed_r,$B187&lt;=ed_y),(MAX(0,$V187)*1000/(c_y+PI()*$B187+2*(c_x+ed_l))+k_e*ABS(M_Ed)*1E6/(c_y*(c_x/2+$B187)+PI()*$B187*c_x/2+2*$B187^2+c_x^2/4+(c_x/2+ed_l)^2))/d_eff,-1)</f>
        <v/>
      </c>
      <c r="L187">
        <f>IF(AND($B187&lt;=ed_r,$B187&lt;=ed_l,$B187&lt;=ed_y),(MAX(0,$V187)*1000/(c_x+PI()*$B187+2*(c_y+ed_y))+k_e*ABS(M_Ed)*1E6/(c_x^2/4+PI()*$B187*c_x/2+2*$B187^2+(c_x+2*$B187)*(c_y+ed_y)))/d_eff,-1)</f>
        <v/>
      </c>
      <c r="M187">
        <f>IF(AND($B187&lt;=ed_l,$B187&lt;=ed_y),(MAX(0,$V187)*1000/(c_x+ed_r+c_y+ed_y+PI()*$B187/2)+k_e*ABS(M_Ed)*1E6/(PI()*$B187*c_x/4+$B187^2+c_x^2/8+(c_x/2+ed_r)^2/2+(c_x/2+$B187)*(c_y+ed_y)))/d_eff,-1)</f>
        <v/>
      </c>
      <c r="N187">
        <f>IF(AND($B187&lt;=ed_r,$B187&lt;=ed_y),(MAX(0,$V187)*1000/(c_x+ed_l+c_y+ed_y+PI()*$B187/2)+k_e*ABS(M_Ed)*1E6/(PI()*$B187*c_x/4+$B187^2+c_x^2/8+(c_x/2+ed_l)^2/2+(c_x/2+$B187)*(c_y+ed_y)))/d_eff,-1)</f>
        <v/>
      </c>
      <c r="O187">
        <f>IF(AND($B187&lt;=ed_r,$B187&lt;=ed_l,$B187&lt;=ed_y),(2*(c_x+c_y)+2*PI()*$B187),"")</f>
        <v/>
      </c>
      <c r="P187">
        <f>IF(AND($B187&lt;=ed_l,$B187&lt;=ed_y),(c_y+PI()*$B187+2*(c_x+ed_r)),"")</f>
        <v/>
      </c>
      <c r="Q187">
        <f>IF(AND($B187&lt;=ed_r,$B187&lt;=ed_y),(c_y+PI()*$B187+2*(c_x+ed_l)),"")</f>
        <v/>
      </c>
      <c r="R187">
        <f>IF(AND($B187&lt;=ed_r,$B187&lt;=ed_l,$B187&lt;=ed_y),(c_x+PI()*$B187+2*(c_y+ed_y)),"")</f>
        <v/>
      </c>
      <c r="S187">
        <f>IF(AND($B187&lt;=ed_l,$B187&lt;=ed_y),(c_x+ed_r+c_y+ed_y+PI()*$B187/2),"")</f>
        <v/>
      </c>
      <c r="T187">
        <f>IF(AND($B187&lt;=ed_r,$B187&lt;=ed_y),(c_x+ed_l+c_y+ed_y+PI()*$B187/2),"")</f>
        <v/>
      </c>
      <c r="U187">
        <f>N_Ed-q_c*(c_x*c_y+2*$B187*(c_x+c_y)+PI()*$B187^2)/1E6-dW_col</f>
        <v/>
      </c>
      <c r="V187">
        <f>N_Ed-dW_col-IF(AND($B187&lt;=ed_r,$B187&lt;=ed_l,$B187&lt;=ed_y),q_c*(c_x*c_y+2*$B187*(c_x+c_y)+PI()*$B187^2)+MIN(0,qn_min)*(L_f*B_f-(c_x*c_y+2*$B187*(c_x+c_y)+PI()*$B187^2)),IF(qn_min&gt;=0,qn_min*(c_x*(c_y+2*$B187)+c_y*(MIN($B187,ed_r)+MIN($B187,ed_l))),qn_min*L_f*B_f))/1E6</f>
        <v/>
      </c>
      <c r="W187">
        <f>IF(AND($B187&lt;=ed_y,OR($B187&lt;=ed_l,$B187&lt;=ed_r)),MATCH(MAX($I187:$N187),$I187:$N187,0),0)</f>
        <v/>
      </c>
    </row>
    <row r="188" ht="16" customHeight="1">
      <c r="B188" s="50">
        <f>0.2*d_eff</f>
        <v/>
      </c>
      <c r="C188" s="50">
        <f>IF(AND($B188&lt;=ed_y,OR($B188&lt;=ed_l,$B188&lt;=ed_r)),INDEX($O188:$T188,$W188),"–")</f>
        <v/>
      </c>
      <c r="D188" s="51">
        <f>IF(AND($B188&lt;=ed_y,OR($B188&lt;=ed_l,$B188&lt;=ed_r)),IF($W188=1,$U188,$V188),"–")</f>
        <v/>
      </c>
      <c r="E188" s="52">
        <f>IF(AND($B188&lt;=ed_y,OR($B188&lt;=ed_l,$B188&lt;=ed_r)),MAX($I188:$N188),"–")</f>
        <v/>
      </c>
      <c r="F188" s="52">
        <f>v_Rdc*2*d_eff/$B188</f>
        <v/>
      </c>
      <c r="G188" s="53">
        <f>IF(AND($B188&lt;=ed_y,OR($B188&lt;=ed_l,$B188&lt;=ed_r)),$E188/$F188,"–")</f>
        <v/>
      </c>
      <c r="I188">
        <f>IF(AND($B188&lt;=ed_r,$B188&lt;=ed_l,$B188&lt;=ed_y),(MAX(0,$U188)*1000/(2*(c_x+c_y)+2*PI()*$B188)+k_e*ABS(M_Ed)*1E6/(c_x^2/2+c_x*c_y+2*c_y*$B188+4*$B188^2+PI()*$B188*c_x))/d_eff,-1)</f>
        <v/>
      </c>
      <c r="J188">
        <f>IF(AND($B188&lt;=ed_l,$B188&lt;=ed_y),(MAX(0,$V188)*1000/(c_y+PI()*$B188+2*(c_x+ed_r))+k_e*ABS(M_Ed)*1E6/(c_y*(c_x/2+$B188)+PI()*$B188*c_x/2+2*$B188^2+c_x^2/4+(c_x/2+ed_r)^2))/d_eff,-1)</f>
        <v/>
      </c>
      <c r="K188">
        <f>IF(AND($B188&lt;=ed_r,$B188&lt;=ed_y),(MAX(0,$V188)*1000/(c_y+PI()*$B188+2*(c_x+ed_l))+k_e*ABS(M_Ed)*1E6/(c_y*(c_x/2+$B188)+PI()*$B188*c_x/2+2*$B188^2+c_x^2/4+(c_x/2+ed_l)^2))/d_eff,-1)</f>
        <v/>
      </c>
      <c r="L188">
        <f>IF(AND($B188&lt;=ed_r,$B188&lt;=ed_l,$B188&lt;=ed_y),(MAX(0,$V188)*1000/(c_x+PI()*$B188+2*(c_y+ed_y))+k_e*ABS(M_Ed)*1E6/(c_x^2/4+PI()*$B188*c_x/2+2*$B188^2+(c_x+2*$B188)*(c_y+ed_y)))/d_eff,-1)</f>
        <v/>
      </c>
      <c r="M188">
        <f>IF(AND($B188&lt;=ed_l,$B188&lt;=ed_y),(MAX(0,$V188)*1000/(c_x+ed_r+c_y+ed_y+PI()*$B188/2)+k_e*ABS(M_Ed)*1E6/(PI()*$B188*c_x/4+$B188^2+c_x^2/8+(c_x/2+ed_r)^2/2+(c_x/2+$B188)*(c_y+ed_y)))/d_eff,-1)</f>
        <v/>
      </c>
      <c r="N188">
        <f>IF(AND($B188&lt;=ed_r,$B188&lt;=ed_y),(MAX(0,$V188)*1000/(c_x+ed_l+c_y+ed_y+PI()*$B188/2)+k_e*ABS(M_Ed)*1E6/(PI()*$B188*c_x/4+$B188^2+c_x^2/8+(c_x/2+ed_l)^2/2+(c_x/2+$B188)*(c_y+ed_y)))/d_eff,-1)</f>
        <v/>
      </c>
      <c r="O188">
        <f>IF(AND($B188&lt;=ed_r,$B188&lt;=ed_l,$B188&lt;=ed_y),(2*(c_x+c_y)+2*PI()*$B188),"")</f>
        <v/>
      </c>
      <c r="P188">
        <f>IF(AND($B188&lt;=ed_l,$B188&lt;=ed_y),(c_y+PI()*$B188+2*(c_x+ed_r)),"")</f>
        <v/>
      </c>
      <c r="Q188">
        <f>IF(AND($B188&lt;=ed_r,$B188&lt;=ed_y),(c_y+PI()*$B188+2*(c_x+ed_l)),"")</f>
        <v/>
      </c>
      <c r="R188">
        <f>IF(AND($B188&lt;=ed_r,$B188&lt;=ed_l,$B188&lt;=ed_y),(c_x+PI()*$B188+2*(c_y+ed_y)),"")</f>
        <v/>
      </c>
      <c r="S188">
        <f>IF(AND($B188&lt;=ed_l,$B188&lt;=ed_y),(c_x+ed_r+c_y+ed_y+PI()*$B188/2),"")</f>
        <v/>
      </c>
      <c r="T188">
        <f>IF(AND($B188&lt;=ed_r,$B188&lt;=ed_y),(c_x+ed_l+c_y+ed_y+PI()*$B188/2),"")</f>
        <v/>
      </c>
      <c r="U188">
        <f>N_Ed-q_c*(c_x*c_y+2*$B188*(c_x+c_y)+PI()*$B188^2)/1E6-dW_col</f>
        <v/>
      </c>
      <c r="V188">
        <f>N_Ed-dW_col-IF(AND($B188&lt;=ed_r,$B188&lt;=ed_l,$B188&lt;=ed_y),q_c*(c_x*c_y+2*$B188*(c_x+c_y)+PI()*$B188^2)+MIN(0,qn_min)*(L_f*B_f-(c_x*c_y+2*$B188*(c_x+c_y)+PI()*$B188^2)),IF(qn_min&gt;=0,qn_min*(c_x*(c_y+2*$B188)+c_y*(MIN($B188,ed_r)+MIN($B188,ed_l))),qn_min*L_f*B_f))/1E6</f>
        <v/>
      </c>
      <c r="W188">
        <f>IF(AND($B188&lt;=ed_y,OR($B188&lt;=ed_l,$B188&lt;=ed_r)),MATCH(MAX($I188:$N188),$I188:$N188,0),0)</f>
        <v/>
      </c>
    </row>
    <row r="189" ht="16" customHeight="1">
      <c r="B189" s="50">
        <f>0.25*d_eff</f>
        <v/>
      </c>
      <c r="C189" s="50">
        <f>IF(AND($B189&lt;=ed_y,OR($B189&lt;=ed_l,$B189&lt;=ed_r)),INDEX($O189:$T189,$W189),"–")</f>
        <v/>
      </c>
      <c r="D189" s="51">
        <f>IF(AND($B189&lt;=ed_y,OR($B189&lt;=ed_l,$B189&lt;=ed_r)),IF($W189=1,$U189,$V189),"–")</f>
        <v/>
      </c>
      <c r="E189" s="52">
        <f>IF(AND($B189&lt;=ed_y,OR($B189&lt;=ed_l,$B189&lt;=ed_r)),MAX($I189:$N189),"–")</f>
        <v/>
      </c>
      <c r="F189" s="52">
        <f>v_Rdc*2*d_eff/$B189</f>
        <v/>
      </c>
      <c r="G189" s="53">
        <f>IF(AND($B189&lt;=ed_y,OR($B189&lt;=ed_l,$B189&lt;=ed_r)),$E189/$F189,"–")</f>
        <v/>
      </c>
      <c r="I189">
        <f>IF(AND($B189&lt;=ed_r,$B189&lt;=ed_l,$B189&lt;=ed_y),(MAX(0,$U189)*1000/(2*(c_x+c_y)+2*PI()*$B189)+k_e*ABS(M_Ed)*1E6/(c_x^2/2+c_x*c_y+2*c_y*$B189+4*$B189^2+PI()*$B189*c_x))/d_eff,-1)</f>
        <v/>
      </c>
      <c r="J189">
        <f>IF(AND($B189&lt;=ed_l,$B189&lt;=ed_y),(MAX(0,$V189)*1000/(c_y+PI()*$B189+2*(c_x+ed_r))+k_e*ABS(M_Ed)*1E6/(c_y*(c_x/2+$B189)+PI()*$B189*c_x/2+2*$B189^2+c_x^2/4+(c_x/2+ed_r)^2))/d_eff,-1)</f>
        <v/>
      </c>
      <c r="K189">
        <f>IF(AND($B189&lt;=ed_r,$B189&lt;=ed_y),(MAX(0,$V189)*1000/(c_y+PI()*$B189+2*(c_x+ed_l))+k_e*ABS(M_Ed)*1E6/(c_y*(c_x/2+$B189)+PI()*$B189*c_x/2+2*$B189^2+c_x^2/4+(c_x/2+ed_l)^2))/d_eff,-1)</f>
        <v/>
      </c>
      <c r="L189">
        <f>IF(AND($B189&lt;=ed_r,$B189&lt;=ed_l,$B189&lt;=ed_y),(MAX(0,$V189)*1000/(c_x+PI()*$B189+2*(c_y+ed_y))+k_e*ABS(M_Ed)*1E6/(c_x^2/4+PI()*$B189*c_x/2+2*$B189^2+(c_x+2*$B189)*(c_y+ed_y)))/d_eff,-1)</f>
        <v/>
      </c>
      <c r="M189">
        <f>IF(AND($B189&lt;=ed_l,$B189&lt;=ed_y),(MAX(0,$V189)*1000/(c_x+ed_r+c_y+ed_y+PI()*$B189/2)+k_e*ABS(M_Ed)*1E6/(PI()*$B189*c_x/4+$B189^2+c_x^2/8+(c_x/2+ed_r)^2/2+(c_x/2+$B189)*(c_y+ed_y)))/d_eff,-1)</f>
        <v/>
      </c>
      <c r="N189">
        <f>IF(AND($B189&lt;=ed_r,$B189&lt;=ed_y),(MAX(0,$V189)*1000/(c_x+ed_l+c_y+ed_y+PI()*$B189/2)+k_e*ABS(M_Ed)*1E6/(PI()*$B189*c_x/4+$B189^2+c_x^2/8+(c_x/2+ed_l)^2/2+(c_x/2+$B189)*(c_y+ed_y)))/d_eff,-1)</f>
        <v/>
      </c>
      <c r="O189">
        <f>IF(AND($B189&lt;=ed_r,$B189&lt;=ed_l,$B189&lt;=ed_y),(2*(c_x+c_y)+2*PI()*$B189),"")</f>
        <v/>
      </c>
      <c r="P189">
        <f>IF(AND($B189&lt;=ed_l,$B189&lt;=ed_y),(c_y+PI()*$B189+2*(c_x+ed_r)),"")</f>
        <v/>
      </c>
      <c r="Q189">
        <f>IF(AND($B189&lt;=ed_r,$B189&lt;=ed_y),(c_y+PI()*$B189+2*(c_x+ed_l)),"")</f>
        <v/>
      </c>
      <c r="R189">
        <f>IF(AND($B189&lt;=ed_r,$B189&lt;=ed_l,$B189&lt;=ed_y),(c_x+PI()*$B189+2*(c_y+ed_y)),"")</f>
        <v/>
      </c>
      <c r="S189">
        <f>IF(AND($B189&lt;=ed_l,$B189&lt;=ed_y),(c_x+ed_r+c_y+ed_y+PI()*$B189/2),"")</f>
        <v/>
      </c>
      <c r="T189">
        <f>IF(AND($B189&lt;=ed_r,$B189&lt;=ed_y),(c_x+ed_l+c_y+ed_y+PI()*$B189/2),"")</f>
        <v/>
      </c>
      <c r="U189">
        <f>N_Ed-q_c*(c_x*c_y+2*$B189*(c_x+c_y)+PI()*$B189^2)/1E6-dW_col</f>
        <v/>
      </c>
      <c r="V189">
        <f>N_Ed-dW_col-IF(AND($B189&lt;=ed_r,$B189&lt;=ed_l,$B189&lt;=ed_y),q_c*(c_x*c_y+2*$B189*(c_x+c_y)+PI()*$B189^2)+MIN(0,qn_min)*(L_f*B_f-(c_x*c_y+2*$B189*(c_x+c_y)+PI()*$B189^2)),IF(qn_min&gt;=0,qn_min*(c_x*(c_y+2*$B189)+c_y*(MIN($B189,ed_r)+MIN($B189,ed_l))),qn_min*L_f*B_f))/1E6</f>
        <v/>
      </c>
      <c r="W189">
        <f>IF(AND($B189&lt;=ed_y,OR($B189&lt;=ed_l,$B189&lt;=ed_r)),MATCH(MAX($I189:$N189),$I189:$N189,0),0)</f>
        <v/>
      </c>
    </row>
    <row r="190" ht="16" customHeight="1">
      <c r="B190" s="50">
        <f>0.3*d_eff</f>
        <v/>
      </c>
      <c r="C190" s="50">
        <f>IF(AND($B190&lt;=ed_y,OR($B190&lt;=ed_l,$B190&lt;=ed_r)),INDEX($O190:$T190,$W190),"–")</f>
        <v/>
      </c>
      <c r="D190" s="51">
        <f>IF(AND($B190&lt;=ed_y,OR($B190&lt;=ed_l,$B190&lt;=ed_r)),IF($W190=1,$U190,$V190),"–")</f>
        <v/>
      </c>
      <c r="E190" s="52">
        <f>IF(AND($B190&lt;=ed_y,OR($B190&lt;=ed_l,$B190&lt;=ed_r)),MAX($I190:$N190),"–")</f>
        <v/>
      </c>
      <c r="F190" s="52">
        <f>v_Rdc*2*d_eff/$B190</f>
        <v/>
      </c>
      <c r="G190" s="53">
        <f>IF(AND($B190&lt;=ed_y,OR($B190&lt;=ed_l,$B190&lt;=ed_r)),$E190/$F190,"–")</f>
        <v/>
      </c>
      <c r="I190">
        <f>IF(AND($B190&lt;=ed_r,$B190&lt;=ed_l,$B190&lt;=ed_y),(MAX(0,$U190)*1000/(2*(c_x+c_y)+2*PI()*$B190)+k_e*ABS(M_Ed)*1E6/(c_x^2/2+c_x*c_y+2*c_y*$B190+4*$B190^2+PI()*$B190*c_x))/d_eff,-1)</f>
        <v/>
      </c>
      <c r="J190">
        <f>IF(AND($B190&lt;=ed_l,$B190&lt;=ed_y),(MAX(0,$V190)*1000/(c_y+PI()*$B190+2*(c_x+ed_r))+k_e*ABS(M_Ed)*1E6/(c_y*(c_x/2+$B190)+PI()*$B190*c_x/2+2*$B190^2+c_x^2/4+(c_x/2+ed_r)^2))/d_eff,-1)</f>
        <v/>
      </c>
      <c r="K190">
        <f>IF(AND($B190&lt;=ed_r,$B190&lt;=ed_y),(MAX(0,$V190)*1000/(c_y+PI()*$B190+2*(c_x+ed_l))+k_e*ABS(M_Ed)*1E6/(c_y*(c_x/2+$B190)+PI()*$B190*c_x/2+2*$B190^2+c_x^2/4+(c_x/2+ed_l)^2))/d_eff,-1)</f>
        <v/>
      </c>
      <c r="L190">
        <f>IF(AND($B190&lt;=ed_r,$B190&lt;=ed_l,$B190&lt;=ed_y),(MAX(0,$V190)*1000/(c_x+PI()*$B190+2*(c_y+ed_y))+k_e*ABS(M_Ed)*1E6/(c_x^2/4+PI()*$B190*c_x/2+2*$B190^2+(c_x+2*$B190)*(c_y+ed_y)))/d_eff,-1)</f>
        <v/>
      </c>
      <c r="M190">
        <f>IF(AND($B190&lt;=ed_l,$B190&lt;=ed_y),(MAX(0,$V190)*1000/(c_x+ed_r+c_y+ed_y+PI()*$B190/2)+k_e*ABS(M_Ed)*1E6/(PI()*$B190*c_x/4+$B190^2+c_x^2/8+(c_x/2+ed_r)^2/2+(c_x/2+$B190)*(c_y+ed_y)))/d_eff,-1)</f>
        <v/>
      </c>
      <c r="N190">
        <f>IF(AND($B190&lt;=ed_r,$B190&lt;=ed_y),(MAX(0,$V190)*1000/(c_x+ed_l+c_y+ed_y+PI()*$B190/2)+k_e*ABS(M_Ed)*1E6/(PI()*$B190*c_x/4+$B190^2+c_x^2/8+(c_x/2+ed_l)^2/2+(c_x/2+$B190)*(c_y+ed_y)))/d_eff,-1)</f>
        <v/>
      </c>
      <c r="O190">
        <f>IF(AND($B190&lt;=ed_r,$B190&lt;=ed_l,$B190&lt;=ed_y),(2*(c_x+c_y)+2*PI()*$B190),"")</f>
        <v/>
      </c>
      <c r="P190">
        <f>IF(AND($B190&lt;=ed_l,$B190&lt;=ed_y),(c_y+PI()*$B190+2*(c_x+ed_r)),"")</f>
        <v/>
      </c>
      <c r="Q190">
        <f>IF(AND($B190&lt;=ed_r,$B190&lt;=ed_y),(c_y+PI()*$B190+2*(c_x+ed_l)),"")</f>
        <v/>
      </c>
      <c r="R190">
        <f>IF(AND($B190&lt;=ed_r,$B190&lt;=ed_l,$B190&lt;=ed_y),(c_x+PI()*$B190+2*(c_y+ed_y)),"")</f>
        <v/>
      </c>
      <c r="S190">
        <f>IF(AND($B190&lt;=ed_l,$B190&lt;=ed_y),(c_x+ed_r+c_y+ed_y+PI()*$B190/2),"")</f>
        <v/>
      </c>
      <c r="T190">
        <f>IF(AND($B190&lt;=ed_r,$B190&lt;=ed_y),(c_x+ed_l+c_y+ed_y+PI()*$B190/2),"")</f>
        <v/>
      </c>
      <c r="U190">
        <f>N_Ed-q_c*(c_x*c_y+2*$B190*(c_x+c_y)+PI()*$B190^2)/1E6-dW_col</f>
        <v/>
      </c>
      <c r="V190">
        <f>N_Ed-dW_col-IF(AND($B190&lt;=ed_r,$B190&lt;=ed_l,$B190&lt;=ed_y),q_c*(c_x*c_y+2*$B190*(c_x+c_y)+PI()*$B190^2)+MIN(0,qn_min)*(L_f*B_f-(c_x*c_y+2*$B190*(c_x+c_y)+PI()*$B190^2)),IF(qn_min&gt;=0,qn_min*(c_x*(c_y+2*$B190)+c_y*(MIN($B190,ed_r)+MIN($B190,ed_l))),qn_min*L_f*B_f))/1E6</f>
        <v/>
      </c>
      <c r="W190">
        <f>IF(AND($B190&lt;=ed_y,OR($B190&lt;=ed_l,$B190&lt;=ed_r)),MATCH(MAX($I190:$N190),$I190:$N190,0),0)</f>
        <v/>
      </c>
    </row>
    <row r="191" ht="16" customHeight="1">
      <c r="B191" s="50">
        <f>0.35*d_eff</f>
        <v/>
      </c>
      <c r="C191" s="50">
        <f>IF(AND($B191&lt;=ed_y,OR($B191&lt;=ed_l,$B191&lt;=ed_r)),INDEX($O191:$T191,$W191),"–")</f>
        <v/>
      </c>
      <c r="D191" s="51">
        <f>IF(AND($B191&lt;=ed_y,OR($B191&lt;=ed_l,$B191&lt;=ed_r)),IF($W191=1,$U191,$V191),"–")</f>
        <v/>
      </c>
      <c r="E191" s="52">
        <f>IF(AND($B191&lt;=ed_y,OR($B191&lt;=ed_l,$B191&lt;=ed_r)),MAX($I191:$N191),"–")</f>
        <v/>
      </c>
      <c r="F191" s="52">
        <f>v_Rdc*2*d_eff/$B191</f>
        <v/>
      </c>
      <c r="G191" s="53">
        <f>IF(AND($B191&lt;=ed_y,OR($B191&lt;=ed_l,$B191&lt;=ed_r)),$E191/$F191,"–")</f>
        <v/>
      </c>
      <c r="I191">
        <f>IF(AND($B191&lt;=ed_r,$B191&lt;=ed_l,$B191&lt;=ed_y),(MAX(0,$U191)*1000/(2*(c_x+c_y)+2*PI()*$B191)+k_e*ABS(M_Ed)*1E6/(c_x^2/2+c_x*c_y+2*c_y*$B191+4*$B191^2+PI()*$B191*c_x))/d_eff,-1)</f>
        <v/>
      </c>
      <c r="J191">
        <f>IF(AND($B191&lt;=ed_l,$B191&lt;=ed_y),(MAX(0,$V191)*1000/(c_y+PI()*$B191+2*(c_x+ed_r))+k_e*ABS(M_Ed)*1E6/(c_y*(c_x/2+$B191)+PI()*$B191*c_x/2+2*$B191^2+c_x^2/4+(c_x/2+ed_r)^2))/d_eff,-1)</f>
        <v/>
      </c>
      <c r="K191">
        <f>IF(AND($B191&lt;=ed_r,$B191&lt;=ed_y),(MAX(0,$V191)*1000/(c_y+PI()*$B191+2*(c_x+ed_l))+k_e*ABS(M_Ed)*1E6/(c_y*(c_x/2+$B191)+PI()*$B191*c_x/2+2*$B191^2+c_x^2/4+(c_x/2+ed_l)^2))/d_eff,-1)</f>
        <v/>
      </c>
      <c r="L191">
        <f>IF(AND($B191&lt;=ed_r,$B191&lt;=ed_l,$B191&lt;=ed_y),(MAX(0,$V191)*1000/(c_x+PI()*$B191+2*(c_y+ed_y))+k_e*ABS(M_Ed)*1E6/(c_x^2/4+PI()*$B191*c_x/2+2*$B191^2+(c_x+2*$B191)*(c_y+ed_y)))/d_eff,-1)</f>
        <v/>
      </c>
      <c r="M191">
        <f>IF(AND($B191&lt;=ed_l,$B191&lt;=ed_y),(MAX(0,$V191)*1000/(c_x+ed_r+c_y+ed_y+PI()*$B191/2)+k_e*ABS(M_Ed)*1E6/(PI()*$B191*c_x/4+$B191^2+c_x^2/8+(c_x/2+ed_r)^2/2+(c_x/2+$B191)*(c_y+ed_y)))/d_eff,-1)</f>
        <v/>
      </c>
      <c r="N191">
        <f>IF(AND($B191&lt;=ed_r,$B191&lt;=ed_y),(MAX(0,$V191)*1000/(c_x+ed_l+c_y+ed_y+PI()*$B191/2)+k_e*ABS(M_Ed)*1E6/(PI()*$B191*c_x/4+$B191^2+c_x^2/8+(c_x/2+ed_l)^2/2+(c_x/2+$B191)*(c_y+ed_y)))/d_eff,-1)</f>
        <v/>
      </c>
      <c r="O191">
        <f>IF(AND($B191&lt;=ed_r,$B191&lt;=ed_l,$B191&lt;=ed_y),(2*(c_x+c_y)+2*PI()*$B191),"")</f>
        <v/>
      </c>
      <c r="P191">
        <f>IF(AND($B191&lt;=ed_l,$B191&lt;=ed_y),(c_y+PI()*$B191+2*(c_x+ed_r)),"")</f>
        <v/>
      </c>
      <c r="Q191">
        <f>IF(AND($B191&lt;=ed_r,$B191&lt;=ed_y),(c_y+PI()*$B191+2*(c_x+ed_l)),"")</f>
        <v/>
      </c>
      <c r="R191">
        <f>IF(AND($B191&lt;=ed_r,$B191&lt;=ed_l,$B191&lt;=ed_y),(c_x+PI()*$B191+2*(c_y+ed_y)),"")</f>
        <v/>
      </c>
      <c r="S191">
        <f>IF(AND($B191&lt;=ed_l,$B191&lt;=ed_y),(c_x+ed_r+c_y+ed_y+PI()*$B191/2),"")</f>
        <v/>
      </c>
      <c r="T191">
        <f>IF(AND($B191&lt;=ed_r,$B191&lt;=ed_y),(c_x+ed_l+c_y+ed_y+PI()*$B191/2),"")</f>
        <v/>
      </c>
      <c r="U191">
        <f>N_Ed-q_c*(c_x*c_y+2*$B191*(c_x+c_y)+PI()*$B191^2)/1E6-dW_col</f>
        <v/>
      </c>
      <c r="V191">
        <f>N_Ed-dW_col-IF(AND($B191&lt;=ed_r,$B191&lt;=ed_l,$B191&lt;=ed_y),q_c*(c_x*c_y+2*$B191*(c_x+c_y)+PI()*$B191^2)+MIN(0,qn_min)*(L_f*B_f-(c_x*c_y+2*$B191*(c_x+c_y)+PI()*$B191^2)),IF(qn_min&gt;=0,qn_min*(c_x*(c_y+2*$B191)+c_y*(MIN($B191,ed_r)+MIN($B191,ed_l))),qn_min*L_f*B_f))/1E6</f>
        <v/>
      </c>
      <c r="W191">
        <f>IF(AND($B191&lt;=ed_y,OR($B191&lt;=ed_l,$B191&lt;=ed_r)),MATCH(MAX($I191:$N191),$I191:$N191,0),0)</f>
        <v/>
      </c>
    </row>
    <row r="192" ht="16" customHeight="1">
      <c r="B192" s="50">
        <f>0.4*d_eff</f>
        <v/>
      </c>
      <c r="C192" s="50">
        <f>IF(AND($B192&lt;=ed_y,OR($B192&lt;=ed_l,$B192&lt;=ed_r)),INDEX($O192:$T192,$W192),"–")</f>
        <v/>
      </c>
      <c r="D192" s="51">
        <f>IF(AND($B192&lt;=ed_y,OR($B192&lt;=ed_l,$B192&lt;=ed_r)),IF($W192=1,$U192,$V192),"–")</f>
        <v/>
      </c>
      <c r="E192" s="52">
        <f>IF(AND($B192&lt;=ed_y,OR($B192&lt;=ed_l,$B192&lt;=ed_r)),MAX($I192:$N192),"–")</f>
        <v/>
      </c>
      <c r="F192" s="52">
        <f>v_Rdc*2*d_eff/$B192</f>
        <v/>
      </c>
      <c r="G192" s="53">
        <f>IF(AND($B192&lt;=ed_y,OR($B192&lt;=ed_l,$B192&lt;=ed_r)),$E192/$F192,"–")</f>
        <v/>
      </c>
      <c r="I192">
        <f>IF(AND($B192&lt;=ed_r,$B192&lt;=ed_l,$B192&lt;=ed_y),(MAX(0,$U192)*1000/(2*(c_x+c_y)+2*PI()*$B192)+k_e*ABS(M_Ed)*1E6/(c_x^2/2+c_x*c_y+2*c_y*$B192+4*$B192^2+PI()*$B192*c_x))/d_eff,-1)</f>
        <v/>
      </c>
      <c r="J192">
        <f>IF(AND($B192&lt;=ed_l,$B192&lt;=ed_y),(MAX(0,$V192)*1000/(c_y+PI()*$B192+2*(c_x+ed_r))+k_e*ABS(M_Ed)*1E6/(c_y*(c_x/2+$B192)+PI()*$B192*c_x/2+2*$B192^2+c_x^2/4+(c_x/2+ed_r)^2))/d_eff,-1)</f>
        <v/>
      </c>
      <c r="K192">
        <f>IF(AND($B192&lt;=ed_r,$B192&lt;=ed_y),(MAX(0,$V192)*1000/(c_y+PI()*$B192+2*(c_x+ed_l))+k_e*ABS(M_Ed)*1E6/(c_y*(c_x/2+$B192)+PI()*$B192*c_x/2+2*$B192^2+c_x^2/4+(c_x/2+ed_l)^2))/d_eff,-1)</f>
        <v/>
      </c>
      <c r="L192">
        <f>IF(AND($B192&lt;=ed_r,$B192&lt;=ed_l,$B192&lt;=ed_y),(MAX(0,$V192)*1000/(c_x+PI()*$B192+2*(c_y+ed_y))+k_e*ABS(M_Ed)*1E6/(c_x^2/4+PI()*$B192*c_x/2+2*$B192^2+(c_x+2*$B192)*(c_y+ed_y)))/d_eff,-1)</f>
        <v/>
      </c>
      <c r="M192">
        <f>IF(AND($B192&lt;=ed_l,$B192&lt;=ed_y),(MAX(0,$V192)*1000/(c_x+ed_r+c_y+ed_y+PI()*$B192/2)+k_e*ABS(M_Ed)*1E6/(PI()*$B192*c_x/4+$B192^2+c_x^2/8+(c_x/2+ed_r)^2/2+(c_x/2+$B192)*(c_y+ed_y)))/d_eff,-1)</f>
        <v/>
      </c>
      <c r="N192">
        <f>IF(AND($B192&lt;=ed_r,$B192&lt;=ed_y),(MAX(0,$V192)*1000/(c_x+ed_l+c_y+ed_y+PI()*$B192/2)+k_e*ABS(M_Ed)*1E6/(PI()*$B192*c_x/4+$B192^2+c_x^2/8+(c_x/2+ed_l)^2/2+(c_x/2+$B192)*(c_y+ed_y)))/d_eff,-1)</f>
        <v/>
      </c>
      <c r="O192">
        <f>IF(AND($B192&lt;=ed_r,$B192&lt;=ed_l,$B192&lt;=ed_y),(2*(c_x+c_y)+2*PI()*$B192),"")</f>
        <v/>
      </c>
      <c r="P192">
        <f>IF(AND($B192&lt;=ed_l,$B192&lt;=ed_y),(c_y+PI()*$B192+2*(c_x+ed_r)),"")</f>
        <v/>
      </c>
      <c r="Q192">
        <f>IF(AND($B192&lt;=ed_r,$B192&lt;=ed_y),(c_y+PI()*$B192+2*(c_x+ed_l)),"")</f>
        <v/>
      </c>
      <c r="R192">
        <f>IF(AND($B192&lt;=ed_r,$B192&lt;=ed_l,$B192&lt;=ed_y),(c_x+PI()*$B192+2*(c_y+ed_y)),"")</f>
        <v/>
      </c>
      <c r="S192">
        <f>IF(AND($B192&lt;=ed_l,$B192&lt;=ed_y),(c_x+ed_r+c_y+ed_y+PI()*$B192/2),"")</f>
        <v/>
      </c>
      <c r="T192">
        <f>IF(AND($B192&lt;=ed_r,$B192&lt;=ed_y),(c_x+ed_l+c_y+ed_y+PI()*$B192/2),"")</f>
        <v/>
      </c>
      <c r="U192">
        <f>N_Ed-q_c*(c_x*c_y+2*$B192*(c_x+c_y)+PI()*$B192^2)/1E6-dW_col</f>
        <v/>
      </c>
      <c r="V192">
        <f>N_Ed-dW_col-IF(AND($B192&lt;=ed_r,$B192&lt;=ed_l,$B192&lt;=ed_y),q_c*(c_x*c_y+2*$B192*(c_x+c_y)+PI()*$B192^2)+MIN(0,qn_min)*(L_f*B_f-(c_x*c_y+2*$B192*(c_x+c_y)+PI()*$B192^2)),IF(qn_min&gt;=0,qn_min*(c_x*(c_y+2*$B192)+c_y*(MIN($B192,ed_r)+MIN($B192,ed_l))),qn_min*L_f*B_f))/1E6</f>
        <v/>
      </c>
      <c r="W192">
        <f>IF(AND($B192&lt;=ed_y,OR($B192&lt;=ed_l,$B192&lt;=ed_r)),MATCH(MAX($I192:$N192),$I192:$N192,0),0)</f>
        <v/>
      </c>
    </row>
    <row r="193" ht="16" customHeight="1">
      <c r="B193" s="50">
        <f>0.45*d_eff</f>
        <v/>
      </c>
      <c r="C193" s="50">
        <f>IF(AND($B193&lt;=ed_y,OR($B193&lt;=ed_l,$B193&lt;=ed_r)),INDEX($O193:$T193,$W193),"–")</f>
        <v/>
      </c>
      <c r="D193" s="51">
        <f>IF(AND($B193&lt;=ed_y,OR($B193&lt;=ed_l,$B193&lt;=ed_r)),IF($W193=1,$U193,$V193),"–")</f>
        <v/>
      </c>
      <c r="E193" s="52">
        <f>IF(AND($B193&lt;=ed_y,OR($B193&lt;=ed_l,$B193&lt;=ed_r)),MAX($I193:$N193),"–")</f>
        <v/>
      </c>
      <c r="F193" s="52">
        <f>v_Rdc*2*d_eff/$B193</f>
        <v/>
      </c>
      <c r="G193" s="53">
        <f>IF(AND($B193&lt;=ed_y,OR($B193&lt;=ed_l,$B193&lt;=ed_r)),$E193/$F193,"–")</f>
        <v/>
      </c>
      <c r="I193">
        <f>IF(AND($B193&lt;=ed_r,$B193&lt;=ed_l,$B193&lt;=ed_y),(MAX(0,$U193)*1000/(2*(c_x+c_y)+2*PI()*$B193)+k_e*ABS(M_Ed)*1E6/(c_x^2/2+c_x*c_y+2*c_y*$B193+4*$B193^2+PI()*$B193*c_x))/d_eff,-1)</f>
        <v/>
      </c>
      <c r="J193">
        <f>IF(AND($B193&lt;=ed_l,$B193&lt;=ed_y),(MAX(0,$V193)*1000/(c_y+PI()*$B193+2*(c_x+ed_r))+k_e*ABS(M_Ed)*1E6/(c_y*(c_x/2+$B193)+PI()*$B193*c_x/2+2*$B193^2+c_x^2/4+(c_x/2+ed_r)^2))/d_eff,-1)</f>
        <v/>
      </c>
      <c r="K193">
        <f>IF(AND($B193&lt;=ed_r,$B193&lt;=ed_y),(MAX(0,$V193)*1000/(c_y+PI()*$B193+2*(c_x+ed_l))+k_e*ABS(M_Ed)*1E6/(c_y*(c_x/2+$B193)+PI()*$B193*c_x/2+2*$B193^2+c_x^2/4+(c_x/2+ed_l)^2))/d_eff,-1)</f>
        <v/>
      </c>
      <c r="L193">
        <f>IF(AND($B193&lt;=ed_r,$B193&lt;=ed_l,$B193&lt;=ed_y),(MAX(0,$V193)*1000/(c_x+PI()*$B193+2*(c_y+ed_y))+k_e*ABS(M_Ed)*1E6/(c_x^2/4+PI()*$B193*c_x/2+2*$B193^2+(c_x+2*$B193)*(c_y+ed_y)))/d_eff,-1)</f>
        <v/>
      </c>
      <c r="M193">
        <f>IF(AND($B193&lt;=ed_l,$B193&lt;=ed_y),(MAX(0,$V193)*1000/(c_x+ed_r+c_y+ed_y+PI()*$B193/2)+k_e*ABS(M_Ed)*1E6/(PI()*$B193*c_x/4+$B193^2+c_x^2/8+(c_x/2+ed_r)^2/2+(c_x/2+$B193)*(c_y+ed_y)))/d_eff,-1)</f>
        <v/>
      </c>
      <c r="N193">
        <f>IF(AND($B193&lt;=ed_r,$B193&lt;=ed_y),(MAX(0,$V193)*1000/(c_x+ed_l+c_y+ed_y+PI()*$B193/2)+k_e*ABS(M_Ed)*1E6/(PI()*$B193*c_x/4+$B193^2+c_x^2/8+(c_x/2+ed_l)^2/2+(c_x/2+$B193)*(c_y+ed_y)))/d_eff,-1)</f>
        <v/>
      </c>
      <c r="O193">
        <f>IF(AND($B193&lt;=ed_r,$B193&lt;=ed_l,$B193&lt;=ed_y),(2*(c_x+c_y)+2*PI()*$B193),"")</f>
        <v/>
      </c>
      <c r="P193">
        <f>IF(AND($B193&lt;=ed_l,$B193&lt;=ed_y),(c_y+PI()*$B193+2*(c_x+ed_r)),"")</f>
        <v/>
      </c>
      <c r="Q193">
        <f>IF(AND($B193&lt;=ed_r,$B193&lt;=ed_y),(c_y+PI()*$B193+2*(c_x+ed_l)),"")</f>
        <v/>
      </c>
      <c r="R193">
        <f>IF(AND($B193&lt;=ed_r,$B193&lt;=ed_l,$B193&lt;=ed_y),(c_x+PI()*$B193+2*(c_y+ed_y)),"")</f>
        <v/>
      </c>
      <c r="S193">
        <f>IF(AND($B193&lt;=ed_l,$B193&lt;=ed_y),(c_x+ed_r+c_y+ed_y+PI()*$B193/2),"")</f>
        <v/>
      </c>
      <c r="T193">
        <f>IF(AND($B193&lt;=ed_r,$B193&lt;=ed_y),(c_x+ed_l+c_y+ed_y+PI()*$B193/2),"")</f>
        <v/>
      </c>
      <c r="U193">
        <f>N_Ed-q_c*(c_x*c_y+2*$B193*(c_x+c_y)+PI()*$B193^2)/1E6-dW_col</f>
        <v/>
      </c>
      <c r="V193">
        <f>N_Ed-dW_col-IF(AND($B193&lt;=ed_r,$B193&lt;=ed_l,$B193&lt;=ed_y),q_c*(c_x*c_y+2*$B193*(c_x+c_y)+PI()*$B193^2)+MIN(0,qn_min)*(L_f*B_f-(c_x*c_y+2*$B193*(c_x+c_y)+PI()*$B193^2)),IF(qn_min&gt;=0,qn_min*(c_x*(c_y+2*$B193)+c_y*(MIN($B193,ed_r)+MIN($B193,ed_l))),qn_min*L_f*B_f))/1E6</f>
        <v/>
      </c>
      <c r="W193">
        <f>IF(AND($B193&lt;=ed_y,OR($B193&lt;=ed_l,$B193&lt;=ed_r)),MATCH(MAX($I193:$N193),$I193:$N193,0),0)</f>
        <v/>
      </c>
    </row>
    <row r="194" ht="16" customHeight="1">
      <c r="B194" s="50">
        <f>0.5*d_eff</f>
        <v/>
      </c>
      <c r="C194" s="50">
        <f>IF(AND($B194&lt;=ed_y,OR($B194&lt;=ed_l,$B194&lt;=ed_r)),INDEX($O194:$T194,$W194),"–")</f>
        <v/>
      </c>
      <c r="D194" s="51">
        <f>IF(AND($B194&lt;=ed_y,OR($B194&lt;=ed_l,$B194&lt;=ed_r)),IF($W194=1,$U194,$V194),"–")</f>
        <v/>
      </c>
      <c r="E194" s="52">
        <f>IF(AND($B194&lt;=ed_y,OR($B194&lt;=ed_l,$B194&lt;=ed_r)),MAX($I194:$N194),"–")</f>
        <v/>
      </c>
      <c r="F194" s="52">
        <f>v_Rdc*2*d_eff/$B194</f>
        <v/>
      </c>
      <c r="G194" s="53">
        <f>IF(AND($B194&lt;=ed_y,OR($B194&lt;=ed_l,$B194&lt;=ed_r)),$E194/$F194,"–")</f>
        <v/>
      </c>
      <c r="I194">
        <f>IF(AND($B194&lt;=ed_r,$B194&lt;=ed_l,$B194&lt;=ed_y),(MAX(0,$U194)*1000/(2*(c_x+c_y)+2*PI()*$B194)+k_e*ABS(M_Ed)*1E6/(c_x^2/2+c_x*c_y+2*c_y*$B194+4*$B194^2+PI()*$B194*c_x))/d_eff,-1)</f>
        <v/>
      </c>
      <c r="J194">
        <f>IF(AND($B194&lt;=ed_l,$B194&lt;=ed_y),(MAX(0,$V194)*1000/(c_y+PI()*$B194+2*(c_x+ed_r))+k_e*ABS(M_Ed)*1E6/(c_y*(c_x/2+$B194)+PI()*$B194*c_x/2+2*$B194^2+c_x^2/4+(c_x/2+ed_r)^2))/d_eff,-1)</f>
        <v/>
      </c>
      <c r="K194">
        <f>IF(AND($B194&lt;=ed_r,$B194&lt;=ed_y),(MAX(0,$V194)*1000/(c_y+PI()*$B194+2*(c_x+ed_l))+k_e*ABS(M_Ed)*1E6/(c_y*(c_x/2+$B194)+PI()*$B194*c_x/2+2*$B194^2+c_x^2/4+(c_x/2+ed_l)^2))/d_eff,-1)</f>
        <v/>
      </c>
      <c r="L194">
        <f>IF(AND($B194&lt;=ed_r,$B194&lt;=ed_l,$B194&lt;=ed_y),(MAX(0,$V194)*1000/(c_x+PI()*$B194+2*(c_y+ed_y))+k_e*ABS(M_Ed)*1E6/(c_x^2/4+PI()*$B194*c_x/2+2*$B194^2+(c_x+2*$B194)*(c_y+ed_y)))/d_eff,-1)</f>
        <v/>
      </c>
      <c r="M194">
        <f>IF(AND($B194&lt;=ed_l,$B194&lt;=ed_y),(MAX(0,$V194)*1000/(c_x+ed_r+c_y+ed_y+PI()*$B194/2)+k_e*ABS(M_Ed)*1E6/(PI()*$B194*c_x/4+$B194^2+c_x^2/8+(c_x/2+ed_r)^2/2+(c_x/2+$B194)*(c_y+ed_y)))/d_eff,-1)</f>
        <v/>
      </c>
      <c r="N194">
        <f>IF(AND($B194&lt;=ed_r,$B194&lt;=ed_y),(MAX(0,$V194)*1000/(c_x+ed_l+c_y+ed_y+PI()*$B194/2)+k_e*ABS(M_Ed)*1E6/(PI()*$B194*c_x/4+$B194^2+c_x^2/8+(c_x/2+ed_l)^2/2+(c_x/2+$B194)*(c_y+ed_y)))/d_eff,-1)</f>
        <v/>
      </c>
      <c r="O194">
        <f>IF(AND($B194&lt;=ed_r,$B194&lt;=ed_l,$B194&lt;=ed_y),(2*(c_x+c_y)+2*PI()*$B194),"")</f>
        <v/>
      </c>
      <c r="P194">
        <f>IF(AND($B194&lt;=ed_l,$B194&lt;=ed_y),(c_y+PI()*$B194+2*(c_x+ed_r)),"")</f>
        <v/>
      </c>
      <c r="Q194">
        <f>IF(AND($B194&lt;=ed_r,$B194&lt;=ed_y),(c_y+PI()*$B194+2*(c_x+ed_l)),"")</f>
        <v/>
      </c>
      <c r="R194">
        <f>IF(AND($B194&lt;=ed_r,$B194&lt;=ed_l,$B194&lt;=ed_y),(c_x+PI()*$B194+2*(c_y+ed_y)),"")</f>
        <v/>
      </c>
      <c r="S194">
        <f>IF(AND($B194&lt;=ed_l,$B194&lt;=ed_y),(c_x+ed_r+c_y+ed_y+PI()*$B194/2),"")</f>
        <v/>
      </c>
      <c r="T194">
        <f>IF(AND($B194&lt;=ed_r,$B194&lt;=ed_y),(c_x+ed_l+c_y+ed_y+PI()*$B194/2),"")</f>
        <v/>
      </c>
      <c r="U194">
        <f>N_Ed-q_c*(c_x*c_y+2*$B194*(c_x+c_y)+PI()*$B194^2)/1E6-dW_col</f>
        <v/>
      </c>
      <c r="V194">
        <f>N_Ed-dW_col-IF(AND($B194&lt;=ed_r,$B194&lt;=ed_l,$B194&lt;=ed_y),q_c*(c_x*c_y+2*$B194*(c_x+c_y)+PI()*$B194^2)+MIN(0,qn_min)*(L_f*B_f-(c_x*c_y+2*$B194*(c_x+c_y)+PI()*$B194^2)),IF(qn_min&gt;=0,qn_min*(c_x*(c_y+2*$B194)+c_y*(MIN($B194,ed_r)+MIN($B194,ed_l))),qn_min*L_f*B_f))/1E6</f>
        <v/>
      </c>
      <c r="W194">
        <f>IF(AND($B194&lt;=ed_y,OR($B194&lt;=ed_l,$B194&lt;=ed_r)),MATCH(MAX($I194:$N194),$I194:$N194,0),0)</f>
        <v/>
      </c>
    </row>
    <row r="195" ht="16" customHeight="1">
      <c r="B195" s="50">
        <f>0.55*d_eff</f>
        <v/>
      </c>
      <c r="C195" s="50">
        <f>IF(AND($B195&lt;=ed_y,OR($B195&lt;=ed_l,$B195&lt;=ed_r)),INDEX($O195:$T195,$W195),"–")</f>
        <v/>
      </c>
      <c r="D195" s="51">
        <f>IF(AND($B195&lt;=ed_y,OR($B195&lt;=ed_l,$B195&lt;=ed_r)),IF($W195=1,$U195,$V195),"–")</f>
        <v/>
      </c>
      <c r="E195" s="52">
        <f>IF(AND($B195&lt;=ed_y,OR($B195&lt;=ed_l,$B195&lt;=ed_r)),MAX($I195:$N195),"–")</f>
        <v/>
      </c>
      <c r="F195" s="52">
        <f>v_Rdc*2*d_eff/$B195</f>
        <v/>
      </c>
      <c r="G195" s="53">
        <f>IF(AND($B195&lt;=ed_y,OR($B195&lt;=ed_l,$B195&lt;=ed_r)),$E195/$F195,"–")</f>
        <v/>
      </c>
      <c r="I195">
        <f>IF(AND($B195&lt;=ed_r,$B195&lt;=ed_l,$B195&lt;=ed_y),(MAX(0,$U195)*1000/(2*(c_x+c_y)+2*PI()*$B195)+k_e*ABS(M_Ed)*1E6/(c_x^2/2+c_x*c_y+2*c_y*$B195+4*$B195^2+PI()*$B195*c_x))/d_eff,-1)</f>
        <v/>
      </c>
      <c r="J195">
        <f>IF(AND($B195&lt;=ed_l,$B195&lt;=ed_y),(MAX(0,$V195)*1000/(c_y+PI()*$B195+2*(c_x+ed_r))+k_e*ABS(M_Ed)*1E6/(c_y*(c_x/2+$B195)+PI()*$B195*c_x/2+2*$B195^2+c_x^2/4+(c_x/2+ed_r)^2))/d_eff,-1)</f>
        <v/>
      </c>
      <c r="K195">
        <f>IF(AND($B195&lt;=ed_r,$B195&lt;=ed_y),(MAX(0,$V195)*1000/(c_y+PI()*$B195+2*(c_x+ed_l))+k_e*ABS(M_Ed)*1E6/(c_y*(c_x/2+$B195)+PI()*$B195*c_x/2+2*$B195^2+c_x^2/4+(c_x/2+ed_l)^2))/d_eff,-1)</f>
        <v/>
      </c>
      <c r="L195">
        <f>IF(AND($B195&lt;=ed_r,$B195&lt;=ed_l,$B195&lt;=ed_y),(MAX(0,$V195)*1000/(c_x+PI()*$B195+2*(c_y+ed_y))+k_e*ABS(M_Ed)*1E6/(c_x^2/4+PI()*$B195*c_x/2+2*$B195^2+(c_x+2*$B195)*(c_y+ed_y)))/d_eff,-1)</f>
        <v/>
      </c>
      <c r="M195">
        <f>IF(AND($B195&lt;=ed_l,$B195&lt;=ed_y),(MAX(0,$V195)*1000/(c_x+ed_r+c_y+ed_y+PI()*$B195/2)+k_e*ABS(M_Ed)*1E6/(PI()*$B195*c_x/4+$B195^2+c_x^2/8+(c_x/2+ed_r)^2/2+(c_x/2+$B195)*(c_y+ed_y)))/d_eff,-1)</f>
        <v/>
      </c>
      <c r="N195">
        <f>IF(AND($B195&lt;=ed_r,$B195&lt;=ed_y),(MAX(0,$V195)*1000/(c_x+ed_l+c_y+ed_y+PI()*$B195/2)+k_e*ABS(M_Ed)*1E6/(PI()*$B195*c_x/4+$B195^2+c_x^2/8+(c_x/2+ed_l)^2/2+(c_x/2+$B195)*(c_y+ed_y)))/d_eff,-1)</f>
        <v/>
      </c>
      <c r="O195">
        <f>IF(AND($B195&lt;=ed_r,$B195&lt;=ed_l,$B195&lt;=ed_y),(2*(c_x+c_y)+2*PI()*$B195),"")</f>
        <v/>
      </c>
      <c r="P195">
        <f>IF(AND($B195&lt;=ed_l,$B195&lt;=ed_y),(c_y+PI()*$B195+2*(c_x+ed_r)),"")</f>
        <v/>
      </c>
      <c r="Q195">
        <f>IF(AND($B195&lt;=ed_r,$B195&lt;=ed_y),(c_y+PI()*$B195+2*(c_x+ed_l)),"")</f>
        <v/>
      </c>
      <c r="R195">
        <f>IF(AND($B195&lt;=ed_r,$B195&lt;=ed_l,$B195&lt;=ed_y),(c_x+PI()*$B195+2*(c_y+ed_y)),"")</f>
        <v/>
      </c>
      <c r="S195">
        <f>IF(AND($B195&lt;=ed_l,$B195&lt;=ed_y),(c_x+ed_r+c_y+ed_y+PI()*$B195/2),"")</f>
        <v/>
      </c>
      <c r="T195">
        <f>IF(AND($B195&lt;=ed_r,$B195&lt;=ed_y),(c_x+ed_l+c_y+ed_y+PI()*$B195/2),"")</f>
        <v/>
      </c>
      <c r="U195">
        <f>N_Ed-q_c*(c_x*c_y+2*$B195*(c_x+c_y)+PI()*$B195^2)/1E6-dW_col</f>
        <v/>
      </c>
      <c r="V195">
        <f>N_Ed-dW_col-IF(AND($B195&lt;=ed_r,$B195&lt;=ed_l,$B195&lt;=ed_y),q_c*(c_x*c_y+2*$B195*(c_x+c_y)+PI()*$B195^2)+MIN(0,qn_min)*(L_f*B_f-(c_x*c_y+2*$B195*(c_x+c_y)+PI()*$B195^2)),IF(qn_min&gt;=0,qn_min*(c_x*(c_y+2*$B195)+c_y*(MIN($B195,ed_r)+MIN($B195,ed_l))),qn_min*L_f*B_f))/1E6</f>
        <v/>
      </c>
      <c r="W195">
        <f>IF(AND($B195&lt;=ed_y,OR($B195&lt;=ed_l,$B195&lt;=ed_r)),MATCH(MAX($I195:$N195),$I195:$N195,0),0)</f>
        <v/>
      </c>
    </row>
    <row r="196" ht="16" customHeight="1">
      <c r="B196" s="50">
        <f>0.6*d_eff</f>
        <v/>
      </c>
      <c r="C196" s="50">
        <f>IF(AND($B196&lt;=ed_y,OR($B196&lt;=ed_l,$B196&lt;=ed_r)),INDEX($O196:$T196,$W196),"–")</f>
        <v/>
      </c>
      <c r="D196" s="51">
        <f>IF(AND($B196&lt;=ed_y,OR($B196&lt;=ed_l,$B196&lt;=ed_r)),IF($W196=1,$U196,$V196),"–")</f>
        <v/>
      </c>
      <c r="E196" s="52">
        <f>IF(AND($B196&lt;=ed_y,OR($B196&lt;=ed_l,$B196&lt;=ed_r)),MAX($I196:$N196),"–")</f>
        <v/>
      </c>
      <c r="F196" s="52">
        <f>v_Rdc*2*d_eff/$B196</f>
        <v/>
      </c>
      <c r="G196" s="53">
        <f>IF(AND($B196&lt;=ed_y,OR($B196&lt;=ed_l,$B196&lt;=ed_r)),$E196/$F196,"–")</f>
        <v/>
      </c>
      <c r="I196">
        <f>IF(AND($B196&lt;=ed_r,$B196&lt;=ed_l,$B196&lt;=ed_y),(MAX(0,$U196)*1000/(2*(c_x+c_y)+2*PI()*$B196)+k_e*ABS(M_Ed)*1E6/(c_x^2/2+c_x*c_y+2*c_y*$B196+4*$B196^2+PI()*$B196*c_x))/d_eff,-1)</f>
        <v/>
      </c>
      <c r="J196">
        <f>IF(AND($B196&lt;=ed_l,$B196&lt;=ed_y),(MAX(0,$V196)*1000/(c_y+PI()*$B196+2*(c_x+ed_r))+k_e*ABS(M_Ed)*1E6/(c_y*(c_x/2+$B196)+PI()*$B196*c_x/2+2*$B196^2+c_x^2/4+(c_x/2+ed_r)^2))/d_eff,-1)</f>
        <v/>
      </c>
      <c r="K196">
        <f>IF(AND($B196&lt;=ed_r,$B196&lt;=ed_y),(MAX(0,$V196)*1000/(c_y+PI()*$B196+2*(c_x+ed_l))+k_e*ABS(M_Ed)*1E6/(c_y*(c_x/2+$B196)+PI()*$B196*c_x/2+2*$B196^2+c_x^2/4+(c_x/2+ed_l)^2))/d_eff,-1)</f>
        <v/>
      </c>
      <c r="L196">
        <f>IF(AND($B196&lt;=ed_r,$B196&lt;=ed_l,$B196&lt;=ed_y),(MAX(0,$V196)*1000/(c_x+PI()*$B196+2*(c_y+ed_y))+k_e*ABS(M_Ed)*1E6/(c_x^2/4+PI()*$B196*c_x/2+2*$B196^2+(c_x+2*$B196)*(c_y+ed_y)))/d_eff,-1)</f>
        <v/>
      </c>
      <c r="M196">
        <f>IF(AND($B196&lt;=ed_l,$B196&lt;=ed_y),(MAX(0,$V196)*1000/(c_x+ed_r+c_y+ed_y+PI()*$B196/2)+k_e*ABS(M_Ed)*1E6/(PI()*$B196*c_x/4+$B196^2+c_x^2/8+(c_x/2+ed_r)^2/2+(c_x/2+$B196)*(c_y+ed_y)))/d_eff,-1)</f>
        <v/>
      </c>
      <c r="N196">
        <f>IF(AND($B196&lt;=ed_r,$B196&lt;=ed_y),(MAX(0,$V196)*1000/(c_x+ed_l+c_y+ed_y+PI()*$B196/2)+k_e*ABS(M_Ed)*1E6/(PI()*$B196*c_x/4+$B196^2+c_x^2/8+(c_x/2+ed_l)^2/2+(c_x/2+$B196)*(c_y+ed_y)))/d_eff,-1)</f>
        <v/>
      </c>
      <c r="O196">
        <f>IF(AND($B196&lt;=ed_r,$B196&lt;=ed_l,$B196&lt;=ed_y),(2*(c_x+c_y)+2*PI()*$B196),"")</f>
        <v/>
      </c>
      <c r="P196">
        <f>IF(AND($B196&lt;=ed_l,$B196&lt;=ed_y),(c_y+PI()*$B196+2*(c_x+ed_r)),"")</f>
        <v/>
      </c>
      <c r="Q196">
        <f>IF(AND($B196&lt;=ed_r,$B196&lt;=ed_y),(c_y+PI()*$B196+2*(c_x+ed_l)),"")</f>
        <v/>
      </c>
      <c r="R196">
        <f>IF(AND($B196&lt;=ed_r,$B196&lt;=ed_l,$B196&lt;=ed_y),(c_x+PI()*$B196+2*(c_y+ed_y)),"")</f>
        <v/>
      </c>
      <c r="S196">
        <f>IF(AND($B196&lt;=ed_l,$B196&lt;=ed_y),(c_x+ed_r+c_y+ed_y+PI()*$B196/2),"")</f>
        <v/>
      </c>
      <c r="T196">
        <f>IF(AND($B196&lt;=ed_r,$B196&lt;=ed_y),(c_x+ed_l+c_y+ed_y+PI()*$B196/2),"")</f>
        <v/>
      </c>
      <c r="U196">
        <f>N_Ed-q_c*(c_x*c_y+2*$B196*(c_x+c_y)+PI()*$B196^2)/1E6-dW_col</f>
        <v/>
      </c>
      <c r="V196">
        <f>N_Ed-dW_col-IF(AND($B196&lt;=ed_r,$B196&lt;=ed_l,$B196&lt;=ed_y),q_c*(c_x*c_y+2*$B196*(c_x+c_y)+PI()*$B196^2)+MIN(0,qn_min)*(L_f*B_f-(c_x*c_y+2*$B196*(c_x+c_y)+PI()*$B196^2)),IF(qn_min&gt;=0,qn_min*(c_x*(c_y+2*$B196)+c_y*(MIN($B196,ed_r)+MIN($B196,ed_l))),qn_min*L_f*B_f))/1E6</f>
        <v/>
      </c>
      <c r="W196">
        <f>IF(AND($B196&lt;=ed_y,OR($B196&lt;=ed_l,$B196&lt;=ed_r)),MATCH(MAX($I196:$N196),$I196:$N196,0),0)</f>
        <v/>
      </c>
    </row>
    <row r="197" ht="16" customHeight="1">
      <c r="B197" s="50">
        <f>0.65*d_eff</f>
        <v/>
      </c>
      <c r="C197" s="50">
        <f>IF(AND($B197&lt;=ed_y,OR($B197&lt;=ed_l,$B197&lt;=ed_r)),INDEX($O197:$T197,$W197),"–")</f>
        <v/>
      </c>
      <c r="D197" s="51">
        <f>IF(AND($B197&lt;=ed_y,OR($B197&lt;=ed_l,$B197&lt;=ed_r)),IF($W197=1,$U197,$V197),"–")</f>
        <v/>
      </c>
      <c r="E197" s="52">
        <f>IF(AND($B197&lt;=ed_y,OR($B197&lt;=ed_l,$B197&lt;=ed_r)),MAX($I197:$N197),"–")</f>
        <v/>
      </c>
      <c r="F197" s="52">
        <f>v_Rdc*2*d_eff/$B197</f>
        <v/>
      </c>
      <c r="G197" s="53">
        <f>IF(AND($B197&lt;=ed_y,OR($B197&lt;=ed_l,$B197&lt;=ed_r)),$E197/$F197,"–")</f>
        <v/>
      </c>
      <c r="I197">
        <f>IF(AND($B197&lt;=ed_r,$B197&lt;=ed_l,$B197&lt;=ed_y),(MAX(0,$U197)*1000/(2*(c_x+c_y)+2*PI()*$B197)+k_e*ABS(M_Ed)*1E6/(c_x^2/2+c_x*c_y+2*c_y*$B197+4*$B197^2+PI()*$B197*c_x))/d_eff,-1)</f>
        <v/>
      </c>
      <c r="J197">
        <f>IF(AND($B197&lt;=ed_l,$B197&lt;=ed_y),(MAX(0,$V197)*1000/(c_y+PI()*$B197+2*(c_x+ed_r))+k_e*ABS(M_Ed)*1E6/(c_y*(c_x/2+$B197)+PI()*$B197*c_x/2+2*$B197^2+c_x^2/4+(c_x/2+ed_r)^2))/d_eff,-1)</f>
        <v/>
      </c>
      <c r="K197">
        <f>IF(AND($B197&lt;=ed_r,$B197&lt;=ed_y),(MAX(0,$V197)*1000/(c_y+PI()*$B197+2*(c_x+ed_l))+k_e*ABS(M_Ed)*1E6/(c_y*(c_x/2+$B197)+PI()*$B197*c_x/2+2*$B197^2+c_x^2/4+(c_x/2+ed_l)^2))/d_eff,-1)</f>
        <v/>
      </c>
      <c r="L197">
        <f>IF(AND($B197&lt;=ed_r,$B197&lt;=ed_l,$B197&lt;=ed_y),(MAX(0,$V197)*1000/(c_x+PI()*$B197+2*(c_y+ed_y))+k_e*ABS(M_Ed)*1E6/(c_x^2/4+PI()*$B197*c_x/2+2*$B197^2+(c_x+2*$B197)*(c_y+ed_y)))/d_eff,-1)</f>
        <v/>
      </c>
      <c r="M197">
        <f>IF(AND($B197&lt;=ed_l,$B197&lt;=ed_y),(MAX(0,$V197)*1000/(c_x+ed_r+c_y+ed_y+PI()*$B197/2)+k_e*ABS(M_Ed)*1E6/(PI()*$B197*c_x/4+$B197^2+c_x^2/8+(c_x/2+ed_r)^2/2+(c_x/2+$B197)*(c_y+ed_y)))/d_eff,-1)</f>
        <v/>
      </c>
      <c r="N197">
        <f>IF(AND($B197&lt;=ed_r,$B197&lt;=ed_y),(MAX(0,$V197)*1000/(c_x+ed_l+c_y+ed_y+PI()*$B197/2)+k_e*ABS(M_Ed)*1E6/(PI()*$B197*c_x/4+$B197^2+c_x^2/8+(c_x/2+ed_l)^2/2+(c_x/2+$B197)*(c_y+ed_y)))/d_eff,-1)</f>
        <v/>
      </c>
      <c r="O197">
        <f>IF(AND($B197&lt;=ed_r,$B197&lt;=ed_l,$B197&lt;=ed_y),(2*(c_x+c_y)+2*PI()*$B197),"")</f>
        <v/>
      </c>
      <c r="P197">
        <f>IF(AND($B197&lt;=ed_l,$B197&lt;=ed_y),(c_y+PI()*$B197+2*(c_x+ed_r)),"")</f>
        <v/>
      </c>
      <c r="Q197">
        <f>IF(AND($B197&lt;=ed_r,$B197&lt;=ed_y),(c_y+PI()*$B197+2*(c_x+ed_l)),"")</f>
        <v/>
      </c>
      <c r="R197">
        <f>IF(AND($B197&lt;=ed_r,$B197&lt;=ed_l,$B197&lt;=ed_y),(c_x+PI()*$B197+2*(c_y+ed_y)),"")</f>
        <v/>
      </c>
      <c r="S197">
        <f>IF(AND($B197&lt;=ed_l,$B197&lt;=ed_y),(c_x+ed_r+c_y+ed_y+PI()*$B197/2),"")</f>
        <v/>
      </c>
      <c r="T197">
        <f>IF(AND($B197&lt;=ed_r,$B197&lt;=ed_y),(c_x+ed_l+c_y+ed_y+PI()*$B197/2),"")</f>
        <v/>
      </c>
      <c r="U197">
        <f>N_Ed-q_c*(c_x*c_y+2*$B197*(c_x+c_y)+PI()*$B197^2)/1E6-dW_col</f>
        <v/>
      </c>
      <c r="V197">
        <f>N_Ed-dW_col-IF(AND($B197&lt;=ed_r,$B197&lt;=ed_l,$B197&lt;=ed_y),q_c*(c_x*c_y+2*$B197*(c_x+c_y)+PI()*$B197^2)+MIN(0,qn_min)*(L_f*B_f-(c_x*c_y+2*$B197*(c_x+c_y)+PI()*$B197^2)),IF(qn_min&gt;=0,qn_min*(c_x*(c_y+2*$B197)+c_y*(MIN($B197,ed_r)+MIN($B197,ed_l))),qn_min*L_f*B_f))/1E6</f>
        <v/>
      </c>
      <c r="W197">
        <f>IF(AND($B197&lt;=ed_y,OR($B197&lt;=ed_l,$B197&lt;=ed_r)),MATCH(MAX($I197:$N197),$I197:$N197,0),0)</f>
        <v/>
      </c>
    </row>
    <row r="198" ht="16" customHeight="1">
      <c r="B198" s="50">
        <f>0.7*d_eff</f>
        <v/>
      </c>
      <c r="C198" s="50">
        <f>IF(AND($B198&lt;=ed_y,OR($B198&lt;=ed_l,$B198&lt;=ed_r)),INDEX($O198:$T198,$W198),"–")</f>
        <v/>
      </c>
      <c r="D198" s="51">
        <f>IF(AND($B198&lt;=ed_y,OR($B198&lt;=ed_l,$B198&lt;=ed_r)),IF($W198=1,$U198,$V198),"–")</f>
        <v/>
      </c>
      <c r="E198" s="52">
        <f>IF(AND($B198&lt;=ed_y,OR($B198&lt;=ed_l,$B198&lt;=ed_r)),MAX($I198:$N198),"–")</f>
        <v/>
      </c>
      <c r="F198" s="52">
        <f>v_Rdc*2*d_eff/$B198</f>
        <v/>
      </c>
      <c r="G198" s="53">
        <f>IF(AND($B198&lt;=ed_y,OR($B198&lt;=ed_l,$B198&lt;=ed_r)),$E198/$F198,"–")</f>
        <v/>
      </c>
      <c r="I198">
        <f>IF(AND($B198&lt;=ed_r,$B198&lt;=ed_l,$B198&lt;=ed_y),(MAX(0,$U198)*1000/(2*(c_x+c_y)+2*PI()*$B198)+k_e*ABS(M_Ed)*1E6/(c_x^2/2+c_x*c_y+2*c_y*$B198+4*$B198^2+PI()*$B198*c_x))/d_eff,-1)</f>
        <v/>
      </c>
      <c r="J198">
        <f>IF(AND($B198&lt;=ed_l,$B198&lt;=ed_y),(MAX(0,$V198)*1000/(c_y+PI()*$B198+2*(c_x+ed_r))+k_e*ABS(M_Ed)*1E6/(c_y*(c_x/2+$B198)+PI()*$B198*c_x/2+2*$B198^2+c_x^2/4+(c_x/2+ed_r)^2))/d_eff,-1)</f>
        <v/>
      </c>
      <c r="K198">
        <f>IF(AND($B198&lt;=ed_r,$B198&lt;=ed_y),(MAX(0,$V198)*1000/(c_y+PI()*$B198+2*(c_x+ed_l))+k_e*ABS(M_Ed)*1E6/(c_y*(c_x/2+$B198)+PI()*$B198*c_x/2+2*$B198^2+c_x^2/4+(c_x/2+ed_l)^2))/d_eff,-1)</f>
        <v/>
      </c>
      <c r="L198">
        <f>IF(AND($B198&lt;=ed_r,$B198&lt;=ed_l,$B198&lt;=ed_y),(MAX(0,$V198)*1000/(c_x+PI()*$B198+2*(c_y+ed_y))+k_e*ABS(M_Ed)*1E6/(c_x^2/4+PI()*$B198*c_x/2+2*$B198^2+(c_x+2*$B198)*(c_y+ed_y)))/d_eff,-1)</f>
        <v/>
      </c>
      <c r="M198">
        <f>IF(AND($B198&lt;=ed_l,$B198&lt;=ed_y),(MAX(0,$V198)*1000/(c_x+ed_r+c_y+ed_y+PI()*$B198/2)+k_e*ABS(M_Ed)*1E6/(PI()*$B198*c_x/4+$B198^2+c_x^2/8+(c_x/2+ed_r)^2/2+(c_x/2+$B198)*(c_y+ed_y)))/d_eff,-1)</f>
        <v/>
      </c>
      <c r="N198">
        <f>IF(AND($B198&lt;=ed_r,$B198&lt;=ed_y),(MAX(0,$V198)*1000/(c_x+ed_l+c_y+ed_y+PI()*$B198/2)+k_e*ABS(M_Ed)*1E6/(PI()*$B198*c_x/4+$B198^2+c_x^2/8+(c_x/2+ed_l)^2/2+(c_x/2+$B198)*(c_y+ed_y)))/d_eff,-1)</f>
        <v/>
      </c>
      <c r="O198">
        <f>IF(AND($B198&lt;=ed_r,$B198&lt;=ed_l,$B198&lt;=ed_y),(2*(c_x+c_y)+2*PI()*$B198),"")</f>
        <v/>
      </c>
      <c r="P198">
        <f>IF(AND($B198&lt;=ed_l,$B198&lt;=ed_y),(c_y+PI()*$B198+2*(c_x+ed_r)),"")</f>
        <v/>
      </c>
      <c r="Q198">
        <f>IF(AND($B198&lt;=ed_r,$B198&lt;=ed_y),(c_y+PI()*$B198+2*(c_x+ed_l)),"")</f>
        <v/>
      </c>
      <c r="R198">
        <f>IF(AND($B198&lt;=ed_r,$B198&lt;=ed_l,$B198&lt;=ed_y),(c_x+PI()*$B198+2*(c_y+ed_y)),"")</f>
        <v/>
      </c>
      <c r="S198">
        <f>IF(AND($B198&lt;=ed_l,$B198&lt;=ed_y),(c_x+ed_r+c_y+ed_y+PI()*$B198/2),"")</f>
        <v/>
      </c>
      <c r="T198">
        <f>IF(AND($B198&lt;=ed_r,$B198&lt;=ed_y),(c_x+ed_l+c_y+ed_y+PI()*$B198/2),"")</f>
        <v/>
      </c>
      <c r="U198">
        <f>N_Ed-q_c*(c_x*c_y+2*$B198*(c_x+c_y)+PI()*$B198^2)/1E6-dW_col</f>
        <v/>
      </c>
      <c r="V198">
        <f>N_Ed-dW_col-IF(AND($B198&lt;=ed_r,$B198&lt;=ed_l,$B198&lt;=ed_y),q_c*(c_x*c_y+2*$B198*(c_x+c_y)+PI()*$B198^2)+MIN(0,qn_min)*(L_f*B_f-(c_x*c_y+2*$B198*(c_x+c_y)+PI()*$B198^2)),IF(qn_min&gt;=0,qn_min*(c_x*(c_y+2*$B198)+c_y*(MIN($B198,ed_r)+MIN($B198,ed_l))),qn_min*L_f*B_f))/1E6</f>
        <v/>
      </c>
      <c r="W198">
        <f>IF(AND($B198&lt;=ed_y,OR($B198&lt;=ed_l,$B198&lt;=ed_r)),MATCH(MAX($I198:$N198),$I198:$N198,0),0)</f>
        <v/>
      </c>
    </row>
    <row r="199" ht="16" customHeight="1">
      <c r="B199" s="50">
        <f>0.75*d_eff</f>
        <v/>
      </c>
      <c r="C199" s="50">
        <f>IF(AND($B199&lt;=ed_y,OR($B199&lt;=ed_l,$B199&lt;=ed_r)),INDEX($O199:$T199,$W199),"–")</f>
        <v/>
      </c>
      <c r="D199" s="51">
        <f>IF(AND($B199&lt;=ed_y,OR($B199&lt;=ed_l,$B199&lt;=ed_r)),IF($W199=1,$U199,$V199),"–")</f>
        <v/>
      </c>
      <c r="E199" s="52">
        <f>IF(AND($B199&lt;=ed_y,OR($B199&lt;=ed_l,$B199&lt;=ed_r)),MAX($I199:$N199),"–")</f>
        <v/>
      </c>
      <c r="F199" s="52">
        <f>v_Rdc*2*d_eff/$B199</f>
        <v/>
      </c>
      <c r="G199" s="53">
        <f>IF(AND($B199&lt;=ed_y,OR($B199&lt;=ed_l,$B199&lt;=ed_r)),$E199/$F199,"–")</f>
        <v/>
      </c>
      <c r="I199">
        <f>IF(AND($B199&lt;=ed_r,$B199&lt;=ed_l,$B199&lt;=ed_y),(MAX(0,$U199)*1000/(2*(c_x+c_y)+2*PI()*$B199)+k_e*ABS(M_Ed)*1E6/(c_x^2/2+c_x*c_y+2*c_y*$B199+4*$B199^2+PI()*$B199*c_x))/d_eff,-1)</f>
        <v/>
      </c>
      <c r="J199">
        <f>IF(AND($B199&lt;=ed_l,$B199&lt;=ed_y),(MAX(0,$V199)*1000/(c_y+PI()*$B199+2*(c_x+ed_r))+k_e*ABS(M_Ed)*1E6/(c_y*(c_x/2+$B199)+PI()*$B199*c_x/2+2*$B199^2+c_x^2/4+(c_x/2+ed_r)^2))/d_eff,-1)</f>
        <v/>
      </c>
      <c r="K199">
        <f>IF(AND($B199&lt;=ed_r,$B199&lt;=ed_y),(MAX(0,$V199)*1000/(c_y+PI()*$B199+2*(c_x+ed_l))+k_e*ABS(M_Ed)*1E6/(c_y*(c_x/2+$B199)+PI()*$B199*c_x/2+2*$B199^2+c_x^2/4+(c_x/2+ed_l)^2))/d_eff,-1)</f>
        <v/>
      </c>
      <c r="L199">
        <f>IF(AND($B199&lt;=ed_r,$B199&lt;=ed_l,$B199&lt;=ed_y),(MAX(0,$V199)*1000/(c_x+PI()*$B199+2*(c_y+ed_y))+k_e*ABS(M_Ed)*1E6/(c_x^2/4+PI()*$B199*c_x/2+2*$B199^2+(c_x+2*$B199)*(c_y+ed_y)))/d_eff,-1)</f>
        <v/>
      </c>
      <c r="M199">
        <f>IF(AND($B199&lt;=ed_l,$B199&lt;=ed_y),(MAX(0,$V199)*1000/(c_x+ed_r+c_y+ed_y+PI()*$B199/2)+k_e*ABS(M_Ed)*1E6/(PI()*$B199*c_x/4+$B199^2+c_x^2/8+(c_x/2+ed_r)^2/2+(c_x/2+$B199)*(c_y+ed_y)))/d_eff,-1)</f>
        <v/>
      </c>
      <c r="N199">
        <f>IF(AND($B199&lt;=ed_r,$B199&lt;=ed_y),(MAX(0,$V199)*1000/(c_x+ed_l+c_y+ed_y+PI()*$B199/2)+k_e*ABS(M_Ed)*1E6/(PI()*$B199*c_x/4+$B199^2+c_x^2/8+(c_x/2+ed_l)^2/2+(c_x/2+$B199)*(c_y+ed_y)))/d_eff,-1)</f>
        <v/>
      </c>
      <c r="O199">
        <f>IF(AND($B199&lt;=ed_r,$B199&lt;=ed_l,$B199&lt;=ed_y),(2*(c_x+c_y)+2*PI()*$B199),"")</f>
        <v/>
      </c>
      <c r="P199">
        <f>IF(AND($B199&lt;=ed_l,$B199&lt;=ed_y),(c_y+PI()*$B199+2*(c_x+ed_r)),"")</f>
        <v/>
      </c>
      <c r="Q199">
        <f>IF(AND($B199&lt;=ed_r,$B199&lt;=ed_y),(c_y+PI()*$B199+2*(c_x+ed_l)),"")</f>
        <v/>
      </c>
      <c r="R199">
        <f>IF(AND($B199&lt;=ed_r,$B199&lt;=ed_l,$B199&lt;=ed_y),(c_x+PI()*$B199+2*(c_y+ed_y)),"")</f>
        <v/>
      </c>
      <c r="S199">
        <f>IF(AND($B199&lt;=ed_l,$B199&lt;=ed_y),(c_x+ed_r+c_y+ed_y+PI()*$B199/2),"")</f>
        <v/>
      </c>
      <c r="T199">
        <f>IF(AND($B199&lt;=ed_r,$B199&lt;=ed_y),(c_x+ed_l+c_y+ed_y+PI()*$B199/2),"")</f>
        <v/>
      </c>
      <c r="U199">
        <f>N_Ed-q_c*(c_x*c_y+2*$B199*(c_x+c_y)+PI()*$B199^2)/1E6-dW_col</f>
        <v/>
      </c>
      <c r="V199">
        <f>N_Ed-dW_col-IF(AND($B199&lt;=ed_r,$B199&lt;=ed_l,$B199&lt;=ed_y),q_c*(c_x*c_y+2*$B199*(c_x+c_y)+PI()*$B199^2)+MIN(0,qn_min)*(L_f*B_f-(c_x*c_y+2*$B199*(c_x+c_y)+PI()*$B199^2)),IF(qn_min&gt;=0,qn_min*(c_x*(c_y+2*$B199)+c_y*(MIN($B199,ed_r)+MIN($B199,ed_l))),qn_min*L_f*B_f))/1E6</f>
        <v/>
      </c>
      <c r="W199">
        <f>IF(AND($B199&lt;=ed_y,OR($B199&lt;=ed_l,$B199&lt;=ed_r)),MATCH(MAX($I199:$N199),$I199:$N199,0),0)</f>
        <v/>
      </c>
    </row>
    <row r="200" ht="16" customHeight="1">
      <c r="B200" s="50">
        <f>0.8*d_eff</f>
        <v/>
      </c>
      <c r="C200" s="50">
        <f>IF(AND($B200&lt;=ed_y,OR($B200&lt;=ed_l,$B200&lt;=ed_r)),INDEX($O200:$T200,$W200),"–")</f>
        <v/>
      </c>
      <c r="D200" s="51">
        <f>IF(AND($B200&lt;=ed_y,OR($B200&lt;=ed_l,$B200&lt;=ed_r)),IF($W200=1,$U200,$V200),"–")</f>
        <v/>
      </c>
      <c r="E200" s="52">
        <f>IF(AND($B200&lt;=ed_y,OR($B200&lt;=ed_l,$B200&lt;=ed_r)),MAX($I200:$N200),"–")</f>
        <v/>
      </c>
      <c r="F200" s="52">
        <f>v_Rdc*2*d_eff/$B200</f>
        <v/>
      </c>
      <c r="G200" s="53">
        <f>IF(AND($B200&lt;=ed_y,OR($B200&lt;=ed_l,$B200&lt;=ed_r)),$E200/$F200,"–")</f>
        <v/>
      </c>
      <c r="I200">
        <f>IF(AND($B200&lt;=ed_r,$B200&lt;=ed_l,$B200&lt;=ed_y),(MAX(0,$U200)*1000/(2*(c_x+c_y)+2*PI()*$B200)+k_e*ABS(M_Ed)*1E6/(c_x^2/2+c_x*c_y+2*c_y*$B200+4*$B200^2+PI()*$B200*c_x))/d_eff,-1)</f>
        <v/>
      </c>
      <c r="J200">
        <f>IF(AND($B200&lt;=ed_l,$B200&lt;=ed_y),(MAX(0,$V200)*1000/(c_y+PI()*$B200+2*(c_x+ed_r))+k_e*ABS(M_Ed)*1E6/(c_y*(c_x/2+$B200)+PI()*$B200*c_x/2+2*$B200^2+c_x^2/4+(c_x/2+ed_r)^2))/d_eff,-1)</f>
        <v/>
      </c>
      <c r="K200">
        <f>IF(AND($B200&lt;=ed_r,$B200&lt;=ed_y),(MAX(0,$V200)*1000/(c_y+PI()*$B200+2*(c_x+ed_l))+k_e*ABS(M_Ed)*1E6/(c_y*(c_x/2+$B200)+PI()*$B200*c_x/2+2*$B200^2+c_x^2/4+(c_x/2+ed_l)^2))/d_eff,-1)</f>
        <v/>
      </c>
      <c r="L200">
        <f>IF(AND($B200&lt;=ed_r,$B200&lt;=ed_l,$B200&lt;=ed_y),(MAX(0,$V200)*1000/(c_x+PI()*$B200+2*(c_y+ed_y))+k_e*ABS(M_Ed)*1E6/(c_x^2/4+PI()*$B200*c_x/2+2*$B200^2+(c_x+2*$B200)*(c_y+ed_y)))/d_eff,-1)</f>
        <v/>
      </c>
      <c r="M200">
        <f>IF(AND($B200&lt;=ed_l,$B200&lt;=ed_y),(MAX(0,$V200)*1000/(c_x+ed_r+c_y+ed_y+PI()*$B200/2)+k_e*ABS(M_Ed)*1E6/(PI()*$B200*c_x/4+$B200^2+c_x^2/8+(c_x/2+ed_r)^2/2+(c_x/2+$B200)*(c_y+ed_y)))/d_eff,-1)</f>
        <v/>
      </c>
      <c r="N200">
        <f>IF(AND($B200&lt;=ed_r,$B200&lt;=ed_y),(MAX(0,$V200)*1000/(c_x+ed_l+c_y+ed_y+PI()*$B200/2)+k_e*ABS(M_Ed)*1E6/(PI()*$B200*c_x/4+$B200^2+c_x^2/8+(c_x/2+ed_l)^2/2+(c_x/2+$B200)*(c_y+ed_y)))/d_eff,-1)</f>
        <v/>
      </c>
      <c r="O200">
        <f>IF(AND($B200&lt;=ed_r,$B200&lt;=ed_l,$B200&lt;=ed_y),(2*(c_x+c_y)+2*PI()*$B200),"")</f>
        <v/>
      </c>
      <c r="P200">
        <f>IF(AND($B200&lt;=ed_l,$B200&lt;=ed_y),(c_y+PI()*$B200+2*(c_x+ed_r)),"")</f>
        <v/>
      </c>
      <c r="Q200">
        <f>IF(AND($B200&lt;=ed_r,$B200&lt;=ed_y),(c_y+PI()*$B200+2*(c_x+ed_l)),"")</f>
        <v/>
      </c>
      <c r="R200">
        <f>IF(AND($B200&lt;=ed_r,$B200&lt;=ed_l,$B200&lt;=ed_y),(c_x+PI()*$B200+2*(c_y+ed_y)),"")</f>
        <v/>
      </c>
      <c r="S200">
        <f>IF(AND($B200&lt;=ed_l,$B200&lt;=ed_y),(c_x+ed_r+c_y+ed_y+PI()*$B200/2),"")</f>
        <v/>
      </c>
      <c r="T200">
        <f>IF(AND($B200&lt;=ed_r,$B200&lt;=ed_y),(c_x+ed_l+c_y+ed_y+PI()*$B200/2),"")</f>
        <v/>
      </c>
      <c r="U200">
        <f>N_Ed-q_c*(c_x*c_y+2*$B200*(c_x+c_y)+PI()*$B200^2)/1E6-dW_col</f>
        <v/>
      </c>
      <c r="V200">
        <f>N_Ed-dW_col-IF(AND($B200&lt;=ed_r,$B200&lt;=ed_l,$B200&lt;=ed_y),q_c*(c_x*c_y+2*$B200*(c_x+c_y)+PI()*$B200^2)+MIN(0,qn_min)*(L_f*B_f-(c_x*c_y+2*$B200*(c_x+c_y)+PI()*$B200^2)),IF(qn_min&gt;=0,qn_min*(c_x*(c_y+2*$B200)+c_y*(MIN($B200,ed_r)+MIN($B200,ed_l))),qn_min*L_f*B_f))/1E6</f>
        <v/>
      </c>
      <c r="W200">
        <f>IF(AND($B200&lt;=ed_y,OR($B200&lt;=ed_l,$B200&lt;=ed_r)),MATCH(MAX($I200:$N200),$I200:$N200,0),0)</f>
        <v/>
      </c>
    </row>
    <row r="201" ht="16" customHeight="1">
      <c r="B201" s="50">
        <f>0.85*d_eff</f>
        <v/>
      </c>
      <c r="C201" s="50">
        <f>IF(AND($B201&lt;=ed_y,OR($B201&lt;=ed_l,$B201&lt;=ed_r)),INDEX($O201:$T201,$W201),"–")</f>
        <v/>
      </c>
      <c r="D201" s="51">
        <f>IF(AND($B201&lt;=ed_y,OR($B201&lt;=ed_l,$B201&lt;=ed_r)),IF($W201=1,$U201,$V201),"–")</f>
        <v/>
      </c>
      <c r="E201" s="52">
        <f>IF(AND($B201&lt;=ed_y,OR($B201&lt;=ed_l,$B201&lt;=ed_r)),MAX($I201:$N201),"–")</f>
        <v/>
      </c>
      <c r="F201" s="52">
        <f>v_Rdc*2*d_eff/$B201</f>
        <v/>
      </c>
      <c r="G201" s="53">
        <f>IF(AND($B201&lt;=ed_y,OR($B201&lt;=ed_l,$B201&lt;=ed_r)),$E201/$F201,"–")</f>
        <v/>
      </c>
      <c r="I201">
        <f>IF(AND($B201&lt;=ed_r,$B201&lt;=ed_l,$B201&lt;=ed_y),(MAX(0,$U201)*1000/(2*(c_x+c_y)+2*PI()*$B201)+k_e*ABS(M_Ed)*1E6/(c_x^2/2+c_x*c_y+2*c_y*$B201+4*$B201^2+PI()*$B201*c_x))/d_eff,-1)</f>
        <v/>
      </c>
      <c r="J201">
        <f>IF(AND($B201&lt;=ed_l,$B201&lt;=ed_y),(MAX(0,$V201)*1000/(c_y+PI()*$B201+2*(c_x+ed_r))+k_e*ABS(M_Ed)*1E6/(c_y*(c_x/2+$B201)+PI()*$B201*c_x/2+2*$B201^2+c_x^2/4+(c_x/2+ed_r)^2))/d_eff,-1)</f>
        <v/>
      </c>
      <c r="K201">
        <f>IF(AND($B201&lt;=ed_r,$B201&lt;=ed_y),(MAX(0,$V201)*1000/(c_y+PI()*$B201+2*(c_x+ed_l))+k_e*ABS(M_Ed)*1E6/(c_y*(c_x/2+$B201)+PI()*$B201*c_x/2+2*$B201^2+c_x^2/4+(c_x/2+ed_l)^2))/d_eff,-1)</f>
        <v/>
      </c>
      <c r="L201">
        <f>IF(AND($B201&lt;=ed_r,$B201&lt;=ed_l,$B201&lt;=ed_y),(MAX(0,$V201)*1000/(c_x+PI()*$B201+2*(c_y+ed_y))+k_e*ABS(M_Ed)*1E6/(c_x^2/4+PI()*$B201*c_x/2+2*$B201^2+(c_x+2*$B201)*(c_y+ed_y)))/d_eff,-1)</f>
        <v/>
      </c>
      <c r="M201">
        <f>IF(AND($B201&lt;=ed_l,$B201&lt;=ed_y),(MAX(0,$V201)*1000/(c_x+ed_r+c_y+ed_y+PI()*$B201/2)+k_e*ABS(M_Ed)*1E6/(PI()*$B201*c_x/4+$B201^2+c_x^2/8+(c_x/2+ed_r)^2/2+(c_x/2+$B201)*(c_y+ed_y)))/d_eff,-1)</f>
        <v/>
      </c>
      <c r="N201">
        <f>IF(AND($B201&lt;=ed_r,$B201&lt;=ed_y),(MAX(0,$V201)*1000/(c_x+ed_l+c_y+ed_y+PI()*$B201/2)+k_e*ABS(M_Ed)*1E6/(PI()*$B201*c_x/4+$B201^2+c_x^2/8+(c_x/2+ed_l)^2/2+(c_x/2+$B201)*(c_y+ed_y)))/d_eff,-1)</f>
        <v/>
      </c>
      <c r="O201">
        <f>IF(AND($B201&lt;=ed_r,$B201&lt;=ed_l,$B201&lt;=ed_y),(2*(c_x+c_y)+2*PI()*$B201),"")</f>
        <v/>
      </c>
      <c r="P201">
        <f>IF(AND($B201&lt;=ed_l,$B201&lt;=ed_y),(c_y+PI()*$B201+2*(c_x+ed_r)),"")</f>
        <v/>
      </c>
      <c r="Q201">
        <f>IF(AND($B201&lt;=ed_r,$B201&lt;=ed_y),(c_y+PI()*$B201+2*(c_x+ed_l)),"")</f>
        <v/>
      </c>
      <c r="R201">
        <f>IF(AND($B201&lt;=ed_r,$B201&lt;=ed_l,$B201&lt;=ed_y),(c_x+PI()*$B201+2*(c_y+ed_y)),"")</f>
        <v/>
      </c>
      <c r="S201">
        <f>IF(AND($B201&lt;=ed_l,$B201&lt;=ed_y),(c_x+ed_r+c_y+ed_y+PI()*$B201/2),"")</f>
        <v/>
      </c>
      <c r="T201">
        <f>IF(AND($B201&lt;=ed_r,$B201&lt;=ed_y),(c_x+ed_l+c_y+ed_y+PI()*$B201/2),"")</f>
        <v/>
      </c>
      <c r="U201">
        <f>N_Ed-q_c*(c_x*c_y+2*$B201*(c_x+c_y)+PI()*$B201^2)/1E6-dW_col</f>
        <v/>
      </c>
      <c r="V201">
        <f>N_Ed-dW_col-IF(AND($B201&lt;=ed_r,$B201&lt;=ed_l,$B201&lt;=ed_y),q_c*(c_x*c_y+2*$B201*(c_x+c_y)+PI()*$B201^2)+MIN(0,qn_min)*(L_f*B_f-(c_x*c_y+2*$B201*(c_x+c_y)+PI()*$B201^2)),IF(qn_min&gt;=0,qn_min*(c_x*(c_y+2*$B201)+c_y*(MIN($B201,ed_r)+MIN($B201,ed_l))),qn_min*L_f*B_f))/1E6</f>
        <v/>
      </c>
      <c r="W201">
        <f>IF(AND($B201&lt;=ed_y,OR($B201&lt;=ed_l,$B201&lt;=ed_r)),MATCH(MAX($I201:$N201),$I201:$N201,0),0)</f>
        <v/>
      </c>
    </row>
    <row r="202" ht="16" customHeight="1">
      <c r="B202" s="50">
        <f>0.9*d_eff</f>
        <v/>
      </c>
      <c r="C202" s="50">
        <f>IF(AND($B202&lt;=ed_y,OR($B202&lt;=ed_l,$B202&lt;=ed_r)),INDEX($O202:$T202,$W202),"–")</f>
        <v/>
      </c>
      <c r="D202" s="51">
        <f>IF(AND($B202&lt;=ed_y,OR($B202&lt;=ed_l,$B202&lt;=ed_r)),IF($W202=1,$U202,$V202),"–")</f>
        <v/>
      </c>
      <c r="E202" s="52">
        <f>IF(AND($B202&lt;=ed_y,OR($B202&lt;=ed_l,$B202&lt;=ed_r)),MAX($I202:$N202),"–")</f>
        <v/>
      </c>
      <c r="F202" s="52">
        <f>v_Rdc*2*d_eff/$B202</f>
        <v/>
      </c>
      <c r="G202" s="53">
        <f>IF(AND($B202&lt;=ed_y,OR($B202&lt;=ed_l,$B202&lt;=ed_r)),$E202/$F202,"–")</f>
        <v/>
      </c>
      <c r="I202">
        <f>IF(AND($B202&lt;=ed_r,$B202&lt;=ed_l,$B202&lt;=ed_y),(MAX(0,$U202)*1000/(2*(c_x+c_y)+2*PI()*$B202)+k_e*ABS(M_Ed)*1E6/(c_x^2/2+c_x*c_y+2*c_y*$B202+4*$B202^2+PI()*$B202*c_x))/d_eff,-1)</f>
        <v/>
      </c>
      <c r="J202">
        <f>IF(AND($B202&lt;=ed_l,$B202&lt;=ed_y),(MAX(0,$V202)*1000/(c_y+PI()*$B202+2*(c_x+ed_r))+k_e*ABS(M_Ed)*1E6/(c_y*(c_x/2+$B202)+PI()*$B202*c_x/2+2*$B202^2+c_x^2/4+(c_x/2+ed_r)^2))/d_eff,-1)</f>
        <v/>
      </c>
      <c r="K202">
        <f>IF(AND($B202&lt;=ed_r,$B202&lt;=ed_y),(MAX(0,$V202)*1000/(c_y+PI()*$B202+2*(c_x+ed_l))+k_e*ABS(M_Ed)*1E6/(c_y*(c_x/2+$B202)+PI()*$B202*c_x/2+2*$B202^2+c_x^2/4+(c_x/2+ed_l)^2))/d_eff,-1)</f>
        <v/>
      </c>
      <c r="L202">
        <f>IF(AND($B202&lt;=ed_r,$B202&lt;=ed_l,$B202&lt;=ed_y),(MAX(0,$V202)*1000/(c_x+PI()*$B202+2*(c_y+ed_y))+k_e*ABS(M_Ed)*1E6/(c_x^2/4+PI()*$B202*c_x/2+2*$B202^2+(c_x+2*$B202)*(c_y+ed_y)))/d_eff,-1)</f>
        <v/>
      </c>
      <c r="M202">
        <f>IF(AND($B202&lt;=ed_l,$B202&lt;=ed_y),(MAX(0,$V202)*1000/(c_x+ed_r+c_y+ed_y+PI()*$B202/2)+k_e*ABS(M_Ed)*1E6/(PI()*$B202*c_x/4+$B202^2+c_x^2/8+(c_x/2+ed_r)^2/2+(c_x/2+$B202)*(c_y+ed_y)))/d_eff,-1)</f>
        <v/>
      </c>
      <c r="N202">
        <f>IF(AND($B202&lt;=ed_r,$B202&lt;=ed_y),(MAX(0,$V202)*1000/(c_x+ed_l+c_y+ed_y+PI()*$B202/2)+k_e*ABS(M_Ed)*1E6/(PI()*$B202*c_x/4+$B202^2+c_x^2/8+(c_x/2+ed_l)^2/2+(c_x/2+$B202)*(c_y+ed_y)))/d_eff,-1)</f>
        <v/>
      </c>
      <c r="O202">
        <f>IF(AND($B202&lt;=ed_r,$B202&lt;=ed_l,$B202&lt;=ed_y),(2*(c_x+c_y)+2*PI()*$B202),"")</f>
        <v/>
      </c>
      <c r="P202">
        <f>IF(AND($B202&lt;=ed_l,$B202&lt;=ed_y),(c_y+PI()*$B202+2*(c_x+ed_r)),"")</f>
        <v/>
      </c>
      <c r="Q202">
        <f>IF(AND($B202&lt;=ed_r,$B202&lt;=ed_y),(c_y+PI()*$B202+2*(c_x+ed_l)),"")</f>
        <v/>
      </c>
      <c r="R202">
        <f>IF(AND($B202&lt;=ed_r,$B202&lt;=ed_l,$B202&lt;=ed_y),(c_x+PI()*$B202+2*(c_y+ed_y)),"")</f>
        <v/>
      </c>
      <c r="S202">
        <f>IF(AND($B202&lt;=ed_l,$B202&lt;=ed_y),(c_x+ed_r+c_y+ed_y+PI()*$B202/2),"")</f>
        <v/>
      </c>
      <c r="T202">
        <f>IF(AND($B202&lt;=ed_r,$B202&lt;=ed_y),(c_x+ed_l+c_y+ed_y+PI()*$B202/2),"")</f>
        <v/>
      </c>
      <c r="U202">
        <f>N_Ed-q_c*(c_x*c_y+2*$B202*(c_x+c_y)+PI()*$B202^2)/1E6-dW_col</f>
        <v/>
      </c>
      <c r="V202">
        <f>N_Ed-dW_col-IF(AND($B202&lt;=ed_r,$B202&lt;=ed_l,$B202&lt;=ed_y),q_c*(c_x*c_y+2*$B202*(c_x+c_y)+PI()*$B202^2)+MIN(0,qn_min)*(L_f*B_f-(c_x*c_y+2*$B202*(c_x+c_y)+PI()*$B202^2)),IF(qn_min&gt;=0,qn_min*(c_x*(c_y+2*$B202)+c_y*(MIN($B202,ed_r)+MIN($B202,ed_l))),qn_min*L_f*B_f))/1E6</f>
        <v/>
      </c>
      <c r="W202">
        <f>IF(AND($B202&lt;=ed_y,OR($B202&lt;=ed_l,$B202&lt;=ed_r)),MATCH(MAX($I202:$N202),$I202:$N202,0),0)</f>
        <v/>
      </c>
    </row>
    <row r="203" ht="16" customHeight="1">
      <c r="B203" s="50">
        <f>0.95*d_eff</f>
        <v/>
      </c>
      <c r="C203" s="50">
        <f>IF(AND($B203&lt;=ed_y,OR($B203&lt;=ed_l,$B203&lt;=ed_r)),INDEX($O203:$T203,$W203),"–")</f>
        <v/>
      </c>
      <c r="D203" s="51">
        <f>IF(AND($B203&lt;=ed_y,OR($B203&lt;=ed_l,$B203&lt;=ed_r)),IF($W203=1,$U203,$V203),"–")</f>
        <v/>
      </c>
      <c r="E203" s="52">
        <f>IF(AND($B203&lt;=ed_y,OR($B203&lt;=ed_l,$B203&lt;=ed_r)),MAX($I203:$N203),"–")</f>
        <v/>
      </c>
      <c r="F203" s="52">
        <f>v_Rdc*2*d_eff/$B203</f>
        <v/>
      </c>
      <c r="G203" s="53">
        <f>IF(AND($B203&lt;=ed_y,OR($B203&lt;=ed_l,$B203&lt;=ed_r)),$E203/$F203,"–")</f>
        <v/>
      </c>
      <c r="I203">
        <f>IF(AND($B203&lt;=ed_r,$B203&lt;=ed_l,$B203&lt;=ed_y),(MAX(0,$U203)*1000/(2*(c_x+c_y)+2*PI()*$B203)+k_e*ABS(M_Ed)*1E6/(c_x^2/2+c_x*c_y+2*c_y*$B203+4*$B203^2+PI()*$B203*c_x))/d_eff,-1)</f>
        <v/>
      </c>
      <c r="J203">
        <f>IF(AND($B203&lt;=ed_l,$B203&lt;=ed_y),(MAX(0,$V203)*1000/(c_y+PI()*$B203+2*(c_x+ed_r))+k_e*ABS(M_Ed)*1E6/(c_y*(c_x/2+$B203)+PI()*$B203*c_x/2+2*$B203^2+c_x^2/4+(c_x/2+ed_r)^2))/d_eff,-1)</f>
        <v/>
      </c>
      <c r="K203">
        <f>IF(AND($B203&lt;=ed_r,$B203&lt;=ed_y),(MAX(0,$V203)*1000/(c_y+PI()*$B203+2*(c_x+ed_l))+k_e*ABS(M_Ed)*1E6/(c_y*(c_x/2+$B203)+PI()*$B203*c_x/2+2*$B203^2+c_x^2/4+(c_x/2+ed_l)^2))/d_eff,-1)</f>
        <v/>
      </c>
      <c r="L203">
        <f>IF(AND($B203&lt;=ed_r,$B203&lt;=ed_l,$B203&lt;=ed_y),(MAX(0,$V203)*1000/(c_x+PI()*$B203+2*(c_y+ed_y))+k_e*ABS(M_Ed)*1E6/(c_x^2/4+PI()*$B203*c_x/2+2*$B203^2+(c_x+2*$B203)*(c_y+ed_y)))/d_eff,-1)</f>
        <v/>
      </c>
      <c r="M203">
        <f>IF(AND($B203&lt;=ed_l,$B203&lt;=ed_y),(MAX(0,$V203)*1000/(c_x+ed_r+c_y+ed_y+PI()*$B203/2)+k_e*ABS(M_Ed)*1E6/(PI()*$B203*c_x/4+$B203^2+c_x^2/8+(c_x/2+ed_r)^2/2+(c_x/2+$B203)*(c_y+ed_y)))/d_eff,-1)</f>
        <v/>
      </c>
      <c r="N203">
        <f>IF(AND($B203&lt;=ed_r,$B203&lt;=ed_y),(MAX(0,$V203)*1000/(c_x+ed_l+c_y+ed_y+PI()*$B203/2)+k_e*ABS(M_Ed)*1E6/(PI()*$B203*c_x/4+$B203^2+c_x^2/8+(c_x/2+ed_l)^2/2+(c_x/2+$B203)*(c_y+ed_y)))/d_eff,-1)</f>
        <v/>
      </c>
      <c r="O203">
        <f>IF(AND($B203&lt;=ed_r,$B203&lt;=ed_l,$B203&lt;=ed_y),(2*(c_x+c_y)+2*PI()*$B203),"")</f>
        <v/>
      </c>
      <c r="P203">
        <f>IF(AND($B203&lt;=ed_l,$B203&lt;=ed_y),(c_y+PI()*$B203+2*(c_x+ed_r)),"")</f>
        <v/>
      </c>
      <c r="Q203">
        <f>IF(AND($B203&lt;=ed_r,$B203&lt;=ed_y),(c_y+PI()*$B203+2*(c_x+ed_l)),"")</f>
        <v/>
      </c>
      <c r="R203">
        <f>IF(AND($B203&lt;=ed_r,$B203&lt;=ed_l,$B203&lt;=ed_y),(c_x+PI()*$B203+2*(c_y+ed_y)),"")</f>
        <v/>
      </c>
      <c r="S203">
        <f>IF(AND($B203&lt;=ed_l,$B203&lt;=ed_y),(c_x+ed_r+c_y+ed_y+PI()*$B203/2),"")</f>
        <v/>
      </c>
      <c r="T203">
        <f>IF(AND($B203&lt;=ed_r,$B203&lt;=ed_y),(c_x+ed_l+c_y+ed_y+PI()*$B203/2),"")</f>
        <v/>
      </c>
      <c r="U203">
        <f>N_Ed-q_c*(c_x*c_y+2*$B203*(c_x+c_y)+PI()*$B203^2)/1E6-dW_col</f>
        <v/>
      </c>
      <c r="V203">
        <f>N_Ed-dW_col-IF(AND($B203&lt;=ed_r,$B203&lt;=ed_l,$B203&lt;=ed_y),q_c*(c_x*c_y+2*$B203*(c_x+c_y)+PI()*$B203^2)+MIN(0,qn_min)*(L_f*B_f-(c_x*c_y+2*$B203*(c_x+c_y)+PI()*$B203^2)),IF(qn_min&gt;=0,qn_min*(c_x*(c_y+2*$B203)+c_y*(MIN($B203,ed_r)+MIN($B203,ed_l))),qn_min*L_f*B_f))/1E6</f>
        <v/>
      </c>
      <c r="W203">
        <f>IF(AND($B203&lt;=ed_y,OR($B203&lt;=ed_l,$B203&lt;=ed_r)),MATCH(MAX($I203:$N203),$I203:$N203,0),0)</f>
        <v/>
      </c>
    </row>
    <row r="204" ht="16" customHeight="1">
      <c r="B204" s="50">
        <f>1.0*d_eff</f>
        <v/>
      </c>
      <c r="C204" s="50">
        <f>IF(AND($B204&lt;=ed_y,OR($B204&lt;=ed_l,$B204&lt;=ed_r)),INDEX($O204:$T204,$W204),"–")</f>
        <v/>
      </c>
      <c r="D204" s="51">
        <f>IF(AND($B204&lt;=ed_y,OR($B204&lt;=ed_l,$B204&lt;=ed_r)),IF($W204=1,$U204,$V204),"–")</f>
        <v/>
      </c>
      <c r="E204" s="52">
        <f>IF(AND($B204&lt;=ed_y,OR($B204&lt;=ed_l,$B204&lt;=ed_r)),MAX($I204:$N204),"–")</f>
        <v/>
      </c>
      <c r="F204" s="52">
        <f>v_Rdc*2*d_eff/$B204</f>
        <v/>
      </c>
      <c r="G204" s="53">
        <f>IF(AND($B204&lt;=ed_y,OR($B204&lt;=ed_l,$B204&lt;=ed_r)),$E204/$F204,"–")</f>
        <v/>
      </c>
      <c r="I204">
        <f>IF(AND($B204&lt;=ed_r,$B204&lt;=ed_l,$B204&lt;=ed_y),(MAX(0,$U204)*1000/(2*(c_x+c_y)+2*PI()*$B204)+k_e*ABS(M_Ed)*1E6/(c_x^2/2+c_x*c_y+2*c_y*$B204+4*$B204^2+PI()*$B204*c_x))/d_eff,-1)</f>
        <v/>
      </c>
      <c r="J204">
        <f>IF(AND($B204&lt;=ed_l,$B204&lt;=ed_y),(MAX(0,$V204)*1000/(c_y+PI()*$B204+2*(c_x+ed_r))+k_e*ABS(M_Ed)*1E6/(c_y*(c_x/2+$B204)+PI()*$B204*c_x/2+2*$B204^2+c_x^2/4+(c_x/2+ed_r)^2))/d_eff,-1)</f>
        <v/>
      </c>
      <c r="K204">
        <f>IF(AND($B204&lt;=ed_r,$B204&lt;=ed_y),(MAX(0,$V204)*1000/(c_y+PI()*$B204+2*(c_x+ed_l))+k_e*ABS(M_Ed)*1E6/(c_y*(c_x/2+$B204)+PI()*$B204*c_x/2+2*$B204^2+c_x^2/4+(c_x/2+ed_l)^2))/d_eff,-1)</f>
        <v/>
      </c>
      <c r="L204">
        <f>IF(AND($B204&lt;=ed_r,$B204&lt;=ed_l,$B204&lt;=ed_y),(MAX(0,$V204)*1000/(c_x+PI()*$B204+2*(c_y+ed_y))+k_e*ABS(M_Ed)*1E6/(c_x^2/4+PI()*$B204*c_x/2+2*$B204^2+(c_x+2*$B204)*(c_y+ed_y)))/d_eff,-1)</f>
        <v/>
      </c>
      <c r="M204">
        <f>IF(AND($B204&lt;=ed_l,$B204&lt;=ed_y),(MAX(0,$V204)*1000/(c_x+ed_r+c_y+ed_y+PI()*$B204/2)+k_e*ABS(M_Ed)*1E6/(PI()*$B204*c_x/4+$B204^2+c_x^2/8+(c_x/2+ed_r)^2/2+(c_x/2+$B204)*(c_y+ed_y)))/d_eff,-1)</f>
        <v/>
      </c>
      <c r="N204">
        <f>IF(AND($B204&lt;=ed_r,$B204&lt;=ed_y),(MAX(0,$V204)*1000/(c_x+ed_l+c_y+ed_y+PI()*$B204/2)+k_e*ABS(M_Ed)*1E6/(PI()*$B204*c_x/4+$B204^2+c_x^2/8+(c_x/2+ed_l)^2/2+(c_x/2+$B204)*(c_y+ed_y)))/d_eff,-1)</f>
        <v/>
      </c>
      <c r="O204">
        <f>IF(AND($B204&lt;=ed_r,$B204&lt;=ed_l,$B204&lt;=ed_y),(2*(c_x+c_y)+2*PI()*$B204),"")</f>
        <v/>
      </c>
      <c r="P204">
        <f>IF(AND($B204&lt;=ed_l,$B204&lt;=ed_y),(c_y+PI()*$B204+2*(c_x+ed_r)),"")</f>
        <v/>
      </c>
      <c r="Q204">
        <f>IF(AND($B204&lt;=ed_r,$B204&lt;=ed_y),(c_y+PI()*$B204+2*(c_x+ed_l)),"")</f>
        <v/>
      </c>
      <c r="R204">
        <f>IF(AND($B204&lt;=ed_r,$B204&lt;=ed_l,$B204&lt;=ed_y),(c_x+PI()*$B204+2*(c_y+ed_y)),"")</f>
        <v/>
      </c>
      <c r="S204">
        <f>IF(AND($B204&lt;=ed_l,$B204&lt;=ed_y),(c_x+ed_r+c_y+ed_y+PI()*$B204/2),"")</f>
        <v/>
      </c>
      <c r="T204">
        <f>IF(AND($B204&lt;=ed_r,$B204&lt;=ed_y),(c_x+ed_l+c_y+ed_y+PI()*$B204/2),"")</f>
        <v/>
      </c>
      <c r="U204">
        <f>N_Ed-q_c*(c_x*c_y+2*$B204*(c_x+c_y)+PI()*$B204^2)/1E6-dW_col</f>
        <v/>
      </c>
      <c r="V204">
        <f>N_Ed-dW_col-IF(AND($B204&lt;=ed_r,$B204&lt;=ed_l,$B204&lt;=ed_y),q_c*(c_x*c_y+2*$B204*(c_x+c_y)+PI()*$B204^2)+MIN(0,qn_min)*(L_f*B_f-(c_x*c_y+2*$B204*(c_x+c_y)+PI()*$B204^2)),IF(qn_min&gt;=0,qn_min*(c_x*(c_y+2*$B204)+c_y*(MIN($B204,ed_r)+MIN($B204,ed_l))),qn_min*L_f*B_f))/1E6</f>
        <v/>
      </c>
      <c r="W204">
        <f>IF(AND($B204&lt;=ed_y,OR($B204&lt;=ed_l,$B204&lt;=ed_r)),MATCH(MAX($I204:$N204),$I204:$N204,0),0)</f>
        <v/>
      </c>
    </row>
    <row r="205" ht="16" customHeight="1">
      <c r="B205" s="50">
        <f>1.05*d_eff</f>
        <v/>
      </c>
      <c r="C205" s="50">
        <f>IF(AND($B205&lt;=ed_y,OR($B205&lt;=ed_l,$B205&lt;=ed_r)),INDEX($O205:$T205,$W205),"–")</f>
        <v/>
      </c>
      <c r="D205" s="51">
        <f>IF(AND($B205&lt;=ed_y,OR($B205&lt;=ed_l,$B205&lt;=ed_r)),IF($W205=1,$U205,$V205),"–")</f>
        <v/>
      </c>
      <c r="E205" s="52">
        <f>IF(AND($B205&lt;=ed_y,OR($B205&lt;=ed_l,$B205&lt;=ed_r)),MAX($I205:$N205),"–")</f>
        <v/>
      </c>
      <c r="F205" s="52">
        <f>v_Rdc*2*d_eff/$B205</f>
        <v/>
      </c>
      <c r="G205" s="53">
        <f>IF(AND($B205&lt;=ed_y,OR($B205&lt;=ed_l,$B205&lt;=ed_r)),$E205/$F205,"–")</f>
        <v/>
      </c>
      <c r="I205">
        <f>IF(AND($B205&lt;=ed_r,$B205&lt;=ed_l,$B205&lt;=ed_y),(MAX(0,$U205)*1000/(2*(c_x+c_y)+2*PI()*$B205)+k_e*ABS(M_Ed)*1E6/(c_x^2/2+c_x*c_y+2*c_y*$B205+4*$B205^2+PI()*$B205*c_x))/d_eff,-1)</f>
        <v/>
      </c>
      <c r="J205">
        <f>IF(AND($B205&lt;=ed_l,$B205&lt;=ed_y),(MAX(0,$V205)*1000/(c_y+PI()*$B205+2*(c_x+ed_r))+k_e*ABS(M_Ed)*1E6/(c_y*(c_x/2+$B205)+PI()*$B205*c_x/2+2*$B205^2+c_x^2/4+(c_x/2+ed_r)^2))/d_eff,-1)</f>
        <v/>
      </c>
      <c r="K205">
        <f>IF(AND($B205&lt;=ed_r,$B205&lt;=ed_y),(MAX(0,$V205)*1000/(c_y+PI()*$B205+2*(c_x+ed_l))+k_e*ABS(M_Ed)*1E6/(c_y*(c_x/2+$B205)+PI()*$B205*c_x/2+2*$B205^2+c_x^2/4+(c_x/2+ed_l)^2))/d_eff,-1)</f>
        <v/>
      </c>
      <c r="L205">
        <f>IF(AND($B205&lt;=ed_r,$B205&lt;=ed_l,$B205&lt;=ed_y),(MAX(0,$V205)*1000/(c_x+PI()*$B205+2*(c_y+ed_y))+k_e*ABS(M_Ed)*1E6/(c_x^2/4+PI()*$B205*c_x/2+2*$B205^2+(c_x+2*$B205)*(c_y+ed_y)))/d_eff,-1)</f>
        <v/>
      </c>
      <c r="M205">
        <f>IF(AND($B205&lt;=ed_l,$B205&lt;=ed_y),(MAX(0,$V205)*1000/(c_x+ed_r+c_y+ed_y+PI()*$B205/2)+k_e*ABS(M_Ed)*1E6/(PI()*$B205*c_x/4+$B205^2+c_x^2/8+(c_x/2+ed_r)^2/2+(c_x/2+$B205)*(c_y+ed_y)))/d_eff,-1)</f>
        <v/>
      </c>
      <c r="N205">
        <f>IF(AND($B205&lt;=ed_r,$B205&lt;=ed_y),(MAX(0,$V205)*1000/(c_x+ed_l+c_y+ed_y+PI()*$B205/2)+k_e*ABS(M_Ed)*1E6/(PI()*$B205*c_x/4+$B205^2+c_x^2/8+(c_x/2+ed_l)^2/2+(c_x/2+$B205)*(c_y+ed_y)))/d_eff,-1)</f>
        <v/>
      </c>
      <c r="O205">
        <f>IF(AND($B205&lt;=ed_r,$B205&lt;=ed_l,$B205&lt;=ed_y),(2*(c_x+c_y)+2*PI()*$B205),"")</f>
        <v/>
      </c>
      <c r="P205">
        <f>IF(AND($B205&lt;=ed_l,$B205&lt;=ed_y),(c_y+PI()*$B205+2*(c_x+ed_r)),"")</f>
        <v/>
      </c>
      <c r="Q205">
        <f>IF(AND($B205&lt;=ed_r,$B205&lt;=ed_y),(c_y+PI()*$B205+2*(c_x+ed_l)),"")</f>
        <v/>
      </c>
      <c r="R205">
        <f>IF(AND($B205&lt;=ed_r,$B205&lt;=ed_l,$B205&lt;=ed_y),(c_x+PI()*$B205+2*(c_y+ed_y)),"")</f>
        <v/>
      </c>
      <c r="S205">
        <f>IF(AND($B205&lt;=ed_l,$B205&lt;=ed_y),(c_x+ed_r+c_y+ed_y+PI()*$B205/2),"")</f>
        <v/>
      </c>
      <c r="T205">
        <f>IF(AND($B205&lt;=ed_r,$B205&lt;=ed_y),(c_x+ed_l+c_y+ed_y+PI()*$B205/2),"")</f>
        <v/>
      </c>
      <c r="U205">
        <f>N_Ed-q_c*(c_x*c_y+2*$B205*(c_x+c_y)+PI()*$B205^2)/1E6-dW_col</f>
        <v/>
      </c>
      <c r="V205">
        <f>N_Ed-dW_col-IF(AND($B205&lt;=ed_r,$B205&lt;=ed_l,$B205&lt;=ed_y),q_c*(c_x*c_y+2*$B205*(c_x+c_y)+PI()*$B205^2)+MIN(0,qn_min)*(L_f*B_f-(c_x*c_y+2*$B205*(c_x+c_y)+PI()*$B205^2)),IF(qn_min&gt;=0,qn_min*(c_x*(c_y+2*$B205)+c_y*(MIN($B205,ed_r)+MIN($B205,ed_l))),qn_min*L_f*B_f))/1E6</f>
        <v/>
      </c>
      <c r="W205">
        <f>IF(AND($B205&lt;=ed_y,OR($B205&lt;=ed_l,$B205&lt;=ed_r)),MATCH(MAX($I205:$N205),$I205:$N205,0),0)</f>
        <v/>
      </c>
    </row>
    <row r="206" ht="16" customHeight="1">
      <c r="B206" s="50">
        <f>1.1*d_eff</f>
        <v/>
      </c>
      <c r="C206" s="50">
        <f>IF(AND($B206&lt;=ed_y,OR($B206&lt;=ed_l,$B206&lt;=ed_r)),INDEX($O206:$T206,$W206),"–")</f>
        <v/>
      </c>
      <c r="D206" s="51">
        <f>IF(AND($B206&lt;=ed_y,OR($B206&lt;=ed_l,$B206&lt;=ed_r)),IF($W206=1,$U206,$V206),"–")</f>
        <v/>
      </c>
      <c r="E206" s="52">
        <f>IF(AND($B206&lt;=ed_y,OR($B206&lt;=ed_l,$B206&lt;=ed_r)),MAX($I206:$N206),"–")</f>
        <v/>
      </c>
      <c r="F206" s="52">
        <f>v_Rdc*2*d_eff/$B206</f>
        <v/>
      </c>
      <c r="G206" s="53">
        <f>IF(AND($B206&lt;=ed_y,OR($B206&lt;=ed_l,$B206&lt;=ed_r)),$E206/$F206,"–")</f>
        <v/>
      </c>
      <c r="I206">
        <f>IF(AND($B206&lt;=ed_r,$B206&lt;=ed_l,$B206&lt;=ed_y),(MAX(0,$U206)*1000/(2*(c_x+c_y)+2*PI()*$B206)+k_e*ABS(M_Ed)*1E6/(c_x^2/2+c_x*c_y+2*c_y*$B206+4*$B206^2+PI()*$B206*c_x))/d_eff,-1)</f>
        <v/>
      </c>
      <c r="J206">
        <f>IF(AND($B206&lt;=ed_l,$B206&lt;=ed_y),(MAX(0,$V206)*1000/(c_y+PI()*$B206+2*(c_x+ed_r))+k_e*ABS(M_Ed)*1E6/(c_y*(c_x/2+$B206)+PI()*$B206*c_x/2+2*$B206^2+c_x^2/4+(c_x/2+ed_r)^2))/d_eff,-1)</f>
        <v/>
      </c>
      <c r="K206">
        <f>IF(AND($B206&lt;=ed_r,$B206&lt;=ed_y),(MAX(0,$V206)*1000/(c_y+PI()*$B206+2*(c_x+ed_l))+k_e*ABS(M_Ed)*1E6/(c_y*(c_x/2+$B206)+PI()*$B206*c_x/2+2*$B206^2+c_x^2/4+(c_x/2+ed_l)^2))/d_eff,-1)</f>
        <v/>
      </c>
      <c r="L206">
        <f>IF(AND($B206&lt;=ed_r,$B206&lt;=ed_l,$B206&lt;=ed_y),(MAX(0,$V206)*1000/(c_x+PI()*$B206+2*(c_y+ed_y))+k_e*ABS(M_Ed)*1E6/(c_x^2/4+PI()*$B206*c_x/2+2*$B206^2+(c_x+2*$B206)*(c_y+ed_y)))/d_eff,-1)</f>
        <v/>
      </c>
      <c r="M206">
        <f>IF(AND($B206&lt;=ed_l,$B206&lt;=ed_y),(MAX(0,$V206)*1000/(c_x+ed_r+c_y+ed_y+PI()*$B206/2)+k_e*ABS(M_Ed)*1E6/(PI()*$B206*c_x/4+$B206^2+c_x^2/8+(c_x/2+ed_r)^2/2+(c_x/2+$B206)*(c_y+ed_y)))/d_eff,-1)</f>
        <v/>
      </c>
      <c r="N206">
        <f>IF(AND($B206&lt;=ed_r,$B206&lt;=ed_y),(MAX(0,$V206)*1000/(c_x+ed_l+c_y+ed_y+PI()*$B206/2)+k_e*ABS(M_Ed)*1E6/(PI()*$B206*c_x/4+$B206^2+c_x^2/8+(c_x/2+ed_l)^2/2+(c_x/2+$B206)*(c_y+ed_y)))/d_eff,-1)</f>
        <v/>
      </c>
      <c r="O206">
        <f>IF(AND($B206&lt;=ed_r,$B206&lt;=ed_l,$B206&lt;=ed_y),(2*(c_x+c_y)+2*PI()*$B206),"")</f>
        <v/>
      </c>
      <c r="P206">
        <f>IF(AND($B206&lt;=ed_l,$B206&lt;=ed_y),(c_y+PI()*$B206+2*(c_x+ed_r)),"")</f>
        <v/>
      </c>
      <c r="Q206">
        <f>IF(AND($B206&lt;=ed_r,$B206&lt;=ed_y),(c_y+PI()*$B206+2*(c_x+ed_l)),"")</f>
        <v/>
      </c>
      <c r="R206">
        <f>IF(AND($B206&lt;=ed_r,$B206&lt;=ed_l,$B206&lt;=ed_y),(c_x+PI()*$B206+2*(c_y+ed_y)),"")</f>
        <v/>
      </c>
      <c r="S206">
        <f>IF(AND($B206&lt;=ed_l,$B206&lt;=ed_y),(c_x+ed_r+c_y+ed_y+PI()*$B206/2),"")</f>
        <v/>
      </c>
      <c r="T206">
        <f>IF(AND($B206&lt;=ed_r,$B206&lt;=ed_y),(c_x+ed_l+c_y+ed_y+PI()*$B206/2),"")</f>
        <v/>
      </c>
      <c r="U206">
        <f>N_Ed-q_c*(c_x*c_y+2*$B206*(c_x+c_y)+PI()*$B206^2)/1E6-dW_col</f>
        <v/>
      </c>
      <c r="V206">
        <f>N_Ed-dW_col-IF(AND($B206&lt;=ed_r,$B206&lt;=ed_l,$B206&lt;=ed_y),q_c*(c_x*c_y+2*$B206*(c_x+c_y)+PI()*$B206^2)+MIN(0,qn_min)*(L_f*B_f-(c_x*c_y+2*$B206*(c_x+c_y)+PI()*$B206^2)),IF(qn_min&gt;=0,qn_min*(c_x*(c_y+2*$B206)+c_y*(MIN($B206,ed_r)+MIN($B206,ed_l))),qn_min*L_f*B_f))/1E6</f>
        <v/>
      </c>
      <c r="W206">
        <f>IF(AND($B206&lt;=ed_y,OR($B206&lt;=ed_l,$B206&lt;=ed_r)),MATCH(MAX($I206:$N206),$I206:$N206,0),0)</f>
        <v/>
      </c>
    </row>
    <row r="207" ht="16" customHeight="1">
      <c r="B207" s="50">
        <f>1.15*d_eff</f>
        <v/>
      </c>
      <c r="C207" s="50">
        <f>IF(AND($B207&lt;=ed_y,OR($B207&lt;=ed_l,$B207&lt;=ed_r)),INDEX($O207:$T207,$W207),"–")</f>
        <v/>
      </c>
      <c r="D207" s="51">
        <f>IF(AND($B207&lt;=ed_y,OR($B207&lt;=ed_l,$B207&lt;=ed_r)),IF($W207=1,$U207,$V207),"–")</f>
        <v/>
      </c>
      <c r="E207" s="52">
        <f>IF(AND($B207&lt;=ed_y,OR($B207&lt;=ed_l,$B207&lt;=ed_r)),MAX($I207:$N207),"–")</f>
        <v/>
      </c>
      <c r="F207" s="52">
        <f>v_Rdc*2*d_eff/$B207</f>
        <v/>
      </c>
      <c r="G207" s="53">
        <f>IF(AND($B207&lt;=ed_y,OR($B207&lt;=ed_l,$B207&lt;=ed_r)),$E207/$F207,"–")</f>
        <v/>
      </c>
      <c r="I207">
        <f>IF(AND($B207&lt;=ed_r,$B207&lt;=ed_l,$B207&lt;=ed_y),(MAX(0,$U207)*1000/(2*(c_x+c_y)+2*PI()*$B207)+k_e*ABS(M_Ed)*1E6/(c_x^2/2+c_x*c_y+2*c_y*$B207+4*$B207^2+PI()*$B207*c_x))/d_eff,-1)</f>
        <v/>
      </c>
      <c r="J207">
        <f>IF(AND($B207&lt;=ed_l,$B207&lt;=ed_y),(MAX(0,$V207)*1000/(c_y+PI()*$B207+2*(c_x+ed_r))+k_e*ABS(M_Ed)*1E6/(c_y*(c_x/2+$B207)+PI()*$B207*c_x/2+2*$B207^2+c_x^2/4+(c_x/2+ed_r)^2))/d_eff,-1)</f>
        <v/>
      </c>
      <c r="K207">
        <f>IF(AND($B207&lt;=ed_r,$B207&lt;=ed_y),(MAX(0,$V207)*1000/(c_y+PI()*$B207+2*(c_x+ed_l))+k_e*ABS(M_Ed)*1E6/(c_y*(c_x/2+$B207)+PI()*$B207*c_x/2+2*$B207^2+c_x^2/4+(c_x/2+ed_l)^2))/d_eff,-1)</f>
        <v/>
      </c>
      <c r="L207">
        <f>IF(AND($B207&lt;=ed_r,$B207&lt;=ed_l,$B207&lt;=ed_y),(MAX(0,$V207)*1000/(c_x+PI()*$B207+2*(c_y+ed_y))+k_e*ABS(M_Ed)*1E6/(c_x^2/4+PI()*$B207*c_x/2+2*$B207^2+(c_x+2*$B207)*(c_y+ed_y)))/d_eff,-1)</f>
        <v/>
      </c>
      <c r="M207">
        <f>IF(AND($B207&lt;=ed_l,$B207&lt;=ed_y),(MAX(0,$V207)*1000/(c_x+ed_r+c_y+ed_y+PI()*$B207/2)+k_e*ABS(M_Ed)*1E6/(PI()*$B207*c_x/4+$B207^2+c_x^2/8+(c_x/2+ed_r)^2/2+(c_x/2+$B207)*(c_y+ed_y)))/d_eff,-1)</f>
        <v/>
      </c>
      <c r="N207">
        <f>IF(AND($B207&lt;=ed_r,$B207&lt;=ed_y),(MAX(0,$V207)*1000/(c_x+ed_l+c_y+ed_y+PI()*$B207/2)+k_e*ABS(M_Ed)*1E6/(PI()*$B207*c_x/4+$B207^2+c_x^2/8+(c_x/2+ed_l)^2/2+(c_x/2+$B207)*(c_y+ed_y)))/d_eff,-1)</f>
        <v/>
      </c>
      <c r="O207">
        <f>IF(AND($B207&lt;=ed_r,$B207&lt;=ed_l,$B207&lt;=ed_y),(2*(c_x+c_y)+2*PI()*$B207),"")</f>
        <v/>
      </c>
      <c r="P207">
        <f>IF(AND($B207&lt;=ed_l,$B207&lt;=ed_y),(c_y+PI()*$B207+2*(c_x+ed_r)),"")</f>
        <v/>
      </c>
      <c r="Q207">
        <f>IF(AND($B207&lt;=ed_r,$B207&lt;=ed_y),(c_y+PI()*$B207+2*(c_x+ed_l)),"")</f>
        <v/>
      </c>
      <c r="R207">
        <f>IF(AND($B207&lt;=ed_r,$B207&lt;=ed_l,$B207&lt;=ed_y),(c_x+PI()*$B207+2*(c_y+ed_y)),"")</f>
        <v/>
      </c>
      <c r="S207">
        <f>IF(AND($B207&lt;=ed_l,$B207&lt;=ed_y),(c_x+ed_r+c_y+ed_y+PI()*$B207/2),"")</f>
        <v/>
      </c>
      <c r="T207">
        <f>IF(AND($B207&lt;=ed_r,$B207&lt;=ed_y),(c_x+ed_l+c_y+ed_y+PI()*$B207/2),"")</f>
        <v/>
      </c>
      <c r="U207">
        <f>N_Ed-q_c*(c_x*c_y+2*$B207*(c_x+c_y)+PI()*$B207^2)/1E6-dW_col</f>
        <v/>
      </c>
      <c r="V207">
        <f>N_Ed-dW_col-IF(AND($B207&lt;=ed_r,$B207&lt;=ed_l,$B207&lt;=ed_y),q_c*(c_x*c_y+2*$B207*(c_x+c_y)+PI()*$B207^2)+MIN(0,qn_min)*(L_f*B_f-(c_x*c_y+2*$B207*(c_x+c_y)+PI()*$B207^2)),IF(qn_min&gt;=0,qn_min*(c_x*(c_y+2*$B207)+c_y*(MIN($B207,ed_r)+MIN($B207,ed_l))),qn_min*L_f*B_f))/1E6</f>
        <v/>
      </c>
      <c r="W207">
        <f>IF(AND($B207&lt;=ed_y,OR($B207&lt;=ed_l,$B207&lt;=ed_r)),MATCH(MAX($I207:$N207),$I207:$N207,0),0)</f>
        <v/>
      </c>
    </row>
    <row r="208" ht="16" customHeight="1">
      <c r="B208" s="50">
        <f>1.2*d_eff</f>
        <v/>
      </c>
      <c r="C208" s="50">
        <f>IF(AND($B208&lt;=ed_y,OR($B208&lt;=ed_l,$B208&lt;=ed_r)),INDEX($O208:$T208,$W208),"–")</f>
        <v/>
      </c>
      <c r="D208" s="51">
        <f>IF(AND($B208&lt;=ed_y,OR($B208&lt;=ed_l,$B208&lt;=ed_r)),IF($W208=1,$U208,$V208),"–")</f>
        <v/>
      </c>
      <c r="E208" s="52">
        <f>IF(AND($B208&lt;=ed_y,OR($B208&lt;=ed_l,$B208&lt;=ed_r)),MAX($I208:$N208),"–")</f>
        <v/>
      </c>
      <c r="F208" s="52">
        <f>v_Rdc*2*d_eff/$B208</f>
        <v/>
      </c>
      <c r="G208" s="53">
        <f>IF(AND($B208&lt;=ed_y,OR($B208&lt;=ed_l,$B208&lt;=ed_r)),$E208/$F208,"–")</f>
        <v/>
      </c>
      <c r="I208">
        <f>IF(AND($B208&lt;=ed_r,$B208&lt;=ed_l,$B208&lt;=ed_y),(MAX(0,$U208)*1000/(2*(c_x+c_y)+2*PI()*$B208)+k_e*ABS(M_Ed)*1E6/(c_x^2/2+c_x*c_y+2*c_y*$B208+4*$B208^2+PI()*$B208*c_x))/d_eff,-1)</f>
        <v/>
      </c>
      <c r="J208">
        <f>IF(AND($B208&lt;=ed_l,$B208&lt;=ed_y),(MAX(0,$V208)*1000/(c_y+PI()*$B208+2*(c_x+ed_r))+k_e*ABS(M_Ed)*1E6/(c_y*(c_x/2+$B208)+PI()*$B208*c_x/2+2*$B208^2+c_x^2/4+(c_x/2+ed_r)^2))/d_eff,-1)</f>
        <v/>
      </c>
      <c r="K208">
        <f>IF(AND($B208&lt;=ed_r,$B208&lt;=ed_y),(MAX(0,$V208)*1000/(c_y+PI()*$B208+2*(c_x+ed_l))+k_e*ABS(M_Ed)*1E6/(c_y*(c_x/2+$B208)+PI()*$B208*c_x/2+2*$B208^2+c_x^2/4+(c_x/2+ed_l)^2))/d_eff,-1)</f>
        <v/>
      </c>
      <c r="L208">
        <f>IF(AND($B208&lt;=ed_r,$B208&lt;=ed_l,$B208&lt;=ed_y),(MAX(0,$V208)*1000/(c_x+PI()*$B208+2*(c_y+ed_y))+k_e*ABS(M_Ed)*1E6/(c_x^2/4+PI()*$B208*c_x/2+2*$B208^2+(c_x+2*$B208)*(c_y+ed_y)))/d_eff,-1)</f>
        <v/>
      </c>
      <c r="M208">
        <f>IF(AND($B208&lt;=ed_l,$B208&lt;=ed_y),(MAX(0,$V208)*1000/(c_x+ed_r+c_y+ed_y+PI()*$B208/2)+k_e*ABS(M_Ed)*1E6/(PI()*$B208*c_x/4+$B208^2+c_x^2/8+(c_x/2+ed_r)^2/2+(c_x/2+$B208)*(c_y+ed_y)))/d_eff,-1)</f>
        <v/>
      </c>
      <c r="N208">
        <f>IF(AND($B208&lt;=ed_r,$B208&lt;=ed_y),(MAX(0,$V208)*1000/(c_x+ed_l+c_y+ed_y+PI()*$B208/2)+k_e*ABS(M_Ed)*1E6/(PI()*$B208*c_x/4+$B208^2+c_x^2/8+(c_x/2+ed_l)^2/2+(c_x/2+$B208)*(c_y+ed_y)))/d_eff,-1)</f>
        <v/>
      </c>
      <c r="O208">
        <f>IF(AND($B208&lt;=ed_r,$B208&lt;=ed_l,$B208&lt;=ed_y),(2*(c_x+c_y)+2*PI()*$B208),"")</f>
        <v/>
      </c>
      <c r="P208">
        <f>IF(AND($B208&lt;=ed_l,$B208&lt;=ed_y),(c_y+PI()*$B208+2*(c_x+ed_r)),"")</f>
        <v/>
      </c>
      <c r="Q208">
        <f>IF(AND($B208&lt;=ed_r,$B208&lt;=ed_y),(c_y+PI()*$B208+2*(c_x+ed_l)),"")</f>
        <v/>
      </c>
      <c r="R208">
        <f>IF(AND($B208&lt;=ed_r,$B208&lt;=ed_l,$B208&lt;=ed_y),(c_x+PI()*$B208+2*(c_y+ed_y)),"")</f>
        <v/>
      </c>
      <c r="S208">
        <f>IF(AND($B208&lt;=ed_l,$B208&lt;=ed_y),(c_x+ed_r+c_y+ed_y+PI()*$B208/2),"")</f>
        <v/>
      </c>
      <c r="T208">
        <f>IF(AND($B208&lt;=ed_r,$B208&lt;=ed_y),(c_x+ed_l+c_y+ed_y+PI()*$B208/2),"")</f>
        <v/>
      </c>
      <c r="U208">
        <f>N_Ed-q_c*(c_x*c_y+2*$B208*(c_x+c_y)+PI()*$B208^2)/1E6-dW_col</f>
        <v/>
      </c>
      <c r="V208">
        <f>N_Ed-dW_col-IF(AND($B208&lt;=ed_r,$B208&lt;=ed_l,$B208&lt;=ed_y),q_c*(c_x*c_y+2*$B208*(c_x+c_y)+PI()*$B208^2)+MIN(0,qn_min)*(L_f*B_f-(c_x*c_y+2*$B208*(c_x+c_y)+PI()*$B208^2)),IF(qn_min&gt;=0,qn_min*(c_x*(c_y+2*$B208)+c_y*(MIN($B208,ed_r)+MIN($B208,ed_l))),qn_min*L_f*B_f))/1E6</f>
        <v/>
      </c>
      <c r="W208">
        <f>IF(AND($B208&lt;=ed_y,OR($B208&lt;=ed_l,$B208&lt;=ed_r)),MATCH(MAX($I208:$N208),$I208:$N208,0),0)</f>
        <v/>
      </c>
    </row>
    <row r="209" ht="16" customHeight="1">
      <c r="B209" s="50">
        <f>1.25*d_eff</f>
        <v/>
      </c>
      <c r="C209" s="50">
        <f>IF(AND($B209&lt;=ed_y,OR($B209&lt;=ed_l,$B209&lt;=ed_r)),INDEX($O209:$T209,$W209),"–")</f>
        <v/>
      </c>
      <c r="D209" s="51">
        <f>IF(AND($B209&lt;=ed_y,OR($B209&lt;=ed_l,$B209&lt;=ed_r)),IF($W209=1,$U209,$V209),"–")</f>
        <v/>
      </c>
      <c r="E209" s="52">
        <f>IF(AND($B209&lt;=ed_y,OR($B209&lt;=ed_l,$B209&lt;=ed_r)),MAX($I209:$N209),"–")</f>
        <v/>
      </c>
      <c r="F209" s="52">
        <f>v_Rdc*2*d_eff/$B209</f>
        <v/>
      </c>
      <c r="G209" s="53">
        <f>IF(AND($B209&lt;=ed_y,OR($B209&lt;=ed_l,$B209&lt;=ed_r)),$E209/$F209,"–")</f>
        <v/>
      </c>
      <c r="I209">
        <f>IF(AND($B209&lt;=ed_r,$B209&lt;=ed_l,$B209&lt;=ed_y),(MAX(0,$U209)*1000/(2*(c_x+c_y)+2*PI()*$B209)+k_e*ABS(M_Ed)*1E6/(c_x^2/2+c_x*c_y+2*c_y*$B209+4*$B209^2+PI()*$B209*c_x))/d_eff,-1)</f>
        <v/>
      </c>
      <c r="J209">
        <f>IF(AND($B209&lt;=ed_l,$B209&lt;=ed_y),(MAX(0,$V209)*1000/(c_y+PI()*$B209+2*(c_x+ed_r))+k_e*ABS(M_Ed)*1E6/(c_y*(c_x/2+$B209)+PI()*$B209*c_x/2+2*$B209^2+c_x^2/4+(c_x/2+ed_r)^2))/d_eff,-1)</f>
        <v/>
      </c>
      <c r="K209">
        <f>IF(AND($B209&lt;=ed_r,$B209&lt;=ed_y),(MAX(0,$V209)*1000/(c_y+PI()*$B209+2*(c_x+ed_l))+k_e*ABS(M_Ed)*1E6/(c_y*(c_x/2+$B209)+PI()*$B209*c_x/2+2*$B209^2+c_x^2/4+(c_x/2+ed_l)^2))/d_eff,-1)</f>
        <v/>
      </c>
      <c r="L209">
        <f>IF(AND($B209&lt;=ed_r,$B209&lt;=ed_l,$B209&lt;=ed_y),(MAX(0,$V209)*1000/(c_x+PI()*$B209+2*(c_y+ed_y))+k_e*ABS(M_Ed)*1E6/(c_x^2/4+PI()*$B209*c_x/2+2*$B209^2+(c_x+2*$B209)*(c_y+ed_y)))/d_eff,-1)</f>
        <v/>
      </c>
      <c r="M209">
        <f>IF(AND($B209&lt;=ed_l,$B209&lt;=ed_y),(MAX(0,$V209)*1000/(c_x+ed_r+c_y+ed_y+PI()*$B209/2)+k_e*ABS(M_Ed)*1E6/(PI()*$B209*c_x/4+$B209^2+c_x^2/8+(c_x/2+ed_r)^2/2+(c_x/2+$B209)*(c_y+ed_y)))/d_eff,-1)</f>
        <v/>
      </c>
      <c r="N209">
        <f>IF(AND($B209&lt;=ed_r,$B209&lt;=ed_y),(MAX(0,$V209)*1000/(c_x+ed_l+c_y+ed_y+PI()*$B209/2)+k_e*ABS(M_Ed)*1E6/(PI()*$B209*c_x/4+$B209^2+c_x^2/8+(c_x/2+ed_l)^2/2+(c_x/2+$B209)*(c_y+ed_y)))/d_eff,-1)</f>
        <v/>
      </c>
      <c r="O209">
        <f>IF(AND($B209&lt;=ed_r,$B209&lt;=ed_l,$B209&lt;=ed_y),(2*(c_x+c_y)+2*PI()*$B209),"")</f>
        <v/>
      </c>
      <c r="P209">
        <f>IF(AND($B209&lt;=ed_l,$B209&lt;=ed_y),(c_y+PI()*$B209+2*(c_x+ed_r)),"")</f>
        <v/>
      </c>
      <c r="Q209">
        <f>IF(AND($B209&lt;=ed_r,$B209&lt;=ed_y),(c_y+PI()*$B209+2*(c_x+ed_l)),"")</f>
        <v/>
      </c>
      <c r="R209">
        <f>IF(AND($B209&lt;=ed_r,$B209&lt;=ed_l,$B209&lt;=ed_y),(c_x+PI()*$B209+2*(c_y+ed_y)),"")</f>
        <v/>
      </c>
      <c r="S209">
        <f>IF(AND($B209&lt;=ed_l,$B209&lt;=ed_y),(c_x+ed_r+c_y+ed_y+PI()*$B209/2),"")</f>
        <v/>
      </c>
      <c r="T209">
        <f>IF(AND($B209&lt;=ed_r,$B209&lt;=ed_y),(c_x+ed_l+c_y+ed_y+PI()*$B209/2),"")</f>
        <v/>
      </c>
      <c r="U209">
        <f>N_Ed-q_c*(c_x*c_y+2*$B209*(c_x+c_y)+PI()*$B209^2)/1E6-dW_col</f>
        <v/>
      </c>
      <c r="V209">
        <f>N_Ed-dW_col-IF(AND($B209&lt;=ed_r,$B209&lt;=ed_l,$B209&lt;=ed_y),q_c*(c_x*c_y+2*$B209*(c_x+c_y)+PI()*$B209^2)+MIN(0,qn_min)*(L_f*B_f-(c_x*c_y+2*$B209*(c_x+c_y)+PI()*$B209^2)),IF(qn_min&gt;=0,qn_min*(c_x*(c_y+2*$B209)+c_y*(MIN($B209,ed_r)+MIN($B209,ed_l))),qn_min*L_f*B_f))/1E6</f>
        <v/>
      </c>
      <c r="W209">
        <f>IF(AND($B209&lt;=ed_y,OR($B209&lt;=ed_l,$B209&lt;=ed_r)),MATCH(MAX($I209:$N209),$I209:$N209,0),0)</f>
        <v/>
      </c>
    </row>
    <row r="210" ht="16" customHeight="1">
      <c r="B210" s="50">
        <f>1.3*d_eff</f>
        <v/>
      </c>
      <c r="C210" s="50">
        <f>IF(AND($B210&lt;=ed_y,OR($B210&lt;=ed_l,$B210&lt;=ed_r)),INDEX($O210:$T210,$W210),"–")</f>
        <v/>
      </c>
      <c r="D210" s="51">
        <f>IF(AND($B210&lt;=ed_y,OR($B210&lt;=ed_l,$B210&lt;=ed_r)),IF($W210=1,$U210,$V210),"–")</f>
        <v/>
      </c>
      <c r="E210" s="52">
        <f>IF(AND($B210&lt;=ed_y,OR($B210&lt;=ed_l,$B210&lt;=ed_r)),MAX($I210:$N210),"–")</f>
        <v/>
      </c>
      <c r="F210" s="52">
        <f>v_Rdc*2*d_eff/$B210</f>
        <v/>
      </c>
      <c r="G210" s="53">
        <f>IF(AND($B210&lt;=ed_y,OR($B210&lt;=ed_l,$B210&lt;=ed_r)),$E210/$F210,"–")</f>
        <v/>
      </c>
      <c r="I210">
        <f>IF(AND($B210&lt;=ed_r,$B210&lt;=ed_l,$B210&lt;=ed_y),(MAX(0,$U210)*1000/(2*(c_x+c_y)+2*PI()*$B210)+k_e*ABS(M_Ed)*1E6/(c_x^2/2+c_x*c_y+2*c_y*$B210+4*$B210^2+PI()*$B210*c_x))/d_eff,-1)</f>
        <v/>
      </c>
      <c r="J210">
        <f>IF(AND($B210&lt;=ed_l,$B210&lt;=ed_y),(MAX(0,$V210)*1000/(c_y+PI()*$B210+2*(c_x+ed_r))+k_e*ABS(M_Ed)*1E6/(c_y*(c_x/2+$B210)+PI()*$B210*c_x/2+2*$B210^2+c_x^2/4+(c_x/2+ed_r)^2))/d_eff,-1)</f>
        <v/>
      </c>
      <c r="K210">
        <f>IF(AND($B210&lt;=ed_r,$B210&lt;=ed_y),(MAX(0,$V210)*1000/(c_y+PI()*$B210+2*(c_x+ed_l))+k_e*ABS(M_Ed)*1E6/(c_y*(c_x/2+$B210)+PI()*$B210*c_x/2+2*$B210^2+c_x^2/4+(c_x/2+ed_l)^2))/d_eff,-1)</f>
        <v/>
      </c>
      <c r="L210">
        <f>IF(AND($B210&lt;=ed_r,$B210&lt;=ed_l,$B210&lt;=ed_y),(MAX(0,$V210)*1000/(c_x+PI()*$B210+2*(c_y+ed_y))+k_e*ABS(M_Ed)*1E6/(c_x^2/4+PI()*$B210*c_x/2+2*$B210^2+(c_x+2*$B210)*(c_y+ed_y)))/d_eff,-1)</f>
        <v/>
      </c>
      <c r="M210">
        <f>IF(AND($B210&lt;=ed_l,$B210&lt;=ed_y),(MAX(0,$V210)*1000/(c_x+ed_r+c_y+ed_y+PI()*$B210/2)+k_e*ABS(M_Ed)*1E6/(PI()*$B210*c_x/4+$B210^2+c_x^2/8+(c_x/2+ed_r)^2/2+(c_x/2+$B210)*(c_y+ed_y)))/d_eff,-1)</f>
        <v/>
      </c>
      <c r="N210">
        <f>IF(AND($B210&lt;=ed_r,$B210&lt;=ed_y),(MAX(0,$V210)*1000/(c_x+ed_l+c_y+ed_y+PI()*$B210/2)+k_e*ABS(M_Ed)*1E6/(PI()*$B210*c_x/4+$B210^2+c_x^2/8+(c_x/2+ed_l)^2/2+(c_x/2+$B210)*(c_y+ed_y)))/d_eff,-1)</f>
        <v/>
      </c>
      <c r="O210">
        <f>IF(AND($B210&lt;=ed_r,$B210&lt;=ed_l,$B210&lt;=ed_y),(2*(c_x+c_y)+2*PI()*$B210),"")</f>
        <v/>
      </c>
      <c r="P210">
        <f>IF(AND($B210&lt;=ed_l,$B210&lt;=ed_y),(c_y+PI()*$B210+2*(c_x+ed_r)),"")</f>
        <v/>
      </c>
      <c r="Q210">
        <f>IF(AND($B210&lt;=ed_r,$B210&lt;=ed_y),(c_y+PI()*$B210+2*(c_x+ed_l)),"")</f>
        <v/>
      </c>
      <c r="R210">
        <f>IF(AND($B210&lt;=ed_r,$B210&lt;=ed_l,$B210&lt;=ed_y),(c_x+PI()*$B210+2*(c_y+ed_y)),"")</f>
        <v/>
      </c>
      <c r="S210">
        <f>IF(AND($B210&lt;=ed_l,$B210&lt;=ed_y),(c_x+ed_r+c_y+ed_y+PI()*$B210/2),"")</f>
        <v/>
      </c>
      <c r="T210">
        <f>IF(AND($B210&lt;=ed_r,$B210&lt;=ed_y),(c_x+ed_l+c_y+ed_y+PI()*$B210/2),"")</f>
        <v/>
      </c>
      <c r="U210">
        <f>N_Ed-q_c*(c_x*c_y+2*$B210*(c_x+c_y)+PI()*$B210^2)/1E6-dW_col</f>
        <v/>
      </c>
      <c r="V210">
        <f>N_Ed-dW_col-IF(AND($B210&lt;=ed_r,$B210&lt;=ed_l,$B210&lt;=ed_y),q_c*(c_x*c_y+2*$B210*(c_x+c_y)+PI()*$B210^2)+MIN(0,qn_min)*(L_f*B_f-(c_x*c_y+2*$B210*(c_x+c_y)+PI()*$B210^2)),IF(qn_min&gt;=0,qn_min*(c_x*(c_y+2*$B210)+c_y*(MIN($B210,ed_r)+MIN($B210,ed_l))),qn_min*L_f*B_f))/1E6</f>
        <v/>
      </c>
      <c r="W210">
        <f>IF(AND($B210&lt;=ed_y,OR($B210&lt;=ed_l,$B210&lt;=ed_r)),MATCH(MAX($I210:$N210),$I210:$N210,0),0)</f>
        <v/>
      </c>
    </row>
    <row r="211" ht="16" customHeight="1">
      <c r="B211" s="50">
        <f>1.35*d_eff</f>
        <v/>
      </c>
      <c r="C211" s="50">
        <f>IF(AND($B211&lt;=ed_y,OR($B211&lt;=ed_l,$B211&lt;=ed_r)),INDEX($O211:$T211,$W211),"–")</f>
        <v/>
      </c>
      <c r="D211" s="51">
        <f>IF(AND($B211&lt;=ed_y,OR($B211&lt;=ed_l,$B211&lt;=ed_r)),IF($W211=1,$U211,$V211),"–")</f>
        <v/>
      </c>
      <c r="E211" s="52">
        <f>IF(AND($B211&lt;=ed_y,OR($B211&lt;=ed_l,$B211&lt;=ed_r)),MAX($I211:$N211),"–")</f>
        <v/>
      </c>
      <c r="F211" s="52">
        <f>v_Rdc*2*d_eff/$B211</f>
        <v/>
      </c>
      <c r="G211" s="53">
        <f>IF(AND($B211&lt;=ed_y,OR($B211&lt;=ed_l,$B211&lt;=ed_r)),$E211/$F211,"–")</f>
        <v/>
      </c>
      <c r="I211">
        <f>IF(AND($B211&lt;=ed_r,$B211&lt;=ed_l,$B211&lt;=ed_y),(MAX(0,$U211)*1000/(2*(c_x+c_y)+2*PI()*$B211)+k_e*ABS(M_Ed)*1E6/(c_x^2/2+c_x*c_y+2*c_y*$B211+4*$B211^2+PI()*$B211*c_x))/d_eff,-1)</f>
        <v/>
      </c>
      <c r="J211">
        <f>IF(AND($B211&lt;=ed_l,$B211&lt;=ed_y),(MAX(0,$V211)*1000/(c_y+PI()*$B211+2*(c_x+ed_r))+k_e*ABS(M_Ed)*1E6/(c_y*(c_x/2+$B211)+PI()*$B211*c_x/2+2*$B211^2+c_x^2/4+(c_x/2+ed_r)^2))/d_eff,-1)</f>
        <v/>
      </c>
      <c r="K211">
        <f>IF(AND($B211&lt;=ed_r,$B211&lt;=ed_y),(MAX(0,$V211)*1000/(c_y+PI()*$B211+2*(c_x+ed_l))+k_e*ABS(M_Ed)*1E6/(c_y*(c_x/2+$B211)+PI()*$B211*c_x/2+2*$B211^2+c_x^2/4+(c_x/2+ed_l)^2))/d_eff,-1)</f>
        <v/>
      </c>
      <c r="L211">
        <f>IF(AND($B211&lt;=ed_r,$B211&lt;=ed_l,$B211&lt;=ed_y),(MAX(0,$V211)*1000/(c_x+PI()*$B211+2*(c_y+ed_y))+k_e*ABS(M_Ed)*1E6/(c_x^2/4+PI()*$B211*c_x/2+2*$B211^2+(c_x+2*$B211)*(c_y+ed_y)))/d_eff,-1)</f>
        <v/>
      </c>
      <c r="M211">
        <f>IF(AND($B211&lt;=ed_l,$B211&lt;=ed_y),(MAX(0,$V211)*1000/(c_x+ed_r+c_y+ed_y+PI()*$B211/2)+k_e*ABS(M_Ed)*1E6/(PI()*$B211*c_x/4+$B211^2+c_x^2/8+(c_x/2+ed_r)^2/2+(c_x/2+$B211)*(c_y+ed_y)))/d_eff,-1)</f>
        <v/>
      </c>
      <c r="N211">
        <f>IF(AND($B211&lt;=ed_r,$B211&lt;=ed_y),(MAX(0,$V211)*1000/(c_x+ed_l+c_y+ed_y+PI()*$B211/2)+k_e*ABS(M_Ed)*1E6/(PI()*$B211*c_x/4+$B211^2+c_x^2/8+(c_x/2+ed_l)^2/2+(c_x/2+$B211)*(c_y+ed_y)))/d_eff,-1)</f>
        <v/>
      </c>
      <c r="O211">
        <f>IF(AND($B211&lt;=ed_r,$B211&lt;=ed_l,$B211&lt;=ed_y),(2*(c_x+c_y)+2*PI()*$B211),"")</f>
        <v/>
      </c>
      <c r="P211">
        <f>IF(AND($B211&lt;=ed_l,$B211&lt;=ed_y),(c_y+PI()*$B211+2*(c_x+ed_r)),"")</f>
        <v/>
      </c>
      <c r="Q211">
        <f>IF(AND($B211&lt;=ed_r,$B211&lt;=ed_y),(c_y+PI()*$B211+2*(c_x+ed_l)),"")</f>
        <v/>
      </c>
      <c r="R211">
        <f>IF(AND($B211&lt;=ed_r,$B211&lt;=ed_l,$B211&lt;=ed_y),(c_x+PI()*$B211+2*(c_y+ed_y)),"")</f>
        <v/>
      </c>
      <c r="S211">
        <f>IF(AND($B211&lt;=ed_l,$B211&lt;=ed_y),(c_x+ed_r+c_y+ed_y+PI()*$B211/2),"")</f>
        <v/>
      </c>
      <c r="T211">
        <f>IF(AND($B211&lt;=ed_r,$B211&lt;=ed_y),(c_x+ed_l+c_y+ed_y+PI()*$B211/2),"")</f>
        <v/>
      </c>
      <c r="U211">
        <f>N_Ed-q_c*(c_x*c_y+2*$B211*(c_x+c_y)+PI()*$B211^2)/1E6-dW_col</f>
        <v/>
      </c>
      <c r="V211">
        <f>N_Ed-dW_col-IF(AND($B211&lt;=ed_r,$B211&lt;=ed_l,$B211&lt;=ed_y),q_c*(c_x*c_y+2*$B211*(c_x+c_y)+PI()*$B211^2)+MIN(0,qn_min)*(L_f*B_f-(c_x*c_y+2*$B211*(c_x+c_y)+PI()*$B211^2)),IF(qn_min&gt;=0,qn_min*(c_x*(c_y+2*$B211)+c_y*(MIN($B211,ed_r)+MIN($B211,ed_l))),qn_min*L_f*B_f))/1E6</f>
        <v/>
      </c>
      <c r="W211">
        <f>IF(AND($B211&lt;=ed_y,OR($B211&lt;=ed_l,$B211&lt;=ed_r)),MATCH(MAX($I211:$N211),$I211:$N211,0),0)</f>
        <v/>
      </c>
    </row>
    <row r="212" ht="16" customHeight="1">
      <c r="B212" s="50">
        <f>1.4*d_eff</f>
        <v/>
      </c>
      <c r="C212" s="50">
        <f>IF(AND($B212&lt;=ed_y,OR($B212&lt;=ed_l,$B212&lt;=ed_r)),INDEX($O212:$T212,$W212),"–")</f>
        <v/>
      </c>
      <c r="D212" s="51">
        <f>IF(AND($B212&lt;=ed_y,OR($B212&lt;=ed_l,$B212&lt;=ed_r)),IF($W212=1,$U212,$V212),"–")</f>
        <v/>
      </c>
      <c r="E212" s="52">
        <f>IF(AND($B212&lt;=ed_y,OR($B212&lt;=ed_l,$B212&lt;=ed_r)),MAX($I212:$N212),"–")</f>
        <v/>
      </c>
      <c r="F212" s="52">
        <f>v_Rdc*2*d_eff/$B212</f>
        <v/>
      </c>
      <c r="G212" s="53">
        <f>IF(AND($B212&lt;=ed_y,OR($B212&lt;=ed_l,$B212&lt;=ed_r)),$E212/$F212,"–")</f>
        <v/>
      </c>
      <c r="I212">
        <f>IF(AND($B212&lt;=ed_r,$B212&lt;=ed_l,$B212&lt;=ed_y),(MAX(0,$U212)*1000/(2*(c_x+c_y)+2*PI()*$B212)+k_e*ABS(M_Ed)*1E6/(c_x^2/2+c_x*c_y+2*c_y*$B212+4*$B212^2+PI()*$B212*c_x))/d_eff,-1)</f>
        <v/>
      </c>
      <c r="J212">
        <f>IF(AND($B212&lt;=ed_l,$B212&lt;=ed_y),(MAX(0,$V212)*1000/(c_y+PI()*$B212+2*(c_x+ed_r))+k_e*ABS(M_Ed)*1E6/(c_y*(c_x/2+$B212)+PI()*$B212*c_x/2+2*$B212^2+c_x^2/4+(c_x/2+ed_r)^2))/d_eff,-1)</f>
        <v/>
      </c>
      <c r="K212">
        <f>IF(AND($B212&lt;=ed_r,$B212&lt;=ed_y),(MAX(0,$V212)*1000/(c_y+PI()*$B212+2*(c_x+ed_l))+k_e*ABS(M_Ed)*1E6/(c_y*(c_x/2+$B212)+PI()*$B212*c_x/2+2*$B212^2+c_x^2/4+(c_x/2+ed_l)^2))/d_eff,-1)</f>
        <v/>
      </c>
      <c r="L212">
        <f>IF(AND($B212&lt;=ed_r,$B212&lt;=ed_l,$B212&lt;=ed_y),(MAX(0,$V212)*1000/(c_x+PI()*$B212+2*(c_y+ed_y))+k_e*ABS(M_Ed)*1E6/(c_x^2/4+PI()*$B212*c_x/2+2*$B212^2+(c_x+2*$B212)*(c_y+ed_y)))/d_eff,-1)</f>
        <v/>
      </c>
      <c r="M212">
        <f>IF(AND($B212&lt;=ed_l,$B212&lt;=ed_y),(MAX(0,$V212)*1000/(c_x+ed_r+c_y+ed_y+PI()*$B212/2)+k_e*ABS(M_Ed)*1E6/(PI()*$B212*c_x/4+$B212^2+c_x^2/8+(c_x/2+ed_r)^2/2+(c_x/2+$B212)*(c_y+ed_y)))/d_eff,-1)</f>
        <v/>
      </c>
      <c r="N212">
        <f>IF(AND($B212&lt;=ed_r,$B212&lt;=ed_y),(MAX(0,$V212)*1000/(c_x+ed_l+c_y+ed_y+PI()*$B212/2)+k_e*ABS(M_Ed)*1E6/(PI()*$B212*c_x/4+$B212^2+c_x^2/8+(c_x/2+ed_l)^2/2+(c_x/2+$B212)*(c_y+ed_y)))/d_eff,-1)</f>
        <v/>
      </c>
      <c r="O212">
        <f>IF(AND($B212&lt;=ed_r,$B212&lt;=ed_l,$B212&lt;=ed_y),(2*(c_x+c_y)+2*PI()*$B212),"")</f>
        <v/>
      </c>
      <c r="P212">
        <f>IF(AND($B212&lt;=ed_l,$B212&lt;=ed_y),(c_y+PI()*$B212+2*(c_x+ed_r)),"")</f>
        <v/>
      </c>
      <c r="Q212">
        <f>IF(AND($B212&lt;=ed_r,$B212&lt;=ed_y),(c_y+PI()*$B212+2*(c_x+ed_l)),"")</f>
        <v/>
      </c>
      <c r="R212">
        <f>IF(AND($B212&lt;=ed_r,$B212&lt;=ed_l,$B212&lt;=ed_y),(c_x+PI()*$B212+2*(c_y+ed_y)),"")</f>
        <v/>
      </c>
      <c r="S212">
        <f>IF(AND($B212&lt;=ed_l,$B212&lt;=ed_y),(c_x+ed_r+c_y+ed_y+PI()*$B212/2),"")</f>
        <v/>
      </c>
      <c r="T212">
        <f>IF(AND($B212&lt;=ed_r,$B212&lt;=ed_y),(c_x+ed_l+c_y+ed_y+PI()*$B212/2),"")</f>
        <v/>
      </c>
      <c r="U212">
        <f>N_Ed-q_c*(c_x*c_y+2*$B212*(c_x+c_y)+PI()*$B212^2)/1E6-dW_col</f>
        <v/>
      </c>
      <c r="V212">
        <f>N_Ed-dW_col-IF(AND($B212&lt;=ed_r,$B212&lt;=ed_l,$B212&lt;=ed_y),q_c*(c_x*c_y+2*$B212*(c_x+c_y)+PI()*$B212^2)+MIN(0,qn_min)*(L_f*B_f-(c_x*c_y+2*$B212*(c_x+c_y)+PI()*$B212^2)),IF(qn_min&gt;=0,qn_min*(c_x*(c_y+2*$B212)+c_y*(MIN($B212,ed_r)+MIN($B212,ed_l))),qn_min*L_f*B_f))/1E6</f>
        <v/>
      </c>
      <c r="W212">
        <f>IF(AND($B212&lt;=ed_y,OR($B212&lt;=ed_l,$B212&lt;=ed_r)),MATCH(MAX($I212:$N212),$I212:$N212,0),0)</f>
        <v/>
      </c>
    </row>
    <row r="213" ht="16" customHeight="1">
      <c r="B213" s="50">
        <f>1.45*d_eff</f>
        <v/>
      </c>
      <c r="C213" s="50">
        <f>IF(AND($B213&lt;=ed_y,OR($B213&lt;=ed_l,$B213&lt;=ed_r)),INDEX($O213:$T213,$W213),"–")</f>
        <v/>
      </c>
      <c r="D213" s="51">
        <f>IF(AND($B213&lt;=ed_y,OR($B213&lt;=ed_l,$B213&lt;=ed_r)),IF($W213=1,$U213,$V213),"–")</f>
        <v/>
      </c>
      <c r="E213" s="52">
        <f>IF(AND($B213&lt;=ed_y,OR($B213&lt;=ed_l,$B213&lt;=ed_r)),MAX($I213:$N213),"–")</f>
        <v/>
      </c>
      <c r="F213" s="52">
        <f>v_Rdc*2*d_eff/$B213</f>
        <v/>
      </c>
      <c r="G213" s="53">
        <f>IF(AND($B213&lt;=ed_y,OR($B213&lt;=ed_l,$B213&lt;=ed_r)),$E213/$F213,"–")</f>
        <v/>
      </c>
      <c r="I213">
        <f>IF(AND($B213&lt;=ed_r,$B213&lt;=ed_l,$B213&lt;=ed_y),(MAX(0,$U213)*1000/(2*(c_x+c_y)+2*PI()*$B213)+k_e*ABS(M_Ed)*1E6/(c_x^2/2+c_x*c_y+2*c_y*$B213+4*$B213^2+PI()*$B213*c_x))/d_eff,-1)</f>
        <v/>
      </c>
      <c r="J213">
        <f>IF(AND($B213&lt;=ed_l,$B213&lt;=ed_y),(MAX(0,$V213)*1000/(c_y+PI()*$B213+2*(c_x+ed_r))+k_e*ABS(M_Ed)*1E6/(c_y*(c_x/2+$B213)+PI()*$B213*c_x/2+2*$B213^2+c_x^2/4+(c_x/2+ed_r)^2))/d_eff,-1)</f>
        <v/>
      </c>
      <c r="K213">
        <f>IF(AND($B213&lt;=ed_r,$B213&lt;=ed_y),(MAX(0,$V213)*1000/(c_y+PI()*$B213+2*(c_x+ed_l))+k_e*ABS(M_Ed)*1E6/(c_y*(c_x/2+$B213)+PI()*$B213*c_x/2+2*$B213^2+c_x^2/4+(c_x/2+ed_l)^2))/d_eff,-1)</f>
        <v/>
      </c>
      <c r="L213">
        <f>IF(AND($B213&lt;=ed_r,$B213&lt;=ed_l,$B213&lt;=ed_y),(MAX(0,$V213)*1000/(c_x+PI()*$B213+2*(c_y+ed_y))+k_e*ABS(M_Ed)*1E6/(c_x^2/4+PI()*$B213*c_x/2+2*$B213^2+(c_x+2*$B213)*(c_y+ed_y)))/d_eff,-1)</f>
        <v/>
      </c>
      <c r="M213">
        <f>IF(AND($B213&lt;=ed_l,$B213&lt;=ed_y),(MAX(0,$V213)*1000/(c_x+ed_r+c_y+ed_y+PI()*$B213/2)+k_e*ABS(M_Ed)*1E6/(PI()*$B213*c_x/4+$B213^2+c_x^2/8+(c_x/2+ed_r)^2/2+(c_x/2+$B213)*(c_y+ed_y)))/d_eff,-1)</f>
        <v/>
      </c>
      <c r="N213">
        <f>IF(AND($B213&lt;=ed_r,$B213&lt;=ed_y),(MAX(0,$V213)*1000/(c_x+ed_l+c_y+ed_y+PI()*$B213/2)+k_e*ABS(M_Ed)*1E6/(PI()*$B213*c_x/4+$B213^2+c_x^2/8+(c_x/2+ed_l)^2/2+(c_x/2+$B213)*(c_y+ed_y)))/d_eff,-1)</f>
        <v/>
      </c>
      <c r="O213">
        <f>IF(AND($B213&lt;=ed_r,$B213&lt;=ed_l,$B213&lt;=ed_y),(2*(c_x+c_y)+2*PI()*$B213),"")</f>
        <v/>
      </c>
      <c r="P213">
        <f>IF(AND($B213&lt;=ed_l,$B213&lt;=ed_y),(c_y+PI()*$B213+2*(c_x+ed_r)),"")</f>
        <v/>
      </c>
      <c r="Q213">
        <f>IF(AND($B213&lt;=ed_r,$B213&lt;=ed_y),(c_y+PI()*$B213+2*(c_x+ed_l)),"")</f>
        <v/>
      </c>
      <c r="R213">
        <f>IF(AND($B213&lt;=ed_r,$B213&lt;=ed_l,$B213&lt;=ed_y),(c_x+PI()*$B213+2*(c_y+ed_y)),"")</f>
        <v/>
      </c>
      <c r="S213">
        <f>IF(AND($B213&lt;=ed_l,$B213&lt;=ed_y),(c_x+ed_r+c_y+ed_y+PI()*$B213/2),"")</f>
        <v/>
      </c>
      <c r="T213">
        <f>IF(AND($B213&lt;=ed_r,$B213&lt;=ed_y),(c_x+ed_l+c_y+ed_y+PI()*$B213/2),"")</f>
        <v/>
      </c>
      <c r="U213">
        <f>N_Ed-q_c*(c_x*c_y+2*$B213*(c_x+c_y)+PI()*$B213^2)/1E6-dW_col</f>
        <v/>
      </c>
      <c r="V213">
        <f>N_Ed-dW_col-IF(AND($B213&lt;=ed_r,$B213&lt;=ed_l,$B213&lt;=ed_y),q_c*(c_x*c_y+2*$B213*(c_x+c_y)+PI()*$B213^2)+MIN(0,qn_min)*(L_f*B_f-(c_x*c_y+2*$B213*(c_x+c_y)+PI()*$B213^2)),IF(qn_min&gt;=0,qn_min*(c_x*(c_y+2*$B213)+c_y*(MIN($B213,ed_r)+MIN($B213,ed_l))),qn_min*L_f*B_f))/1E6</f>
        <v/>
      </c>
      <c r="W213">
        <f>IF(AND($B213&lt;=ed_y,OR($B213&lt;=ed_l,$B213&lt;=ed_r)),MATCH(MAX($I213:$N213),$I213:$N213,0),0)</f>
        <v/>
      </c>
    </row>
    <row r="214" ht="16" customHeight="1">
      <c r="B214" s="50">
        <f>1.5*d_eff</f>
        <v/>
      </c>
      <c r="C214" s="50">
        <f>IF(AND($B214&lt;=ed_y,OR($B214&lt;=ed_l,$B214&lt;=ed_r)),INDEX($O214:$T214,$W214),"–")</f>
        <v/>
      </c>
      <c r="D214" s="51">
        <f>IF(AND($B214&lt;=ed_y,OR($B214&lt;=ed_l,$B214&lt;=ed_r)),IF($W214=1,$U214,$V214),"–")</f>
        <v/>
      </c>
      <c r="E214" s="52">
        <f>IF(AND($B214&lt;=ed_y,OR($B214&lt;=ed_l,$B214&lt;=ed_r)),MAX($I214:$N214),"–")</f>
        <v/>
      </c>
      <c r="F214" s="52">
        <f>v_Rdc*2*d_eff/$B214</f>
        <v/>
      </c>
      <c r="G214" s="53">
        <f>IF(AND($B214&lt;=ed_y,OR($B214&lt;=ed_l,$B214&lt;=ed_r)),$E214/$F214,"–")</f>
        <v/>
      </c>
      <c r="I214">
        <f>IF(AND($B214&lt;=ed_r,$B214&lt;=ed_l,$B214&lt;=ed_y),(MAX(0,$U214)*1000/(2*(c_x+c_y)+2*PI()*$B214)+k_e*ABS(M_Ed)*1E6/(c_x^2/2+c_x*c_y+2*c_y*$B214+4*$B214^2+PI()*$B214*c_x))/d_eff,-1)</f>
        <v/>
      </c>
      <c r="J214">
        <f>IF(AND($B214&lt;=ed_l,$B214&lt;=ed_y),(MAX(0,$V214)*1000/(c_y+PI()*$B214+2*(c_x+ed_r))+k_e*ABS(M_Ed)*1E6/(c_y*(c_x/2+$B214)+PI()*$B214*c_x/2+2*$B214^2+c_x^2/4+(c_x/2+ed_r)^2))/d_eff,-1)</f>
        <v/>
      </c>
      <c r="K214">
        <f>IF(AND($B214&lt;=ed_r,$B214&lt;=ed_y),(MAX(0,$V214)*1000/(c_y+PI()*$B214+2*(c_x+ed_l))+k_e*ABS(M_Ed)*1E6/(c_y*(c_x/2+$B214)+PI()*$B214*c_x/2+2*$B214^2+c_x^2/4+(c_x/2+ed_l)^2))/d_eff,-1)</f>
        <v/>
      </c>
      <c r="L214">
        <f>IF(AND($B214&lt;=ed_r,$B214&lt;=ed_l,$B214&lt;=ed_y),(MAX(0,$V214)*1000/(c_x+PI()*$B214+2*(c_y+ed_y))+k_e*ABS(M_Ed)*1E6/(c_x^2/4+PI()*$B214*c_x/2+2*$B214^2+(c_x+2*$B214)*(c_y+ed_y)))/d_eff,-1)</f>
        <v/>
      </c>
      <c r="M214">
        <f>IF(AND($B214&lt;=ed_l,$B214&lt;=ed_y),(MAX(0,$V214)*1000/(c_x+ed_r+c_y+ed_y+PI()*$B214/2)+k_e*ABS(M_Ed)*1E6/(PI()*$B214*c_x/4+$B214^2+c_x^2/8+(c_x/2+ed_r)^2/2+(c_x/2+$B214)*(c_y+ed_y)))/d_eff,-1)</f>
        <v/>
      </c>
      <c r="N214">
        <f>IF(AND($B214&lt;=ed_r,$B214&lt;=ed_y),(MAX(0,$V214)*1000/(c_x+ed_l+c_y+ed_y+PI()*$B214/2)+k_e*ABS(M_Ed)*1E6/(PI()*$B214*c_x/4+$B214^2+c_x^2/8+(c_x/2+ed_l)^2/2+(c_x/2+$B214)*(c_y+ed_y)))/d_eff,-1)</f>
        <v/>
      </c>
      <c r="O214">
        <f>IF(AND($B214&lt;=ed_r,$B214&lt;=ed_l,$B214&lt;=ed_y),(2*(c_x+c_y)+2*PI()*$B214),"")</f>
        <v/>
      </c>
      <c r="P214">
        <f>IF(AND($B214&lt;=ed_l,$B214&lt;=ed_y),(c_y+PI()*$B214+2*(c_x+ed_r)),"")</f>
        <v/>
      </c>
      <c r="Q214">
        <f>IF(AND($B214&lt;=ed_r,$B214&lt;=ed_y),(c_y+PI()*$B214+2*(c_x+ed_l)),"")</f>
        <v/>
      </c>
      <c r="R214">
        <f>IF(AND($B214&lt;=ed_r,$B214&lt;=ed_l,$B214&lt;=ed_y),(c_x+PI()*$B214+2*(c_y+ed_y)),"")</f>
        <v/>
      </c>
      <c r="S214">
        <f>IF(AND($B214&lt;=ed_l,$B214&lt;=ed_y),(c_x+ed_r+c_y+ed_y+PI()*$B214/2),"")</f>
        <v/>
      </c>
      <c r="T214">
        <f>IF(AND($B214&lt;=ed_r,$B214&lt;=ed_y),(c_x+ed_l+c_y+ed_y+PI()*$B214/2),"")</f>
        <v/>
      </c>
      <c r="U214">
        <f>N_Ed-q_c*(c_x*c_y+2*$B214*(c_x+c_y)+PI()*$B214^2)/1E6-dW_col</f>
        <v/>
      </c>
      <c r="V214">
        <f>N_Ed-dW_col-IF(AND($B214&lt;=ed_r,$B214&lt;=ed_l,$B214&lt;=ed_y),q_c*(c_x*c_y+2*$B214*(c_x+c_y)+PI()*$B214^2)+MIN(0,qn_min)*(L_f*B_f-(c_x*c_y+2*$B214*(c_x+c_y)+PI()*$B214^2)),IF(qn_min&gt;=0,qn_min*(c_x*(c_y+2*$B214)+c_y*(MIN($B214,ed_r)+MIN($B214,ed_l))),qn_min*L_f*B_f))/1E6</f>
        <v/>
      </c>
      <c r="W214">
        <f>IF(AND($B214&lt;=ed_y,OR($B214&lt;=ed_l,$B214&lt;=ed_r)),MATCH(MAX($I214:$N214),$I214:$N214,0),0)</f>
        <v/>
      </c>
    </row>
    <row r="215" ht="16" customHeight="1">
      <c r="B215" s="50">
        <f>1.55*d_eff</f>
        <v/>
      </c>
      <c r="C215" s="50">
        <f>IF(AND($B215&lt;=ed_y,OR($B215&lt;=ed_l,$B215&lt;=ed_r)),INDEX($O215:$T215,$W215),"–")</f>
        <v/>
      </c>
      <c r="D215" s="51">
        <f>IF(AND($B215&lt;=ed_y,OR($B215&lt;=ed_l,$B215&lt;=ed_r)),IF($W215=1,$U215,$V215),"–")</f>
        <v/>
      </c>
      <c r="E215" s="52">
        <f>IF(AND($B215&lt;=ed_y,OR($B215&lt;=ed_l,$B215&lt;=ed_r)),MAX($I215:$N215),"–")</f>
        <v/>
      </c>
      <c r="F215" s="52">
        <f>v_Rdc*2*d_eff/$B215</f>
        <v/>
      </c>
      <c r="G215" s="53">
        <f>IF(AND($B215&lt;=ed_y,OR($B215&lt;=ed_l,$B215&lt;=ed_r)),$E215/$F215,"–")</f>
        <v/>
      </c>
      <c r="I215">
        <f>IF(AND($B215&lt;=ed_r,$B215&lt;=ed_l,$B215&lt;=ed_y),(MAX(0,$U215)*1000/(2*(c_x+c_y)+2*PI()*$B215)+k_e*ABS(M_Ed)*1E6/(c_x^2/2+c_x*c_y+2*c_y*$B215+4*$B215^2+PI()*$B215*c_x))/d_eff,-1)</f>
        <v/>
      </c>
      <c r="J215">
        <f>IF(AND($B215&lt;=ed_l,$B215&lt;=ed_y),(MAX(0,$V215)*1000/(c_y+PI()*$B215+2*(c_x+ed_r))+k_e*ABS(M_Ed)*1E6/(c_y*(c_x/2+$B215)+PI()*$B215*c_x/2+2*$B215^2+c_x^2/4+(c_x/2+ed_r)^2))/d_eff,-1)</f>
        <v/>
      </c>
      <c r="K215">
        <f>IF(AND($B215&lt;=ed_r,$B215&lt;=ed_y),(MAX(0,$V215)*1000/(c_y+PI()*$B215+2*(c_x+ed_l))+k_e*ABS(M_Ed)*1E6/(c_y*(c_x/2+$B215)+PI()*$B215*c_x/2+2*$B215^2+c_x^2/4+(c_x/2+ed_l)^2))/d_eff,-1)</f>
        <v/>
      </c>
      <c r="L215">
        <f>IF(AND($B215&lt;=ed_r,$B215&lt;=ed_l,$B215&lt;=ed_y),(MAX(0,$V215)*1000/(c_x+PI()*$B215+2*(c_y+ed_y))+k_e*ABS(M_Ed)*1E6/(c_x^2/4+PI()*$B215*c_x/2+2*$B215^2+(c_x+2*$B215)*(c_y+ed_y)))/d_eff,-1)</f>
        <v/>
      </c>
      <c r="M215">
        <f>IF(AND($B215&lt;=ed_l,$B215&lt;=ed_y),(MAX(0,$V215)*1000/(c_x+ed_r+c_y+ed_y+PI()*$B215/2)+k_e*ABS(M_Ed)*1E6/(PI()*$B215*c_x/4+$B215^2+c_x^2/8+(c_x/2+ed_r)^2/2+(c_x/2+$B215)*(c_y+ed_y)))/d_eff,-1)</f>
        <v/>
      </c>
      <c r="N215">
        <f>IF(AND($B215&lt;=ed_r,$B215&lt;=ed_y),(MAX(0,$V215)*1000/(c_x+ed_l+c_y+ed_y+PI()*$B215/2)+k_e*ABS(M_Ed)*1E6/(PI()*$B215*c_x/4+$B215^2+c_x^2/8+(c_x/2+ed_l)^2/2+(c_x/2+$B215)*(c_y+ed_y)))/d_eff,-1)</f>
        <v/>
      </c>
      <c r="O215">
        <f>IF(AND($B215&lt;=ed_r,$B215&lt;=ed_l,$B215&lt;=ed_y),(2*(c_x+c_y)+2*PI()*$B215),"")</f>
        <v/>
      </c>
      <c r="P215">
        <f>IF(AND($B215&lt;=ed_l,$B215&lt;=ed_y),(c_y+PI()*$B215+2*(c_x+ed_r)),"")</f>
        <v/>
      </c>
      <c r="Q215">
        <f>IF(AND($B215&lt;=ed_r,$B215&lt;=ed_y),(c_y+PI()*$B215+2*(c_x+ed_l)),"")</f>
        <v/>
      </c>
      <c r="R215">
        <f>IF(AND($B215&lt;=ed_r,$B215&lt;=ed_l,$B215&lt;=ed_y),(c_x+PI()*$B215+2*(c_y+ed_y)),"")</f>
        <v/>
      </c>
      <c r="S215">
        <f>IF(AND($B215&lt;=ed_l,$B215&lt;=ed_y),(c_x+ed_r+c_y+ed_y+PI()*$B215/2),"")</f>
        <v/>
      </c>
      <c r="T215">
        <f>IF(AND($B215&lt;=ed_r,$B215&lt;=ed_y),(c_x+ed_l+c_y+ed_y+PI()*$B215/2),"")</f>
        <v/>
      </c>
      <c r="U215">
        <f>N_Ed-q_c*(c_x*c_y+2*$B215*(c_x+c_y)+PI()*$B215^2)/1E6-dW_col</f>
        <v/>
      </c>
      <c r="V215">
        <f>N_Ed-dW_col-IF(AND($B215&lt;=ed_r,$B215&lt;=ed_l,$B215&lt;=ed_y),q_c*(c_x*c_y+2*$B215*(c_x+c_y)+PI()*$B215^2)+MIN(0,qn_min)*(L_f*B_f-(c_x*c_y+2*$B215*(c_x+c_y)+PI()*$B215^2)),IF(qn_min&gt;=0,qn_min*(c_x*(c_y+2*$B215)+c_y*(MIN($B215,ed_r)+MIN($B215,ed_l))),qn_min*L_f*B_f))/1E6</f>
        <v/>
      </c>
      <c r="W215">
        <f>IF(AND($B215&lt;=ed_y,OR($B215&lt;=ed_l,$B215&lt;=ed_r)),MATCH(MAX($I215:$N215),$I215:$N215,0),0)</f>
        <v/>
      </c>
    </row>
    <row r="216" ht="16" customHeight="1">
      <c r="B216" s="50">
        <f>1.6*d_eff</f>
        <v/>
      </c>
      <c r="C216" s="50">
        <f>IF(AND($B216&lt;=ed_y,OR($B216&lt;=ed_l,$B216&lt;=ed_r)),INDEX($O216:$T216,$W216),"–")</f>
        <v/>
      </c>
      <c r="D216" s="51">
        <f>IF(AND($B216&lt;=ed_y,OR($B216&lt;=ed_l,$B216&lt;=ed_r)),IF($W216=1,$U216,$V216),"–")</f>
        <v/>
      </c>
      <c r="E216" s="52">
        <f>IF(AND($B216&lt;=ed_y,OR($B216&lt;=ed_l,$B216&lt;=ed_r)),MAX($I216:$N216),"–")</f>
        <v/>
      </c>
      <c r="F216" s="52">
        <f>v_Rdc*2*d_eff/$B216</f>
        <v/>
      </c>
      <c r="G216" s="53">
        <f>IF(AND($B216&lt;=ed_y,OR($B216&lt;=ed_l,$B216&lt;=ed_r)),$E216/$F216,"–")</f>
        <v/>
      </c>
      <c r="I216">
        <f>IF(AND($B216&lt;=ed_r,$B216&lt;=ed_l,$B216&lt;=ed_y),(MAX(0,$U216)*1000/(2*(c_x+c_y)+2*PI()*$B216)+k_e*ABS(M_Ed)*1E6/(c_x^2/2+c_x*c_y+2*c_y*$B216+4*$B216^2+PI()*$B216*c_x))/d_eff,-1)</f>
        <v/>
      </c>
      <c r="J216">
        <f>IF(AND($B216&lt;=ed_l,$B216&lt;=ed_y),(MAX(0,$V216)*1000/(c_y+PI()*$B216+2*(c_x+ed_r))+k_e*ABS(M_Ed)*1E6/(c_y*(c_x/2+$B216)+PI()*$B216*c_x/2+2*$B216^2+c_x^2/4+(c_x/2+ed_r)^2))/d_eff,-1)</f>
        <v/>
      </c>
      <c r="K216">
        <f>IF(AND($B216&lt;=ed_r,$B216&lt;=ed_y),(MAX(0,$V216)*1000/(c_y+PI()*$B216+2*(c_x+ed_l))+k_e*ABS(M_Ed)*1E6/(c_y*(c_x/2+$B216)+PI()*$B216*c_x/2+2*$B216^2+c_x^2/4+(c_x/2+ed_l)^2))/d_eff,-1)</f>
        <v/>
      </c>
      <c r="L216">
        <f>IF(AND($B216&lt;=ed_r,$B216&lt;=ed_l,$B216&lt;=ed_y),(MAX(0,$V216)*1000/(c_x+PI()*$B216+2*(c_y+ed_y))+k_e*ABS(M_Ed)*1E6/(c_x^2/4+PI()*$B216*c_x/2+2*$B216^2+(c_x+2*$B216)*(c_y+ed_y)))/d_eff,-1)</f>
        <v/>
      </c>
      <c r="M216">
        <f>IF(AND($B216&lt;=ed_l,$B216&lt;=ed_y),(MAX(0,$V216)*1000/(c_x+ed_r+c_y+ed_y+PI()*$B216/2)+k_e*ABS(M_Ed)*1E6/(PI()*$B216*c_x/4+$B216^2+c_x^2/8+(c_x/2+ed_r)^2/2+(c_x/2+$B216)*(c_y+ed_y)))/d_eff,-1)</f>
        <v/>
      </c>
      <c r="N216">
        <f>IF(AND($B216&lt;=ed_r,$B216&lt;=ed_y),(MAX(0,$V216)*1000/(c_x+ed_l+c_y+ed_y+PI()*$B216/2)+k_e*ABS(M_Ed)*1E6/(PI()*$B216*c_x/4+$B216^2+c_x^2/8+(c_x/2+ed_l)^2/2+(c_x/2+$B216)*(c_y+ed_y)))/d_eff,-1)</f>
        <v/>
      </c>
      <c r="O216">
        <f>IF(AND($B216&lt;=ed_r,$B216&lt;=ed_l,$B216&lt;=ed_y),(2*(c_x+c_y)+2*PI()*$B216),"")</f>
        <v/>
      </c>
      <c r="P216">
        <f>IF(AND($B216&lt;=ed_l,$B216&lt;=ed_y),(c_y+PI()*$B216+2*(c_x+ed_r)),"")</f>
        <v/>
      </c>
      <c r="Q216">
        <f>IF(AND($B216&lt;=ed_r,$B216&lt;=ed_y),(c_y+PI()*$B216+2*(c_x+ed_l)),"")</f>
        <v/>
      </c>
      <c r="R216">
        <f>IF(AND($B216&lt;=ed_r,$B216&lt;=ed_l,$B216&lt;=ed_y),(c_x+PI()*$B216+2*(c_y+ed_y)),"")</f>
        <v/>
      </c>
      <c r="S216">
        <f>IF(AND($B216&lt;=ed_l,$B216&lt;=ed_y),(c_x+ed_r+c_y+ed_y+PI()*$B216/2),"")</f>
        <v/>
      </c>
      <c r="T216">
        <f>IF(AND($B216&lt;=ed_r,$B216&lt;=ed_y),(c_x+ed_l+c_y+ed_y+PI()*$B216/2),"")</f>
        <v/>
      </c>
      <c r="U216">
        <f>N_Ed-q_c*(c_x*c_y+2*$B216*(c_x+c_y)+PI()*$B216^2)/1E6-dW_col</f>
        <v/>
      </c>
      <c r="V216">
        <f>N_Ed-dW_col-IF(AND($B216&lt;=ed_r,$B216&lt;=ed_l,$B216&lt;=ed_y),q_c*(c_x*c_y+2*$B216*(c_x+c_y)+PI()*$B216^2)+MIN(0,qn_min)*(L_f*B_f-(c_x*c_y+2*$B216*(c_x+c_y)+PI()*$B216^2)),IF(qn_min&gt;=0,qn_min*(c_x*(c_y+2*$B216)+c_y*(MIN($B216,ed_r)+MIN($B216,ed_l))),qn_min*L_f*B_f))/1E6</f>
        <v/>
      </c>
      <c r="W216">
        <f>IF(AND($B216&lt;=ed_y,OR($B216&lt;=ed_l,$B216&lt;=ed_r)),MATCH(MAX($I216:$N216),$I216:$N216,0),0)</f>
        <v/>
      </c>
    </row>
    <row r="217" ht="16" customHeight="1">
      <c r="B217" s="50">
        <f>1.65*d_eff</f>
        <v/>
      </c>
      <c r="C217" s="50">
        <f>IF(AND($B217&lt;=ed_y,OR($B217&lt;=ed_l,$B217&lt;=ed_r)),INDEX($O217:$T217,$W217),"–")</f>
        <v/>
      </c>
      <c r="D217" s="51">
        <f>IF(AND($B217&lt;=ed_y,OR($B217&lt;=ed_l,$B217&lt;=ed_r)),IF($W217=1,$U217,$V217),"–")</f>
        <v/>
      </c>
      <c r="E217" s="52">
        <f>IF(AND($B217&lt;=ed_y,OR($B217&lt;=ed_l,$B217&lt;=ed_r)),MAX($I217:$N217),"–")</f>
        <v/>
      </c>
      <c r="F217" s="52">
        <f>v_Rdc*2*d_eff/$B217</f>
        <v/>
      </c>
      <c r="G217" s="53">
        <f>IF(AND($B217&lt;=ed_y,OR($B217&lt;=ed_l,$B217&lt;=ed_r)),$E217/$F217,"–")</f>
        <v/>
      </c>
      <c r="I217">
        <f>IF(AND($B217&lt;=ed_r,$B217&lt;=ed_l,$B217&lt;=ed_y),(MAX(0,$U217)*1000/(2*(c_x+c_y)+2*PI()*$B217)+k_e*ABS(M_Ed)*1E6/(c_x^2/2+c_x*c_y+2*c_y*$B217+4*$B217^2+PI()*$B217*c_x))/d_eff,-1)</f>
        <v/>
      </c>
      <c r="J217">
        <f>IF(AND($B217&lt;=ed_l,$B217&lt;=ed_y),(MAX(0,$V217)*1000/(c_y+PI()*$B217+2*(c_x+ed_r))+k_e*ABS(M_Ed)*1E6/(c_y*(c_x/2+$B217)+PI()*$B217*c_x/2+2*$B217^2+c_x^2/4+(c_x/2+ed_r)^2))/d_eff,-1)</f>
        <v/>
      </c>
      <c r="K217">
        <f>IF(AND($B217&lt;=ed_r,$B217&lt;=ed_y),(MAX(0,$V217)*1000/(c_y+PI()*$B217+2*(c_x+ed_l))+k_e*ABS(M_Ed)*1E6/(c_y*(c_x/2+$B217)+PI()*$B217*c_x/2+2*$B217^2+c_x^2/4+(c_x/2+ed_l)^2))/d_eff,-1)</f>
        <v/>
      </c>
      <c r="L217">
        <f>IF(AND($B217&lt;=ed_r,$B217&lt;=ed_l,$B217&lt;=ed_y),(MAX(0,$V217)*1000/(c_x+PI()*$B217+2*(c_y+ed_y))+k_e*ABS(M_Ed)*1E6/(c_x^2/4+PI()*$B217*c_x/2+2*$B217^2+(c_x+2*$B217)*(c_y+ed_y)))/d_eff,-1)</f>
        <v/>
      </c>
      <c r="M217">
        <f>IF(AND($B217&lt;=ed_l,$B217&lt;=ed_y),(MAX(0,$V217)*1000/(c_x+ed_r+c_y+ed_y+PI()*$B217/2)+k_e*ABS(M_Ed)*1E6/(PI()*$B217*c_x/4+$B217^2+c_x^2/8+(c_x/2+ed_r)^2/2+(c_x/2+$B217)*(c_y+ed_y)))/d_eff,-1)</f>
        <v/>
      </c>
      <c r="N217">
        <f>IF(AND($B217&lt;=ed_r,$B217&lt;=ed_y),(MAX(0,$V217)*1000/(c_x+ed_l+c_y+ed_y+PI()*$B217/2)+k_e*ABS(M_Ed)*1E6/(PI()*$B217*c_x/4+$B217^2+c_x^2/8+(c_x/2+ed_l)^2/2+(c_x/2+$B217)*(c_y+ed_y)))/d_eff,-1)</f>
        <v/>
      </c>
      <c r="O217">
        <f>IF(AND($B217&lt;=ed_r,$B217&lt;=ed_l,$B217&lt;=ed_y),(2*(c_x+c_y)+2*PI()*$B217),"")</f>
        <v/>
      </c>
      <c r="P217">
        <f>IF(AND($B217&lt;=ed_l,$B217&lt;=ed_y),(c_y+PI()*$B217+2*(c_x+ed_r)),"")</f>
        <v/>
      </c>
      <c r="Q217">
        <f>IF(AND($B217&lt;=ed_r,$B217&lt;=ed_y),(c_y+PI()*$B217+2*(c_x+ed_l)),"")</f>
        <v/>
      </c>
      <c r="R217">
        <f>IF(AND($B217&lt;=ed_r,$B217&lt;=ed_l,$B217&lt;=ed_y),(c_x+PI()*$B217+2*(c_y+ed_y)),"")</f>
        <v/>
      </c>
      <c r="S217">
        <f>IF(AND($B217&lt;=ed_l,$B217&lt;=ed_y),(c_x+ed_r+c_y+ed_y+PI()*$B217/2),"")</f>
        <v/>
      </c>
      <c r="T217">
        <f>IF(AND($B217&lt;=ed_r,$B217&lt;=ed_y),(c_x+ed_l+c_y+ed_y+PI()*$B217/2),"")</f>
        <v/>
      </c>
      <c r="U217">
        <f>N_Ed-q_c*(c_x*c_y+2*$B217*(c_x+c_y)+PI()*$B217^2)/1E6-dW_col</f>
        <v/>
      </c>
      <c r="V217">
        <f>N_Ed-dW_col-IF(AND($B217&lt;=ed_r,$B217&lt;=ed_l,$B217&lt;=ed_y),q_c*(c_x*c_y+2*$B217*(c_x+c_y)+PI()*$B217^2)+MIN(0,qn_min)*(L_f*B_f-(c_x*c_y+2*$B217*(c_x+c_y)+PI()*$B217^2)),IF(qn_min&gt;=0,qn_min*(c_x*(c_y+2*$B217)+c_y*(MIN($B217,ed_r)+MIN($B217,ed_l))),qn_min*L_f*B_f))/1E6</f>
        <v/>
      </c>
      <c r="W217">
        <f>IF(AND($B217&lt;=ed_y,OR($B217&lt;=ed_l,$B217&lt;=ed_r)),MATCH(MAX($I217:$N217),$I217:$N217,0),0)</f>
        <v/>
      </c>
    </row>
    <row r="218" ht="16" customHeight="1">
      <c r="B218" s="50">
        <f>1.7*d_eff</f>
        <v/>
      </c>
      <c r="C218" s="50">
        <f>IF(AND($B218&lt;=ed_y,OR($B218&lt;=ed_l,$B218&lt;=ed_r)),INDEX($O218:$T218,$W218),"–")</f>
        <v/>
      </c>
      <c r="D218" s="51">
        <f>IF(AND($B218&lt;=ed_y,OR($B218&lt;=ed_l,$B218&lt;=ed_r)),IF($W218=1,$U218,$V218),"–")</f>
        <v/>
      </c>
      <c r="E218" s="52">
        <f>IF(AND($B218&lt;=ed_y,OR($B218&lt;=ed_l,$B218&lt;=ed_r)),MAX($I218:$N218),"–")</f>
        <v/>
      </c>
      <c r="F218" s="52">
        <f>v_Rdc*2*d_eff/$B218</f>
        <v/>
      </c>
      <c r="G218" s="53">
        <f>IF(AND($B218&lt;=ed_y,OR($B218&lt;=ed_l,$B218&lt;=ed_r)),$E218/$F218,"–")</f>
        <v/>
      </c>
      <c r="I218">
        <f>IF(AND($B218&lt;=ed_r,$B218&lt;=ed_l,$B218&lt;=ed_y),(MAX(0,$U218)*1000/(2*(c_x+c_y)+2*PI()*$B218)+k_e*ABS(M_Ed)*1E6/(c_x^2/2+c_x*c_y+2*c_y*$B218+4*$B218^2+PI()*$B218*c_x))/d_eff,-1)</f>
        <v/>
      </c>
      <c r="J218">
        <f>IF(AND($B218&lt;=ed_l,$B218&lt;=ed_y),(MAX(0,$V218)*1000/(c_y+PI()*$B218+2*(c_x+ed_r))+k_e*ABS(M_Ed)*1E6/(c_y*(c_x/2+$B218)+PI()*$B218*c_x/2+2*$B218^2+c_x^2/4+(c_x/2+ed_r)^2))/d_eff,-1)</f>
        <v/>
      </c>
      <c r="K218">
        <f>IF(AND($B218&lt;=ed_r,$B218&lt;=ed_y),(MAX(0,$V218)*1000/(c_y+PI()*$B218+2*(c_x+ed_l))+k_e*ABS(M_Ed)*1E6/(c_y*(c_x/2+$B218)+PI()*$B218*c_x/2+2*$B218^2+c_x^2/4+(c_x/2+ed_l)^2))/d_eff,-1)</f>
        <v/>
      </c>
      <c r="L218">
        <f>IF(AND($B218&lt;=ed_r,$B218&lt;=ed_l,$B218&lt;=ed_y),(MAX(0,$V218)*1000/(c_x+PI()*$B218+2*(c_y+ed_y))+k_e*ABS(M_Ed)*1E6/(c_x^2/4+PI()*$B218*c_x/2+2*$B218^2+(c_x+2*$B218)*(c_y+ed_y)))/d_eff,-1)</f>
        <v/>
      </c>
      <c r="M218">
        <f>IF(AND($B218&lt;=ed_l,$B218&lt;=ed_y),(MAX(0,$V218)*1000/(c_x+ed_r+c_y+ed_y+PI()*$B218/2)+k_e*ABS(M_Ed)*1E6/(PI()*$B218*c_x/4+$B218^2+c_x^2/8+(c_x/2+ed_r)^2/2+(c_x/2+$B218)*(c_y+ed_y)))/d_eff,-1)</f>
        <v/>
      </c>
      <c r="N218">
        <f>IF(AND($B218&lt;=ed_r,$B218&lt;=ed_y),(MAX(0,$V218)*1000/(c_x+ed_l+c_y+ed_y+PI()*$B218/2)+k_e*ABS(M_Ed)*1E6/(PI()*$B218*c_x/4+$B218^2+c_x^2/8+(c_x/2+ed_l)^2/2+(c_x/2+$B218)*(c_y+ed_y)))/d_eff,-1)</f>
        <v/>
      </c>
      <c r="O218">
        <f>IF(AND($B218&lt;=ed_r,$B218&lt;=ed_l,$B218&lt;=ed_y),(2*(c_x+c_y)+2*PI()*$B218),"")</f>
        <v/>
      </c>
      <c r="P218">
        <f>IF(AND($B218&lt;=ed_l,$B218&lt;=ed_y),(c_y+PI()*$B218+2*(c_x+ed_r)),"")</f>
        <v/>
      </c>
      <c r="Q218">
        <f>IF(AND($B218&lt;=ed_r,$B218&lt;=ed_y),(c_y+PI()*$B218+2*(c_x+ed_l)),"")</f>
        <v/>
      </c>
      <c r="R218">
        <f>IF(AND($B218&lt;=ed_r,$B218&lt;=ed_l,$B218&lt;=ed_y),(c_x+PI()*$B218+2*(c_y+ed_y)),"")</f>
        <v/>
      </c>
      <c r="S218">
        <f>IF(AND($B218&lt;=ed_l,$B218&lt;=ed_y),(c_x+ed_r+c_y+ed_y+PI()*$B218/2),"")</f>
        <v/>
      </c>
      <c r="T218">
        <f>IF(AND($B218&lt;=ed_r,$B218&lt;=ed_y),(c_x+ed_l+c_y+ed_y+PI()*$B218/2),"")</f>
        <v/>
      </c>
      <c r="U218">
        <f>N_Ed-q_c*(c_x*c_y+2*$B218*(c_x+c_y)+PI()*$B218^2)/1E6-dW_col</f>
        <v/>
      </c>
      <c r="V218">
        <f>N_Ed-dW_col-IF(AND($B218&lt;=ed_r,$B218&lt;=ed_l,$B218&lt;=ed_y),q_c*(c_x*c_y+2*$B218*(c_x+c_y)+PI()*$B218^2)+MIN(0,qn_min)*(L_f*B_f-(c_x*c_y+2*$B218*(c_x+c_y)+PI()*$B218^2)),IF(qn_min&gt;=0,qn_min*(c_x*(c_y+2*$B218)+c_y*(MIN($B218,ed_r)+MIN($B218,ed_l))),qn_min*L_f*B_f))/1E6</f>
        <v/>
      </c>
      <c r="W218">
        <f>IF(AND($B218&lt;=ed_y,OR($B218&lt;=ed_l,$B218&lt;=ed_r)),MATCH(MAX($I218:$N218),$I218:$N218,0),0)</f>
        <v/>
      </c>
    </row>
    <row r="219" ht="16" customHeight="1">
      <c r="B219" s="50">
        <f>1.75*d_eff</f>
        <v/>
      </c>
      <c r="C219" s="50">
        <f>IF(AND($B219&lt;=ed_y,OR($B219&lt;=ed_l,$B219&lt;=ed_r)),INDEX($O219:$T219,$W219),"–")</f>
        <v/>
      </c>
      <c r="D219" s="51">
        <f>IF(AND($B219&lt;=ed_y,OR($B219&lt;=ed_l,$B219&lt;=ed_r)),IF($W219=1,$U219,$V219),"–")</f>
        <v/>
      </c>
      <c r="E219" s="52">
        <f>IF(AND($B219&lt;=ed_y,OR($B219&lt;=ed_l,$B219&lt;=ed_r)),MAX($I219:$N219),"–")</f>
        <v/>
      </c>
      <c r="F219" s="52">
        <f>v_Rdc*2*d_eff/$B219</f>
        <v/>
      </c>
      <c r="G219" s="53">
        <f>IF(AND($B219&lt;=ed_y,OR($B219&lt;=ed_l,$B219&lt;=ed_r)),$E219/$F219,"–")</f>
        <v/>
      </c>
      <c r="I219">
        <f>IF(AND($B219&lt;=ed_r,$B219&lt;=ed_l,$B219&lt;=ed_y),(MAX(0,$U219)*1000/(2*(c_x+c_y)+2*PI()*$B219)+k_e*ABS(M_Ed)*1E6/(c_x^2/2+c_x*c_y+2*c_y*$B219+4*$B219^2+PI()*$B219*c_x))/d_eff,-1)</f>
        <v/>
      </c>
      <c r="J219">
        <f>IF(AND($B219&lt;=ed_l,$B219&lt;=ed_y),(MAX(0,$V219)*1000/(c_y+PI()*$B219+2*(c_x+ed_r))+k_e*ABS(M_Ed)*1E6/(c_y*(c_x/2+$B219)+PI()*$B219*c_x/2+2*$B219^2+c_x^2/4+(c_x/2+ed_r)^2))/d_eff,-1)</f>
        <v/>
      </c>
      <c r="K219">
        <f>IF(AND($B219&lt;=ed_r,$B219&lt;=ed_y),(MAX(0,$V219)*1000/(c_y+PI()*$B219+2*(c_x+ed_l))+k_e*ABS(M_Ed)*1E6/(c_y*(c_x/2+$B219)+PI()*$B219*c_x/2+2*$B219^2+c_x^2/4+(c_x/2+ed_l)^2))/d_eff,-1)</f>
        <v/>
      </c>
      <c r="L219">
        <f>IF(AND($B219&lt;=ed_r,$B219&lt;=ed_l,$B219&lt;=ed_y),(MAX(0,$V219)*1000/(c_x+PI()*$B219+2*(c_y+ed_y))+k_e*ABS(M_Ed)*1E6/(c_x^2/4+PI()*$B219*c_x/2+2*$B219^2+(c_x+2*$B219)*(c_y+ed_y)))/d_eff,-1)</f>
        <v/>
      </c>
      <c r="M219">
        <f>IF(AND($B219&lt;=ed_l,$B219&lt;=ed_y),(MAX(0,$V219)*1000/(c_x+ed_r+c_y+ed_y+PI()*$B219/2)+k_e*ABS(M_Ed)*1E6/(PI()*$B219*c_x/4+$B219^2+c_x^2/8+(c_x/2+ed_r)^2/2+(c_x/2+$B219)*(c_y+ed_y)))/d_eff,-1)</f>
        <v/>
      </c>
      <c r="N219">
        <f>IF(AND($B219&lt;=ed_r,$B219&lt;=ed_y),(MAX(0,$V219)*1000/(c_x+ed_l+c_y+ed_y+PI()*$B219/2)+k_e*ABS(M_Ed)*1E6/(PI()*$B219*c_x/4+$B219^2+c_x^2/8+(c_x/2+ed_l)^2/2+(c_x/2+$B219)*(c_y+ed_y)))/d_eff,-1)</f>
        <v/>
      </c>
      <c r="O219">
        <f>IF(AND($B219&lt;=ed_r,$B219&lt;=ed_l,$B219&lt;=ed_y),(2*(c_x+c_y)+2*PI()*$B219),"")</f>
        <v/>
      </c>
      <c r="P219">
        <f>IF(AND($B219&lt;=ed_l,$B219&lt;=ed_y),(c_y+PI()*$B219+2*(c_x+ed_r)),"")</f>
        <v/>
      </c>
      <c r="Q219">
        <f>IF(AND($B219&lt;=ed_r,$B219&lt;=ed_y),(c_y+PI()*$B219+2*(c_x+ed_l)),"")</f>
        <v/>
      </c>
      <c r="R219">
        <f>IF(AND($B219&lt;=ed_r,$B219&lt;=ed_l,$B219&lt;=ed_y),(c_x+PI()*$B219+2*(c_y+ed_y)),"")</f>
        <v/>
      </c>
      <c r="S219">
        <f>IF(AND($B219&lt;=ed_l,$B219&lt;=ed_y),(c_x+ed_r+c_y+ed_y+PI()*$B219/2),"")</f>
        <v/>
      </c>
      <c r="T219">
        <f>IF(AND($B219&lt;=ed_r,$B219&lt;=ed_y),(c_x+ed_l+c_y+ed_y+PI()*$B219/2),"")</f>
        <v/>
      </c>
      <c r="U219">
        <f>N_Ed-q_c*(c_x*c_y+2*$B219*(c_x+c_y)+PI()*$B219^2)/1E6-dW_col</f>
        <v/>
      </c>
      <c r="V219">
        <f>N_Ed-dW_col-IF(AND($B219&lt;=ed_r,$B219&lt;=ed_l,$B219&lt;=ed_y),q_c*(c_x*c_y+2*$B219*(c_x+c_y)+PI()*$B219^2)+MIN(0,qn_min)*(L_f*B_f-(c_x*c_y+2*$B219*(c_x+c_y)+PI()*$B219^2)),IF(qn_min&gt;=0,qn_min*(c_x*(c_y+2*$B219)+c_y*(MIN($B219,ed_r)+MIN($B219,ed_l))),qn_min*L_f*B_f))/1E6</f>
        <v/>
      </c>
      <c r="W219">
        <f>IF(AND($B219&lt;=ed_y,OR($B219&lt;=ed_l,$B219&lt;=ed_r)),MATCH(MAX($I219:$N219),$I219:$N219,0),0)</f>
        <v/>
      </c>
    </row>
    <row r="220" ht="16" customHeight="1">
      <c r="B220" s="50">
        <f>1.8*d_eff</f>
        <v/>
      </c>
      <c r="C220" s="50">
        <f>IF(AND($B220&lt;=ed_y,OR($B220&lt;=ed_l,$B220&lt;=ed_r)),INDEX($O220:$T220,$W220),"–")</f>
        <v/>
      </c>
      <c r="D220" s="51">
        <f>IF(AND($B220&lt;=ed_y,OR($B220&lt;=ed_l,$B220&lt;=ed_r)),IF($W220=1,$U220,$V220),"–")</f>
        <v/>
      </c>
      <c r="E220" s="52">
        <f>IF(AND($B220&lt;=ed_y,OR($B220&lt;=ed_l,$B220&lt;=ed_r)),MAX($I220:$N220),"–")</f>
        <v/>
      </c>
      <c r="F220" s="52">
        <f>v_Rdc*2*d_eff/$B220</f>
        <v/>
      </c>
      <c r="G220" s="53">
        <f>IF(AND($B220&lt;=ed_y,OR($B220&lt;=ed_l,$B220&lt;=ed_r)),$E220/$F220,"–")</f>
        <v/>
      </c>
      <c r="I220">
        <f>IF(AND($B220&lt;=ed_r,$B220&lt;=ed_l,$B220&lt;=ed_y),(MAX(0,$U220)*1000/(2*(c_x+c_y)+2*PI()*$B220)+k_e*ABS(M_Ed)*1E6/(c_x^2/2+c_x*c_y+2*c_y*$B220+4*$B220^2+PI()*$B220*c_x))/d_eff,-1)</f>
        <v/>
      </c>
      <c r="J220">
        <f>IF(AND($B220&lt;=ed_l,$B220&lt;=ed_y),(MAX(0,$V220)*1000/(c_y+PI()*$B220+2*(c_x+ed_r))+k_e*ABS(M_Ed)*1E6/(c_y*(c_x/2+$B220)+PI()*$B220*c_x/2+2*$B220^2+c_x^2/4+(c_x/2+ed_r)^2))/d_eff,-1)</f>
        <v/>
      </c>
      <c r="K220">
        <f>IF(AND($B220&lt;=ed_r,$B220&lt;=ed_y),(MAX(0,$V220)*1000/(c_y+PI()*$B220+2*(c_x+ed_l))+k_e*ABS(M_Ed)*1E6/(c_y*(c_x/2+$B220)+PI()*$B220*c_x/2+2*$B220^2+c_x^2/4+(c_x/2+ed_l)^2))/d_eff,-1)</f>
        <v/>
      </c>
      <c r="L220">
        <f>IF(AND($B220&lt;=ed_r,$B220&lt;=ed_l,$B220&lt;=ed_y),(MAX(0,$V220)*1000/(c_x+PI()*$B220+2*(c_y+ed_y))+k_e*ABS(M_Ed)*1E6/(c_x^2/4+PI()*$B220*c_x/2+2*$B220^2+(c_x+2*$B220)*(c_y+ed_y)))/d_eff,-1)</f>
        <v/>
      </c>
      <c r="M220">
        <f>IF(AND($B220&lt;=ed_l,$B220&lt;=ed_y),(MAX(0,$V220)*1000/(c_x+ed_r+c_y+ed_y+PI()*$B220/2)+k_e*ABS(M_Ed)*1E6/(PI()*$B220*c_x/4+$B220^2+c_x^2/8+(c_x/2+ed_r)^2/2+(c_x/2+$B220)*(c_y+ed_y)))/d_eff,-1)</f>
        <v/>
      </c>
      <c r="N220">
        <f>IF(AND($B220&lt;=ed_r,$B220&lt;=ed_y),(MAX(0,$V220)*1000/(c_x+ed_l+c_y+ed_y+PI()*$B220/2)+k_e*ABS(M_Ed)*1E6/(PI()*$B220*c_x/4+$B220^2+c_x^2/8+(c_x/2+ed_l)^2/2+(c_x/2+$B220)*(c_y+ed_y)))/d_eff,-1)</f>
        <v/>
      </c>
      <c r="O220">
        <f>IF(AND($B220&lt;=ed_r,$B220&lt;=ed_l,$B220&lt;=ed_y),(2*(c_x+c_y)+2*PI()*$B220),"")</f>
        <v/>
      </c>
      <c r="P220">
        <f>IF(AND($B220&lt;=ed_l,$B220&lt;=ed_y),(c_y+PI()*$B220+2*(c_x+ed_r)),"")</f>
        <v/>
      </c>
      <c r="Q220">
        <f>IF(AND($B220&lt;=ed_r,$B220&lt;=ed_y),(c_y+PI()*$B220+2*(c_x+ed_l)),"")</f>
        <v/>
      </c>
      <c r="R220">
        <f>IF(AND($B220&lt;=ed_r,$B220&lt;=ed_l,$B220&lt;=ed_y),(c_x+PI()*$B220+2*(c_y+ed_y)),"")</f>
        <v/>
      </c>
      <c r="S220">
        <f>IF(AND($B220&lt;=ed_l,$B220&lt;=ed_y),(c_x+ed_r+c_y+ed_y+PI()*$B220/2),"")</f>
        <v/>
      </c>
      <c r="T220">
        <f>IF(AND($B220&lt;=ed_r,$B220&lt;=ed_y),(c_x+ed_l+c_y+ed_y+PI()*$B220/2),"")</f>
        <v/>
      </c>
      <c r="U220">
        <f>N_Ed-q_c*(c_x*c_y+2*$B220*(c_x+c_y)+PI()*$B220^2)/1E6-dW_col</f>
        <v/>
      </c>
      <c r="V220">
        <f>N_Ed-dW_col-IF(AND($B220&lt;=ed_r,$B220&lt;=ed_l,$B220&lt;=ed_y),q_c*(c_x*c_y+2*$B220*(c_x+c_y)+PI()*$B220^2)+MIN(0,qn_min)*(L_f*B_f-(c_x*c_y+2*$B220*(c_x+c_y)+PI()*$B220^2)),IF(qn_min&gt;=0,qn_min*(c_x*(c_y+2*$B220)+c_y*(MIN($B220,ed_r)+MIN($B220,ed_l))),qn_min*L_f*B_f))/1E6</f>
        <v/>
      </c>
      <c r="W220">
        <f>IF(AND($B220&lt;=ed_y,OR($B220&lt;=ed_l,$B220&lt;=ed_r)),MATCH(MAX($I220:$N220),$I220:$N220,0),0)</f>
        <v/>
      </c>
    </row>
    <row r="221" ht="16" customHeight="1">
      <c r="B221" s="50">
        <f>1.85*d_eff</f>
        <v/>
      </c>
      <c r="C221" s="50">
        <f>IF(AND($B221&lt;=ed_y,OR($B221&lt;=ed_l,$B221&lt;=ed_r)),INDEX($O221:$T221,$W221),"–")</f>
        <v/>
      </c>
      <c r="D221" s="51">
        <f>IF(AND($B221&lt;=ed_y,OR($B221&lt;=ed_l,$B221&lt;=ed_r)),IF($W221=1,$U221,$V221),"–")</f>
        <v/>
      </c>
      <c r="E221" s="52">
        <f>IF(AND($B221&lt;=ed_y,OR($B221&lt;=ed_l,$B221&lt;=ed_r)),MAX($I221:$N221),"–")</f>
        <v/>
      </c>
      <c r="F221" s="52">
        <f>v_Rdc*2*d_eff/$B221</f>
        <v/>
      </c>
      <c r="G221" s="53">
        <f>IF(AND($B221&lt;=ed_y,OR($B221&lt;=ed_l,$B221&lt;=ed_r)),$E221/$F221,"–")</f>
        <v/>
      </c>
      <c r="I221">
        <f>IF(AND($B221&lt;=ed_r,$B221&lt;=ed_l,$B221&lt;=ed_y),(MAX(0,$U221)*1000/(2*(c_x+c_y)+2*PI()*$B221)+k_e*ABS(M_Ed)*1E6/(c_x^2/2+c_x*c_y+2*c_y*$B221+4*$B221^2+PI()*$B221*c_x))/d_eff,-1)</f>
        <v/>
      </c>
      <c r="J221">
        <f>IF(AND($B221&lt;=ed_l,$B221&lt;=ed_y),(MAX(0,$V221)*1000/(c_y+PI()*$B221+2*(c_x+ed_r))+k_e*ABS(M_Ed)*1E6/(c_y*(c_x/2+$B221)+PI()*$B221*c_x/2+2*$B221^2+c_x^2/4+(c_x/2+ed_r)^2))/d_eff,-1)</f>
        <v/>
      </c>
      <c r="K221">
        <f>IF(AND($B221&lt;=ed_r,$B221&lt;=ed_y),(MAX(0,$V221)*1000/(c_y+PI()*$B221+2*(c_x+ed_l))+k_e*ABS(M_Ed)*1E6/(c_y*(c_x/2+$B221)+PI()*$B221*c_x/2+2*$B221^2+c_x^2/4+(c_x/2+ed_l)^2))/d_eff,-1)</f>
        <v/>
      </c>
      <c r="L221">
        <f>IF(AND($B221&lt;=ed_r,$B221&lt;=ed_l,$B221&lt;=ed_y),(MAX(0,$V221)*1000/(c_x+PI()*$B221+2*(c_y+ed_y))+k_e*ABS(M_Ed)*1E6/(c_x^2/4+PI()*$B221*c_x/2+2*$B221^2+(c_x+2*$B221)*(c_y+ed_y)))/d_eff,-1)</f>
        <v/>
      </c>
      <c r="M221">
        <f>IF(AND($B221&lt;=ed_l,$B221&lt;=ed_y),(MAX(0,$V221)*1000/(c_x+ed_r+c_y+ed_y+PI()*$B221/2)+k_e*ABS(M_Ed)*1E6/(PI()*$B221*c_x/4+$B221^2+c_x^2/8+(c_x/2+ed_r)^2/2+(c_x/2+$B221)*(c_y+ed_y)))/d_eff,-1)</f>
        <v/>
      </c>
      <c r="N221">
        <f>IF(AND($B221&lt;=ed_r,$B221&lt;=ed_y),(MAX(0,$V221)*1000/(c_x+ed_l+c_y+ed_y+PI()*$B221/2)+k_e*ABS(M_Ed)*1E6/(PI()*$B221*c_x/4+$B221^2+c_x^2/8+(c_x/2+ed_l)^2/2+(c_x/2+$B221)*(c_y+ed_y)))/d_eff,-1)</f>
        <v/>
      </c>
      <c r="O221">
        <f>IF(AND($B221&lt;=ed_r,$B221&lt;=ed_l,$B221&lt;=ed_y),(2*(c_x+c_y)+2*PI()*$B221),"")</f>
        <v/>
      </c>
      <c r="P221">
        <f>IF(AND($B221&lt;=ed_l,$B221&lt;=ed_y),(c_y+PI()*$B221+2*(c_x+ed_r)),"")</f>
        <v/>
      </c>
      <c r="Q221">
        <f>IF(AND($B221&lt;=ed_r,$B221&lt;=ed_y),(c_y+PI()*$B221+2*(c_x+ed_l)),"")</f>
        <v/>
      </c>
      <c r="R221">
        <f>IF(AND($B221&lt;=ed_r,$B221&lt;=ed_l,$B221&lt;=ed_y),(c_x+PI()*$B221+2*(c_y+ed_y)),"")</f>
        <v/>
      </c>
      <c r="S221">
        <f>IF(AND($B221&lt;=ed_l,$B221&lt;=ed_y),(c_x+ed_r+c_y+ed_y+PI()*$B221/2),"")</f>
        <v/>
      </c>
      <c r="T221">
        <f>IF(AND($B221&lt;=ed_r,$B221&lt;=ed_y),(c_x+ed_l+c_y+ed_y+PI()*$B221/2),"")</f>
        <v/>
      </c>
      <c r="U221">
        <f>N_Ed-q_c*(c_x*c_y+2*$B221*(c_x+c_y)+PI()*$B221^2)/1E6-dW_col</f>
        <v/>
      </c>
      <c r="V221">
        <f>N_Ed-dW_col-IF(AND($B221&lt;=ed_r,$B221&lt;=ed_l,$B221&lt;=ed_y),q_c*(c_x*c_y+2*$B221*(c_x+c_y)+PI()*$B221^2)+MIN(0,qn_min)*(L_f*B_f-(c_x*c_y+2*$B221*(c_x+c_y)+PI()*$B221^2)),IF(qn_min&gt;=0,qn_min*(c_x*(c_y+2*$B221)+c_y*(MIN($B221,ed_r)+MIN($B221,ed_l))),qn_min*L_f*B_f))/1E6</f>
        <v/>
      </c>
      <c r="W221">
        <f>IF(AND($B221&lt;=ed_y,OR($B221&lt;=ed_l,$B221&lt;=ed_r)),MATCH(MAX($I221:$N221),$I221:$N221,0),0)</f>
        <v/>
      </c>
    </row>
    <row r="222" ht="16" customHeight="1">
      <c r="B222" s="50">
        <f>1.9*d_eff</f>
        <v/>
      </c>
      <c r="C222" s="50">
        <f>IF(AND($B222&lt;=ed_y,OR($B222&lt;=ed_l,$B222&lt;=ed_r)),INDEX($O222:$T222,$W222),"–")</f>
        <v/>
      </c>
      <c r="D222" s="51">
        <f>IF(AND($B222&lt;=ed_y,OR($B222&lt;=ed_l,$B222&lt;=ed_r)),IF($W222=1,$U222,$V222),"–")</f>
        <v/>
      </c>
      <c r="E222" s="52">
        <f>IF(AND($B222&lt;=ed_y,OR($B222&lt;=ed_l,$B222&lt;=ed_r)),MAX($I222:$N222),"–")</f>
        <v/>
      </c>
      <c r="F222" s="52">
        <f>v_Rdc*2*d_eff/$B222</f>
        <v/>
      </c>
      <c r="G222" s="53">
        <f>IF(AND($B222&lt;=ed_y,OR($B222&lt;=ed_l,$B222&lt;=ed_r)),$E222/$F222,"–")</f>
        <v/>
      </c>
      <c r="I222">
        <f>IF(AND($B222&lt;=ed_r,$B222&lt;=ed_l,$B222&lt;=ed_y),(MAX(0,$U222)*1000/(2*(c_x+c_y)+2*PI()*$B222)+k_e*ABS(M_Ed)*1E6/(c_x^2/2+c_x*c_y+2*c_y*$B222+4*$B222^2+PI()*$B222*c_x))/d_eff,-1)</f>
        <v/>
      </c>
      <c r="J222">
        <f>IF(AND($B222&lt;=ed_l,$B222&lt;=ed_y),(MAX(0,$V222)*1000/(c_y+PI()*$B222+2*(c_x+ed_r))+k_e*ABS(M_Ed)*1E6/(c_y*(c_x/2+$B222)+PI()*$B222*c_x/2+2*$B222^2+c_x^2/4+(c_x/2+ed_r)^2))/d_eff,-1)</f>
        <v/>
      </c>
      <c r="K222">
        <f>IF(AND($B222&lt;=ed_r,$B222&lt;=ed_y),(MAX(0,$V222)*1000/(c_y+PI()*$B222+2*(c_x+ed_l))+k_e*ABS(M_Ed)*1E6/(c_y*(c_x/2+$B222)+PI()*$B222*c_x/2+2*$B222^2+c_x^2/4+(c_x/2+ed_l)^2))/d_eff,-1)</f>
        <v/>
      </c>
      <c r="L222">
        <f>IF(AND($B222&lt;=ed_r,$B222&lt;=ed_l,$B222&lt;=ed_y),(MAX(0,$V222)*1000/(c_x+PI()*$B222+2*(c_y+ed_y))+k_e*ABS(M_Ed)*1E6/(c_x^2/4+PI()*$B222*c_x/2+2*$B222^2+(c_x+2*$B222)*(c_y+ed_y)))/d_eff,-1)</f>
        <v/>
      </c>
      <c r="M222">
        <f>IF(AND($B222&lt;=ed_l,$B222&lt;=ed_y),(MAX(0,$V222)*1000/(c_x+ed_r+c_y+ed_y+PI()*$B222/2)+k_e*ABS(M_Ed)*1E6/(PI()*$B222*c_x/4+$B222^2+c_x^2/8+(c_x/2+ed_r)^2/2+(c_x/2+$B222)*(c_y+ed_y)))/d_eff,-1)</f>
        <v/>
      </c>
      <c r="N222">
        <f>IF(AND($B222&lt;=ed_r,$B222&lt;=ed_y),(MAX(0,$V222)*1000/(c_x+ed_l+c_y+ed_y+PI()*$B222/2)+k_e*ABS(M_Ed)*1E6/(PI()*$B222*c_x/4+$B222^2+c_x^2/8+(c_x/2+ed_l)^2/2+(c_x/2+$B222)*(c_y+ed_y)))/d_eff,-1)</f>
        <v/>
      </c>
      <c r="O222">
        <f>IF(AND($B222&lt;=ed_r,$B222&lt;=ed_l,$B222&lt;=ed_y),(2*(c_x+c_y)+2*PI()*$B222),"")</f>
        <v/>
      </c>
      <c r="P222">
        <f>IF(AND($B222&lt;=ed_l,$B222&lt;=ed_y),(c_y+PI()*$B222+2*(c_x+ed_r)),"")</f>
        <v/>
      </c>
      <c r="Q222">
        <f>IF(AND($B222&lt;=ed_r,$B222&lt;=ed_y),(c_y+PI()*$B222+2*(c_x+ed_l)),"")</f>
        <v/>
      </c>
      <c r="R222">
        <f>IF(AND($B222&lt;=ed_r,$B222&lt;=ed_l,$B222&lt;=ed_y),(c_x+PI()*$B222+2*(c_y+ed_y)),"")</f>
        <v/>
      </c>
      <c r="S222">
        <f>IF(AND($B222&lt;=ed_l,$B222&lt;=ed_y),(c_x+ed_r+c_y+ed_y+PI()*$B222/2),"")</f>
        <v/>
      </c>
      <c r="T222">
        <f>IF(AND($B222&lt;=ed_r,$B222&lt;=ed_y),(c_x+ed_l+c_y+ed_y+PI()*$B222/2),"")</f>
        <v/>
      </c>
      <c r="U222">
        <f>N_Ed-q_c*(c_x*c_y+2*$B222*(c_x+c_y)+PI()*$B222^2)/1E6-dW_col</f>
        <v/>
      </c>
      <c r="V222">
        <f>N_Ed-dW_col-IF(AND($B222&lt;=ed_r,$B222&lt;=ed_l,$B222&lt;=ed_y),q_c*(c_x*c_y+2*$B222*(c_x+c_y)+PI()*$B222^2)+MIN(0,qn_min)*(L_f*B_f-(c_x*c_y+2*$B222*(c_x+c_y)+PI()*$B222^2)),IF(qn_min&gt;=0,qn_min*(c_x*(c_y+2*$B222)+c_y*(MIN($B222,ed_r)+MIN($B222,ed_l))),qn_min*L_f*B_f))/1E6</f>
        <v/>
      </c>
      <c r="W222">
        <f>IF(AND($B222&lt;=ed_y,OR($B222&lt;=ed_l,$B222&lt;=ed_r)),MATCH(MAX($I222:$N222),$I222:$N222,0),0)</f>
        <v/>
      </c>
    </row>
    <row r="223" ht="16" customHeight="1">
      <c r="B223" s="50">
        <f>1.95*d_eff</f>
        <v/>
      </c>
      <c r="C223" s="50">
        <f>IF(AND($B223&lt;=ed_y,OR($B223&lt;=ed_l,$B223&lt;=ed_r)),INDEX($O223:$T223,$W223),"–")</f>
        <v/>
      </c>
      <c r="D223" s="51">
        <f>IF(AND($B223&lt;=ed_y,OR($B223&lt;=ed_l,$B223&lt;=ed_r)),IF($W223=1,$U223,$V223),"–")</f>
        <v/>
      </c>
      <c r="E223" s="52">
        <f>IF(AND($B223&lt;=ed_y,OR($B223&lt;=ed_l,$B223&lt;=ed_r)),MAX($I223:$N223),"–")</f>
        <v/>
      </c>
      <c r="F223" s="52">
        <f>v_Rdc*2*d_eff/$B223</f>
        <v/>
      </c>
      <c r="G223" s="53">
        <f>IF(AND($B223&lt;=ed_y,OR($B223&lt;=ed_l,$B223&lt;=ed_r)),$E223/$F223,"–")</f>
        <v/>
      </c>
      <c r="I223">
        <f>IF(AND($B223&lt;=ed_r,$B223&lt;=ed_l,$B223&lt;=ed_y),(MAX(0,$U223)*1000/(2*(c_x+c_y)+2*PI()*$B223)+k_e*ABS(M_Ed)*1E6/(c_x^2/2+c_x*c_y+2*c_y*$B223+4*$B223^2+PI()*$B223*c_x))/d_eff,-1)</f>
        <v/>
      </c>
      <c r="J223">
        <f>IF(AND($B223&lt;=ed_l,$B223&lt;=ed_y),(MAX(0,$V223)*1000/(c_y+PI()*$B223+2*(c_x+ed_r))+k_e*ABS(M_Ed)*1E6/(c_y*(c_x/2+$B223)+PI()*$B223*c_x/2+2*$B223^2+c_x^2/4+(c_x/2+ed_r)^2))/d_eff,-1)</f>
        <v/>
      </c>
      <c r="K223">
        <f>IF(AND($B223&lt;=ed_r,$B223&lt;=ed_y),(MAX(0,$V223)*1000/(c_y+PI()*$B223+2*(c_x+ed_l))+k_e*ABS(M_Ed)*1E6/(c_y*(c_x/2+$B223)+PI()*$B223*c_x/2+2*$B223^2+c_x^2/4+(c_x/2+ed_l)^2))/d_eff,-1)</f>
        <v/>
      </c>
      <c r="L223">
        <f>IF(AND($B223&lt;=ed_r,$B223&lt;=ed_l,$B223&lt;=ed_y),(MAX(0,$V223)*1000/(c_x+PI()*$B223+2*(c_y+ed_y))+k_e*ABS(M_Ed)*1E6/(c_x^2/4+PI()*$B223*c_x/2+2*$B223^2+(c_x+2*$B223)*(c_y+ed_y)))/d_eff,-1)</f>
        <v/>
      </c>
      <c r="M223">
        <f>IF(AND($B223&lt;=ed_l,$B223&lt;=ed_y),(MAX(0,$V223)*1000/(c_x+ed_r+c_y+ed_y+PI()*$B223/2)+k_e*ABS(M_Ed)*1E6/(PI()*$B223*c_x/4+$B223^2+c_x^2/8+(c_x/2+ed_r)^2/2+(c_x/2+$B223)*(c_y+ed_y)))/d_eff,-1)</f>
        <v/>
      </c>
      <c r="N223">
        <f>IF(AND($B223&lt;=ed_r,$B223&lt;=ed_y),(MAX(0,$V223)*1000/(c_x+ed_l+c_y+ed_y+PI()*$B223/2)+k_e*ABS(M_Ed)*1E6/(PI()*$B223*c_x/4+$B223^2+c_x^2/8+(c_x/2+ed_l)^2/2+(c_x/2+$B223)*(c_y+ed_y)))/d_eff,-1)</f>
        <v/>
      </c>
      <c r="O223">
        <f>IF(AND($B223&lt;=ed_r,$B223&lt;=ed_l,$B223&lt;=ed_y),(2*(c_x+c_y)+2*PI()*$B223),"")</f>
        <v/>
      </c>
      <c r="P223">
        <f>IF(AND($B223&lt;=ed_l,$B223&lt;=ed_y),(c_y+PI()*$B223+2*(c_x+ed_r)),"")</f>
        <v/>
      </c>
      <c r="Q223">
        <f>IF(AND($B223&lt;=ed_r,$B223&lt;=ed_y),(c_y+PI()*$B223+2*(c_x+ed_l)),"")</f>
        <v/>
      </c>
      <c r="R223">
        <f>IF(AND($B223&lt;=ed_r,$B223&lt;=ed_l,$B223&lt;=ed_y),(c_x+PI()*$B223+2*(c_y+ed_y)),"")</f>
        <v/>
      </c>
      <c r="S223">
        <f>IF(AND($B223&lt;=ed_l,$B223&lt;=ed_y),(c_x+ed_r+c_y+ed_y+PI()*$B223/2),"")</f>
        <v/>
      </c>
      <c r="T223">
        <f>IF(AND($B223&lt;=ed_r,$B223&lt;=ed_y),(c_x+ed_l+c_y+ed_y+PI()*$B223/2),"")</f>
        <v/>
      </c>
      <c r="U223">
        <f>N_Ed-q_c*(c_x*c_y+2*$B223*(c_x+c_y)+PI()*$B223^2)/1E6-dW_col</f>
        <v/>
      </c>
      <c r="V223">
        <f>N_Ed-dW_col-IF(AND($B223&lt;=ed_r,$B223&lt;=ed_l,$B223&lt;=ed_y),q_c*(c_x*c_y+2*$B223*(c_x+c_y)+PI()*$B223^2)+MIN(0,qn_min)*(L_f*B_f-(c_x*c_y+2*$B223*(c_x+c_y)+PI()*$B223^2)),IF(qn_min&gt;=0,qn_min*(c_x*(c_y+2*$B223)+c_y*(MIN($B223,ed_r)+MIN($B223,ed_l))),qn_min*L_f*B_f))/1E6</f>
        <v/>
      </c>
      <c r="W223">
        <f>IF(AND($B223&lt;=ed_y,OR($B223&lt;=ed_l,$B223&lt;=ed_r)),MATCH(MAX($I223:$N223),$I223:$N223,0),0)</f>
        <v/>
      </c>
    </row>
    <row r="224" ht="16" customHeight="1">
      <c r="B224" s="50">
        <f>2.0*d_eff</f>
        <v/>
      </c>
      <c r="C224" s="50">
        <f>IF(AND($B224&lt;=ed_y,OR($B224&lt;=ed_l,$B224&lt;=ed_r)),INDEX($O224:$T224,$W224),"–")</f>
        <v/>
      </c>
      <c r="D224" s="51">
        <f>IF(AND($B224&lt;=ed_y,OR($B224&lt;=ed_l,$B224&lt;=ed_r)),IF($W224=1,$U224,$V224),"–")</f>
        <v/>
      </c>
      <c r="E224" s="52">
        <f>IF(AND($B224&lt;=ed_y,OR($B224&lt;=ed_l,$B224&lt;=ed_r)),MAX($I224:$N224),"–")</f>
        <v/>
      </c>
      <c r="F224" s="52">
        <f>v_Rdc*2*d_eff/$B224</f>
        <v/>
      </c>
      <c r="G224" s="53">
        <f>IF(AND($B224&lt;=ed_y,OR($B224&lt;=ed_l,$B224&lt;=ed_r)),$E224/$F224,"–")</f>
        <v/>
      </c>
      <c r="I224">
        <f>IF(AND($B224&lt;=ed_r,$B224&lt;=ed_l,$B224&lt;=ed_y),(MAX(0,$U224)*1000/(2*(c_x+c_y)+2*PI()*$B224)+k_e*ABS(M_Ed)*1E6/(c_x^2/2+c_x*c_y+2*c_y*$B224+4*$B224^2+PI()*$B224*c_x))/d_eff,-1)</f>
        <v/>
      </c>
      <c r="J224">
        <f>IF(AND($B224&lt;=ed_l,$B224&lt;=ed_y),(MAX(0,$V224)*1000/(c_y+PI()*$B224+2*(c_x+ed_r))+k_e*ABS(M_Ed)*1E6/(c_y*(c_x/2+$B224)+PI()*$B224*c_x/2+2*$B224^2+c_x^2/4+(c_x/2+ed_r)^2))/d_eff,-1)</f>
        <v/>
      </c>
      <c r="K224">
        <f>IF(AND($B224&lt;=ed_r,$B224&lt;=ed_y),(MAX(0,$V224)*1000/(c_y+PI()*$B224+2*(c_x+ed_l))+k_e*ABS(M_Ed)*1E6/(c_y*(c_x/2+$B224)+PI()*$B224*c_x/2+2*$B224^2+c_x^2/4+(c_x/2+ed_l)^2))/d_eff,-1)</f>
        <v/>
      </c>
      <c r="L224">
        <f>IF(AND($B224&lt;=ed_r,$B224&lt;=ed_l,$B224&lt;=ed_y),(MAX(0,$V224)*1000/(c_x+PI()*$B224+2*(c_y+ed_y))+k_e*ABS(M_Ed)*1E6/(c_x^2/4+PI()*$B224*c_x/2+2*$B224^2+(c_x+2*$B224)*(c_y+ed_y)))/d_eff,-1)</f>
        <v/>
      </c>
      <c r="M224">
        <f>IF(AND($B224&lt;=ed_l,$B224&lt;=ed_y),(MAX(0,$V224)*1000/(c_x+ed_r+c_y+ed_y+PI()*$B224/2)+k_e*ABS(M_Ed)*1E6/(PI()*$B224*c_x/4+$B224^2+c_x^2/8+(c_x/2+ed_r)^2/2+(c_x/2+$B224)*(c_y+ed_y)))/d_eff,-1)</f>
        <v/>
      </c>
      <c r="N224">
        <f>IF(AND($B224&lt;=ed_r,$B224&lt;=ed_y),(MAX(0,$V224)*1000/(c_x+ed_l+c_y+ed_y+PI()*$B224/2)+k_e*ABS(M_Ed)*1E6/(PI()*$B224*c_x/4+$B224^2+c_x^2/8+(c_x/2+ed_l)^2/2+(c_x/2+$B224)*(c_y+ed_y)))/d_eff,-1)</f>
        <v/>
      </c>
      <c r="O224">
        <f>IF(AND($B224&lt;=ed_r,$B224&lt;=ed_l,$B224&lt;=ed_y),(2*(c_x+c_y)+2*PI()*$B224),"")</f>
        <v/>
      </c>
      <c r="P224">
        <f>IF(AND($B224&lt;=ed_l,$B224&lt;=ed_y),(c_y+PI()*$B224+2*(c_x+ed_r)),"")</f>
        <v/>
      </c>
      <c r="Q224">
        <f>IF(AND($B224&lt;=ed_r,$B224&lt;=ed_y),(c_y+PI()*$B224+2*(c_x+ed_l)),"")</f>
        <v/>
      </c>
      <c r="R224">
        <f>IF(AND($B224&lt;=ed_r,$B224&lt;=ed_l,$B224&lt;=ed_y),(c_x+PI()*$B224+2*(c_y+ed_y)),"")</f>
        <v/>
      </c>
      <c r="S224">
        <f>IF(AND($B224&lt;=ed_l,$B224&lt;=ed_y),(c_x+ed_r+c_y+ed_y+PI()*$B224/2),"")</f>
        <v/>
      </c>
      <c r="T224">
        <f>IF(AND($B224&lt;=ed_r,$B224&lt;=ed_y),(c_x+ed_l+c_y+ed_y+PI()*$B224/2),"")</f>
        <v/>
      </c>
      <c r="U224">
        <f>N_Ed-q_c*(c_x*c_y+2*$B224*(c_x+c_y)+PI()*$B224^2)/1E6-dW_col</f>
        <v/>
      </c>
      <c r="V224">
        <f>N_Ed-dW_col-IF(AND($B224&lt;=ed_r,$B224&lt;=ed_l,$B224&lt;=ed_y),q_c*(c_x*c_y+2*$B224*(c_x+c_y)+PI()*$B224^2)+MIN(0,qn_min)*(L_f*B_f-(c_x*c_y+2*$B224*(c_x+c_y)+PI()*$B224^2)),IF(qn_min&gt;=0,qn_min*(c_x*(c_y+2*$B224)+c_y*(MIN($B224,ed_r)+MIN($B224,ed_l))),qn_min*L_f*B_f))/1E6</f>
        <v/>
      </c>
      <c r="W224">
        <f>IF(AND($B224&lt;=ed_y,OR($B224&lt;=ed_l,$B224&lt;=ed_r)),MATCH(MAX($I224:$N224),$I224:$N224,0),0)</f>
        <v/>
      </c>
    </row>
    <row r="225" ht="16" customHeight="1">
      <c r="B225" s="50">
        <f>MAX(0.05*d_eff,MIN(ed_r,2*d_eff))</f>
        <v/>
      </c>
      <c r="C225" s="50">
        <f>IF(AND($B225&lt;=ed_y,OR($B225&lt;=ed_l,$B225&lt;=ed_r)),INDEX($O225:$T225,$W225),"–")</f>
        <v/>
      </c>
      <c r="D225" s="51">
        <f>IF(AND($B225&lt;=ed_y,OR($B225&lt;=ed_l,$B225&lt;=ed_r)),IF($W225=1,$U225,$V225),"–")</f>
        <v/>
      </c>
      <c r="E225" s="52">
        <f>IF(AND($B225&lt;=ed_y,OR($B225&lt;=ed_l,$B225&lt;=ed_r)),MAX($I225:$N225),"–")</f>
        <v/>
      </c>
      <c r="F225" s="52">
        <f>v_Rdc*2*d_eff/$B225</f>
        <v/>
      </c>
      <c r="G225" s="53">
        <f>IF(AND($B225&lt;=ed_y,OR($B225&lt;=ed_l,$B225&lt;=ed_r)),$E225/$F225,"–")</f>
        <v/>
      </c>
      <c r="I225">
        <f>IF(AND($B225&lt;=ed_r,$B225&lt;=ed_l,$B225&lt;=ed_y),(MAX(0,$U225)*1000/(2*(c_x+c_y)+2*PI()*$B225)+k_e*ABS(M_Ed)*1E6/(c_x^2/2+c_x*c_y+2*c_y*$B225+4*$B225^2+PI()*$B225*c_x))/d_eff,-1)</f>
        <v/>
      </c>
      <c r="J225">
        <f>IF(AND($B225&lt;=ed_l,$B225&lt;=ed_y),(MAX(0,$V225)*1000/(c_y+PI()*$B225+2*(c_x+ed_r))+k_e*ABS(M_Ed)*1E6/(c_y*(c_x/2+$B225)+PI()*$B225*c_x/2+2*$B225^2+c_x^2/4+(c_x/2+ed_r)^2))/d_eff,-1)</f>
        <v/>
      </c>
      <c r="K225">
        <f>IF(AND($B225&lt;=ed_r,$B225&lt;=ed_y),(MAX(0,$V225)*1000/(c_y+PI()*$B225+2*(c_x+ed_l))+k_e*ABS(M_Ed)*1E6/(c_y*(c_x/2+$B225)+PI()*$B225*c_x/2+2*$B225^2+c_x^2/4+(c_x/2+ed_l)^2))/d_eff,-1)</f>
        <v/>
      </c>
      <c r="L225">
        <f>IF(AND($B225&lt;=ed_r,$B225&lt;=ed_l,$B225&lt;=ed_y),(MAX(0,$V225)*1000/(c_x+PI()*$B225+2*(c_y+ed_y))+k_e*ABS(M_Ed)*1E6/(c_x^2/4+PI()*$B225*c_x/2+2*$B225^2+(c_x+2*$B225)*(c_y+ed_y)))/d_eff,-1)</f>
        <v/>
      </c>
      <c r="M225">
        <f>IF(AND($B225&lt;=ed_l,$B225&lt;=ed_y),(MAX(0,$V225)*1000/(c_x+ed_r+c_y+ed_y+PI()*$B225/2)+k_e*ABS(M_Ed)*1E6/(PI()*$B225*c_x/4+$B225^2+c_x^2/8+(c_x/2+ed_r)^2/2+(c_x/2+$B225)*(c_y+ed_y)))/d_eff,-1)</f>
        <v/>
      </c>
      <c r="N225">
        <f>IF(AND($B225&lt;=ed_r,$B225&lt;=ed_y),(MAX(0,$V225)*1000/(c_x+ed_l+c_y+ed_y+PI()*$B225/2)+k_e*ABS(M_Ed)*1E6/(PI()*$B225*c_x/4+$B225^2+c_x^2/8+(c_x/2+ed_l)^2/2+(c_x/2+$B225)*(c_y+ed_y)))/d_eff,-1)</f>
        <v/>
      </c>
      <c r="O225">
        <f>IF(AND($B225&lt;=ed_r,$B225&lt;=ed_l,$B225&lt;=ed_y),(2*(c_x+c_y)+2*PI()*$B225),"")</f>
        <v/>
      </c>
      <c r="P225">
        <f>IF(AND($B225&lt;=ed_l,$B225&lt;=ed_y),(c_y+PI()*$B225+2*(c_x+ed_r)),"")</f>
        <v/>
      </c>
      <c r="Q225">
        <f>IF(AND($B225&lt;=ed_r,$B225&lt;=ed_y),(c_y+PI()*$B225+2*(c_x+ed_l)),"")</f>
        <v/>
      </c>
      <c r="R225">
        <f>IF(AND($B225&lt;=ed_r,$B225&lt;=ed_l,$B225&lt;=ed_y),(c_x+PI()*$B225+2*(c_y+ed_y)),"")</f>
        <v/>
      </c>
      <c r="S225">
        <f>IF(AND($B225&lt;=ed_l,$B225&lt;=ed_y),(c_x+ed_r+c_y+ed_y+PI()*$B225/2),"")</f>
        <v/>
      </c>
      <c r="T225">
        <f>IF(AND($B225&lt;=ed_r,$B225&lt;=ed_y),(c_x+ed_l+c_y+ed_y+PI()*$B225/2),"")</f>
        <v/>
      </c>
      <c r="U225">
        <f>N_Ed-q_c*(c_x*c_y+2*$B225*(c_x+c_y)+PI()*$B225^2)/1E6-dW_col</f>
        <v/>
      </c>
      <c r="V225">
        <f>N_Ed-dW_col-IF(AND($B225&lt;=ed_r,$B225&lt;=ed_l,$B225&lt;=ed_y),q_c*(c_x*c_y+2*$B225*(c_x+c_y)+PI()*$B225^2)+MIN(0,qn_min)*(L_f*B_f-(c_x*c_y+2*$B225*(c_x+c_y)+PI()*$B225^2)),IF(qn_min&gt;=0,qn_min*(c_x*(c_y+2*$B225)+c_y*(MIN($B225,ed_r)+MIN($B225,ed_l))),qn_min*L_f*B_f))/1E6</f>
        <v/>
      </c>
      <c r="W225">
        <f>IF(AND($B225&lt;=ed_y,OR($B225&lt;=ed_l,$B225&lt;=ed_r)),MATCH(MAX($I225:$N225),$I225:$N225,0),0)</f>
        <v/>
      </c>
    </row>
    <row r="226" ht="16" customHeight="1">
      <c r="B226" s="50">
        <f>MAX(0.05*d_eff,MIN(ed_l,2*d_eff))</f>
        <v/>
      </c>
      <c r="C226" s="50">
        <f>IF(AND($B226&lt;=ed_y,OR($B226&lt;=ed_l,$B226&lt;=ed_r)),INDEX($O226:$T226,$W226),"–")</f>
        <v/>
      </c>
      <c r="D226" s="51">
        <f>IF(AND($B226&lt;=ed_y,OR($B226&lt;=ed_l,$B226&lt;=ed_r)),IF($W226=1,$U226,$V226),"–")</f>
        <v/>
      </c>
      <c r="E226" s="52">
        <f>IF(AND($B226&lt;=ed_y,OR($B226&lt;=ed_l,$B226&lt;=ed_r)),MAX($I226:$N226),"–")</f>
        <v/>
      </c>
      <c r="F226" s="52">
        <f>v_Rdc*2*d_eff/$B226</f>
        <v/>
      </c>
      <c r="G226" s="53">
        <f>IF(AND($B226&lt;=ed_y,OR($B226&lt;=ed_l,$B226&lt;=ed_r)),$E226/$F226,"–")</f>
        <v/>
      </c>
      <c r="I226">
        <f>IF(AND($B226&lt;=ed_r,$B226&lt;=ed_l,$B226&lt;=ed_y),(MAX(0,$U226)*1000/(2*(c_x+c_y)+2*PI()*$B226)+k_e*ABS(M_Ed)*1E6/(c_x^2/2+c_x*c_y+2*c_y*$B226+4*$B226^2+PI()*$B226*c_x))/d_eff,-1)</f>
        <v/>
      </c>
      <c r="J226">
        <f>IF(AND($B226&lt;=ed_l,$B226&lt;=ed_y),(MAX(0,$V226)*1000/(c_y+PI()*$B226+2*(c_x+ed_r))+k_e*ABS(M_Ed)*1E6/(c_y*(c_x/2+$B226)+PI()*$B226*c_x/2+2*$B226^2+c_x^2/4+(c_x/2+ed_r)^2))/d_eff,-1)</f>
        <v/>
      </c>
      <c r="K226">
        <f>IF(AND($B226&lt;=ed_r,$B226&lt;=ed_y),(MAX(0,$V226)*1000/(c_y+PI()*$B226+2*(c_x+ed_l))+k_e*ABS(M_Ed)*1E6/(c_y*(c_x/2+$B226)+PI()*$B226*c_x/2+2*$B226^2+c_x^2/4+(c_x/2+ed_l)^2))/d_eff,-1)</f>
        <v/>
      </c>
      <c r="L226">
        <f>IF(AND($B226&lt;=ed_r,$B226&lt;=ed_l,$B226&lt;=ed_y),(MAX(0,$V226)*1000/(c_x+PI()*$B226+2*(c_y+ed_y))+k_e*ABS(M_Ed)*1E6/(c_x^2/4+PI()*$B226*c_x/2+2*$B226^2+(c_x+2*$B226)*(c_y+ed_y)))/d_eff,-1)</f>
        <v/>
      </c>
      <c r="M226">
        <f>IF(AND($B226&lt;=ed_l,$B226&lt;=ed_y),(MAX(0,$V226)*1000/(c_x+ed_r+c_y+ed_y+PI()*$B226/2)+k_e*ABS(M_Ed)*1E6/(PI()*$B226*c_x/4+$B226^2+c_x^2/8+(c_x/2+ed_r)^2/2+(c_x/2+$B226)*(c_y+ed_y)))/d_eff,-1)</f>
        <v/>
      </c>
      <c r="N226">
        <f>IF(AND($B226&lt;=ed_r,$B226&lt;=ed_y),(MAX(0,$V226)*1000/(c_x+ed_l+c_y+ed_y+PI()*$B226/2)+k_e*ABS(M_Ed)*1E6/(PI()*$B226*c_x/4+$B226^2+c_x^2/8+(c_x/2+ed_l)^2/2+(c_x/2+$B226)*(c_y+ed_y)))/d_eff,-1)</f>
        <v/>
      </c>
      <c r="O226">
        <f>IF(AND($B226&lt;=ed_r,$B226&lt;=ed_l,$B226&lt;=ed_y),(2*(c_x+c_y)+2*PI()*$B226),"")</f>
        <v/>
      </c>
      <c r="P226">
        <f>IF(AND($B226&lt;=ed_l,$B226&lt;=ed_y),(c_y+PI()*$B226+2*(c_x+ed_r)),"")</f>
        <v/>
      </c>
      <c r="Q226">
        <f>IF(AND($B226&lt;=ed_r,$B226&lt;=ed_y),(c_y+PI()*$B226+2*(c_x+ed_l)),"")</f>
        <v/>
      </c>
      <c r="R226">
        <f>IF(AND($B226&lt;=ed_r,$B226&lt;=ed_l,$B226&lt;=ed_y),(c_x+PI()*$B226+2*(c_y+ed_y)),"")</f>
        <v/>
      </c>
      <c r="S226">
        <f>IF(AND($B226&lt;=ed_l,$B226&lt;=ed_y),(c_x+ed_r+c_y+ed_y+PI()*$B226/2),"")</f>
        <v/>
      </c>
      <c r="T226">
        <f>IF(AND($B226&lt;=ed_r,$B226&lt;=ed_y),(c_x+ed_l+c_y+ed_y+PI()*$B226/2),"")</f>
        <v/>
      </c>
      <c r="U226">
        <f>N_Ed-q_c*(c_x*c_y+2*$B226*(c_x+c_y)+PI()*$B226^2)/1E6-dW_col</f>
        <v/>
      </c>
      <c r="V226">
        <f>N_Ed-dW_col-IF(AND($B226&lt;=ed_r,$B226&lt;=ed_l,$B226&lt;=ed_y),q_c*(c_x*c_y+2*$B226*(c_x+c_y)+PI()*$B226^2)+MIN(0,qn_min)*(L_f*B_f-(c_x*c_y+2*$B226*(c_x+c_y)+PI()*$B226^2)),IF(qn_min&gt;=0,qn_min*(c_x*(c_y+2*$B226)+c_y*(MIN($B226,ed_r)+MIN($B226,ed_l))),qn_min*L_f*B_f))/1E6</f>
        <v/>
      </c>
      <c r="W226">
        <f>IF(AND($B226&lt;=ed_y,OR($B226&lt;=ed_l,$B226&lt;=ed_r)),MATCH(MAX($I226:$N226),$I226:$N226,0),0)</f>
        <v/>
      </c>
    </row>
    <row r="227" ht="16" customHeight="1">
      <c r="B227" s="50">
        <f>MAX(0.05*d_eff,MIN(ed_y,2*d_eff))</f>
        <v/>
      </c>
      <c r="C227" s="50">
        <f>IF(AND($B227&lt;=ed_y,OR($B227&lt;=ed_l,$B227&lt;=ed_r)),INDEX($O227:$T227,$W227),"–")</f>
        <v/>
      </c>
      <c r="D227" s="51">
        <f>IF(AND($B227&lt;=ed_y,OR($B227&lt;=ed_l,$B227&lt;=ed_r)),IF($W227=1,$U227,$V227),"–")</f>
        <v/>
      </c>
      <c r="E227" s="52">
        <f>IF(AND($B227&lt;=ed_y,OR($B227&lt;=ed_l,$B227&lt;=ed_r)),MAX($I227:$N227),"–")</f>
        <v/>
      </c>
      <c r="F227" s="52">
        <f>v_Rdc*2*d_eff/$B227</f>
        <v/>
      </c>
      <c r="G227" s="53">
        <f>IF(AND($B227&lt;=ed_y,OR($B227&lt;=ed_l,$B227&lt;=ed_r)),$E227/$F227,"–")</f>
        <v/>
      </c>
      <c r="I227">
        <f>IF(AND($B227&lt;=ed_r,$B227&lt;=ed_l,$B227&lt;=ed_y),(MAX(0,$U227)*1000/(2*(c_x+c_y)+2*PI()*$B227)+k_e*ABS(M_Ed)*1E6/(c_x^2/2+c_x*c_y+2*c_y*$B227+4*$B227^2+PI()*$B227*c_x))/d_eff,-1)</f>
        <v/>
      </c>
      <c r="J227">
        <f>IF(AND($B227&lt;=ed_l,$B227&lt;=ed_y),(MAX(0,$V227)*1000/(c_y+PI()*$B227+2*(c_x+ed_r))+k_e*ABS(M_Ed)*1E6/(c_y*(c_x/2+$B227)+PI()*$B227*c_x/2+2*$B227^2+c_x^2/4+(c_x/2+ed_r)^2))/d_eff,-1)</f>
        <v/>
      </c>
      <c r="K227">
        <f>IF(AND($B227&lt;=ed_r,$B227&lt;=ed_y),(MAX(0,$V227)*1000/(c_y+PI()*$B227+2*(c_x+ed_l))+k_e*ABS(M_Ed)*1E6/(c_y*(c_x/2+$B227)+PI()*$B227*c_x/2+2*$B227^2+c_x^2/4+(c_x/2+ed_l)^2))/d_eff,-1)</f>
        <v/>
      </c>
      <c r="L227">
        <f>IF(AND($B227&lt;=ed_r,$B227&lt;=ed_l,$B227&lt;=ed_y),(MAX(0,$V227)*1000/(c_x+PI()*$B227+2*(c_y+ed_y))+k_e*ABS(M_Ed)*1E6/(c_x^2/4+PI()*$B227*c_x/2+2*$B227^2+(c_x+2*$B227)*(c_y+ed_y)))/d_eff,-1)</f>
        <v/>
      </c>
      <c r="M227">
        <f>IF(AND($B227&lt;=ed_l,$B227&lt;=ed_y),(MAX(0,$V227)*1000/(c_x+ed_r+c_y+ed_y+PI()*$B227/2)+k_e*ABS(M_Ed)*1E6/(PI()*$B227*c_x/4+$B227^2+c_x^2/8+(c_x/2+ed_r)^2/2+(c_x/2+$B227)*(c_y+ed_y)))/d_eff,-1)</f>
        <v/>
      </c>
      <c r="N227">
        <f>IF(AND($B227&lt;=ed_r,$B227&lt;=ed_y),(MAX(0,$V227)*1000/(c_x+ed_l+c_y+ed_y+PI()*$B227/2)+k_e*ABS(M_Ed)*1E6/(PI()*$B227*c_x/4+$B227^2+c_x^2/8+(c_x/2+ed_l)^2/2+(c_x/2+$B227)*(c_y+ed_y)))/d_eff,-1)</f>
        <v/>
      </c>
      <c r="O227">
        <f>IF(AND($B227&lt;=ed_r,$B227&lt;=ed_l,$B227&lt;=ed_y),(2*(c_x+c_y)+2*PI()*$B227),"")</f>
        <v/>
      </c>
      <c r="P227">
        <f>IF(AND($B227&lt;=ed_l,$B227&lt;=ed_y),(c_y+PI()*$B227+2*(c_x+ed_r)),"")</f>
        <v/>
      </c>
      <c r="Q227">
        <f>IF(AND($B227&lt;=ed_r,$B227&lt;=ed_y),(c_y+PI()*$B227+2*(c_x+ed_l)),"")</f>
        <v/>
      </c>
      <c r="R227">
        <f>IF(AND($B227&lt;=ed_r,$B227&lt;=ed_l,$B227&lt;=ed_y),(c_x+PI()*$B227+2*(c_y+ed_y)),"")</f>
        <v/>
      </c>
      <c r="S227">
        <f>IF(AND($B227&lt;=ed_l,$B227&lt;=ed_y),(c_x+ed_r+c_y+ed_y+PI()*$B227/2),"")</f>
        <v/>
      </c>
      <c r="T227">
        <f>IF(AND($B227&lt;=ed_r,$B227&lt;=ed_y),(c_x+ed_l+c_y+ed_y+PI()*$B227/2),"")</f>
        <v/>
      </c>
      <c r="U227">
        <f>N_Ed-q_c*(c_x*c_y+2*$B227*(c_x+c_y)+PI()*$B227^2)/1E6-dW_col</f>
        <v/>
      </c>
      <c r="V227">
        <f>N_Ed-dW_col-IF(AND($B227&lt;=ed_r,$B227&lt;=ed_l,$B227&lt;=ed_y),q_c*(c_x*c_y+2*$B227*(c_x+c_y)+PI()*$B227^2)+MIN(0,qn_min)*(L_f*B_f-(c_x*c_y+2*$B227*(c_x+c_y)+PI()*$B227^2)),IF(qn_min&gt;=0,qn_min*(c_x*(c_y+2*$B227)+c_y*(MIN($B227,ed_r)+MIN($B227,ed_l))),qn_min*L_f*B_f))/1E6</f>
        <v/>
      </c>
      <c r="W227">
        <f>IF(AND($B227&lt;=ed_y,OR($B227&lt;=ed_l,$B227&lt;=ed_r)),MATCH(MAX($I227:$N227),$I227:$N227,0),0)</f>
        <v/>
      </c>
    </row>
    <row r="228" ht="79" customHeight="1">
      <c r="B228" s="42" t="inlineStr">
        <is>
          <t>Perimeters at a = 0.05d … 2d from the column face (6.4.4(2)) and those just touching each edge. Each row checks the closed perimeter and the perimeters to one edge and to a corner (6.4.2(4)) that fit, and reports the one with the highest stress: vEd = (VEd,red / u + k MEd / W) / d from (6.51), with u and W (6.39) of that same perimeter about the column axis. VEd,red = NEd − net upward load inside (6.48), signed, no backfill over the column: exact for the closed perimeter in full contact, a lower bound of the relief (using the lowest net pressure on the base) for perimeters to an edge. Rows marked – reach two opposite edges. vRd = vRd,c · 2d/a (6.50). The governing row is shaded.</t>
        </is>
      </c>
    </row>
    <row r="230" ht="29" customHeight="1">
      <c r="B230" s="42"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9">
    <mergeCell ref="B230:G230"/>
    <mergeCell ref="E5:G5"/>
    <mergeCell ref="B119:G119"/>
    <mergeCell ref="B228:G228"/>
    <mergeCell ref="D2:G2"/>
    <mergeCell ref="B86:G86"/>
    <mergeCell ref="E7:G7"/>
    <mergeCell ref="E6:G6"/>
    <mergeCell ref="C3:G3"/>
  </mergeCells>
  <conditionalFormatting sqref="G185:G227">
    <cfRule type="expression" priority="1" dxfId="0">
      <formula>AND(ISNUMBER(G185),G185=punch_util)</formula>
    </cfRule>
  </conditionalFormatting>
  <conditionalFormatting sqref="G9:G231">
    <cfRule type="expression" priority="2" dxfId="1">
      <formula>G9="OK"</formula>
    </cfRule>
    <cfRule type="expression" priority="3" dxfId="2">
      <formula>G9="FAIL"</formula>
    </cfRule>
    <cfRule type="expression" priority="4" dxfId="3">
      <formula>LEFT(G9,1)="!"</formula>
    </cfRule>
  </conditionalFormatting>
  <dataValidations count="23">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 -100000." type="decimal" errorStyle="stop" operator="greaterThanOrEqual">
      <formula1>-100000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E24" showDropDown="0" showInputMessage="0" showErrorMessage="1" allowBlank="0" errorTitle="NA Engineering" error="Pick a value from the list." type="list" errorStyle="stop">
      <formula1>"8,10,12,16,20,25,32,40"</formula1>
    </dataValidation>
    <dataValidation sqref="E23"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greater than 0." type="decimal" errorStyle="stop" operator="greaterThan">
      <formula1>0</formula1>
    </dataValidation>
    <dataValidation sqref="E49" showDropDown="0" showInputMessage="0" showErrorMessage="1" allowBlank="0" errorTitle="NA Engineering" error="Enter a number greater than 0." type="decimal" errorStyle="stop" operator="greaterThan">
      <formula1>0</formula1>
    </dataValidation>
    <dataValidation sqref="E50" showDropDown="0" showInputMessage="0" showErrorMessage="1" allowBlank="0" errorTitle="NA Engineering" error="Enter a number ≥ 0." type="decimal" errorStyle="stop" operator="greaterThanOrEqual">
      <formula1>0</formula1>
    </dataValidation>
    <dataValidation sqref="E51" showDropDown="0" showInputMessage="0" showErrorMessage="1" allowBlank="0" errorTitle="NA Engineering" error="Enter a number ≥ -100000." type="decimal" errorStyle="stop" operator="greaterThanOrEqual">
      <formula1>-100000</formula1>
    </dataValidation>
    <dataValidation sqref="E52" showDropDown="0" showInputMessage="0" showErrorMessage="1" allowBlank="0" errorTitle="NA Engineering" error="Enter a number ≥ -100000." type="decimal" errorStyle="stop" operator="greaterThanOrEqual">
      <formula1>-100000</formula1>
    </dataValidation>
    <dataValidation sqref="E53" showDropDown="0" showInputMessage="0" showErrorMessage="1" allowBlank="0" errorTitle="NA Engineering" error="Enter a number greater than 0." type="decimal" errorStyle="stop" operator="greaterThan">
      <formula1>0</formula1>
    </dataValidation>
    <dataValidation sqref="E54" showDropDown="0" showInputMessage="0" showErrorMessage="1" allowBlank="0" errorTitle="NA Engineering" error="Enter a number greater than 0." type="decimal" errorStyle="stop" operator="greaterThan">
      <formula1>0</formula1>
    </dataValidation>
    <dataValidation sqref="E55" showDropDown="0" showInputMessage="0" showErrorMessage="1" allowBlank="0" errorTitle="NA Engineering" error="Enter a number ≥ 0." type="decimal" errorStyle="stop" operator="greaterThanOrEqual">
      <formula1>0</formula1>
    </dataValidation>
    <dataValidation sqref="E56" showDropDown="0" showInputMessage="0" showErrorMessage="1" allowBlank="0" errorTitle="NA Engineering" error="Enter a number greater than 0." type="decimal" errorStyle="stop" operator="greaterThan">
      <formula1>0</formula1>
    </dataValidation>
    <dataValidation sqref="E57"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&amp;K8A8A8ANAE-RC-006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W47"/>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base</t>
        </is>
      </c>
      <c r="D2" t="inlineStr">
        <is>
          <t>axis x</t>
        </is>
      </c>
      <c r="G2" t="inlineStr">
        <is>
          <t>axis y</t>
        </is>
      </c>
      <c r="J2" t="inlineStr">
        <is>
          <t>column</t>
        </is>
      </c>
      <c r="M2" t="inlineStr">
        <is>
          <t>u crit</t>
        </is>
      </c>
      <c r="P2" t="inlineStr">
        <is>
          <t>shear right</t>
        </is>
      </c>
      <c r="S2" t="inlineStr">
        <is>
          <t>shear left</t>
        </is>
      </c>
      <c r="V2" t="inlineStr">
        <is>
          <t>shear top</t>
        </is>
      </c>
      <c r="Y2" t="inlineStr">
        <is>
          <t>shear bottom</t>
        </is>
      </c>
      <c r="AB2" t="inlineStr">
        <is>
          <t>dim</t>
        </is>
      </c>
      <c r="AE2">
        <f>"L = "&amp;TEXT(L_f,"0")</f>
        <v/>
      </c>
      <c r="AH2" t="inlineStr">
        <is>
          <t>dim</t>
        </is>
      </c>
      <c r="AK2">
        <f>"B = "&amp;TEXT(B_f,"0")</f>
        <v/>
      </c>
      <c r="AN2" t="inlineStr">
        <is>
          <t>dim</t>
        </is>
      </c>
      <c r="AQ2">
        <f>"cx = "&amp;TEXT(c_x,"0")</f>
        <v/>
      </c>
      <c r="AT2" t="inlineStr">
        <is>
          <t>dim</t>
        </is>
      </c>
      <c r="AW2">
        <f>"ox = "&amp;TEXT(o_x,"0")</f>
        <v/>
      </c>
      <c r="AZ2">
        <f>"a = "&amp;TEXT(a_gov,"0")&amp;IF(u_gov_closed,""," (perimeter to the edge governs)")</f>
        <v/>
      </c>
      <c r="BC2">
        <f>"column "&amp;c_x&amp;" × "&amp;c_y</f>
        <v/>
      </c>
      <c r="BF2" t="inlineStr">
        <is>
          <t>x</t>
        </is>
      </c>
      <c r="BI2" t="inlineStr">
        <is>
          <t>frame</t>
        </is>
      </c>
      <c r="BL2" t="inlineStr">
        <is>
          <t>base</t>
        </is>
      </c>
      <c r="BO2" t="inlineStr">
        <is>
          <t>column</t>
        </is>
      </c>
      <c r="BR2" t="inlineStr">
        <is>
          <t>ground</t>
        </is>
      </c>
      <c r="BU2" t="inlineStr">
        <is>
          <t>bars x</t>
        </is>
      </c>
      <c r="BX2" t="inlineStr">
        <is>
          <t>pressure</t>
        </is>
      </c>
      <c r="CA2">
        <f>"q max = "&amp;TEXT(q_Ed,"0")&amp;" kPa"</f>
        <v/>
      </c>
      <c r="CD2">
        <f>IF(q_min&gt;0,"q min = "&amp;TEXT(q_min,"0"),"no contact")</f>
        <v/>
      </c>
      <c r="CG2" t="inlineStr">
        <is>
          <t>dim</t>
        </is>
      </c>
      <c r="CJ2">
        <f>"h = "&amp;TEXT(h_f,"0")</f>
        <v/>
      </c>
      <c r="CM2" t="inlineStr">
        <is>
          <t>dim</t>
        </is>
      </c>
      <c r="CP2">
        <f>"Ds = "&amp;TEXT(D_s,"0")</f>
        <v/>
      </c>
      <c r="CS2">
        <f>"N, M"</f>
        <v/>
      </c>
      <c r="CV2" t="inlineStr">
        <is>
          <t>frame</t>
        </is>
      </c>
    </row>
    <row r="3">
      <c r="A3">
        <f>-L_f/2</f>
        <v/>
      </c>
      <c r="B3">
        <f>-B_f/2</f>
        <v/>
      </c>
      <c r="D3">
        <f>-L_f/2-0.06*L_f</f>
        <v/>
      </c>
      <c r="E3">
        <f>0</f>
        <v/>
      </c>
      <c r="G3">
        <f>0</f>
        <v/>
      </c>
      <c r="H3">
        <f>-B_f/2-0.06*L_f</f>
        <v/>
      </c>
      <c r="J3">
        <f>o_x-c_x/2</f>
        <v/>
      </c>
      <c r="K3">
        <f>-c_y/2</f>
        <v/>
      </c>
      <c r="M3">
        <f>IF(AND(uls_ok,punch_any,u_gov_closed),(o_x+c_x/2)+(a_gov)*1.000000,NA())</f>
        <v/>
      </c>
      <c r="N3">
        <f>IF(AND(uls_ok,punch_any,u_gov_closed),(c_y/2)+(a_gov)*0.000000,NA())</f>
        <v/>
      </c>
      <c r="P3">
        <f>IF(ABS(o_x+c_x/2+d_x)&lt;L_f/2,o_x+c_x/2+d_x,NA())</f>
        <v/>
      </c>
      <c r="Q3">
        <f>IF(ABS(o_x+c_x/2+d_x)&lt;L_f/2,-B_f/2,NA())</f>
        <v/>
      </c>
      <c r="S3">
        <f>IF(ABS(o_x-c_x/2-d_x)&lt;L_f/2,o_x-c_x/2-d_x,NA())</f>
        <v/>
      </c>
      <c r="T3">
        <f>IF(ABS(o_x-c_x/2-d_x)&lt;L_f/2,-B_f/2,NA())</f>
        <v/>
      </c>
      <c r="V3">
        <f>IF(ABS(c_y/2+d_y)&lt;B_f/2,-L_f/2,NA())</f>
        <v/>
      </c>
      <c r="W3">
        <f>IF(ABS(c_y/2+d_y)&lt;B_f/2,c_y/2+d_y,NA())</f>
        <v/>
      </c>
      <c r="Y3">
        <f>IF(ABS(-c_y/2-d_y)&lt;B_f/2,-L_f/2,NA())</f>
        <v/>
      </c>
      <c r="Z3">
        <f>IF(ABS(-c_y/2-d_y)&lt;B_f/2,-c_y/2-d_y,NA())</f>
        <v/>
      </c>
      <c r="AB3">
        <f>IF(TRUE,-L_f/2,NA())</f>
        <v/>
      </c>
      <c r="AC3">
        <f>IF(TRUE,-B_f/2-0.06*MAX(L_f,B_f),NA())</f>
        <v/>
      </c>
      <c r="AE3">
        <f>IF(TRUE,((-L_f/2)+(L_f/2))/2,NA())</f>
        <v/>
      </c>
      <c r="AF3">
        <f>IF(TRUE,((-B_f/2-0.06*MAX(L_f,B_f))+(-B_f/2-0.06*MAX(L_f,B_f)))/2,NA())</f>
        <v/>
      </c>
      <c r="AH3">
        <f>IF(TRUE,L_f/2+0.06*MAX(L_f,B_f),NA())</f>
        <v/>
      </c>
      <c r="AI3">
        <f>IF(TRUE,-B_f/2,NA())</f>
        <v/>
      </c>
      <c r="AK3">
        <f>IF(TRUE,((L_f/2+0.06*MAX(L_f,B_f))+(L_f/2+0.06*MAX(L_f,B_f)))/2,NA())</f>
        <v/>
      </c>
      <c r="AL3">
        <f>IF(TRUE,((-B_f/2)+(B_f/2))/2,NA())</f>
        <v/>
      </c>
      <c r="AN3">
        <f>IF(NOT(AND(uls_ok,punch_any)),o_x-c_x/2,NA())</f>
        <v/>
      </c>
      <c r="AO3">
        <f>IF(NOT(AND(uls_ok,punch_any)),c_y/2+0.5*0.06*MAX(L_f,B_f),NA())</f>
        <v/>
      </c>
      <c r="AQ3">
        <f>IF(NOT(AND(uls_ok,punch_any)),((o_x-c_x/2)+(o_x+c_x/2))/2,NA())</f>
        <v/>
      </c>
      <c r="AR3">
        <f>IF(NOT(AND(uls_ok,punch_any)),((c_y/2+0.5*0.06*MAX(L_f,B_f))+(c_y/2+0.5*0.06*MAX(L_f,B_f)))/2,NA())</f>
        <v/>
      </c>
      <c r="AT3">
        <f>IF(o_x&lt;&gt;0,0,NA())</f>
        <v/>
      </c>
      <c r="AU3">
        <f>IF(o_x&lt;&gt;0,-B_f/2+0.6*0.06*MAX(L_f,B_f),NA())</f>
        <v/>
      </c>
      <c r="AW3">
        <f>IF(o_x&lt;&gt;0,((0)+(o_x))/2,NA())</f>
        <v/>
      </c>
      <c r="AX3">
        <f>IF(o_x&lt;&gt;0,((-B_f/2+0.6*0.06*MAX(L_f,B_f))+(-B_f/2+0.6*0.06*MAX(L_f,B_f)))/2,NA())</f>
        <v/>
      </c>
      <c r="AZ3">
        <f>o_x</f>
        <v/>
      </c>
      <c r="BA3">
        <f>IF(AND(uls_ok,punch_any),MIN(c_y/2+a_gov,B_f/2),NA())</f>
        <v/>
      </c>
      <c r="BC3">
        <f>o_x</f>
        <v/>
      </c>
      <c r="BD3">
        <f>-c_y/2</f>
        <v/>
      </c>
      <c r="BF3">
        <f>L_f/2+0.06*L_f</f>
        <v/>
      </c>
      <c r="BG3">
        <f>0</f>
        <v/>
      </c>
      <c r="BI3">
        <f>((-L_f/2-0.06*MAX(L_f,B_f))+(L_f/2+2.2*0.06*MAX(L_f,B_f)))/2-MAX((B_f/2+0.4*0.06*MAX(L_f,B_f))-(-B_f/2-1.6*0.06*MAX(L_f,B_f)),((L_f/2+2.2*0.06*MAX(L_f,B_f))-(-L_f/2-0.06*MAX(L_f,B_f)))/1.55)*0.58*1.55</f>
        <v/>
      </c>
      <c r="BJ3">
        <f>((-B_f/2-1.6*0.06*MAX(L_f,B_f))+(B_f/2+0.4*0.06*MAX(L_f,B_f)))/2-MAX((B_f/2+0.4*0.06*MAX(L_f,B_f))-(-B_f/2-1.6*0.06*MAX(L_f,B_f)),((L_f/2+2.2*0.06*MAX(L_f,B_f))-(-L_f/2-0.06*MAX(L_f,B_f)))/1.55)*0.58</f>
        <v/>
      </c>
      <c r="BL3">
        <f>-L_f/2</f>
        <v/>
      </c>
      <c r="BM3">
        <f>0</f>
        <v/>
      </c>
      <c r="BO3">
        <f>o_x-c_x/2</f>
        <v/>
      </c>
      <c r="BP3">
        <f>h_f+MAX(D_s,0.5*h_f)+0.15*h_f</f>
        <v/>
      </c>
      <c r="BR3">
        <f>IF(D_s&gt;0,-L_f/2-0.08*L_f,NA())</f>
        <v/>
      </c>
      <c r="BS3">
        <f>IF(D_s&gt;0,h_f+D_s,NA())</f>
        <v/>
      </c>
      <c r="BU3">
        <f>-L_f/2+c_nom</f>
        <v/>
      </c>
      <c r="BV3">
        <f>c_nom+phi_x/2</f>
        <v/>
      </c>
      <c r="BX3">
        <f>IF(uls_ok,-g_sg*L_f/2,NA())</f>
        <v/>
      </c>
      <c r="BY3">
        <f>IF(uls_ok,0,NA())</f>
        <v/>
      </c>
      <c r="CA3">
        <f>IF(uls_ok,g_sg*L_f/2,NA())</f>
        <v/>
      </c>
      <c r="CB3">
        <f>-(0.22*L_f/MAX(q_Ed,1))*q_Ed</f>
        <v/>
      </c>
      <c r="CD3">
        <f>IF(uls_ok,-g_sg*L_f/2,NA())</f>
        <v/>
      </c>
      <c r="CE3">
        <f>-(0.22*L_f/MAX(q_Ed,1))*q_min</f>
        <v/>
      </c>
      <c r="CG3">
        <f>IF(TRUE,L_f/2+0.05*L_f,NA())</f>
        <v/>
      </c>
      <c r="CH3">
        <f>IF(TRUE,0,NA())</f>
        <v/>
      </c>
      <c r="CJ3">
        <f>IF(TRUE,((L_f/2+0.05*L_f)+(L_f/2+0.05*L_f))/2,NA())</f>
        <v/>
      </c>
      <c r="CK3">
        <f>IF(TRUE,((0)+(h_f))/2,NA())</f>
        <v/>
      </c>
      <c r="CM3">
        <f>IF(D_s&gt;0,-L_f/2-0.05*L_f,NA())</f>
        <v/>
      </c>
      <c r="CN3">
        <f>IF(D_s&gt;0,h_f,NA())</f>
        <v/>
      </c>
      <c r="CP3">
        <f>IF(D_s&gt;0,((-L_f/2-0.05*L_f)+(-L_f/2-0.05*L_f))/2,NA())</f>
        <v/>
      </c>
      <c r="CQ3">
        <f>IF(D_s&gt;0,((h_f)+(h_f+D_s))/2,NA())</f>
        <v/>
      </c>
      <c r="CS3">
        <f>o_x</f>
        <v/>
      </c>
      <c r="CT3">
        <f>h_f+MAX(D_s,0.5*h_f)+0.15*h_f</f>
        <v/>
      </c>
      <c r="CV3">
        <f>((-L_f/2-3*0.05*L_f)+(L_f/2+3*0.05*L_f))/2-MAX((h_f+MAX(D_s,0.5*h_f)+0.15*h_f)-(-0.3*L_f),((L_f/2+3*0.05*L_f)-(-L_f/2-3*0.05*L_f))/1.55)*0.58*1.55</f>
        <v/>
      </c>
      <c r="CW3">
        <f>((-0.3*L_f)+(h_f+MAX(D_s,0.5*h_f)+0.15*h_f))/2-MAX((h_f+MAX(D_s,0.5*h_f)+0.15*h_f)-(-0.3*L_f),((L_f/2+3*0.05*L_f)-(-L_f/2-3*0.05*L_f))/1.55)*0.58</f>
        <v/>
      </c>
    </row>
    <row r="4">
      <c r="A4">
        <f>L_f/2</f>
        <v/>
      </c>
      <c r="B4">
        <f>-B_f/2</f>
        <v/>
      </c>
      <c r="D4">
        <f>L_f/2+0.06*L_f</f>
        <v/>
      </c>
      <c r="E4">
        <f>0</f>
        <v/>
      </c>
      <c r="G4">
        <f>0</f>
        <v/>
      </c>
      <c r="H4">
        <f>B_f/2+0.06*L_f</f>
        <v/>
      </c>
      <c r="J4">
        <f>o_x+c_x/2</f>
        <v/>
      </c>
      <c r="K4">
        <f>-c_y/2</f>
        <v/>
      </c>
      <c r="M4">
        <f>IF(AND(uls_ok,punch_any,u_gov_closed),(o_x+c_x/2)+(a_gov)*0.987688,NA())</f>
        <v/>
      </c>
      <c r="N4">
        <f>IF(AND(uls_ok,punch_any,u_gov_closed),(c_y/2)+(a_gov)*0.156434,NA())</f>
        <v/>
      </c>
      <c r="P4">
        <f>IF(ABS(o_x+c_x/2+d_x)&lt;L_f/2,o_x+c_x/2+d_x,NA())</f>
        <v/>
      </c>
      <c r="Q4">
        <f>IF(ABS(o_x+c_x/2+d_x)&lt;L_f/2,B_f/2,NA())</f>
        <v/>
      </c>
      <c r="S4">
        <f>IF(ABS(o_x-c_x/2-d_x)&lt;L_f/2,o_x-c_x/2-d_x,NA())</f>
        <v/>
      </c>
      <c r="T4">
        <f>IF(ABS(o_x-c_x/2-d_x)&lt;L_f/2,B_f/2,NA())</f>
        <v/>
      </c>
      <c r="V4">
        <f>IF(ABS(c_y/2+d_y)&lt;B_f/2,L_f/2,NA())</f>
        <v/>
      </c>
      <c r="W4">
        <f>IF(ABS(c_y/2+d_y)&lt;B_f/2,c_y/2+d_y,NA())</f>
        <v/>
      </c>
      <c r="Y4">
        <f>IF(ABS(-c_y/2-d_y)&lt;B_f/2,L_f/2,NA())</f>
        <v/>
      </c>
      <c r="Z4">
        <f>IF(ABS(-c_y/2-d_y)&lt;B_f/2,-c_y/2-d_y,NA())</f>
        <v/>
      </c>
      <c r="AB4">
        <f>IF(TRUE,L_f/2,NA())</f>
        <v/>
      </c>
      <c r="AC4">
        <f>IF(TRUE,-B_f/2-0.06*MAX(L_f,B_f),NA())</f>
        <v/>
      </c>
      <c r="AH4">
        <f>IF(TRUE,L_f/2+0.06*MAX(L_f,B_f),NA())</f>
        <v/>
      </c>
      <c r="AI4">
        <f>IF(TRUE,B_f/2,NA())</f>
        <v/>
      </c>
      <c r="AN4">
        <f>IF(NOT(AND(uls_ok,punch_any)),o_x+c_x/2,NA())</f>
        <v/>
      </c>
      <c r="AO4">
        <f>IF(NOT(AND(uls_ok,punch_any)),c_y/2+0.5*0.06*MAX(L_f,B_f),NA())</f>
        <v/>
      </c>
      <c r="AT4">
        <f>IF(o_x&lt;&gt;0,o_x,NA())</f>
        <v/>
      </c>
      <c r="AU4">
        <f>IF(o_x&lt;&gt;0,-B_f/2+0.6*0.06*MAX(L_f,B_f),NA())</f>
        <v/>
      </c>
      <c r="BI4">
        <f>((-L_f/2-0.06*MAX(L_f,B_f))+(L_f/2+2.2*0.06*MAX(L_f,B_f)))/2+MAX((B_f/2+0.4*0.06*MAX(L_f,B_f))-(-B_f/2-1.6*0.06*MAX(L_f,B_f)),((L_f/2+2.2*0.06*MAX(L_f,B_f))-(-L_f/2-0.06*MAX(L_f,B_f)))/1.55)*0.58*1.55</f>
        <v/>
      </c>
      <c r="BJ4">
        <f>((-B_f/2-1.6*0.06*MAX(L_f,B_f))+(B_f/2+0.4*0.06*MAX(L_f,B_f)))/2+MAX((B_f/2+0.4*0.06*MAX(L_f,B_f))-(-B_f/2-1.6*0.06*MAX(L_f,B_f)),((L_f/2+2.2*0.06*MAX(L_f,B_f))-(-L_f/2-0.06*MAX(L_f,B_f)))/1.55)*0.58</f>
        <v/>
      </c>
      <c r="BL4">
        <f>L_f/2</f>
        <v/>
      </c>
      <c r="BM4">
        <f>0</f>
        <v/>
      </c>
      <c r="BO4">
        <f>o_x-c_x/2</f>
        <v/>
      </c>
      <c r="BP4">
        <f>h_f</f>
        <v/>
      </c>
      <c r="BR4">
        <f>IF(D_s&gt;0,L_f/2+0.08*L_f,NA())</f>
        <v/>
      </c>
      <c r="BS4">
        <f>IF(D_s&gt;0,h_f+D_s,NA())</f>
        <v/>
      </c>
      <c r="BU4">
        <f>L_f/2-c_nom</f>
        <v/>
      </c>
      <c r="BV4">
        <f>c_nom+phi_x/2</f>
        <v/>
      </c>
      <c r="BX4">
        <f>IF(uls_ok,g_sg*x_0*1000,NA())</f>
        <v/>
      </c>
      <c r="BY4">
        <f>IF(uls_ok,0,NA())</f>
        <v/>
      </c>
      <c r="CG4">
        <f>IF(TRUE,L_f/2+0.05*L_f,NA())</f>
        <v/>
      </c>
      <c r="CH4">
        <f>IF(TRUE,h_f,NA())</f>
        <v/>
      </c>
      <c r="CM4">
        <f>IF(D_s&gt;0,-L_f/2-0.05*L_f,NA())</f>
        <v/>
      </c>
      <c r="CN4">
        <f>IF(D_s&gt;0,h_f+D_s,NA())</f>
        <v/>
      </c>
      <c r="CV4">
        <f>((-L_f/2-3*0.05*L_f)+(L_f/2+3*0.05*L_f))/2+MAX((h_f+MAX(D_s,0.5*h_f)+0.15*h_f)-(-0.3*L_f),((L_f/2+3*0.05*L_f)-(-L_f/2-3*0.05*L_f))/1.55)*0.58*1.55</f>
        <v/>
      </c>
      <c r="CW4">
        <f>((-0.3*L_f)+(h_f+MAX(D_s,0.5*h_f)+0.15*h_f))/2+MAX((h_f+MAX(D_s,0.5*h_f)+0.15*h_f)-(-0.3*L_f),((L_f/2+3*0.05*L_f)-(-L_f/2-3*0.05*L_f))/1.55)*0.58</f>
        <v/>
      </c>
    </row>
    <row r="5">
      <c r="A5">
        <f>L_f/2</f>
        <v/>
      </c>
      <c r="B5">
        <f>B_f/2</f>
        <v/>
      </c>
      <c r="J5">
        <f>o_x+c_x/2</f>
        <v/>
      </c>
      <c r="K5">
        <f>c_y/2</f>
        <v/>
      </c>
      <c r="M5">
        <f>IF(AND(uls_ok,punch_any,u_gov_closed),(o_x+c_x/2)+(a_gov)*0.951057,NA())</f>
        <v/>
      </c>
      <c r="N5">
        <f>IF(AND(uls_ok,punch_any,u_gov_closed),(c_y/2)+(a_gov)*0.309017,NA())</f>
        <v/>
      </c>
      <c r="BL5">
        <f>L_f/2</f>
        <v/>
      </c>
      <c r="BM5">
        <f>h_f</f>
        <v/>
      </c>
      <c r="BO5">
        <f>o_x+c_x/2</f>
        <v/>
      </c>
      <c r="BP5">
        <f>h_f</f>
        <v/>
      </c>
      <c r="BX5">
        <f>IF(uls_ok,g_sg*x_0*1000,NA())</f>
        <v/>
      </c>
      <c r="BY5">
        <f>IF(uls_ok,-(0.22*L_f/MAX(q_Ed,1))*(q_a+q_b*x_0),NA())</f>
        <v/>
      </c>
    </row>
    <row r="6">
      <c r="A6">
        <f>-L_f/2</f>
        <v/>
      </c>
      <c r="B6">
        <f>B_f/2</f>
        <v/>
      </c>
      <c r="J6">
        <f>o_x-c_x/2</f>
        <v/>
      </c>
      <c r="K6">
        <f>c_y/2</f>
        <v/>
      </c>
      <c r="M6">
        <f>IF(AND(uls_ok,punch_any,u_gov_closed),(o_x+c_x/2)+(a_gov)*0.891007,NA())</f>
        <v/>
      </c>
      <c r="N6">
        <f>IF(AND(uls_ok,punch_any,u_gov_closed),(c_y/2)+(a_gov)*0.453990,NA())</f>
        <v/>
      </c>
      <c r="BL6">
        <f>-L_f/2</f>
        <v/>
      </c>
      <c r="BM6">
        <f>h_f</f>
        <v/>
      </c>
      <c r="BO6">
        <f>o_x+c_x/2</f>
        <v/>
      </c>
      <c r="BP6">
        <f>h_f+MAX(D_s,0.5*h_f)+0.15*h_f</f>
        <v/>
      </c>
      <c r="BX6">
        <f>IF(uls_ok,g_sg*L_f/2,NA())</f>
        <v/>
      </c>
      <c r="BY6">
        <f>IF(uls_ok,-(0.22*L_f/MAX(q_Ed,1))*q_Ed,NA())</f>
        <v/>
      </c>
    </row>
    <row r="7">
      <c r="A7">
        <f>-L_f/2</f>
        <v/>
      </c>
      <c r="B7">
        <f>-B_f/2</f>
        <v/>
      </c>
      <c r="J7">
        <f>o_x-c_x/2</f>
        <v/>
      </c>
      <c r="K7">
        <f>-c_y/2</f>
        <v/>
      </c>
      <c r="M7">
        <f>IF(AND(uls_ok,punch_any,u_gov_closed),(o_x+c_x/2)+(a_gov)*0.809017,NA())</f>
        <v/>
      </c>
      <c r="N7">
        <f>IF(AND(uls_ok,punch_any,u_gov_closed),(c_y/2)+(a_gov)*0.587785,NA())</f>
        <v/>
      </c>
      <c r="BL7">
        <f>-L_f/2</f>
        <v/>
      </c>
      <c r="BM7">
        <f>0</f>
        <v/>
      </c>
      <c r="BX7">
        <f>IF(uls_ok,g_sg*L_f/2,NA())</f>
        <v/>
      </c>
      <c r="BY7">
        <f>IF(uls_ok,0,NA())</f>
        <v/>
      </c>
    </row>
    <row r="8">
      <c r="M8">
        <f>IF(AND(uls_ok,punch_any,u_gov_closed),(o_x+c_x/2)+(a_gov)*0.707107,NA())</f>
        <v/>
      </c>
      <c r="N8">
        <f>IF(AND(uls_ok,punch_any,u_gov_closed),(c_y/2)+(a_gov)*0.707107,NA())</f>
        <v/>
      </c>
      <c r="BX8">
        <f>IF(uls_ok,-g_sg*L_f/2,NA())</f>
        <v/>
      </c>
      <c r="BY8">
        <f>IF(uls_ok,0,NA())</f>
        <v/>
      </c>
    </row>
    <row r="9">
      <c r="M9">
        <f>IF(AND(uls_ok,punch_any,u_gov_closed),(o_x+c_x/2)+(a_gov)*0.587785,NA())</f>
        <v/>
      </c>
      <c r="N9">
        <f>IF(AND(uls_ok,punch_any,u_gov_closed),(c_y/2)+(a_gov)*0.809017,NA())</f>
        <v/>
      </c>
    </row>
    <row r="10">
      <c r="M10">
        <f>IF(AND(uls_ok,punch_any,u_gov_closed),(o_x+c_x/2)+(a_gov)*0.453990,NA())</f>
        <v/>
      </c>
      <c r="N10">
        <f>IF(AND(uls_ok,punch_any,u_gov_closed),(c_y/2)+(a_gov)*0.891007,NA())</f>
        <v/>
      </c>
    </row>
    <row r="11">
      <c r="M11">
        <f>IF(AND(uls_ok,punch_any,u_gov_closed),(o_x+c_x/2)+(a_gov)*0.309017,NA())</f>
        <v/>
      </c>
      <c r="N11">
        <f>IF(AND(uls_ok,punch_any,u_gov_closed),(c_y/2)+(a_gov)*0.951057,NA())</f>
        <v/>
      </c>
    </row>
    <row r="12">
      <c r="M12">
        <f>IF(AND(uls_ok,punch_any,u_gov_closed),(o_x+c_x/2)+(a_gov)*0.156434,NA())</f>
        <v/>
      </c>
      <c r="N12">
        <f>IF(AND(uls_ok,punch_any,u_gov_closed),(c_y/2)+(a_gov)*0.987688,NA())</f>
        <v/>
      </c>
    </row>
    <row r="13">
      <c r="M13">
        <f>IF(AND(uls_ok,punch_any,u_gov_closed),(o_x+c_x/2)+(a_gov)*0.000000,NA())</f>
        <v/>
      </c>
      <c r="N13">
        <f>IF(AND(uls_ok,punch_any,u_gov_closed),(c_y/2)+(a_gov)*1.000000,NA())</f>
        <v/>
      </c>
    </row>
    <row r="14">
      <c r="M14">
        <f>IF(AND(uls_ok,punch_any,u_gov_closed),(o_x-c_x/2)+(a_gov)*0.000000,NA())</f>
        <v/>
      </c>
      <c r="N14">
        <f>IF(AND(uls_ok,punch_any,u_gov_closed),(c_y/2)+(a_gov)*1.000000,NA())</f>
        <v/>
      </c>
    </row>
    <row r="15">
      <c r="M15">
        <f>IF(AND(uls_ok,punch_any,u_gov_closed),(o_x-c_x/2)+(a_gov)*-0.156434,NA())</f>
        <v/>
      </c>
      <c r="N15">
        <f>IF(AND(uls_ok,punch_any,u_gov_closed),(c_y/2)+(a_gov)*0.987688,NA())</f>
        <v/>
      </c>
    </row>
    <row r="16">
      <c r="M16">
        <f>IF(AND(uls_ok,punch_any,u_gov_closed),(o_x-c_x/2)+(a_gov)*-0.309017,NA())</f>
        <v/>
      </c>
      <c r="N16">
        <f>IF(AND(uls_ok,punch_any,u_gov_closed),(c_y/2)+(a_gov)*0.951057,NA())</f>
        <v/>
      </c>
    </row>
    <row r="17">
      <c r="M17">
        <f>IF(AND(uls_ok,punch_any,u_gov_closed),(o_x-c_x/2)+(a_gov)*-0.453990,NA())</f>
        <v/>
      </c>
      <c r="N17">
        <f>IF(AND(uls_ok,punch_any,u_gov_closed),(c_y/2)+(a_gov)*0.891007,NA())</f>
        <v/>
      </c>
    </row>
    <row r="18">
      <c r="M18">
        <f>IF(AND(uls_ok,punch_any,u_gov_closed),(o_x-c_x/2)+(a_gov)*-0.587785,NA())</f>
        <v/>
      </c>
      <c r="N18">
        <f>IF(AND(uls_ok,punch_any,u_gov_closed),(c_y/2)+(a_gov)*0.809017,NA())</f>
        <v/>
      </c>
    </row>
    <row r="19">
      <c r="M19">
        <f>IF(AND(uls_ok,punch_any,u_gov_closed),(o_x-c_x/2)+(a_gov)*-0.707107,NA())</f>
        <v/>
      </c>
      <c r="N19">
        <f>IF(AND(uls_ok,punch_any,u_gov_closed),(c_y/2)+(a_gov)*0.707107,NA())</f>
        <v/>
      </c>
    </row>
    <row r="20">
      <c r="M20">
        <f>IF(AND(uls_ok,punch_any,u_gov_closed),(o_x-c_x/2)+(a_gov)*-0.809017,NA())</f>
        <v/>
      </c>
      <c r="N20">
        <f>IF(AND(uls_ok,punch_any,u_gov_closed),(c_y/2)+(a_gov)*0.587785,NA())</f>
        <v/>
      </c>
    </row>
    <row r="21">
      <c r="M21">
        <f>IF(AND(uls_ok,punch_any,u_gov_closed),(o_x-c_x/2)+(a_gov)*-0.891007,NA())</f>
        <v/>
      </c>
      <c r="N21">
        <f>IF(AND(uls_ok,punch_any,u_gov_closed),(c_y/2)+(a_gov)*0.453990,NA())</f>
        <v/>
      </c>
    </row>
    <row r="22">
      <c r="M22">
        <f>IF(AND(uls_ok,punch_any,u_gov_closed),(o_x-c_x/2)+(a_gov)*-0.951057,NA())</f>
        <v/>
      </c>
      <c r="N22">
        <f>IF(AND(uls_ok,punch_any,u_gov_closed),(c_y/2)+(a_gov)*0.309017,NA())</f>
        <v/>
      </c>
    </row>
    <row r="23">
      <c r="M23">
        <f>IF(AND(uls_ok,punch_any,u_gov_closed),(o_x-c_x/2)+(a_gov)*-0.987688,NA())</f>
        <v/>
      </c>
      <c r="N23">
        <f>IF(AND(uls_ok,punch_any,u_gov_closed),(c_y/2)+(a_gov)*0.156434,NA())</f>
        <v/>
      </c>
    </row>
    <row r="24">
      <c r="M24">
        <f>IF(AND(uls_ok,punch_any,u_gov_closed),(o_x-c_x/2)+(a_gov)*-1.000000,NA())</f>
        <v/>
      </c>
      <c r="N24">
        <f>IF(AND(uls_ok,punch_any,u_gov_closed),(c_y/2)+(a_gov)*0.000000,NA())</f>
        <v/>
      </c>
    </row>
    <row r="25">
      <c r="M25">
        <f>IF(AND(uls_ok,punch_any,u_gov_closed),(o_x-c_x/2)+(a_gov)*-1.000000,NA())</f>
        <v/>
      </c>
      <c r="N25">
        <f>IF(AND(uls_ok,punch_any,u_gov_closed),(-c_y/2)+(a_gov)*0.000000,NA())</f>
        <v/>
      </c>
    </row>
    <row r="26">
      <c r="M26">
        <f>IF(AND(uls_ok,punch_any,u_gov_closed),(o_x-c_x/2)+(a_gov)*-0.987688,NA())</f>
        <v/>
      </c>
      <c r="N26">
        <f>IF(AND(uls_ok,punch_any,u_gov_closed),(-c_y/2)+(a_gov)*-0.156434,NA())</f>
        <v/>
      </c>
    </row>
    <row r="27">
      <c r="M27">
        <f>IF(AND(uls_ok,punch_any,u_gov_closed),(o_x-c_x/2)+(a_gov)*-0.951057,NA())</f>
        <v/>
      </c>
      <c r="N27">
        <f>IF(AND(uls_ok,punch_any,u_gov_closed),(-c_y/2)+(a_gov)*-0.309017,NA())</f>
        <v/>
      </c>
    </row>
    <row r="28">
      <c r="M28">
        <f>IF(AND(uls_ok,punch_any,u_gov_closed),(o_x-c_x/2)+(a_gov)*-0.891007,NA())</f>
        <v/>
      </c>
      <c r="N28">
        <f>IF(AND(uls_ok,punch_any,u_gov_closed),(-c_y/2)+(a_gov)*-0.453990,NA())</f>
        <v/>
      </c>
    </row>
    <row r="29">
      <c r="M29">
        <f>IF(AND(uls_ok,punch_any,u_gov_closed),(o_x-c_x/2)+(a_gov)*-0.809017,NA())</f>
        <v/>
      </c>
      <c r="N29">
        <f>IF(AND(uls_ok,punch_any,u_gov_closed),(-c_y/2)+(a_gov)*-0.587785,NA())</f>
        <v/>
      </c>
    </row>
    <row r="30">
      <c r="M30">
        <f>IF(AND(uls_ok,punch_any,u_gov_closed),(o_x-c_x/2)+(a_gov)*-0.707107,NA())</f>
        <v/>
      </c>
      <c r="N30">
        <f>IF(AND(uls_ok,punch_any,u_gov_closed),(-c_y/2)+(a_gov)*-0.707107,NA())</f>
        <v/>
      </c>
    </row>
    <row r="31">
      <c r="M31">
        <f>IF(AND(uls_ok,punch_any,u_gov_closed),(o_x-c_x/2)+(a_gov)*-0.587785,NA())</f>
        <v/>
      </c>
      <c r="N31">
        <f>IF(AND(uls_ok,punch_any,u_gov_closed),(-c_y/2)+(a_gov)*-0.809017,NA())</f>
        <v/>
      </c>
    </row>
    <row r="32">
      <c r="M32">
        <f>IF(AND(uls_ok,punch_any,u_gov_closed),(o_x-c_x/2)+(a_gov)*-0.453990,NA())</f>
        <v/>
      </c>
      <c r="N32">
        <f>IF(AND(uls_ok,punch_any,u_gov_closed),(-c_y/2)+(a_gov)*-0.891007,NA())</f>
        <v/>
      </c>
    </row>
    <row r="33">
      <c r="M33">
        <f>IF(AND(uls_ok,punch_any,u_gov_closed),(o_x-c_x/2)+(a_gov)*-0.309017,NA())</f>
        <v/>
      </c>
      <c r="N33">
        <f>IF(AND(uls_ok,punch_any,u_gov_closed),(-c_y/2)+(a_gov)*-0.951057,NA())</f>
        <v/>
      </c>
    </row>
    <row r="34">
      <c r="M34">
        <f>IF(AND(uls_ok,punch_any,u_gov_closed),(o_x-c_x/2)+(a_gov)*-0.156434,NA())</f>
        <v/>
      </c>
      <c r="N34">
        <f>IF(AND(uls_ok,punch_any,u_gov_closed),(-c_y/2)+(a_gov)*-0.987688,NA())</f>
        <v/>
      </c>
    </row>
    <row r="35">
      <c r="M35">
        <f>IF(AND(uls_ok,punch_any,u_gov_closed),(o_x-c_x/2)+(a_gov)*-0.000000,NA())</f>
        <v/>
      </c>
      <c r="N35">
        <f>IF(AND(uls_ok,punch_any,u_gov_closed),(-c_y/2)+(a_gov)*-1.000000,NA())</f>
        <v/>
      </c>
    </row>
    <row r="36">
      <c r="M36">
        <f>IF(AND(uls_ok,punch_any,u_gov_closed),(o_x+c_x/2)+(a_gov)*-0.000000,NA())</f>
        <v/>
      </c>
      <c r="N36">
        <f>IF(AND(uls_ok,punch_any,u_gov_closed),(-c_y/2)+(a_gov)*-1.000000,NA())</f>
        <v/>
      </c>
    </row>
    <row r="37">
      <c r="M37">
        <f>IF(AND(uls_ok,punch_any,u_gov_closed),(o_x+c_x/2)+(a_gov)*0.156434,NA())</f>
        <v/>
      </c>
      <c r="N37">
        <f>IF(AND(uls_ok,punch_any,u_gov_closed),(-c_y/2)+(a_gov)*-0.987688,NA())</f>
        <v/>
      </c>
    </row>
    <row r="38">
      <c r="M38">
        <f>IF(AND(uls_ok,punch_any,u_gov_closed),(o_x+c_x/2)+(a_gov)*0.309017,NA())</f>
        <v/>
      </c>
      <c r="N38">
        <f>IF(AND(uls_ok,punch_any,u_gov_closed),(-c_y/2)+(a_gov)*-0.951057,NA())</f>
        <v/>
      </c>
    </row>
    <row r="39">
      <c r="M39">
        <f>IF(AND(uls_ok,punch_any,u_gov_closed),(o_x+c_x/2)+(a_gov)*0.453990,NA())</f>
        <v/>
      </c>
      <c r="N39">
        <f>IF(AND(uls_ok,punch_any,u_gov_closed),(-c_y/2)+(a_gov)*-0.891007,NA())</f>
        <v/>
      </c>
    </row>
    <row r="40">
      <c r="M40">
        <f>IF(AND(uls_ok,punch_any,u_gov_closed),(o_x+c_x/2)+(a_gov)*0.587785,NA())</f>
        <v/>
      </c>
      <c r="N40">
        <f>IF(AND(uls_ok,punch_any,u_gov_closed),(-c_y/2)+(a_gov)*-0.809017,NA())</f>
        <v/>
      </c>
    </row>
    <row r="41">
      <c r="M41">
        <f>IF(AND(uls_ok,punch_any,u_gov_closed),(o_x+c_x/2)+(a_gov)*0.707107,NA())</f>
        <v/>
      </c>
      <c r="N41">
        <f>IF(AND(uls_ok,punch_any,u_gov_closed),(-c_y/2)+(a_gov)*-0.707107,NA())</f>
        <v/>
      </c>
    </row>
    <row r="42">
      <c r="M42">
        <f>IF(AND(uls_ok,punch_any,u_gov_closed),(o_x+c_x/2)+(a_gov)*0.809017,NA())</f>
        <v/>
      </c>
      <c r="N42">
        <f>IF(AND(uls_ok,punch_any,u_gov_closed),(-c_y/2)+(a_gov)*-0.587785,NA())</f>
        <v/>
      </c>
    </row>
    <row r="43">
      <c r="M43">
        <f>IF(AND(uls_ok,punch_any,u_gov_closed),(o_x+c_x/2)+(a_gov)*0.891007,NA())</f>
        <v/>
      </c>
      <c r="N43">
        <f>IF(AND(uls_ok,punch_any,u_gov_closed),(-c_y/2)+(a_gov)*-0.453990,NA())</f>
        <v/>
      </c>
    </row>
    <row r="44">
      <c r="M44">
        <f>IF(AND(uls_ok,punch_any,u_gov_closed),(o_x+c_x/2)+(a_gov)*0.951057,NA())</f>
        <v/>
      </c>
      <c r="N44">
        <f>IF(AND(uls_ok,punch_any,u_gov_closed),(-c_y/2)+(a_gov)*-0.309017,NA())</f>
        <v/>
      </c>
    </row>
    <row r="45">
      <c r="M45">
        <f>IF(AND(uls_ok,punch_any,u_gov_closed),(o_x+c_x/2)+(a_gov)*0.987688,NA())</f>
        <v/>
      </c>
      <c r="N45">
        <f>IF(AND(uls_ok,punch_any,u_gov_closed),(-c_y/2)+(a_gov)*-0.156434,NA())</f>
        <v/>
      </c>
    </row>
    <row r="46">
      <c r="M46">
        <f>IF(AND(uls_ok,punch_any,u_gov_closed),(o_x+c_x/2)+(a_gov)*1.000000,NA())</f>
        <v/>
      </c>
      <c r="N46">
        <f>IF(AND(uls_ok,punch_any,u_gov_closed),(-c_y/2)+(a_gov)*-0.000000,NA())</f>
        <v/>
      </c>
    </row>
    <row r="47">
      <c r="M47">
        <f>IF(AND(uls_ok,punch_any,u_gov_closed),(o_x+c_x/2)+(a_gov)*1.000000,NA())</f>
        <v/>
      </c>
      <c r="N47">
        <f>IF(AND(uls_ok,punch_any,u_gov_closed),(c_y/2)+(a_gov)*0.000000,NA())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4"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5" t="inlineStr">
        <is>
          <t>Parameter</t>
        </is>
      </c>
      <c r="C5" s="55" t="inlineStr">
        <is>
          <t>Clause</t>
        </is>
      </c>
      <c r="D5" s="55" t="inlineStr">
        <is>
          <t>UK NA</t>
        </is>
      </c>
      <c r="E5" s="55" t="inlineStr">
        <is>
          <t>PL NA</t>
        </is>
      </c>
      <c r="F5" s="55" t="inlineStr">
        <is>
          <t>Notes</t>
        </is>
      </c>
    </row>
    <row r="6">
      <c r="B6" s="56" t="inlineStr">
        <is>
          <t>Partial factor, concrete  γc</t>
        </is>
      </c>
      <c r="C6" s="57" t="inlineStr">
        <is>
          <t>2.4.2.4(1)</t>
        </is>
      </c>
      <c r="D6" s="58" t="n">
        <v>1.5</v>
      </c>
      <c r="E6" s="58" t="n">
        <v>1.4</v>
      </c>
      <c r="F6" s="57" t="inlineStr">
        <is>
          <t>Persistent &amp; transient. UK NA: recommended; PL: NA.2, Table NA.2</t>
        </is>
      </c>
    </row>
    <row r="7">
      <c r="B7" s="56" t="inlineStr">
        <is>
          <t>Partial factor, reinforcement  γs</t>
        </is>
      </c>
      <c r="C7" s="57" t="inlineStr">
        <is>
          <t>2.4.2.4(1)</t>
        </is>
      </c>
      <c r="D7" s="58" t="n">
        <v>1.15</v>
      </c>
      <c r="E7" s="58" t="n">
        <v>1.15</v>
      </c>
      <c r="F7" s="57" t="inlineStr">
        <is>
          <t>UK NA: recommended; PL: NA.2, Table NA.2</t>
        </is>
      </c>
    </row>
    <row r="8">
      <c r="B8" s="56" t="inlineStr">
        <is>
          <t>αcc  (compression in flexure / axial)</t>
        </is>
      </c>
      <c r="C8" s="57" t="inlineStr">
        <is>
          <t>3.1.6(1)</t>
        </is>
      </c>
      <c r="D8" s="58" t="n">
        <v>0.85</v>
      </c>
      <c r="E8" s="58" t="n">
        <v>1</v>
      </c>
      <c r="F8" s="57" t="inlineStr">
        <is>
          <t>UK NA: 0.85; PL: recommended (NA.9)</t>
        </is>
      </c>
    </row>
    <row r="9">
      <c r="B9" s="56" t="inlineStr">
        <is>
          <t>αcc,pl  (plain concrete, compression)</t>
        </is>
      </c>
      <c r="C9" s="57" t="inlineStr">
        <is>
          <t>12.3.1(1)</t>
        </is>
      </c>
      <c r="D9" s="58" t="n">
        <v>0.6</v>
      </c>
      <c r="E9" s="58" t="n">
        <v>0.8</v>
      </c>
      <c r="F9" s="57" t="inlineStr">
        <is>
          <t>UK NA Table NA.1: 0.6; PL: recommended (NA.9)</t>
        </is>
      </c>
    </row>
    <row r="10">
      <c r="B10" s="56" t="inlineStr">
        <is>
          <t>αcc  (shear and punching)</t>
        </is>
      </c>
      <c r="C10" s="57" t="inlineStr">
        <is>
          <t>3.1.6(1)</t>
        </is>
      </c>
      <c r="D10" s="58" t="n">
        <v>1</v>
      </c>
      <c r="E10" s="58" t="n">
        <v>1</v>
      </c>
      <c r="F10" s="57" t="inlineStr">
        <is>
          <t>UK NA: 1.0 for other phenomena; PL: recommended (NA.9)</t>
        </is>
      </c>
    </row>
    <row r="11">
      <c r="B11" s="56" t="inlineStr">
        <is>
          <t>αct  (design tensile strength)</t>
        </is>
      </c>
      <c r="C11" s="57" t="inlineStr">
        <is>
          <t>3.1.6(2)</t>
        </is>
      </c>
      <c r="D11" s="58" t="n">
        <v>1</v>
      </c>
      <c r="E11" s="58" t="n">
        <v>1</v>
      </c>
      <c r="F11" s="57" t="inlineStr">
        <is>
          <t>Recommended value in both annexes</t>
        </is>
      </c>
    </row>
    <row r="12">
      <c r="B12" s="56" t="inlineStr">
        <is>
          <t>CRd,c numerator  (CRd,c = value / γc)</t>
        </is>
      </c>
      <c r="C12" s="57" t="inlineStr">
        <is>
          <t>6.2.2(1), 6.4.4(1)</t>
        </is>
      </c>
      <c r="D12" s="58" t="n">
        <v>0.18</v>
      </c>
      <c r="E12" s="58" t="n">
        <v>0.18</v>
      </c>
      <c r="F12" s="57" t="inlineStr">
        <is>
          <t>Recommended value in both annexes</t>
        </is>
      </c>
    </row>
    <row r="13">
      <c r="B13" s="56" t="inlineStr">
        <is>
          <t>k1  (axial stress term, punching)</t>
        </is>
      </c>
      <c r="C13" s="57" t="inlineStr">
        <is>
          <t>6.4.4(1)</t>
        </is>
      </c>
      <c r="D13" s="58" t="n">
        <v>0.1</v>
      </c>
      <c r="E13" s="58" t="n">
        <v>0.1</v>
      </c>
      <c r="F13" s="57" t="inlineStr">
        <is>
          <t>Recommended value in both annexes</t>
        </is>
      </c>
    </row>
    <row r="14">
      <c r="B14" s="56" t="inlineStr">
        <is>
          <t>vRd,max factor  (vRd,max = factor · ν · fcd)</t>
        </is>
      </c>
      <c r="C14" s="57" t="inlineStr">
        <is>
          <t>6.4.5(3)</t>
        </is>
      </c>
      <c r="D14" s="58" t="n">
        <v>0.5</v>
      </c>
      <c r="E14" s="58" t="n">
        <v>0.4</v>
      </c>
      <c r="F14" s="57" t="inlineStr">
        <is>
          <t>UK NA: 0.5 ν fcd; PL: recommended value (NA.9), 0.4 ν fcd since EN 1992-1-1 AC:2010 (PN-EN 1992-1-1:2008/AC:2011)</t>
        </is>
      </c>
    </row>
    <row r="15">
      <c r="B15" s="56" t="inlineStr">
        <is>
          <t>kmax  (vEd ≤ kmax · vRd,c at u1)</t>
        </is>
      </c>
      <c r="C15" s="57" t="inlineStr">
        <is>
          <t>6.4.5</t>
        </is>
      </c>
      <c r="D15" s="58" t="n">
        <v>2</v>
      </c>
      <c r="E15" s="58" t="n">
        <v>1.5</v>
      </c>
      <c r="F15" s="57" t="inlineStr">
        <is>
          <t>UK NA 6.4.5(3): 2 vRd,c. PL: no limit in PN-EN 1992-1-1:2008; 1.5 (A1:2014 recommendation) applied conservatively</t>
        </is>
      </c>
    </row>
    <row r="16">
      <c r="B16" s="56" t="inlineStr">
        <is>
          <t>φlarge  (large bar threshold, mm)</t>
        </is>
      </c>
      <c r="C16" s="57" t="inlineStr">
        <is>
          <t>8.8(1)</t>
        </is>
      </c>
      <c r="D16" s="58" t="n">
        <v>40</v>
      </c>
      <c r="E16" s="58" t="n">
        <v>32</v>
      </c>
      <c r="F16" s="57" t="inlineStr">
        <is>
          <t>UK NA: 40 mm; PL: 32 mm recommended (NA.9)</t>
        </is>
      </c>
    </row>
    <row r="17">
      <c r="B17" s="56" t="inlineStr">
        <is>
          <t>cot θ upper limit  (variable strut)</t>
        </is>
      </c>
      <c r="C17" s="57" t="inlineStr">
        <is>
          <t>6.2.3(2)</t>
        </is>
      </c>
      <c r="D17" s="58" t="n">
        <v>2.5</v>
      </c>
      <c r="E17" s="58" t="n">
        <v>2</v>
      </c>
      <c r="F17" s="57" t="inlineStr">
        <is>
          <t>UK NA: 2.5 (1.25 with axial tension); PL: NA.4, 1 ≤ cot θ ≤ 2.0</t>
        </is>
      </c>
    </row>
    <row r="18">
      <c r="B18" s="56" t="inlineStr">
        <is>
          <t>k1  (x/d limit, δ ≥ k1 + k2 xu/d)</t>
        </is>
      </c>
      <c r="C18" s="57" t="inlineStr">
        <is>
          <t>5.5(4)</t>
        </is>
      </c>
      <c r="D18" s="58" t="n">
        <v>0.4</v>
      </c>
      <c r="E18" s="58" t="n">
        <v>0.44</v>
      </c>
      <c r="F18" s="57" t="inlineStr">
        <is>
          <t>UK NA for fyk ≤ 500 MPa; PL: recommended (NA.9)</t>
        </is>
      </c>
    </row>
    <row r="19">
      <c r="B19" s="56" t="inlineStr">
        <is>
          <t>k2  (x/d limit, εcu2 = 0.0035)</t>
        </is>
      </c>
      <c r="C19" s="57" t="inlineStr">
        <is>
          <t>5.5(4)</t>
        </is>
      </c>
      <c r="D19" s="58" t="n">
        <v>1</v>
      </c>
      <c r="E19" s="58" t="n">
        <v>1.25</v>
      </c>
      <c r="F19" s="57" t="inlineStr">
        <is>
          <t>UK NA: 0.6 + 0.0014/εcu2; PL: 1.25(0.6 + 0.0014/εcu2)</t>
        </is>
      </c>
    </row>
    <row r="20">
      <c r="B20" s="56" t="inlineStr">
        <is>
          <t>Upper limit on the (310/σs) factor  (0 = none)</t>
        </is>
      </c>
      <c r="C20" s="57" t="inlineStr">
        <is>
          <t>7.4.2(2)</t>
        </is>
      </c>
      <c r="D20" s="58" t="n">
        <v>1.5</v>
      </c>
      <c r="E20" s="58" t="n">
        <v>0</v>
      </c>
      <c r="F20" s="57" t="inlineStr">
        <is>
          <t>UK NA Table NA.5 Note 5: (310/σs) or (500/fyk)(As,prov/As,req) ≤ 1.5; PL: none</t>
        </is>
      </c>
    </row>
    <row r="21">
      <c r="B21" s="56" t="inlineStr">
        <is>
          <t>L/d not to exceed 40 K  (1 = applies)</t>
        </is>
      </c>
      <c r="C21" s="57" t="inlineStr">
        <is>
          <t>7.4.2(2)</t>
        </is>
      </c>
      <c r="D21" s="58" t="n">
        <v>1</v>
      </c>
      <c r="E21" s="58" t="n">
        <v>0</v>
      </c>
      <c r="F21" s="57" t="inlineStr">
        <is>
          <t>UK NA Table NA.5 Note 6; not in EN text</t>
        </is>
      </c>
    </row>
    <row r="22">
      <c r="B22" s="56" t="inlineStr">
        <is>
          <t>φmin  (longitudinal bars in columns, mm)</t>
        </is>
      </c>
      <c r="C22" s="57" t="inlineStr">
        <is>
          <t>9.5.2(1)</t>
        </is>
      </c>
      <c r="D22" s="58" t="n">
        <v>12</v>
      </c>
      <c r="E22" s="58" t="n">
        <v>6</v>
      </c>
      <c r="F22" s="57" t="inlineStr">
        <is>
          <t>UK NA: 12 mm; PL: NA.6, 6 mm</t>
        </is>
      </c>
    </row>
    <row r="23">
      <c r="B23" s="56" t="inlineStr">
        <is>
          <t>k3  (crack spacing)</t>
        </is>
      </c>
      <c r="C23" s="57" t="inlineStr">
        <is>
          <t>7.3.4(3)</t>
        </is>
      </c>
      <c r="D23" s="58" t="n">
        <v>3.4</v>
      </c>
      <c r="E23" s="58" t="n">
        <v>3.4</v>
      </c>
      <c r="F23" s="57" t="inlineStr">
        <is>
          <t>Recommended value in both annexes</t>
        </is>
      </c>
    </row>
    <row r="24">
      <c r="B24" s="56" t="inlineStr">
        <is>
          <t>k4  (crack spacing)</t>
        </is>
      </c>
      <c r="C24" s="57" t="inlineStr">
        <is>
          <t>7.3.4(3)</t>
        </is>
      </c>
      <c r="D24" s="58" t="n">
        <v>0.425</v>
      </c>
      <c r="E24" s="58" t="n">
        <v>0.425</v>
      </c>
      <c r="F24" s="57" t="inlineStr">
        <is>
          <t>Recommended value in both annexes</t>
        </is>
      </c>
    </row>
    <row r="25">
      <c r="B25" s="56" t="inlineStr">
        <is>
          <t>k1  (concrete stress, characteristic; XD, XF, XS)</t>
        </is>
      </c>
      <c r="C25" s="57" t="inlineStr">
        <is>
          <t>7.2(2)</t>
        </is>
      </c>
      <c r="D25" s="58" t="n">
        <v>0.6</v>
      </c>
      <c r="E25" s="58" t="n">
        <v>1</v>
      </c>
      <c r="F25" s="57" t="inlineStr">
        <is>
          <t>UK NA: recommended; PL: NA.5, k1 = 1.0</t>
        </is>
      </c>
    </row>
    <row r="26">
      <c r="B26" s="56" t="inlineStr">
        <is>
          <t>k2  (concrete stress, quasi-permanent; linear creep)</t>
        </is>
      </c>
      <c r="C26" s="57" t="inlineStr">
        <is>
          <t>7.2(3)</t>
        </is>
      </c>
      <c r="D26" s="58" t="n">
        <v>0.45</v>
      </c>
      <c r="E26" s="58" t="n">
        <v>0.45</v>
      </c>
      <c r="F26" s="57" t="inlineStr">
        <is>
          <t>Recommended value in both annexes (UK NA; PL NA.9)</t>
        </is>
      </c>
    </row>
    <row r="27">
      <c r="B27" s="56" t="inlineStr">
        <is>
          <t>k3  (steel stress, characteristic)</t>
        </is>
      </c>
      <c r="C27" s="57" t="inlineStr">
        <is>
          <t>7.2(5)</t>
        </is>
      </c>
      <c r="D27" s="58" t="n">
        <v>0.8</v>
      </c>
      <c r="E27" s="58" t="n">
        <v>0.8</v>
      </c>
      <c r="F27" s="57" t="inlineStr">
        <is>
          <t>Recommended value in both annexes (UK NA; PL NA.9)</t>
        </is>
      </c>
    </row>
    <row r="28">
      <c r="B28" s="56" t="inlineStr">
        <is>
          <t>k4  (steel stress, imposed deformation)</t>
        </is>
      </c>
      <c r="C28" s="57" t="inlineStr">
        <is>
          <t>7.2(5)</t>
        </is>
      </c>
      <c r="D28" s="58" t="n">
        <v>1</v>
      </c>
      <c r="E28" s="58" t="n">
        <v>1</v>
      </c>
      <c r="F28" s="57"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&amp;K8A8A8ANAE-RC-006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NAE-RC-006 Pad footing</dc:title>
  <dc:subject xmlns:dc="http://purl.org/dc/elements/1.1/">Reinforced concrete foundations  ·  EN 1992-1-1 §6.2, §6.4.4, §9.8  ·  UK NA / PN-EN</dc:subject>
  <dcterms:created xmlns:dcterms="http://purl.org/dc/terms/" xmlns:xsi="http://www.w3.org/2001/XMLSchema-instance" xsi:type="dcterms:W3CDTF">2026-10-30T10:58:36Z</dcterms:created>
  <dcterms:modified xmlns:dcterms="http://purl.org/dc/terms/" xmlns:xsi="http://www.w3.org/2001/XMLSchema-instance" xsi:type="dcterms:W3CDTF">2026-10-30T10:58:36Z</dcterms:modified>
  <cp:lastModifiedBy>NA Engineering sp. z o.o.</cp:lastModifiedBy>
  <cp:keywords>NA Engineering; Eurocode 2; EN 1992-1-1</cp:keywords>
</cp:coreProperties>
</file>