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system">'Calculation'!$E$14</definedName>
    <definedName name="l_eff">'Calculation'!$E$15</definedName>
    <definedName name="d_eff">'Calculation'!$E$16</definedName>
    <definedName name="b_w">'Calculation'!$E$17</definedName>
    <definedName name="b_eff">'Calculation'!$E$18</definedName>
    <definedName name="As_req">'Calculation'!$E$19</definedName>
    <definedName name="As_prov">'Calculation'!$E$20</definedName>
    <definedName name="As2_req">'Calculation'!$E$21</definedName>
    <definedName name="partitions">'Calculation'!$E$22</definedName>
    <definedName name="inputs_ok">IFERROR(AND(OR(NA_sel="UK NA (BS EN)",NA_sel="PL NA (PN-EN)"),OR(conc_class="C20/25",conc_class="C25/30",conc_class="C28/35",conc_class="C30/37",conc_class="C32/40",conc_class="C35/45",conc_class="C40/50",conc_class="C45/55",conc_class="C50/60"),ISNUMBER(f_yk),f_yk&gt;0,OR(system="Simply supported",system="End span",system="Interior span",system="Flat slab",system="Cantilever"),ISNUMBER(l_eff),l_eff&gt;0,ISNUMBER(d_eff),d_eff&gt;0,ISNUMBER(b_w),b_w&gt;0,ISNUMBER(b_eff),b_eff&gt;0,ISNUMBER(As_req),As_req&gt;0,ISNUMBER(As_prov),As_prov&gt;0,ISNUMBER(As2_req),As2_req&gt;=0,OR(partitions="Yes",partitions="No"),AND(f_yk&gt;=400,f_yk&lt;=500,b_eff&gt;=b_w,As2_req&lt;As_req,As_prov&gt;=As_req)),FALSE)</definedName>
    <definedName name="input_status">'Calculation'!$G$23</definedName>
    <definedName name="defl_status">'Calculation'!$G$44</definedName>
    <definedName name="ld_mod_max">'Calculation'!$E$48</definedName>
    <definedName name="ld_cap_40K">'Calculation'!$E$49</definedName>
    <definedName name="f_ck">'Calculation'!$E$50</definedName>
    <definedName name="f_ctm">'Calculation'!$E$51</definedName>
    <definedName name="sys_idx">'Calculation'!$E$52</definedName>
    <definedName name="K_sys">'Calculation'!$E$53</definedName>
    <definedName name="rho_0">'Calculation'!$E$54</definedName>
    <definedName name="rho_t">'Calculation'!$E$55</definedName>
    <definedName name="rho_c">'Calculation'!$E$56</definedName>
    <definedName name="ld_basic">'Calculation'!$E$57</definedName>
    <definedName name="F_1">'Calculation'!$E$58</definedName>
    <definedName name="F_2">'Calculation'!$E$59</definedName>
    <definedName name="F_3">'Calculation'!$E$60</definedName>
    <definedName name="ld_allow">'Calculation'!$E$61</definedName>
    <definedName name="ld_actual">'Calculation'!$E$62</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'Calculation'!$A$1:$H$66</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00"/>
    <numFmt numFmtId="167"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2"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2" fontId="12" fillId="0" borderId="1" applyAlignment="1" pivotButton="0" quotePrefix="0" xfId="0">
      <alignment horizontal="center" vertical="center"/>
    </xf>
    <xf numFmtId="167"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member</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next span left</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'Geometry'!$D$3:$D$4</f>
            </numRef>
          </xVal>
          <yVal>
            <numRef>
              <f>'Geometry'!$E$3:$E$4</f>
            </numRef>
          </yVal>
          <smooth val="0"/>
        </ser>
        <ser>
          <idx val="2"/>
          <order val="2"/>
          <tx>
            <v>next span right</v>
          </tx>
          <spPr>
            <a:ln xmlns:a="http://schemas.openxmlformats.org/drawingml/2006/main" w="19050">
              <a:solidFill>
                <a:srgbClr val="9A9A9A"/>
              </a:solidFill>
              <a:prstDash val="dash"/>
            </a:ln>
          </spPr>
          <marker>
            <symbol val="none"/>
            <spPr>
              <a:ln xmlns:a="http://schemas.openxmlformats.org/drawingml/2006/main">
                <a:prstDash val="solid"/>
              </a:ln>
            </spPr>
          </marker>
          <xVal>
            <numRef>
              <f>'Geometry'!$G$3:$G$4</f>
            </numRef>
          </xVal>
          <yVal>
            <numRef>
              <f>'Geometry'!$H$3:$H$4</f>
            </numRef>
          </yVal>
          <smooth val="0"/>
        </ser>
        <ser>
          <idx val="3"/>
          <order val="3"/>
          <tx>
            <v>support left</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column left</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support right</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'Geometry'!$P$3:$P$6</f>
            </numRef>
          </xVal>
          <yVal>
            <numRef>
              <f>'Geometry'!$Q$3:$Q$6</f>
            </numRef>
          </yVal>
          <smooth val="0"/>
        </ser>
        <ser>
          <idx val="6"/>
          <order val="6"/>
          <tx>
            <v>column right</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'Geometry'!$S$3:$S$6</f>
            </numRef>
          </xVal>
          <yVal>
            <numRef>
              <f>'Geometry'!$T$3:$T$6</f>
            </numRef>
          </yVal>
          <smooth val="0"/>
        </ser>
        <ser>
          <idx val="7"/>
          <order val="7"/>
          <tx>
            <v>wall</v>
          </tx>
          <spPr>
            <a:ln xmlns:a="http://schemas.openxmlformats.org/drawingml/2006/main" w="50800">
              <a:solidFill>
                <a:srgbClr val="2B2B2B"/>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deflected OK</v>
          </tx>
          <spPr>
            <a:ln xmlns:a="http://schemas.openxmlformats.org/drawingml/2006/main" w="15875">
              <a:solidFill>
                <a:srgbClr val="5B7F8A"/>
              </a:solidFill>
              <a:prstDash val="dash"/>
            </a:ln>
          </spPr>
          <marker>
            <symbol val="none"/>
            <spPr>
              <a:ln xmlns:a="http://schemas.openxmlformats.org/drawingml/2006/main">
                <a:prstDash val="solid"/>
              </a:ln>
            </spPr>
          </marker>
          <xVal>
            <numRef>
              <f>'Geometry'!$Y$3:$Y$27</f>
            </numRef>
          </xVal>
          <yVal>
            <numRef>
              <f>'Geometry'!$Z$3:$Z$27</f>
            </numRef>
          </yVal>
          <smooth val="0"/>
        </ser>
        <ser>
          <idx val="9"/>
          <order val="9"/>
          <tx>
            <v>deflected FAIL</v>
          </tx>
          <spPr>
            <a:ln xmlns:a="http://schemas.openxmlformats.org/drawingml/2006/main" w="15875">
              <a:solidFill>
                <a:srgbClr val="B3261E"/>
              </a:solidFill>
              <a:prstDash val="dash"/>
            </a:ln>
          </spPr>
          <marker>
            <symbol val="none"/>
            <spPr>
              <a:ln xmlns:a="http://schemas.openxmlformats.org/drawingml/2006/main">
                <a:prstDash val="solid"/>
              </a:ln>
            </spPr>
          </marker>
          <xVal>
            <numRef>
              <f>'Geometry'!$AB$3:$AB$27</f>
            </numRef>
          </xVal>
          <yVal>
            <numRef>
              <f>'Geometry'!$AC$3:$AC$27</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'Geometry'!$AH$3</f>
            </numRef>
          </xVal>
          <yVal>
            <numRef>
              <f>'Geometry'!$AI$3</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'Geometry'!$AN$3</f>
            </numRef>
          </xVal>
          <yVal>
            <numRef>
              <f>'Geometry'!$AO$3</f>
            </numRef>
          </yVal>
          <smooth val="0"/>
        </ser>
        <ser>
          <idx val="14"/>
          <order val="14"/>
          <tx>
            <v>frame</v>
          </tx>
          <spPr>
            <a:ln xmlns:a="http://schemas.openxmlformats.org/drawingml/2006/main">
              <a:noFill/>
              <a:prstDash val="solid"/>
            </a:ln>
          </spPr>
          <marker>
            <symbol val="none"/>
            <spPr>
              <a:ln xmlns:a="http://schemas.openxmlformats.org/drawingml/2006/main">
                <a:prstDash val="solid"/>
              </a:ln>
            </spPr>
          </marker>
          <xVal>
            <numRef>
              <f>'Geometry'!$AQ$3:$AQ$4</f>
            </numRef>
          </xVal>
          <yVal>
            <numRef>
              <f>'Geometry'!$AR$3:$AR$4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25</row>
      <rowOff>0</rowOff>
    </from>
    <ext cx="4185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Deflection  ·  span / depth</t>
        </is>
      </c>
    </row>
    <row r="8" ht="20" customHeight="1">
      <c r="B8" s="4" t="inlineStr">
        <is>
          <t>Beams and slabs  ·  EN 1992-1-1 §7.4.2  ·  UK NA / PN-EN</t>
        </is>
      </c>
    </row>
    <row r="10">
      <c r="B10" s="5" t="inlineStr">
        <is>
          <t>Reference</t>
        </is>
      </c>
      <c r="C10" s="6" t="inlineStr">
        <is>
          <t>NAE-RC-005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33" customHeight="1">
      <c r="B16" s="7" t="inlineStr">
        <is>
          <t>Deflection control without direct calculation: the limiting span/effective depth ratio of 7.4.2 for beams and slabs, modified for steel stress, flanged sections and long spans, compared with the actual span/depth ratio.</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76.5" customHeight="1">
      <c r="B22" s="7" t="inlineStr">
        <is>
          <t>Reinforced (not prestressed) beams and slabs without significant axial compression. The basic ratio uses Expressions (7.16a) and (7.16b) with K from Table 7.4N (UK NA Table NA.5). For two-way slabs use the shorter span; for flat slabs the longer span (UK NA Table NA.5, Note 2). The method does not cover early striking or construction loads above the design load; calculate deflections in those cases.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Deflection calculations.
•  The Concrete Centre, RC Spreadsheets v4, TCC11 Element Design and TCC31 One-way slabs (licensed products) can be used as an independent cross-check.
•  The Concrete Society, TR58 Deflections in concrete slabs and beams.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&amp;K8A8A8ANAE-RC-005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65"/>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Deflection  ·  span / depth</t>
        </is>
      </c>
      <c r="H2" s="1" t="n"/>
    </row>
    <row r="3" ht="16" customHeight="1">
      <c r="A3" s="1" t="n"/>
      <c r="B3" s="1" t="n"/>
      <c r="C3" s="15" t="inlineStr">
        <is>
          <t>NAE-RC-005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Table 7.4N</t>
        </is>
      </c>
      <c r="C14" s="24" t="inlineStr">
        <is>
          <t>Structural system</t>
        </is>
      </c>
      <c r="D14" s="23" t="n"/>
      <c r="E14" s="25" t="inlineStr">
        <is>
          <t>End span</t>
        </is>
      </c>
      <c r="F14" s="23" t="n"/>
      <c r="G14" s="23" t="n"/>
    </row>
    <row r="15" ht="17" customHeight="1">
      <c r="B15" s="26" t="inlineStr">
        <is>
          <t>5.3.2.2</t>
        </is>
      </c>
      <c r="C15" s="24" t="inlineStr">
        <is>
          <t>Effective span</t>
        </is>
      </c>
      <c r="D15" s="27" t="inlineStr">
        <is>
          <r>
            <rPr>
              <rFont val="Calibri"/>
              <i val="1"/>
              <color rgb="002B2B2B"/>
              <sz val="10"/>
            </rPr>
            <t>l</t>
          </r>
          <r>
            <rPr>
              <rFont val="Calibri"/>
              <i val="1"/>
              <color rgb="002B2B2B"/>
              <sz val="10"/>
              <vertAlign val="subscript"/>
            </rPr>
            <t>eff</t>
          </r>
        </is>
      </c>
      <c r="E15" s="29" t="n">
        <v>7.5</v>
      </c>
      <c r="F15" s="28" t="inlineStr">
        <is>
          <t>m</t>
        </is>
      </c>
      <c r="G15" s="26" t="inlineStr">
        <is>
          <t>Flat slab: longer span</t>
        </is>
      </c>
    </row>
    <row r="16" ht="17" customHeight="1">
      <c r="B16" s="23" t="n"/>
      <c r="C16" s="24" t="inlineStr">
        <is>
          <t>Effective depth</t>
        </is>
      </c>
      <c r="D16" s="27" t="inlineStr">
        <is>
          <r>
            <rPr>
              <rFont val="Calibri"/>
              <i val="1"/>
              <color rgb="002B2B2B"/>
              <sz val="10"/>
            </rPr>
            <t>d</t>
          </r>
        </is>
      </c>
      <c r="E16" s="30" t="n">
        <v>220</v>
      </c>
      <c r="F16" s="28" t="inlineStr">
        <is>
          <t>mm</t>
        </is>
      </c>
      <c r="G16" s="23" t="n"/>
    </row>
    <row r="17" ht="17" customHeight="1">
      <c r="B17" s="23" t="n"/>
      <c r="C17" s="24" t="inlineStr">
        <is>
          <t>Width of web / slab strip</t>
        </is>
      </c>
      <c r="D17" s="27" t="inlineStr">
        <is>
          <r>
            <rPr>
              <rFont val="Calibri"/>
              <i val="1"/>
              <color rgb="002B2B2B"/>
              <sz val="10"/>
            </rPr>
            <t>b</t>
          </r>
        </is>
      </c>
      <c r="E17" s="30" t="n">
        <v>1000</v>
      </c>
      <c r="F17" s="28" t="inlineStr">
        <is>
          <t>mm</t>
        </is>
      </c>
      <c r="G17" s="23" t="n"/>
    </row>
    <row r="18" ht="17" customHeight="1">
      <c r="B18" s="26" t="inlineStr">
        <is>
          <t>7.4.2(2)</t>
        </is>
      </c>
      <c r="C18" s="24" t="inlineStr">
        <is>
          <t>Effective flange width (= b if rectangular)</t>
        </is>
      </c>
      <c r="D18" s="27" t="inlineStr">
        <is>
          <r>
            <rPr>
              <rFont val="Calibri"/>
              <i val="1"/>
              <color rgb="002B2B2B"/>
              <sz val="10"/>
            </rPr>
            <t>b</t>
          </r>
          <r>
            <rPr>
              <rFont val="Calibri"/>
              <i val="1"/>
              <color rgb="002B2B2B"/>
              <sz val="10"/>
              <vertAlign val="subscript"/>
            </rPr>
            <t>eff</t>
          </r>
        </is>
      </c>
      <c r="E18" s="30" t="n">
        <v>1000</v>
      </c>
      <c r="F18" s="28" t="inlineStr">
        <is>
          <t>mm</t>
        </is>
      </c>
      <c r="G18" s="23" t="n"/>
    </row>
    <row r="19" ht="17" customHeight="1">
      <c r="B19" s="23" t="n"/>
      <c r="C19" s="24" t="inlineStr">
        <is>
          <t>ULS tension reinforcement required, mid-span (support: cantilever)</t>
        </is>
      </c>
      <c r="D19" s="27" t="inlineStr">
        <is>
          <r>
            <rPr>
              <rFont val="Calibri"/>
              <i val="1"/>
              <color rgb="002B2B2B"/>
              <sz val="10"/>
            </rPr>
            <t>A</t>
          </r>
          <r>
            <rPr>
              <rFont val="Calibri"/>
              <i val="1"/>
              <color rgb="002B2B2B"/>
              <sz val="10"/>
              <vertAlign val="subscript"/>
            </rPr>
            <t>s,req</t>
          </r>
        </is>
      </c>
      <c r="E19" s="30" t="n">
        <v>1050</v>
      </c>
      <c r="F19" s="28" t="inlineStr">
        <is>
          <t>mm²</t>
        </is>
      </c>
      <c r="G19" s="26" t="inlineStr">
        <is>
          <t>Same section and width b</t>
        </is>
      </c>
    </row>
    <row r="20" ht="17" customHeight="1">
      <c r="B20" s="23" t="n"/>
      <c r="C20" s="24" t="inlineStr">
        <is>
          <t>Tension reinforcement provided at the same section</t>
        </is>
      </c>
      <c r="D20" s="27" t="inlineStr">
        <is>
          <r>
            <rPr>
              <rFont val="Calibri"/>
              <i val="1"/>
              <color rgb="002B2B2B"/>
              <sz val="10"/>
            </rPr>
            <t>A</t>
          </r>
          <r>
            <rPr>
              <rFont val="Calibri"/>
              <i val="1"/>
              <color rgb="002B2B2B"/>
              <sz val="10"/>
              <vertAlign val="subscript"/>
            </rPr>
            <t>s,prov</t>
          </r>
        </is>
      </c>
      <c r="E20" s="30" t="n">
        <v>1131</v>
      </c>
      <c r="F20" s="28" t="inlineStr">
        <is>
          <t>mm²</t>
        </is>
      </c>
      <c r="G20" s="26" t="inlineStr">
        <is>
          <t>≥ As,req</t>
        </is>
      </c>
    </row>
    <row r="21" ht="17" customHeight="1">
      <c r="B21" s="23" t="n"/>
      <c r="C21" s="24" t="inlineStr">
        <is>
          <t>ULS compression reinforcement required</t>
        </is>
      </c>
      <c r="D21" s="27" t="inlineStr">
        <is>
          <r>
            <rPr>
              <rFont val="Calibri"/>
              <i val="1"/>
              <color rgb="002B2B2B"/>
              <sz val="10"/>
            </rPr>
            <t>A</t>
          </r>
          <r>
            <rPr>
              <rFont val="Calibri"/>
              <i val="1"/>
              <color rgb="002B2B2B"/>
              <sz val="10"/>
              <vertAlign val="subscript"/>
            </rPr>
            <t>s2,req</t>
          </r>
        </is>
      </c>
      <c r="E21" s="30" t="n">
        <v>0</v>
      </c>
      <c r="F21" s="28" t="inlineStr">
        <is>
          <t>mm²</t>
        </is>
      </c>
      <c r="G21" s="23" t="n"/>
    </row>
    <row r="22" ht="17" customHeight="1">
      <c r="B22" s="26" t="inlineStr">
        <is>
          <t>7.4.2(2)</t>
        </is>
      </c>
      <c r="C22" s="24" t="inlineStr">
        <is>
          <t>Supports partitions or finishes liable to damage?</t>
        </is>
      </c>
      <c r="D22" s="23" t="n"/>
      <c r="E22" s="25" t="inlineStr">
        <is>
          <t>Yes</t>
        </is>
      </c>
      <c r="F22" s="23" t="n"/>
      <c r="G22" s="26" t="inlineStr">
        <is>
          <t>Long-span factor F2</t>
        </is>
      </c>
    </row>
    <row r="23" ht="17" customHeight="1">
      <c r="B23" s="23" t="n"/>
      <c r="C23" s="24" t="inlineStr">
        <is>
          <t>Inputs valid and consistent</t>
        </is>
      </c>
      <c r="D23" s="23" t="n"/>
      <c r="E23" s="9" t="n"/>
      <c r="F23" s="23" t="n"/>
      <c r="G23" s="31">
        <f>IF(inputs_ok,"OK","FAIL")</f>
        <v/>
      </c>
    </row>
    <row r="25">
      <c r="B25" s="32" t="inlineStr">
        <is>
          <t>Your member, span and depth to scale  ·  the deflected shape grows with actual ÷ allowable l/d</t>
        </is>
      </c>
    </row>
    <row r="42" ht="22" customHeight="1">
      <c r="B42" s="20" t="inlineStr">
        <is>
          <t>Results</t>
        </is>
      </c>
      <c r="C42" s="21" t="n"/>
      <c r="D42" s="21" t="n"/>
      <c r="E42" s="21" t="n"/>
      <c r="F42" s="21" t="n"/>
      <c r="G42" s="21" t="n"/>
    </row>
    <row r="43" ht="26" customHeight="1">
      <c r="B43" s="33" t="n"/>
      <c r="C43" s="34" t="inlineStr">
        <is>
          <t>Allowable span / effective depth</t>
        </is>
      </c>
      <c r="D43" s="35" t="inlineStr">
        <is>
          <r>
            <rPr>
              <rFont val="Calibri"/>
              <i val="1"/>
              <color rgb="002B2B2B"/>
              <sz val="11"/>
            </rPr>
            <t>l/d</t>
          </r>
          <r>
            <rPr>
              <rFont val="Calibri"/>
              <i val="1"/>
              <color rgb="002B2B2B"/>
              <sz val="11"/>
              <vertAlign val="subscript"/>
            </rPr>
            <t>lim</t>
          </r>
        </is>
      </c>
      <c r="E43" s="36">
        <f>IF(inputs_ok,ld_allow,"–")</f>
        <v/>
      </c>
      <c r="F43" s="37" t="inlineStr"/>
      <c r="G43" s="33" t="n"/>
    </row>
    <row r="44" ht="26" customHeight="1">
      <c r="B44" s="33" t="n"/>
      <c r="C44" s="34" t="inlineStr">
        <is>
          <t>Actual span / effective depth</t>
        </is>
      </c>
      <c r="D44" s="35" t="inlineStr">
        <is>
          <r>
            <rPr>
              <rFont val="Calibri"/>
              <i val="1"/>
              <color rgb="002B2B2B"/>
              <sz val="11"/>
            </rPr>
            <t>l/d</t>
          </r>
        </is>
      </c>
      <c r="E44" s="36">
        <f>ld_actual</f>
        <v/>
      </c>
      <c r="F44" s="37" t="inlineStr"/>
      <c r="G44" s="38">
        <f>IF(NOT(inputs_ok),"FAIL",IF(NOT(inputs_ok),"FAIL",IF(ld_actual&lt;=ld_allow,"OK","FAIL")))</f>
        <v/>
      </c>
    </row>
    <row r="45" ht="26" customHeight="1">
      <c r="B45" s="33" t="n"/>
      <c r="C45" s="34" t="inlineStr">
        <is>
          <t>Utilisation</t>
        </is>
      </c>
      <c r="D45" s="33" t="n"/>
      <c r="E45" s="39">
        <f>IF(inputs_ok,ld_actual/ld_allow,"–")</f>
        <v/>
      </c>
      <c r="F45" s="37" t="inlineStr"/>
      <c r="G45" s="33" t="n"/>
    </row>
    <row r="47" ht="22" customHeight="1">
      <c r="B47" s="20" t="inlineStr">
        <is>
          <t>Calculation</t>
        </is>
      </c>
      <c r="C47" s="21" t="n"/>
      <c r="D47" s="21" t="n"/>
      <c r="E47" s="21" t="n"/>
      <c r="F47" s="21" t="n"/>
      <c r="G47" s="21" t="n"/>
    </row>
    <row r="48" ht="17" customHeight="1">
      <c r="B48" s="26" t="inlineStr">
        <is>
          <t>7.4.2(2)</t>
        </is>
      </c>
      <c r="C48" s="24" t="inlineStr">
        <is>
          <t>Upper limit on the stress / area factor</t>
        </is>
      </c>
      <c r="D48" s="23" t="n"/>
      <c r="E48" s="40">
        <f>ndp_ld_mod_max</f>
        <v/>
      </c>
      <c r="F48" s="23" t="n"/>
      <c r="G48" s="26" t="inlineStr">
        <is>
          <t>NDP sheet</t>
        </is>
      </c>
    </row>
    <row r="49" ht="17" customHeight="1">
      <c r="B49" s="26" t="inlineStr">
        <is>
          <t>7.4.2(2)</t>
        </is>
      </c>
      <c r="C49" s="24" t="inlineStr">
        <is>
          <t>L/d ≤ 40K applies (1 = yes)</t>
        </is>
      </c>
      <c r="D49" s="23" t="n"/>
      <c r="E49" s="40">
        <f>ndp_ld_cap_40K</f>
        <v/>
      </c>
      <c r="F49" s="23" t="n"/>
      <c r="G49" s="26" t="inlineStr">
        <is>
          <t>NDP sheet</t>
        </is>
      </c>
    </row>
    <row r="50" ht="17" customHeight="1">
      <c r="B50" s="26" t="inlineStr">
        <is>
          <t>Table 3.1</t>
        </is>
      </c>
      <c r="C50" s="24" t="inlineStr">
        <is>
          <t>Characteristic cylinder strength</t>
        </is>
      </c>
      <c r="D50" s="27" t="inlineStr">
        <is>
          <r>
            <rPr>
              <rFont val="Calibri"/>
              <i val="1"/>
              <color rgb="002B2B2B"/>
              <sz val="10"/>
            </rPr>
            <t>f</t>
          </r>
          <r>
            <rPr>
              <rFont val="Calibri"/>
              <i val="1"/>
              <color rgb="002B2B2B"/>
              <sz val="10"/>
              <vertAlign val="subscript"/>
            </rPr>
            <t>ck</t>
          </r>
        </is>
      </c>
      <c r="E50" s="41">
        <f>VALUE(MID(conc_class,2,FIND("/",conc_class)-2))</f>
        <v/>
      </c>
      <c r="F50" s="28" t="inlineStr">
        <is>
          <t>MPa</t>
        </is>
      </c>
      <c r="G50" s="23" t="n"/>
    </row>
    <row r="51" ht="17" customHeight="1">
      <c r="B51" s="26" t="inlineStr">
        <is>
          <t>Table 3.1</t>
        </is>
      </c>
      <c r="C51" s="24" t="inlineStr">
        <is>
          <t>Mean tensile strength</t>
        </is>
      </c>
      <c r="D51" s="27" t="inlineStr">
        <is>
          <r>
            <rPr>
              <rFont val="Calibri"/>
              <i val="1"/>
              <color rgb="002B2B2B"/>
              <sz val="10"/>
            </rPr>
            <t>f</t>
          </r>
          <r>
            <rPr>
              <rFont val="Calibri"/>
              <i val="1"/>
              <color rgb="002B2B2B"/>
              <sz val="10"/>
              <vertAlign val="subscript"/>
            </rPr>
            <t>ctm</t>
          </r>
        </is>
      </c>
      <c r="E51" s="40">
        <f>IF(f_ck&lt;=50,0.3*f_ck^(2/3),2.12*LN(1+(f_ck+8)/10))</f>
        <v/>
      </c>
      <c r="F51" s="28" t="inlineStr">
        <is>
          <t>MPa</t>
        </is>
      </c>
      <c r="G51" s="23" t="n"/>
    </row>
    <row r="52" ht="17" customHeight="1">
      <c r="B52" s="23" t="n"/>
      <c r="C52" s="24" t="inlineStr">
        <is>
          <t>System index</t>
        </is>
      </c>
      <c r="D52" s="23" t="n"/>
      <c r="E52" s="41">
        <f>MATCH(system,{"Simply supported","End span","Interior span","Flat slab","Cantilever"},0)</f>
        <v/>
      </c>
      <c r="F52" s="23" t="n"/>
      <c r="G52" s="23" t="n"/>
    </row>
    <row r="53" ht="17" customHeight="1">
      <c r="B53" s="26" t="inlineStr">
        <is>
          <t>Table 7.4N</t>
        </is>
      </c>
      <c r="C53" s="24" t="inlineStr">
        <is>
          <t>Structural system factor</t>
        </is>
      </c>
      <c r="D53" s="27" t="inlineStr">
        <is>
          <r>
            <rPr>
              <rFont val="Calibri"/>
              <i val="1"/>
              <color rgb="002B2B2B"/>
              <sz val="10"/>
            </rPr>
            <t>K</t>
          </r>
        </is>
      </c>
      <c r="E53" s="42">
        <f>CHOOSE(sys_idx,1,1.3,1.5,1.2,0.4)</f>
        <v/>
      </c>
      <c r="F53" s="23" t="n"/>
      <c r="G53" s="23" t="n"/>
    </row>
    <row r="54" ht="17" customHeight="1">
      <c r="B54" s="26" t="inlineStr">
        <is>
          <t>(7.16)</t>
        </is>
      </c>
      <c r="C54" s="24" t="inlineStr">
        <is>
          <t>Reference reinforcement ratio  √fck · 10⁻³</t>
        </is>
      </c>
      <c r="D54" s="27" t="inlineStr">
        <is>
          <r>
            <rPr>
              <rFont val="Calibri"/>
              <i val="1"/>
              <color rgb="002B2B2B"/>
              <sz val="10"/>
            </rPr>
            <t>ρ</t>
          </r>
          <r>
            <rPr>
              <rFont val="Calibri"/>
              <i val="1"/>
              <color rgb="002B2B2B"/>
              <sz val="10"/>
              <vertAlign val="subscript"/>
            </rPr>
            <t>0</t>
          </r>
        </is>
      </c>
      <c r="E54" s="43">
        <f>SQRT(f_ck)/1000</f>
        <v/>
      </c>
      <c r="F54" s="23" t="n"/>
      <c r="G54" s="23" t="n"/>
    </row>
    <row r="55" ht="17" customHeight="1">
      <c r="B55" s="26" t="inlineStr">
        <is>
          <t>(7.16)</t>
        </is>
      </c>
      <c r="C55" s="24" t="inlineStr">
        <is>
          <t>Required tension reinforcement ratio  As,req / (b d)</t>
        </is>
      </c>
      <c r="D55" s="27" t="inlineStr">
        <is>
          <r>
            <rPr>
              <rFont val="Calibri"/>
              <i val="1"/>
              <color rgb="002B2B2B"/>
              <sz val="10"/>
            </rPr>
            <t>ρ</t>
          </r>
        </is>
      </c>
      <c r="E55" s="43">
        <f>As_req/(b_w*d_eff)</f>
        <v/>
      </c>
      <c r="F55" s="23" t="n"/>
      <c r="G55" s="26" t="inlineStr">
        <is>
          <t>b = web width (EN 7.4.2(2))</t>
        </is>
      </c>
    </row>
    <row r="56" ht="17" customHeight="1">
      <c r="B56" s="26" t="inlineStr">
        <is>
          <t>(7.16)</t>
        </is>
      </c>
      <c r="C56" s="24" t="inlineStr">
        <is>
          <t>Required compression reinforcement ratio</t>
        </is>
      </c>
      <c r="D56" s="27" t="inlineStr">
        <is>
          <r>
            <rPr>
              <rFont val="Calibri"/>
              <i val="1"/>
              <color rgb="002B2B2B"/>
              <sz val="10"/>
            </rPr>
            <t>ρ'</t>
          </r>
        </is>
      </c>
      <c r="E56" s="43">
        <f>As2_req/(b_w*d_eff)</f>
        <v/>
      </c>
      <c r="F56" s="23" t="n"/>
      <c r="G56" s="23" t="n"/>
    </row>
    <row r="57" ht="17" customHeight="1">
      <c r="B57" s="26" t="inlineStr">
        <is>
          <t>(7.16a), (7.16b)</t>
        </is>
      </c>
      <c r="C57" s="24" t="inlineStr">
        <is>
          <t>Basic span / effective depth ratio</t>
        </is>
      </c>
      <c r="D57" s="27" t="inlineStr">
        <is>
          <r>
            <rPr>
              <rFont val="Calibri"/>
              <i val="1"/>
              <color rgb="002B2B2B"/>
              <sz val="10"/>
            </rPr>
            <t>l/d</t>
          </r>
          <r>
            <rPr>
              <rFont val="Calibri"/>
              <i val="1"/>
              <color rgb="002B2B2B"/>
              <sz val="10"/>
              <vertAlign val="subscript"/>
            </rPr>
            <t>basic</t>
          </r>
        </is>
      </c>
      <c r="E57" s="44">
        <f>IF(OR(NOT(inputs_ok),rho_t&lt;=rho_c),NA(),K_sys*IF(rho_t&lt;=rho_0,11+1.5*SQRT(f_ck)*rho_0/rho_t+3.2*SQRT(f_ck)*(rho_0/rho_t-1)^1.5,11+1.5*SQRT(f_ck)*rho_0/(rho_t-rho_c)+SQRT(f_ck)/12*SQRT(rho_c/rho_0)))</f>
        <v/>
      </c>
      <c r="F57" s="23" t="n"/>
      <c r="G57" s="23" t="n"/>
    </row>
    <row r="58" ht="17" customHeight="1">
      <c r="B58" s="26" t="inlineStr">
        <is>
          <t>7.4.2(2)</t>
        </is>
      </c>
      <c r="C58" s="24" t="inlineStr">
        <is>
          <t>Flanged sections: 0.8 if beff / bw &gt; 3</t>
        </is>
      </c>
      <c r="D58" s="27" t="inlineStr">
        <is>
          <r>
            <rPr>
              <rFont val="Calibri"/>
              <i val="1"/>
              <color rgb="002B2B2B"/>
              <sz val="10"/>
            </rPr>
            <t>F</t>
          </r>
          <r>
            <rPr>
              <rFont val="Calibri"/>
              <i val="1"/>
              <color rgb="002B2B2B"/>
              <sz val="10"/>
              <vertAlign val="subscript"/>
            </rPr>
            <t>1</t>
          </r>
        </is>
      </c>
      <c r="E58" s="40">
        <f>IF(b_eff/b_w&gt;3,0.8,1)</f>
        <v/>
      </c>
      <c r="F58" s="23" t="n"/>
      <c r="G58" s="23" t="n"/>
    </row>
    <row r="59" ht="17" customHeight="1">
      <c r="B59" s="26" t="inlineStr">
        <is>
          <t>7.4.2(2)</t>
        </is>
      </c>
      <c r="C59" s="24" t="inlineStr">
        <is>
          <t>Long spans with brittle partitions: 7/leff (&gt; 7 m), flat 8.5/leff</t>
        </is>
      </c>
      <c r="D59" s="27" t="inlineStr">
        <is>
          <r>
            <rPr>
              <rFont val="Calibri"/>
              <i val="1"/>
              <color rgb="002B2B2B"/>
              <sz val="10"/>
            </rPr>
            <t>F</t>
          </r>
          <r>
            <rPr>
              <rFont val="Calibri"/>
              <i val="1"/>
              <color rgb="002B2B2B"/>
              <sz val="10"/>
              <vertAlign val="subscript"/>
            </rPr>
            <t>2</t>
          </r>
        </is>
      </c>
      <c r="E59" s="45">
        <f>IF(partitions="No",1,IF(sys_idx=4,IF(l_eff&gt;8.5,8.5/l_eff,1),IF(l_eff&gt;7,7/l_eff,1)))</f>
        <v/>
      </c>
      <c r="F59" s="23" t="n"/>
      <c r="G59" s="23" t="n"/>
    </row>
    <row r="60" ht="17" customHeight="1">
      <c r="B60" s="26" t="inlineStr">
        <is>
          <t>(7.17)</t>
        </is>
      </c>
      <c r="C60" s="24" t="inlineStr">
        <is>
          <t>Steel stress factor  (500/fyk)(As,prov/As,req)</t>
        </is>
      </c>
      <c r="D60" s="27" t="inlineStr">
        <is>
          <r>
            <rPr>
              <rFont val="Calibri"/>
              <i val="1"/>
              <color rgb="002B2B2B"/>
              <sz val="10"/>
            </rPr>
            <t>F</t>
          </r>
          <r>
            <rPr>
              <rFont val="Calibri"/>
              <i val="1"/>
              <color rgb="002B2B2B"/>
              <sz val="10"/>
              <vertAlign val="subscript"/>
            </rPr>
            <t>3</t>
          </r>
        </is>
      </c>
      <c r="E60" s="45">
        <f>IF(ld_mod_max&gt;0,MIN(ld_mod_max,500/f_yk*As_prov/As_req),500/f_yk*As_prov/As_req)</f>
        <v/>
      </c>
      <c r="F60" s="23" t="n"/>
      <c r="G60" s="26" t="inlineStr">
        <is>
          <t>UK NA: ≤ 1.5</t>
        </is>
      </c>
    </row>
    <row r="61" ht="17" customHeight="1">
      <c r="B61" s="26" t="inlineStr">
        <is>
          <t>7.4.2</t>
        </is>
      </c>
      <c r="C61" s="24" t="inlineStr">
        <is>
          <t>Allowable span / effective depth</t>
        </is>
      </c>
      <c r="D61" s="27" t="inlineStr">
        <is>
          <r>
            <rPr>
              <rFont val="Calibri"/>
              <i val="1"/>
              <color rgb="002B2B2B"/>
              <sz val="10"/>
            </rPr>
            <t>l/d</t>
          </r>
          <r>
            <rPr>
              <rFont val="Calibri"/>
              <i val="1"/>
              <color rgb="002B2B2B"/>
              <sz val="10"/>
              <vertAlign val="subscript"/>
            </rPr>
            <t>lim</t>
          </r>
        </is>
      </c>
      <c r="E61" s="44">
        <f>IF(ld_cap_40K=1,MIN(40*K_sys,ld_basic*F_1*F_2*F_3),ld_basic*F_1*F_2*F_3)</f>
        <v/>
      </c>
      <c r="F61" s="23" t="n"/>
      <c r="G61" s="26" t="inlineStr">
        <is>
          <t>UK NA: ≤ 40 K</t>
        </is>
      </c>
    </row>
    <row r="62" ht="17" customHeight="1">
      <c r="B62" s="23" t="n"/>
      <c r="C62" s="24" t="inlineStr">
        <is>
          <t>Actual span / effective depth</t>
        </is>
      </c>
      <c r="D62" s="27" t="inlineStr">
        <is>
          <r>
            <rPr>
              <rFont val="Calibri"/>
              <i val="1"/>
              <color rgb="002B2B2B"/>
              <sz val="10"/>
            </rPr>
            <t>l/d</t>
          </r>
        </is>
      </c>
      <c r="E62" s="44">
        <f>l_eff*1000/d_eff</f>
        <v/>
      </c>
      <c r="F62" s="23" t="n"/>
      <c r="G62" s="23" t="n"/>
    </row>
    <row r="63" ht="41.5" customHeight="1">
      <c r="B63" s="46" t="inlineStr">
        <is>
          <t>The (500/fyk)(As,prov/As,req) form of (7.17) assumes the characteristic SLS steel stress is proportional to fyk As,req/As,prov, with As,req the ULS requirement. Two-way slabs: shorter span; flat slabs: longer span. Deflections should be calculated where formwork is struck early or construction loads exceed the design load (UK NA Table NA.5, Note 4).</t>
        </is>
      </c>
    </row>
    <row r="65" ht="29" customHeight="1">
      <c r="B65"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63:G63"/>
    <mergeCell ref="B65:G65"/>
    <mergeCell ref="D2:G2"/>
    <mergeCell ref="E7:G7"/>
    <mergeCell ref="E6:G6"/>
    <mergeCell ref="C3:G3"/>
  </mergeCells>
  <conditionalFormatting sqref="G9:G66">
    <cfRule type="expression" priority="1" dxfId="0">
      <formula>G9="OK"</formula>
    </cfRule>
    <cfRule type="expression" priority="2" dxfId="1">
      <formula>G9="FAIL"</formula>
    </cfRule>
    <cfRule type="expression" priority="3" dxfId="2">
      <formula>LEFT(G9,1)="!"</formula>
    </cfRule>
  </conditionalFormatting>
  <dataValidations count="12">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"Simply supported,End span,Interior span,Flat slab,Cantilever"</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0" errorTitle="NA Engineering" error="Pick a value from the list." type="list" errorStyle="stop">
      <formula1>"Yes,No"</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&amp;K8A8A8ANAE-RC-005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R27"/>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member</t>
        </is>
      </c>
      <c r="D2" t="inlineStr">
        <is>
          <t>next span left</t>
        </is>
      </c>
      <c r="G2" t="inlineStr">
        <is>
          <t>next span right</t>
        </is>
      </c>
      <c r="J2" t="inlineStr">
        <is>
          <t>support left</t>
        </is>
      </c>
      <c r="M2" t="inlineStr">
        <is>
          <t>column left</t>
        </is>
      </c>
      <c r="P2" t="inlineStr">
        <is>
          <t>support right</t>
        </is>
      </c>
      <c r="S2" t="inlineStr">
        <is>
          <t>column right</t>
        </is>
      </c>
      <c r="V2" t="inlineStr">
        <is>
          <t>wall</t>
        </is>
      </c>
      <c r="Y2" t="inlineStr">
        <is>
          <t>deflected OK</t>
        </is>
      </c>
      <c r="AB2" t="inlineStr">
        <is>
          <t>deflected FAIL</t>
        </is>
      </c>
      <c r="AE2" t="inlineStr">
        <is>
          <t>dim</t>
        </is>
      </c>
      <c r="AH2">
        <f>"l = "&amp;TEXT(l_eff,"0.00")&amp;" m"</f>
        <v/>
      </c>
      <c r="AK2">
        <f>"d = "&amp;d_eff</f>
        <v/>
      </c>
      <c r="AN2">
        <f>IFERROR("l/d = "&amp;TEXT(ld_actual,"0.0")&amp;"   (allowable "&amp;TEXT(ld_allow,"0.0")&amp;")","")</f>
        <v/>
      </c>
      <c r="AQ2" t="inlineStr">
        <is>
          <t>frame</t>
        </is>
      </c>
    </row>
    <row r="3">
      <c r="A3">
        <f>0</f>
        <v/>
      </c>
      <c r="B3">
        <f>0</f>
        <v/>
      </c>
      <c r="D3">
        <f>IF(OR(sys_idx=3,sys_idx=4),0,NA())</f>
        <v/>
      </c>
      <c r="E3">
        <f>d_eff/2</f>
        <v/>
      </c>
      <c r="G3">
        <f>IF(OR(sys_idx=2,sys_idx=3,sys_idx=4),(l_eff*1000),NA())</f>
        <v/>
      </c>
      <c r="H3">
        <f>d_eff/2</f>
        <v/>
      </c>
      <c r="J3">
        <f>IF(sys_idx&lt;=3,0,NA())</f>
        <v/>
      </c>
      <c r="K3">
        <f>IF(sys_idx&lt;=3,0,NA())</f>
        <v/>
      </c>
      <c r="M3">
        <f>IF(sys_idx=4,0-0.6*(0.035*(l_eff*1000)),NA())</f>
        <v/>
      </c>
      <c r="N3">
        <f>IF(sys_idx=4,0,NA())</f>
        <v/>
      </c>
      <c r="P3">
        <f>IF(sys_idx&lt;=3,(l_eff*1000),NA())</f>
        <v/>
      </c>
      <c r="Q3">
        <f>IF(sys_idx&lt;=3,0,NA())</f>
        <v/>
      </c>
      <c r="S3">
        <f>IF(sys_idx=4,(l_eff*1000)-0.6*(0.035*(l_eff*1000)),NA())</f>
        <v/>
      </c>
      <c r="T3">
        <f>IF(sys_idx=4,0,NA())</f>
        <v/>
      </c>
      <c r="V3">
        <f>IF(sys_idx=5,0,NA())</f>
        <v/>
      </c>
      <c r="W3">
        <f>IF(sys_idx=5,-3*(0.035*(l_eff*1000)),NA())</f>
        <v/>
      </c>
      <c r="Y3">
        <f>0.000000*(l_eff*1000)</f>
        <v/>
      </c>
      <c r="Z3">
        <f>IF(IFERROR(ld_actual&lt;=ld_allow,FALSE),-0.05*(l_eff*1000)*MIN(1.6,ld_actual/ld_allow)*IF(sys_idx=5,0.000000,0.000000),NA())</f>
        <v/>
      </c>
      <c r="AB3">
        <f>0.000000*(l_eff*1000)</f>
        <v/>
      </c>
      <c r="AC3">
        <f>IF(IFERROR(ld_actual&gt;ld_allow,FALSE),-0.05*(l_eff*1000)*MIN(1.6,ld_actual/ld_allow)*IF(sys_idx=5,0.000000,0.000000),NA())</f>
        <v/>
      </c>
      <c r="AE3">
        <f>IF(TRUE,0,NA())</f>
        <v/>
      </c>
      <c r="AF3">
        <f>IF(TRUE,d_eff+3*(0.035*(l_eff*1000)),NA())</f>
        <v/>
      </c>
      <c r="AH3">
        <f>IF(TRUE,((0)+((l_eff*1000)))/2,NA())</f>
        <v/>
      </c>
      <c r="AI3">
        <f>IF(TRUE,((d_eff+3*(0.035*(l_eff*1000)))+(d_eff+3*(0.035*(l_eff*1000))))/2,NA())</f>
        <v/>
      </c>
      <c r="AK3">
        <f>0.15*(l_eff*1000)</f>
        <v/>
      </c>
      <c r="AL3">
        <f>d_eff</f>
        <v/>
      </c>
      <c r="AN3">
        <f>(l_eff*1000)/2</f>
        <v/>
      </c>
      <c r="AO3">
        <f>-0.1*(l_eff*1000)</f>
        <v/>
      </c>
      <c r="AQ3">
        <f>((-0.25*(l_eff*1000))+(1.25*(l_eff*1000)))/2-MAX((0.08*(l_eff*1000))-(-0.17*(l_eff*1000)),((1.25*(l_eff*1000))-(-0.25*(l_eff*1000)))/1.55)*0.58*1.55</f>
        <v/>
      </c>
      <c r="AR3">
        <f>((-0.17*(l_eff*1000))+(0.08*(l_eff*1000)))/2-MAX((0.08*(l_eff*1000))-(-0.17*(l_eff*1000)),((1.25*(l_eff*1000))-(-0.25*(l_eff*1000)))/1.55)*0.58</f>
        <v/>
      </c>
    </row>
    <row r="4">
      <c r="A4">
        <f>(l_eff*1000)</f>
        <v/>
      </c>
      <c r="B4">
        <f>0</f>
        <v/>
      </c>
      <c r="D4">
        <f>IF(OR(sys_idx=3,sys_idx=4),-0.22*(l_eff*1000),NA())</f>
        <v/>
      </c>
      <c r="E4">
        <f>d_eff/2</f>
        <v/>
      </c>
      <c r="G4">
        <f>IF(OR(sys_idx=2,sys_idx=3,sys_idx=4),1.22*(l_eff*1000),NA())</f>
        <v/>
      </c>
      <c r="H4">
        <f>d_eff/2</f>
        <v/>
      </c>
      <c r="J4">
        <f>IF(sys_idx&lt;=3,0-(0.035*(l_eff*1000)),NA())</f>
        <v/>
      </c>
      <c r="K4">
        <f>IF(sys_idx&lt;=3,-1.4*(0.035*(l_eff*1000)),NA())</f>
        <v/>
      </c>
      <c r="M4">
        <f>IF(sys_idx=4,0-0.6*(0.035*(l_eff*1000)),NA())</f>
        <v/>
      </c>
      <c r="N4">
        <f>IF(sys_idx=4,-3*(0.035*(l_eff*1000)),NA())</f>
        <v/>
      </c>
      <c r="P4">
        <f>IF(sys_idx&lt;=3,(l_eff*1000)-(0.035*(l_eff*1000)),NA())</f>
        <v/>
      </c>
      <c r="Q4">
        <f>IF(sys_idx&lt;=3,-1.4*(0.035*(l_eff*1000)),NA())</f>
        <v/>
      </c>
      <c r="S4">
        <f>IF(sys_idx=4,(l_eff*1000)-0.6*(0.035*(l_eff*1000)),NA())</f>
        <v/>
      </c>
      <c r="T4">
        <f>IF(sys_idx=4,-3*(0.035*(l_eff*1000)),NA())</f>
        <v/>
      </c>
      <c r="V4">
        <f>IF(sys_idx=5,0,NA())</f>
        <v/>
      </c>
      <c r="W4">
        <f>IF(sys_idx=5,d_eff+3*(0.035*(l_eff*1000)),NA())</f>
        <v/>
      </c>
      <c r="Y4">
        <f>0.041667*(l_eff*1000)</f>
        <v/>
      </c>
      <c r="Z4">
        <f>IF(IFERROR(ld_actual&lt;=ld_allow,FALSE),-0.05*(l_eff*1000)*MIN(1.6,ld_actual/ld_allow)*IF(sys_idx=5,0.002568,0.130526),NA())</f>
        <v/>
      </c>
      <c r="AB4">
        <f>0.041667*(l_eff*1000)</f>
        <v/>
      </c>
      <c r="AC4">
        <f>IF(IFERROR(ld_actual&gt;ld_allow,FALSE),-0.05*(l_eff*1000)*MIN(1.6,ld_actual/ld_allow)*IF(sys_idx=5,0.002568,0.130526),NA())</f>
        <v/>
      </c>
      <c r="AE4">
        <f>IF(TRUE,(l_eff*1000),NA())</f>
        <v/>
      </c>
      <c r="AF4">
        <f>IF(TRUE,d_eff+3*(0.035*(l_eff*1000)),NA())</f>
        <v/>
      </c>
      <c r="AQ4">
        <f>((-0.25*(l_eff*1000))+(1.25*(l_eff*1000)))/2+MAX((0.08*(l_eff*1000))-(-0.17*(l_eff*1000)),((1.25*(l_eff*1000))-(-0.25*(l_eff*1000)))/1.55)*0.58*1.55</f>
        <v/>
      </c>
      <c r="AR4">
        <f>((-0.17*(l_eff*1000))+(0.08*(l_eff*1000)))/2+MAX((0.08*(l_eff*1000))-(-0.17*(l_eff*1000)),((1.25*(l_eff*1000))-(-0.25*(l_eff*1000)))/1.55)*0.58</f>
        <v/>
      </c>
    </row>
    <row r="5">
      <c r="A5">
        <f>(l_eff*1000)</f>
        <v/>
      </c>
      <c r="B5">
        <f>d_eff</f>
        <v/>
      </c>
      <c r="J5">
        <f>IF(sys_idx&lt;=3,0+(0.035*(l_eff*1000)),NA())</f>
        <v/>
      </c>
      <c r="K5">
        <f>IF(sys_idx&lt;=3,-1.4*(0.035*(l_eff*1000)),NA())</f>
        <v/>
      </c>
      <c r="M5">
        <f>IF(sys_idx=4,0+0.6*(0.035*(l_eff*1000)),NA())</f>
        <v/>
      </c>
      <c r="N5">
        <f>IF(sys_idx=4,-3*(0.035*(l_eff*1000)),NA())</f>
        <v/>
      </c>
      <c r="P5">
        <f>IF(sys_idx&lt;=3,(l_eff*1000)+(0.035*(l_eff*1000)),NA())</f>
        <v/>
      </c>
      <c r="Q5">
        <f>IF(sys_idx&lt;=3,-1.4*(0.035*(l_eff*1000)),NA())</f>
        <v/>
      </c>
      <c r="S5">
        <f>IF(sys_idx=4,(l_eff*1000)+0.6*(0.035*(l_eff*1000)),NA())</f>
        <v/>
      </c>
      <c r="T5">
        <f>IF(sys_idx=4,-3*(0.035*(l_eff*1000)),NA())</f>
        <v/>
      </c>
      <c r="Y5">
        <f>0.083333*(l_eff*1000)</f>
        <v/>
      </c>
      <c r="Z5">
        <f>IF(IFERROR(ld_actual&lt;=ld_allow,FALSE),-0.05*(l_eff*1000)*MIN(1.6,ld_actual/ld_allow)*IF(sys_idx=5,0.010127,0.258819),NA())</f>
        <v/>
      </c>
      <c r="AB5">
        <f>0.083333*(l_eff*1000)</f>
        <v/>
      </c>
      <c r="AC5">
        <f>IF(IFERROR(ld_actual&gt;ld_allow,FALSE),-0.05*(l_eff*1000)*MIN(1.6,ld_actual/ld_allow)*IF(sys_idx=5,0.010127,0.258819),NA())</f>
        <v/>
      </c>
    </row>
    <row r="6">
      <c r="A6">
        <f>0</f>
        <v/>
      </c>
      <c r="B6">
        <f>d_eff</f>
        <v/>
      </c>
      <c r="J6">
        <f>IF(sys_idx&lt;=3,0,NA())</f>
        <v/>
      </c>
      <c r="K6">
        <f>IF(sys_idx&lt;=3,0,NA())</f>
        <v/>
      </c>
      <c r="M6">
        <f>IF(sys_idx=4,0+0.6*(0.035*(l_eff*1000)),NA())</f>
        <v/>
      </c>
      <c r="N6">
        <f>IF(sys_idx=4,0,NA())</f>
        <v/>
      </c>
      <c r="P6">
        <f>IF(sys_idx&lt;=3,(l_eff*1000),NA())</f>
        <v/>
      </c>
      <c r="Q6">
        <f>IF(sys_idx&lt;=3,0,NA())</f>
        <v/>
      </c>
      <c r="S6">
        <f>IF(sys_idx=4,(l_eff*1000)+0.6*(0.035*(l_eff*1000)),NA())</f>
        <v/>
      </c>
      <c r="T6">
        <f>IF(sys_idx=4,0,NA())</f>
        <v/>
      </c>
      <c r="Y6">
        <f>0.125000*(l_eff*1000)</f>
        <v/>
      </c>
      <c r="Z6">
        <f>IF(IFERROR(ld_actual&lt;=ld_allow,FALSE),-0.05*(l_eff*1000)*MIN(1.6,ld_actual/ld_allow)*IF(sys_idx=5,0.022461,0.382683),NA())</f>
        <v/>
      </c>
      <c r="AB6">
        <f>0.125000*(l_eff*1000)</f>
        <v/>
      </c>
      <c r="AC6">
        <f>IF(IFERROR(ld_actual&gt;ld_allow,FALSE),-0.05*(l_eff*1000)*MIN(1.6,ld_actual/ld_allow)*IF(sys_idx=5,0.022461,0.382683),NA())</f>
        <v/>
      </c>
    </row>
    <row r="7">
      <c r="A7">
        <f>0</f>
        <v/>
      </c>
      <c r="B7">
        <f>0</f>
        <v/>
      </c>
      <c r="Y7">
        <f>0.166667*(l_eff*1000)</f>
        <v/>
      </c>
      <c r="Z7">
        <f>IF(IFERROR(ld_actual&lt;=ld_allow,FALSE),-0.05*(l_eff*1000)*MIN(1.6,ld_actual/ld_allow)*IF(sys_idx=5,0.039352,0.500000),NA())</f>
        <v/>
      </c>
      <c r="AB7">
        <f>0.166667*(l_eff*1000)</f>
        <v/>
      </c>
      <c r="AC7">
        <f>IF(IFERROR(ld_actual&gt;ld_allow,FALSE),-0.05*(l_eff*1000)*MIN(1.6,ld_actual/ld_allow)*IF(sys_idx=5,0.039352,0.500000),NA())</f>
        <v/>
      </c>
    </row>
    <row r="8">
      <c r="Y8">
        <f>0.208333*(l_eff*1000)</f>
        <v/>
      </c>
      <c r="Z8">
        <f>IF(IFERROR(ld_actual&lt;=ld_allow,FALSE),-0.05*(l_eff*1000)*MIN(1.6,ld_actual/ld_allow)*IF(sys_idx=5,0.060583,0.608761),NA())</f>
        <v/>
      </c>
      <c r="AB8">
        <f>0.208333*(l_eff*1000)</f>
        <v/>
      </c>
      <c r="AC8">
        <f>IF(IFERROR(ld_actual&gt;ld_allow,FALSE),-0.05*(l_eff*1000)*MIN(1.6,ld_actual/ld_allow)*IF(sys_idx=5,0.060583,0.608761),NA())</f>
        <v/>
      </c>
    </row>
    <row r="9">
      <c r="Y9">
        <f>0.250000*(l_eff*1000)</f>
        <v/>
      </c>
      <c r="Z9">
        <f>IF(IFERROR(ld_actual&lt;=ld_allow,FALSE),-0.05*(l_eff*1000)*MIN(1.6,ld_actual/ld_allow)*IF(sys_idx=5,0.085938,0.707107),NA())</f>
        <v/>
      </c>
      <c r="AB9">
        <f>0.250000*(l_eff*1000)</f>
        <v/>
      </c>
      <c r="AC9">
        <f>IF(IFERROR(ld_actual&gt;ld_allow,FALSE),-0.05*(l_eff*1000)*MIN(1.6,ld_actual/ld_allow)*IF(sys_idx=5,0.085938,0.707107),NA())</f>
        <v/>
      </c>
    </row>
    <row r="10">
      <c r="Y10">
        <f>0.291667*(l_eff*1000)</f>
        <v/>
      </c>
      <c r="Z10">
        <f>IF(IFERROR(ld_actual&lt;=ld_allow,FALSE),-0.05*(l_eff*1000)*MIN(1.6,ld_actual/ld_allow)*IF(sys_idx=5,0.115198,0.793353),NA())</f>
        <v/>
      </c>
      <c r="AB10">
        <f>0.291667*(l_eff*1000)</f>
        <v/>
      </c>
      <c r="AC10">
        <f>IF(IFERROR(ld_actual&gt;ld_allow,FALSE),-0.05*(l_eff*1000)*MIN(1.6,ld_actual/ld_allow)*IF(sys_idx=5,0.115198,0.793353),NA())</f>
        <v/>
      </c>
    </row>
    <row r="11">
      <c r="Y11">
        <f>0.333333*(l_eff*1000)</f>
        <v/>
      </c>
      <c r="Z11">
        <f>IF(IFERROR(ld_actual&lt;=ld_allow,FALSE),-0.05*(l_eff*1000)*MIN(1.6,ld_actual/ld_allow)*IF(sys_idx=5,0.148148,0.866025),NA())</f>
        <v/>
      </c>
      <c r="AB11">
        <f>0.333333*(l_eff*1000)</f>
        <v/>
      </c>
      <c r="AC11">
        <f>IF(IFERROR(ld_actual&gt;ld_allow,FALSE),-0.05*(l_eff*1000)*MIN(1.6,ld_actual/ld_allow)*IF(sys_idx=5,0.148148,0.866025),NA())</f>
        <v/>
      </c>
    </row>
    <row r="12">
      <c r="Y12">
        <f>0.375000*(l_eff*1000)</f>
        <v/>
      </c>
      <c r="Z12">
        <f>IF(IFERROR(ld_actual&lt;=ld_allow,FALSE),-0.05*(l_eff*1000)*MIN(1.6,ld_actual/ld_allow)*IF(sys_idx=5,0.184570,0.923880),NA())</f>
        <v/>
      </c>
      <c r="AB12">
        <f>0.375000*(l_eff*1000)</f>
        <v/>
      </c>
      <c r="AC12">
        <f>IF(IFERROR(ld_actual&gt;ld_allow,FALSE),-0.05*(l_eff*1000)*MIN(1.6,ld_actual/ld_allow)*IF(sys_idx=5,0.184570,0.923880),NA())</f>
        <v/>
      </c>
    </row>
    <row r="13">
      <c r="Y13">
        <f>0.416667*(l_eff*1000)</f>
        <v/>
      </c>
      <c r="Z13">
        <f>IF(IFERROR(ld_actual&lt;=ld_allow,FALSE),-0.05*(l_eff*1000)*MIN(1.6,ld_actual/ld_allow)*IF(sys_idx=5,0.224248,0.965926),NA())</f>
        <v/>
      </c>
      <c r="AB13">
        <f>0.416667*(l_eff*1000)</f>
        <v/>
      </c>
      <c r="AC13">
        <f>IF(IFERROR(ld_actual&gt;ld_allow,FALSE),-0.05*(l_eff*1000)*MIN(1.6,ld_actual/ld_allow)*IF(sys_idx=5,0.224248,0.965926),NA())</f>
        <v/>
      </c>
    </row>
    <row r="14">
      <c r="Y14">
        <f>0.458333*(l_eff*1000)</f>
        <v/>
      </c>
      <c r="Z14">
        <f>IF(IFERROR(ld_actual&lt;=ld_allow,FALSE),-0.05*(l_eff*1000)*MIN(1.6,ld_actual/ld_allow)*IF(sys_idx=5,0.266963,0.991445),NA())</f>
        <v/>
      </c>
      <c r="AB14">
        <f>0.458333*(l_eff*1000)</f>
        <v/>
      </c>
      <c r="AC14">
        <f>IF(IFERROR(ld_actual&gt;ld_allow,FALSE),-0.05*(l_eff*1000)*MIN(1.6,ld_actual/ld_allow)*IF(sys_idx=5,0.266963,0.991445),NA())</f>
        <v/>
      </c>
    </row>
    <row r="15">
      <c r="Y15">
        <f>0.500000*(l_eff*1000)</f>
        <v/>
      </c>
      <c r="Z15">
        <f>IF(IFERROR(ld_actual&lt;=ld_allow,FALSE),-0.05*(l_eff*1000)*MIN(1.6,ld_actual/ld_allow)*IF(sys_idx=5,0.312500,1.000000),NA())</f>
        <v/>
      </c>
      <c r="AB15">
        <f>0.500000*(l_eff*1000)</f>
        <v/>
      </c>
      <c r="AC15">
        <f>IF(IFERROR(ld_actual&gt;ld_allow,FALSE),-0.05*(l_eff*1000)*MIN(1.6,ld_actual/ld_allow)*IF(sys_idx=5,0.312500,1.000000),NA())</f>
        <v/>
      </c>
    </row>
    <row r="16">
      <c r="Y16">
        <f>0.541667*(l_eff*1000)</f>
        <v/>
      </c>
      <c r="Z16">
        <f>IF(IFERROR(ld_actual&lt;=ld_allow,FALSE),-0.05*(l_eff*1000)*MIN(1.6,ld_actual/ld_allow)*IF(sys_idx=5,0.360641,0.991445),NA())</f>
        <v/>
      </c>
      <c r="AB16">
        <f>0.541667*(l_eff*1000)</f>
        <v/>
      </c>
      <c r="AC16">
        <f>IF(IFERROR(ld_actual&gt;ld_allow,FALSE),-0.05*(l_eff*1000)*MIN(1.6,ld_actual/ld_allow)*IF(sys_idx=5,0.360641,0.991445),NA())</f>
        <v/>
      </c>
    </row>
    <row r="17">
      <c r="Y17">
        <f>0.583333*(l_eff*1000)</f>
        <v/>
      </c>
      <c r="Z17">
        <f>IF(IFERROR(ld_actual&lt;=ld_allow,FALSE),-0.05*(l_eff*1000)*MIN(1.6,ld_actual/ld_allow)*IF(sys_idx=5,0.411169,0.965926),NA())</f>
        <v/>
      </c>
      <c r="AB17">
        <f>0.583333*(l_eff*1000)</f>
        <v/>
      </c>
      <c r="AC17">
        <f>IF(IFERROR(ld_actual&gt;ld_allow,FALSE),-0.05*(l_eff*1000)*MIN(1.6,ld_actual/ld_allow)*IF(sys_idx=5,0.411169,0.965926),NA())</f>
        <v/>
      </c>
    </row>
    <row r="18">
      <c r="Y18">
        <f>0.625000*(l_eff*1000)</f>
        <v/>
      </c>
      <c r="Z18">
        <f>IF(IFERROR(ld_actual&lt;=ld_allow,FALSE),-0.05*(l_eff*1000)*MIN(1.6,ld_actual/ld_allow)*IF(sys_idx=5,0.463867,0.923880),NA())</f>
        <v/>
      </c>
      <c r="AB18">
        <f>0.625000*(l_eff*1000)</f>
        <v/>
      </c>
      <c r="AC18">
        <f>IF(IFERROR(ld_actual&gt;ld_allow,FALSE),-0.05*(l_eff*1000)*MIN(1.6,ld_actual/ld_allow)*IF(sys_idx=5,0.463867,0.923880),NA())</f>
        <v/>
      </c>
    </row>
    <row r="19">
      <c r="Y19">
        <f>0.666667*(l_eff*1000)</f>
        <v/>
      </c>
      <c r="Z19">
        <f>IF(IFERROR(ld_actual&lt;=ld_allow,FALSE),-0.05*(l_eff*1000)*MIN(1.6,ld_actual/ld_allow)*IF(sys_idx=5,0.518519,0.866025),NA())</f>
        <v/>
      </c>
      <c r="AB19">
        <f>0.666667*(l_eff*1000)</f>
        <v/>
      </c>
      <c r="AC19">
        <f>IF(IFERROR(ld_actual&gt;ld_allow,FALSE),-0.05*(l_eff*1000)*MIN(1.6,ld_actual/ld_allow)*IF(sys_idx=5,0.518519,0.866025),NA())</f>
        <v/>
      </c>
    </row>
    <row r="20">
      <c r="Y20">
        <f>0.708333*(l_eff*1000)</f>
        <v/>
      </c>
      <c r="Z20">
        <f>IF(IFERROR(ld_actual&lt;=ld_allow,FALSE),-0.05*(l_eff*1000)*MIN(1.6,ld_actual/ld_allow)*IF(sys_idx=5,0.574906,0.793353),NA())</f>
        <v/>
      </c>
      <c r="AB20">
        <f>0.708333*(l_eff*1000)</f>
        <v/>
      </c>
      <c r="AC20">
        <f>IF(IFERROR(ld_actual&gt;ld_allow,FALSE),-0.05*(l_eff*1000)*MIN(1.6,ld_actual/ld_allow)*IF(sys_idx=5,0.574906,0.793353),NA())</f>
        <v/>
      </c>
    </row>
    <row r="21">
      <c r="Y21">
        <f>0.750000*(l_eff*1000)</f>
        <v/>
      </c>
      <c r="Z21">
        <f>IF(IFERROR(ld_actual&lt;=ld_allow,FALSE),-0.05*(l_eff*1000)*MIN(1.6,ld_actual/ld_allow)*IF(sys_idx=5,0.632812,0.707107),NA())</f>
        <v/>
      </c>
      <c r="AB21">
        <f>0.750000*(l_eff*1000)</f>
        <v/>
      </c>
      <c r="AC21">
        <f>IF(IFERROR(ld_actual&gt;ld_allow,FALSE),-0.05*(l_eff*1000)*MIN(1.6,ld_actual/ld_allow)*IF(sys_idx=5,0.632812,0.707107),NA())</f>
        <v/>
      </c>
    </row>
    <row r="22">
      <c r="Y22">
        <f>0.791667*(l_eff*1000)</f>
        <v/>
      </c>
      <c r="Z22">
        <f>IF(IFERROR(ld_actual&lt;=ld_allow,FALSE),-0.05*(l_eff*1000)*MIN(1.6,ld_actual/ld_allow)*IF(sys_idx=5,0.692021,0.608761),NA())</f>
        <v/>
      </c>
      <c r="AB22">
        <f>0.791667*(l_eff*1000)</f>
        <v/>
      </c>
      <c r="AC22">
        <f>IF(IFERROR(ld_actual&gt;ld_allow,FALSE),-0.05*(l_eff*1000)*MIN(1.6,ld_actual/ld_allow)*IF(sys_idx=5,0.692021,0.608761),NA())</f>
        <v/>
      </c>
    </row>
    <row r="23">
      <c r="Y23">
        <f>0.833333*(l_eff*1000)</f>
        <v/>
      </c>
      <c r="Z23">
        <f>IF(IFERROR(ld_actual&lt;=ld_allow,FALSE),-0.05*(l_eff*1000)*MIN(1.6,ld_actual/ld_allow)*IF(sys_idx=5,0.752315,0.500000),NA())</f>
        <v/>
      </c>
      <c r="AB23">
        <f>0.833333*(l_eff*1000)</f>
        <v/>
      </c>
      <c r="AC23">
        <f>IF(IFERROR(ld_actual&gt;ld_allow,FALSE),-0.05*(l_eff*1000)*MIN(1.6,ld_actual/ld_allow)*IF(sys_idx=5,0.752315,0.500000),NA())</f>
        <v/>
      </c>
    </row>
    <row r="24">
      <c r="Y24">
        <f>0.875000*(l_eff*1000)</f>
        <v/>
      </c>
      <c r="Z24">
        <f>IF(IFERROR(ld_actual&lt;=ld_allow,FALSE),-0.05*(l_eff*1000)*MIN(1.6,ld_actual/ld_allow)*IF(sys_idx=5,0.813477,0.382683),NA())</f>
        <v/>
      </c>
      <c r="AB24">
        <f>0.875000*(l_eff*1000)</f>
        <v/>
      </c>
      <c r="AC24">
        <f>IF(IFERROR(ld_actual&gt;ld_allow,FALSE),-0.05*(l_eff*1000)*MIN(1.6,ld_actual/ld_allow)*IF(sys_idx=5,0.813477,0.382683),NA())</f>
        <v/>
      </c>
    </row>
    <row r="25">
      <c r="Y25">
        <f>0.916667*(l_eff*1000)</f>
        <v/>
      </c>
      <c r="Z25">
        <f>IF(IFERROR(ld_actual&lt;=ld_allow,FALSE),-0.05*(l_eff*1000)*MIN(1.6,ld_actual/ld_allow)*IF(sys_idx=5,0.875289,0.258819),NA())</f>
        <v/>
      </c>
      <c r="AB25">
        <f>0.916667*(l_eff*1000)</f>
        <v/>
      </c>
      <c r="AC25">
        <f>IF(IFERROR(ld_actual&gt;ld_allow,FALSE),-0.05*(l_eff*1000)*MIN(1.6,ld_actual/ld_allow)*IF(sys_idx=5,0.875289,0.258819),NA())</f>
        <v/>
      </c>
    </row>
    <row r="26">
      <c r="Y26">
        <f>0.958333*(l_eff*1000)</f>
        <v/>
      </c>
      <c r="Z26">
        <f>IF(IFERROR(ld_actual&lt;=ld_allow,FALSE),-0.05*(l_eff*1000)*MIN(1.6,ld_actual/ld_allow)*IF(sys_idx=5,0.937536,0.130526),NA())</f>
        <v/>
      </c>
      <c r="AB26">
        <f>0.958333*(l_eff*1000)</f>
        <v/>
      </c>
      <c r="AC26">
        <f>IF(IFERROR(ld_actual&gt;ld_allow,FALSE),-0.05*(l_eff*1000)*MIN(1.6,ld_actual/ld_allow)*IF(sys_idx=5,0.937536,0.130526),NA())</f>
        <v/>
      </c>
    </row>
    <row r="27">
      <c r="Y27">
        <f>1.000000*(l_eff*1000)</f>
        <v/>
      </c>
      <c r="Z27">
        <f>IF(IFERROR(ld_actual&lt;=ld_allow,FALSE),-0.05*(l_eff*1000)*MIN(1.6,ld_actual/ld_allow)*IF(sys_idx=5,1.000000,0.000000),NA())</f>
        <v/>
      </c>
      <c r="AB27">
        <f>1.000000*(l_eff*1000)</f>
        <v/>
      </c>
      <c r="AC27">
        <f>IF(IFERROR(ld_actual&gt;ld_allow,FALSE),-0.05*(l_eff*1000)*MIN(1.6,ld_actual/ld_allow)*IF(sys_idx=5,1.000000,0.000000),NA())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&amp;K8A8A8ANAE-RC-005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NAE-RC-005 Deflection  ·  span / depth</dc:title>
  <dc:subject xmlns:dc="http://purl.org/dc/elements/1.1/">Beams and slabs  ·  EN 1992-1-1 §7.4.2  ·  UK NA / PN-EN</dc:subject>
  <dcterms:created xmlns:dcterms="http://purl.org/dc/terms/" xmlns:xsi="http://www.w3.org/2001/XMLSchema-instance" xsi:type="dcterms:W3CDTF">2026-10-30T10:58:36Z</dcterms:created>
  <dcterms:modified xmlns:dcterms="http://purl.org/dc/terms/" xmlns:xsi="http://www.w3.org/2001/XMLSchema-instance" xsi:type="dcterms:W3CDTF">2026-10-30T10:58:36Z</dcterms:modified>
  <cp:lastModifiedBy>NA Engineering sp. z o.o.</cp:lastModifiedBy>
  <cp:keywords>NA Engineering; Eurocode 2; EN 1992-1-1</cp:keywords>
</cp:coreProperties>
</file>