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duct">'Calculation'!$E$14</definedName>
    <definedName name="d_g">'Calculation'!$E$15</definedName>
    <definedName name="b_w">'Calculation'!$E$16</definedName>
    <definedName name="h_sec">'Calculation'!$E$17</definedName>
    <definedName name="c_nom">'Calculation'!$E$18</definedName>
    <definedName name="phi_w">'Calculation'!$E$19</definedName>
    <definedName name="phi">'Calculation'!$E$20</definedName>
    <definedName name="n_bars">'Calculation'!$E$21</definedName>
    <definedName name="phi_2">'Calculation'!$E$22</definedName>
    <definedName name="n_2">'Calculation'!$E$23</definedName>
    <definedName name="M_Ed">'Calculation'!$E$47</definedName>
    <definedName name="delta_r">'Calculation'!$E$48</definedName>
    <definedName name="V_Ed">'Calculation'!$E$49</definedName>
    <definedName name="f_ywk">'Calculation'!$E$50</definedName>
    <definedName name="n_legs">'Calculation'!$E$51</definedName>
    <definedName name="s_link">'Calculation'!$E$52</definedName>
    <definedName name="inputs_ok">IFERROR(AND(OR(NA_sel="UK NA (BS EN)",NA_sel="PL NA (PN-EN)"),OR(conc_class="C20/25",conc_class="C25/30",conc_class="C28/35",conc_class="C30/37",conc_class="C32/40",conc_class="C35/45",conc_class="C40/50",conc_class="C45/55",conc_class="C50/60"),ISNUMBER(f_yk),f_yk&gt;0,OR(duct="A",duct="B",duct="C"),ISNUMBER(d_g),d_g&gt;0,ISNUMBER(b_w),b_w&gt;0,ISNUMBER(h_sec),h_sec&gt;0,ISNUMBER(c_nom),c_nom&gt;0,OR(AND(ISNUMBER(phi_w),phi_w=6),AND(ISNUMBER(phi_w),phi_w=8),AND(ISNUMBER(phi_w),phi_w=10),AND(ISNUMBER(phi_w),phi_w=12),AND(ISNUMBER(phi_w),phi_w=16)),OR(AND(ISNUMBER(phi),phi=8),AND(ISNUMBER(phi),phi=10),AND(ISNUMBER(phi),phi=12),AND(ISNUMBER(phi),phi=16),AND(ISNUMBER(phi),phi=20),AND(ISNUMBER(phi),phi=25),AND(ISNUMBER(phi),phi=32),AND(ISNUMBER(phi),phi=40)),ISNUMBER(n_bars),n_bars&gt;0,OR(AND(ISNUMBER(phi_2),phi_2=8),AND(ISNUMBER(phi_2),phi_2=10),AND(ISNUMBER(phi_2),phi_2=12),AND(ISNUMBER(phi_2),phi_2=16),AND(ISNUMBER(phi_2),phi_2=20),AND(ISNUMBER(phi_2),phi_2=25),AND(ISNUMBER(phi_2),phi_2=32),AND(ISNUMBER(phi_2),phi_2=40)),ISNUMBER(n_2),n_2&gt;=0,ISNUMBER(M_Ed),M_Ed&gt;=0,ISNUMBER(delta_r),delta_r&gt;0,ISNUMBER(V_Ed),V_Ed&gt;=0,ISNUMBER(f_ywk),f_ywk&gt;0,ISNUMBER(n_legs),n_legs&gt;0,ISNUMBER(s_link),s_link&gt;0,AND(f_yk&gt;=400,f_yk&lt;=500,f_ywk&lt;=500,n_bars&gt;=2,INT(n_bars)=n_bars,INT(n_2)=n_2,n_legs&gt;=2,INT(n_legs)=n_legs,delta_r&lt;=1,delta_r&gt;=IF(duct="A",0.8,0.7),h_sec&gt;2*c_nom+2*phi_w+phi+phi_2)),FALSE)</definedName>
    <definedName name="input_status">'Calculation'!$G$53</definedName>
    <definedName name="comp_bad">AND(K_m&gt;K_lim,f_sc&lt;=0)</definedName>
    <definedName name="bend_ok">IF(comp_bad,FALSE,AND(A_s1prov&gt;=A_s1req,A_s2prov&gt;=A_s2req,A_s1prov&gt;=A_smin,A_s1prov&lt;=A_smax,A_s2prov&lt;=A_smax,gap_1&gt;=gap_min,OR(n_2&lt;2,gap_2&gt;=gap_min2),OR(n_2=0,gap_v&gt;=gap_minv)))</definedName>
    <definedName name="bend_status">'Calculation'!$G$56</definedName>
    <definedName name="shear_ok">AND(V_Ed&lt;=V_Rdmax,Asw_prov&gt;=Asw_need,s_link&lt;=s_lmax)</definedName>
    <definedName name="shear_status">'Calculation'!$G$60</definedName>
    <definedName name="gamma_c">'Calculation'!$E$64</definedName>
    <definedName name="gamma_s">'Calculation'!$E$65</definedName>
    <definedName name="alpha_cc">'Calculation'!$E$66</definedName>
    <definedName name="k1_red">'Calculation'!$E$67</definedName>
    <definedName name="k2_red">'Calculation'!$E$68</definedName>
    <definedName name="f_ck">'Calculation'!$E$69</definedName>
    <definedName name="f_ctm">'Calculation'!$E$70</definedName>
    <definedName name="f_cd">'Calculation'!$E$71</definedName>
    <definedName name="f_yd">'Calculation'!$E$72</definedName>
    <definedName name="d_eff">'Calculation'!$E$73</definedName>
    <definedName name="d_2">'Calculation'!$E$74</definedName>
    <definedName name="K_m">'Calculation'!$E$75</definedName>
    <definedName name="xi_y">'Calculation'!$E$76</definedName>
    <definedName name="xi_lim">'Calculation'!$E$77</definedName>
    <definedName name="K_lim">'Calculation'!$E$78</definedName>
    <definedName name="xi">'Calculation'!$E$79</definedName>
    <definedName name="x_na">'Calculation'!$E$80</definedName>
    <definedName name="z_b">'Calculation'!$E$81</definedName>
    <definedName name="M_lim">'Calculation'!$E$82</definedName>
    <definedName name="f_sc">'Calculation'!$E$83</definedName>
    <definedName name="A_s2req">'Calculation'!$E$84</definedName>
    <definedName name="A_s1req">'Calculation'!$E$85</definedName>
    <definedName name="A_s1prov">'Calculation'!$E$86</definedName>
    <definedName name="A_s2prov">'Calculation'!$E$87</definedName>
    <definedName name="A_smin">'Calculation'!$E$88</definedName>
    <definedName name="A_smax">'Calculation'!$E$89</definedName>
    <definedName name="gap_min">'Calculation'!$E$90</definedName>
    <definedName name="gap_min2">'Calculation'!$E$91</definedName>
    <definedName name="gap_v">'Calculation'!$E$92</definedName>
    <definedName name="gap_minv">'Calculation'!$E$93</definedName>
    <definedName name="gap_1">'Calculation'!$E$94</definedName>
    <definedName name="gap_2">'Calculation'!$E$95</definedName>
    <definedName name="C_Rdc">'Calculation'!$E$104</definedName>
    <definedName name="alpha_cc_shear">'Calculation'!$E$105</definedName>
    <definedName name="cot_max">'Calculation'!$E$106</definedName>
    <definedName name="k_size">'Calculation'!$E$107</definedName>
    <definedName name="rho_l">'Calculation'!$E$108</definedName>
    <definedName name="v_min">'Calculation'!$E$109</definedName>
    <definedName name="V_Rdc">'Calculation'!$E$110</definedName>
    <definedName name="z_v">'Calculation'!$E$111</definedName>
    <definedName name="nu_1">'Calculation'!$E$112</definedName>
    <definedName name="f_cdv">'Calculation'!$E$113</definedName>
    <definedName name="ratio_v">'Calculation'!$E$114</definedName>
    <definedName name="cot_theta">'Calculation'!$E$115</definedName>
    <definedName name="V_Rdmax">'Calculation'!$E$116</definedName>
    <definedName name="f_ywd">'Calculation'!$E$117</definedName>
    <definedName name="Asw_req">'Calculation'!$E$118</definedName>
    <definedName name="Asw_min">'Calculation'!$E$119</definedName>
    <definedName name="Asw_need">'Calculation'!$E$120</definedName>
    <definedName name="Asw_prov">'Calculation'!$E$121</definedName>
    <definedName name="V_Rds">'Calculation'!$E$122</definedName>
    <definedName name="s_lmax">'Calculation'!$E$123</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'Calculation'!$A$1:$H$130</definedName>
    <definedName name="_xlnm.Print_Area" localSheetId="3">'NDP'!$A$1:$G$29</definedName>
  </definedNames>
  <calcPr calcId="124519" fullCalcOnLoad="1"/>
</workbook>
</file>

<file path=xl/styles.xml><?xml version="1.0" encoding="utf-8"?>
<styleSheet xmlns="http://schemas.openxmlformats.org/spreadsheetml/2006/main">
  <numFmts count="4">
    <numFmt numFmtId="164" formatCode="dd mmm yyyy"/>
    <numFmt numFmtId="165" formatCode="0.0"/>
    <numFmt numFmtId="166" formatCode="0.000"/>
    <numFmt numFmtId="167" formatCode="0.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family val="2"/>
      <i val="1"/>
      <color rgb="008A8A8A"/>
      <sz val="9"/>
      <scheme val="minor"/>
    </font>
    <font>
      <name val="Calibri"/>
      <b val="1"/>
      <color rgb="002B2B2B"/>
      <sz val="9"/>
    </font>
    <font>
      <name val="Calibri"/>
      <color rgb="002B2B2B"/>
      <sz val="11"/>
    </font>
    <font>
      <name val="Calibri"/>
      <b val="1"/>
      <color rgb="002B2B2B"/>
      <sz val="15"/>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5">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 fontId="12" fillId="3" borderId="1" applyAlignment="1" applyProtection="1" pivotButton="0" quotePrefix="0" xfId="0">
      <alignment horizontal="center" vertical="center"/>
      <protection locked="0" hidden="0"/>
    </xf>
    <xf numFmtId="0" fontId="14" fillId="0" borderId="0" pivotButton="0" quotePrefix="0" xfId="0"/>
    <xf numFmtId="165" fontId="12" fillId="3" borderId="1" applyAlignment="1" applyProtection="1" pivotButton="0" quotePrefix="0" xfId="0">
      <alignment horizontal="center" vertical="center"/>
      <protection locked="0" hidden="0"/>
    </xf>
    <xf numFmtId="2" fontId="12" fillId="3" borderId="1" applyAlignment="1" applyProtection="1" pivotButton="0" quotePrefix="0" xfId="0">
      <alignment horizontal="center" vertical="center"/>
      <protection locked="0" hidden="0"/>
    </xf>
    <xf numFmtId="0" fontId="15" fillId="0" borderId="1" applyAlignment="1" pivotButton="0" quotePrefix="0" xfId="0">
      <alignment horizontal="center" vertical="center"/>
    </xf>
    <xf numFmtId="0" fontId="0" fillId="4" borderId="0" pivotButton="0" quotePrefix="0" xfId="0"/>
    <xf numFmtId="0" fontId="16" fillId="4" borderId="0" applyAlignment="1" pivotButton="0" quotePrefix="0" xfId="0">
      <alignment vertical="center"/>
    </xf>
    <xf numFmtId="0" fontId="0" fillId="4" borderId="0" applyAlignment="1" pivotButton="0" quotePrefix="0" xfId="0">
      <alignment horizontal="center" vertical="center"/>
    </xf>
    <xf numFmtId="2" fontId="17"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1" fontId="17" fillId="4" borderId="0" applyAlignment="1" pivotButton="0" quotePrefix="0" xfId="0">
      <alignment horizontal="center" vertical="center"/>
    </xf>
    <xf numFmtId="0" fontId="18" fillId="0" borderId="0" applyAlignment="1" pivotButton="0" quotePrefix="0" xfId="0">
      <alignment vertical="top" wrapText="1"/>
    </xf>
    <xf numFmtId="2" fontId="5" fillId="0" borderId="1" applyAlignment="1" pivotButton="0" quotePrefix="0" xfId="0">
      <alignment horizontal="center" vertical="center"/>
    </xf>
    <xf numFmtId="1" fontId="5" fillId="0" borderId="1" applyAlignment="1" pivotButton="0" quotePrefix="0" xfId="0">
      <alignment horizontal="center" vertical="center"/>
    </xf>
    <xf numFmtId="165" fontId="5" fillId="0" borderId="1" applyAlignment="1" pivotButton="0" quotePrefix="0" xfId="0">
      <alignment horizontal="center" vertical="center"/>
    </xf>
    <xf numFmtId="166" fontId="5" fillId="0" borderId="1" applyAlignment="1" pivotButton="0" quotePrefix="0" xfId="0">
      <alignment horizontal="center" vertical="center"/>
    </xf>
    <xf numFmtId="1" fontId="12" fillId="0" borderId="1" applyAlignment="1" pivotButton="0" quotePrefix="0" xfId="0">
      <alignment horizontal="center" vertical="center"/>
    </xf>
    <xf numFmtId="167" fontId="5" fillId="0" borderId="1" applyAlignment="1" pivotButton="0" quotePrefix="0" xfId="0">
      <alignment horizontal="center" vertical="center"/>
    </xf>
    <xf numFmtId="165" fontId="12" fillId="0" borderId="1" applyAlignment="1" pivotButton="0" quotePrefix="0" xfId="0">
      <alignment horizontal="center" vertical="center"/>
    </xf>
    <xf numFmtId="166" fontId="12" fillId="0" borderId="1" applyAlignment="1" pivotButton="0" quotePrefix="0" xfId="0">
      <alignment horizontal="center" vertical="center"/>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v>section</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'Geometry'!$A$3:$A$7</f>
            </numRef>
          </xVal>
          <yVal>
            <numRef>
              <f>'Geometry'!$B$3:$B$7</f>
            </numRef>
          </yVal>
          <smooth val="0"/>
        </ser>
        <ser>
          <idx val="1"/>
          <order val="1"/>
          <tx>
            <v>link</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'Geometry'!$D$3:$D$7</f>
            </numRef>
          </xVal>
          <yVal>
            <numRef>
              <f>'Geometry'!$E$3:$E$7</f>
            </numRef>
          </yVal>
          <smooth val="0"/>
        </ser>
        <ser>
          <idx val="2"/>
          <order val="2"/>
          <tx>
            <v>bar t0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'Geometry'!$G$3:$G$19</f>
            </numRef>
          </xVal>
          <yVal>
            <numRef>
              <f>'Geometry'!$H$3:$H$19</f>
            </numRef>
          </yVal>
          <smooth val="0"/>
        </ser>
        <ser>
          <idx val="3"/>
          <order val="3"/>
          <tx>
            <v>bar c0</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'Geometry'!$J$3:$J$19</f>
            </numRef>
          </xVal>
          <yVal>
            <numRef>
              <f>'Geometry'!$K$3:$K$19</f>
            </numRef>
          </yVal>
          <smooth val="0"/>
        </ser>
        <ser>
          <idx val="4"/>
          <order val="4"/>
          <tx>
            <v>bar t1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'Geometry'!$M$3:$M$19</f>
            </numRef>
          </xVal>
          <yVal>
            <numRef>
              <f>'Geometry'!$N$3:$N$19</f>
            </numRef>
          </yVal>
          <smooth val="0"/>
        </ser>
        <ser>
          <idx val="5"/>
          <order val="5"/>
          <tx>
            <v>bar c1</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'Geometry'!$P$3:$P$19</f>
            </numRef>
          </xVal>
          <yVal>
            <numRef>
              <f>'Geometry'!$Q$3:$Q$19</f>
            </numRef>
          </yVal>
          <smooth val="0"/>
        </ser>
        <ser>
          <idx val="6"/>
          <order val="6"/>
          <tx>
            <v>bar t2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'Geometry'!$S$3:$S$19</f>
            </numRef>
          </xVal>
          <yVal>
            <numRef>
              <f>'Geometry'!$T$3:$T$19</f>
            </numRef>
          </yVal>
          <smooth val="0"/>
        </ser>
        <ser>
          <idx val="7"/>
          <order val="7"/>
          <tx>
            <v>bar c2</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'Geometry'!$V$3:$V$19</f>
            </numRef>
          </xVal>
          <yVal>
            <numRef>
              <f>'Geometry'!$W$3:$W$19</f>
            </numRef>
          </yVal>
          <smooth val="0"/>
        </ser>
        <ser>
          <idx val="8"/>
          <order val="8"/>
          <tx>
            <v>bar t3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'Geometry'!$Y$3:$Y$19</f>
            </numRef>
          </xVal>
          <yVal>
            <numRef>
              <f>'Geometry'!$Z$3:$Z$19</f>
            </numRef>
          </yVal>
          <smooth val="0"/>
        </ser>
        <ser>
          <idx val="9"/>
          <order val="9"/>
          <tx>
            <v>bar c3</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'Geometry'!$AB$3:$AB$19</f>
            </numRef>
          </xVal>
          <yVal>
            <numRef>
              <f>'Geometry'!$AC$3:$AC$19</f>
            </numRef>
          </yVal>
          <smooth val="0"/>
        </ser>
        <ser>
          <idx val="10"/>
          <order val="10"/>
          <tx>
            <v>bar t4</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'Geometry'!$AE$3:$AE$19</f>
            </numRef>
          </xVal>
          <yVal>
            <numRef>
              <f>'Geometry'!$AF$3:$AF$19</f>
            </numRef>
          </yVal>
          <smooth val="0"/>
        </ser>
        <ser>
          <idx val="11"/>
          <order val="11"/>
          <tx>
            <v>bar c4</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'Geometry'!$AH$3:$AH$19</f>
            </numRef>
          </xVal>
          <yVal>
            <numRef>
              <f>'Geometry'!$AI$3:$AI$19</f>
            </numRef>
          </yVal>
          <smooth val="0"/>
        </ser>
        <ser>
          <idx val="12"/>
          <order val="12"/>
          <tx>
            <v>bar t5</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'Geometry'!$AK$3:$AK$19</f>
            </numRef>
          </xVal>
          <yVal>
            <numRef>
              <f>'Geometry'!$AL$3:$AL$19</f>
            </numRef>
          </yVal>
          <smooth val="0"/>
        </ser>
        <ser>
          <idx val="13"/>
          <order val="13"/>
          <tx>
            <v>bar c5</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'Geometry'!$AN$3:$AN$19</f>
            </numRef>
          </xVal>
          <yVal>
            <numRef>
              <f>'Geometry'!$AO$3:$AO$19</f>
            </numRef>
          </yVal>
          <smooth val="0"/>
        </ser>
        <ser>
          <idx val="14"/>
          <order val="14"/>
          <tx>
            <v>bar t6</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'Geometry'!$AQ$3:$AQ$19</f>
            </numRef>
          </xVal>
          <yVal>
            <numRef>
              <f>'Geometry'!$AR$3:$AR$19</f>
            </numRef>
          </yVal>
          <smooth val="0"/>
        </ser>
        <ser>
          <idx val="15"/>
          <order val="15"/>
          <tx>
            <v>bar c6</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'Geometry'!$AT$3:$AT$19</f>
            </numRef>
          </xVal>
          <yVal>
            <numRef>
              <f>'Geometry'!$AU$3:$AU$19</f>
            </numRef>
          </yVal>
          <smooth val="0"/>
        </ser>
        <ser>
          <idx val="16"/>
          <order val="16"/>
          <tx>
            <v>bar t7</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'Geometry'!$AW$3:$AW$19</f>
            </numRef>
          </xVal>
          <yVal>
            <numRef>
              <f>'Geometry'!$AX$3:$AX$19</f>
            </numRef>
          </yVal>
          <smooth val="0"/>
        </ser>
        <ser>
          <idx val="17"/>
          <order val="17"/>
          <tx>
            <v>bar c7</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'Geometry'!$AZ$3:$AZ$19</f>
            </numRef>
          </xVal>
          <yVal>
            <numRef>
              <f>'Geometry'!$BA$3:$BA$19</f>
            </numRef>
          </yVal>
          <smooth val="0"/>
        </ser>
        <ser>
          <idx val="18"/>
          <order val="18"/>
          <tx>
            <v>bar t8</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'Geometry'!$BC$3:$BC$19</f>
            </numRef>
          </xVal>
          <yVal>
            <numRef>
              <f>'Geometry'!$BD$3:$BD$19</f>
            </numRef>
          </yVal>
          <smooth val="0"/>
        </ser>
        <ser>
          <idx val="19"/>
          <order val="19"/>
          <tx>
            <v>bar c8</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'Geometry'!$BF$3:$BF$19</f>
            </numRef>
          </xVal>
          <yVal>
            <numRef>
              <f>'Geometry'!$BG$3:$BG$19</f>
            </numRef>
          </yVal>
          <smooth val="0"/>
        </ser>
        <ser>
          <idx val="20"/>
          <order val="20"/>
          <tx>
            <v>bar t9</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'Geometry'!$BI$3:$BI$19</f>
            </numRef>
          </xVal>
          <yVal>
            <numRef>
              <f>'Geometry'!$BJ$3:$BJ$19</f>
            </numRef>
          </yVal>
          <smooth val="0"/>
        </ser>
        <ser>
          <idx val="21"/>
          <order val="21"/>
          <tx>
            <v>bar c9</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'Geometry'!$BL$3:$BL$19</f>
            </numRef>
          </xVal>
          <yVal>
            <numRef>
              <f>'Geometry'!$BM$3:$BM$19</f>
            </numRef>
          </yVal>
          <smooth val="0"/>
        </ser>
        <ser>
          <idx val="22"/>
          <order val="22"/>
          <tx>
            <v>bar t10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'Geometry'!$BO$3:$BO$19</f>
            </numRef>
          </xVal>
          <yVal>
            <numRef>
              <f>'Geometry'!$BP$3:$BP$19</f>
            </numRef>
          </yVal>
          <smooth val="0"/>
        </ser>
        <ser>
          <idx val="23"/>
          <order val="23"/>
          <tx>
            <v>bar c10</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'Geometry'!$BR$3:$BR$19</f>
            </numRef>
          </xVal>
          <yVal>
            <numRef>
              <f>'Geometry'!$BS$3:$BS$19</f>
            </numRef>
          </yVal>
          <smooth val="0"/>
        </ser>
        <ser>
          <idx val="24"/>
          <order val="24"/>
          <tx>
            <v>bar t11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'Geometry'!$BU$3:$BU$19</f>
            </numRef>
          </xVal>
          <yVal>
            <numRef>
              <f>'Geometry'!$BV$3:$BV$19</f>
            </numRef>
          </yVal>
          <smooth val="0"/>
        </ser>
        <ser>
          <idx val="25"/>
          <order val="25"/>
          <tx>
            <v>bar c11</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'Geometry'!$BX$3:$BX$19</f>
            </numRef>
          </xVal>
          <yVal>
            <numRef>
              <f>'Geometry'!$BY$3:$BY$19</f>
            </numRef>
          </yVal>
          <smooth val="0"/>
        </ser>
        <ser>
          <idx val="26"/>
          <order val="26"/>
          <tx>
            <v>neutral axis</v>
          </tx>
          <spPr>
            <a:ln xmlns:a="http://schemas.openxmlformats.org/drawingml/2006/main" w="12700">
              <a:solidFill>
                <a:srgbClr val="5B7F8A"/>
              </a:solidFill>
              <a:prstDash val="dash"/>
            </a:ln>
          </spPr>
          <marker>
            <symbol val="none"/>
            <spPr>
              <a:ln xmlns:a="http://schemas.openxmlformats.org/drawingml/2006/main">
                <a:prstDash val="solid"/>
              </a:ln>
            </spPr>
          </marker>
          <xVal>
            <numRef>
              <f>'Geometry'!$CA$3:$CA$4</f>
            </numRef>
          </xVal>
          <yVal>
            <numRef>
              <f>'Geometry'!$CB$3:$CB$4</f>
            </numRef>
          </yVal>
          <smooth val="0"/>
        </ser>
        <ser>
          <idx val="27"/>
          <order val="27"/>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'Geometry'!$CD$3:$CD$4</f>
            </numRef>
          </xVal>
          <yVal>
            <numRef>
              <f>'Geometry'!$CE$3:$CE$4</f>
            </numRef>
          </yVal>
          <smooth val="0"/>
        </ser>
        <ser>
          <idx val="28"/>
          <order val="28"/>
          <tx>
            <strRef>
              <f>'Geometry'!$CG$2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'Geometry'!$CG$3</f>
            </numRef>
          </xVal>
          <yVal>
            <numRef>
              <f>'Geometry'!$CH$3</f>
            </numRef>
          </yVal>
          <smooth val="0"/>
        </ser>
        <ser>
          <idx val="29"/>
          <order val="29"/>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'Geometry'!$CJ$3:$CJ$4</f>
            </numRef>
          </xVal>
          <yVal>
            <numRef>
              <f>'Geometry'!$CK$3:$CK$4</f>
            </numRef>
          </yVal>
          <smooth val="0"/>
        </ser>
        <ser>
          <idx val="30"/>
          <order val="30"/>
          <tx>
            <strRef>
              <f>'Geometry'!$CM$2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'Geometry'!$CM$3</f>
            </numRef>
          </xVal>
          <yVal>
            <numRef>
              <f>'Geometry'!$CN$3</f>
            </numRef>
          </yVal>
          <smooth val="0"/>
        </ser>
        <ser>
          <idx val="31"/>
          <order val="31"/>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'Geometry'!$CP$3:$CP$4</f>
            </numRef>
          </xVal>
          <yVal>
            <numRef>
              <f>'Geometry'!$CQ$3:$CQ$4</f>
            </numRef>
          </yVal>
          <smooth val="0"/>
        </ser>
        <ser>
          <idx val="32"/>
          <order val="32"/>
          <tx>
            <strRef>
              <f>'Geometry'!$CS$2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'Geometry'!$CS$3</f>
            </numRef>
          </xVal>
          <yVal>
            <numRef>
              <f>'Geometry'!$CT$3</f>
            </numRef>
          </yVal>
          <smooth val="0"/>
        </ser>
        <ser>
          <idx val="33"/>
          <order val="33"/>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'Geometry'!$CV$3:$CV$4</f>
            </numRef>
          </xVal>
          <yVal>
            <numRef>
              <f>'Geometry'!$CW$3:$CW$4</f>
            </numRef>
          </yVal>
          <smooth val="0"/>
        </ser>
        <ser>
          <idx val="34"/>
          <order val="34"/>
          <tx>
            <strRef>
              <f>'Geometry'!$CY$2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'Geometry'!$CY$3</f>
            </numRef>
          </xVal>
          <yVal>
            <numRef>
              <f>'Geometry'!$CZ$3</f>
            </numRef>
          </yVal>
          <smooth val="0"/>
        </ser>
        <ser>
          <idx val="35"/>
          <order val="35"/>
          <tx>
            <strRef>
              <f>'Geometry'!$DB$2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'Geometry'!$DB$3</f>
            </numRef>
          </xVal>
          <yVal>
            <numRef>
              <f>'Geometry'!$DC$3</f>
            </numRef>
          </yVal>
          <smooth val="0"/>
        </ser>
        <ser>
          <idx val="36"/>
          <order val="36"/>
          <tx>
            <strRef>
              <f>'Geometry'!$DE$2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'Geometry'!$DE$3</f>
            </numRef>
          </xVal>
          <yVal>
            <numRef>
              <f>'Geometry'!$DF$3</f>
            </numRef>
          </yVal>
          <smooth val="0"/>
        </ser>
        <ser>
          <idx val="37"/>
          <order val="37"/>
          <tx>
            <strRef>
              <f>'Geometry'!$DH$2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5B7F8A"/>
                    </a:solidFill>
                  </a:defRPr>
                </a:pPr>
                <a:r>
                  <a:t/>
                </a:r>
                <a:endParaRPr sz="900">
                  <a:solidFill>
                    <a:srgbClr val="5B7F8A"/>
                  </a:solidFill>
                </a:endParaRPr>
              </a:p>
            </txPr>
            <dLblPos val="ctr"/>
            <showLegendKey val="0"/>
            <showVal val="0"/>
            <showCatName val="0"/>
            <showSerName val="1"/>
            <showPercent val="0"/>
          </dLbls>
          <xVal>
            <numRef>
              <f>'Geometry'!$DH$3</f>
            </numRef>
          </xVal>
          <yVal>
            <numRef>
              <f>'Geometry'!$DI$3</f>
            </numRef>
          </yVal>
          <smooth val="0"/>
        </ser>
        <ser>
          <idx val="38"/>
          <order val="38"/>
          <tx>
            <v>frame</v>
          </tx>
          <spPr>
            <a:ln xmlns:a="http://schemas.openxmlformats.org/drawingml/2006/main">
              <a:noFill/>
              <a:prstDash val="solid"/>
            </a:ln>
          </spPr>
          <marker>
            <symbol val="none"/>
            <spPr>
              <a:ln xmlns:a="http://schemas.openxmlformats.org/drawingml/2006/main">
                <a:prstDash val="solid"/>
              </a:ln>
            </spPr>
          </marker>
          <xVal>
            <numRef>
              <f>'Geometry'!$DK$3:$DK$4</f>
            </numRef>
          </xVal>
          <yVal>
            <numRef>
              <f>'Geometry'!$DL$3:$DL$4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25</row>
      <rowOff>0</rowOff>
    </from>
    <ext cx="5301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Beam bending &amp; shear</t>
        </is>
      </c>
    </row>
    <row r="8" ht="20" customHeight="1">
      <c r="B8" s="4" t="inlineStr">
        <is>
          <t>Rectangular RC sections  ·  EN 1992-1-1 §6.1, §6.2, §9.2  ·  UK NA / PN-EN</t>
        </is>
      </c>
    </row>
    <row r="10">
      <c r="B10" s="5" t="inlineStr">
        <is>
          <t>Reference</t>
        </is>
      </c>
      <c r="C10" s="6" t="inlineStr">
        <is>
          <t>NAE-RC-004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Ultimate limit state design of a rectangular reinforced concrete section: tension and, where needed, compression reinforcement for a bending moment, and vertical links for a shear force using the variable strut inclination method, with the minimum and maximum reinforcement rules for beams.</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105.5" customHeight="1">
      <c r="B22" s="7" t="inlineStr">
        <is>
          <t>Rectangular section, one layer of tension bars and one of compression bars, no axial force. Rectangular stress block (λ = 0.8, η = 1.0) for concrete classes up to C50/60. The neutral axis is limited by 5.5(4) for the chosen redistribution ratio δ, with δ ≥ 0.7 (class B, C) or 0.8 (class A); the redistribution itself must come from a linear analysis meeting 5.5. Reinforcement fyk ≤ 500 MPa. Bars in one layer each, spacing to 8.2(2). Vertical links (α = 90°), no axial load in shear (σcp = 0), αcw = 1.0. Flanged sections, torsion, the shift rule (9.2.1.3) and the additional tensile force ΔFtd are outside the scope. VEd should be taken at the appropriate section (6.2.1(8)).
The second-generation EN 1992-1-1:2023 is not yet implemented.</t>
        </is>
      </c>
    </row>
    <row r="24" ht="20" customHeight="1">
      <c r="B24" s="8" t="inlineStr">
        <is>
          <t>Further reading and independent cross-check</t>
        </is>
      </c>
      <c r="C24" s="9" t="n"/>
    </row>
    <row r="25" ht="91" customHeight="1">
      <c r="B25" s="10" t="inlineStr">
        <is>
          <t>•  The Concrete Centre, How to design concrete structures using Eurocode 2: Beams.
•  The Concrete Centre, Worked Examples to Eurocode 2: Volume 1.
•  The Concrete Centre, RC Spreadsheets v4, TCC11 Element Design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&amp;K8A8A8ANAE-RC-004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29"/>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Beam bending &amp; shear</t>
        </is>
      </c>
      <c r="H2" s="1" t="n"/>
    </row>
    <row r="3" ht="16" customHeight="1">
      <c r="A3" s="1" t="n"/>
      <c r="B3" s="1" t="n"/>
      <c r="C3" s="15" t="inlineStr">
        <is>
          <t>NAE-RC-004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section</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Annex C</t>
        </is>
      </c>
      <c r="C14" s="24" t="inlineStr">
        <is>
          <t>Reinforcement ductility class</t>
        </is>
      </c>
      <c r="D14" s="23" t="n"/>
      <c r="E14" s="25" t="inlineStr">
        <is>
          <t>B</t>
        </is>
      </c>
      <c r="F14" s="23" t="n"/>
      <c r="G14" s="23" t="n"/>
    </row>
    <row r="15" ht="17" customHeight="1">
      <c r="B15" s="26" t="inlineStr">
        <is>
          <t>8.2(2)</t>
        </is>
      </c>
      <c r="C15" s="24" t="inlineStr">
        <is>
          <t>Maximum aggregate size</t>
        </is>
      </c>
      <c r="D15" s="27" t="inlineStr">
        <is>
          <r>
            <rPr>
              <rFont val="Calibri"/>
              <i val="1"/>
              <color rgb="002B2B2B"/>
              <sz val="10"/>
            </rPr>
            <t>d</t>
          </r>
          <r>
            <rPr>
              <rFont val="Calibri"/>
              <i val="1"/>
              <color rgb="002B2B2B"/>
              <sz val="10"/>
              <vertAlign val="subscript"/>
            </rPr>
            <t>g</t>
          </r>
        </is>
      </c>
      <c r="E15" s="25" t="n">
        <v>20</v>
      </c>
      <c r="F15" s="28" t="inlineStr">
        <is>
          <t>mm</t>
        </is>
      </c>
      <c r="G15" s="23" t="n"/>
    </row>
    <row r="16" ht="17" customHeight="1">
      <c r="B16" s="23" t="n"/>
      <c r="C16" s="24" t="inlineStr">
        <is>
          <t>Section width</t>
        </is>
      </c>
      <c r="D16" s="27" t="inlineStr">
        <is>
          <r>
            <rPr>
              <rFont val="Calibri"/>
              <i val="1"/>
              <color rgb="002B2B2B"/>
              <sz val="10"/>
            </rPr>
            <t>b</t>
          </r>
        </is>
      </c>
      <c r="E16" s="25" t="n">
        <v>300</v>
      </c>
      <c r="F16" s="28" t="inlineStr">
        <is>
          <t>mm</t>
        </is>
      </c>
      <c r="G16" s="23" t="n"/>
    </row>
    <row r="17" ht="17" customHeight="1">
      <c r="B17" s="23" t="n"/>
      <c r="C17" s="24" t="inlineStr">
        <is>
          <t>Section depth</t>
        </is>
      </c>
      <c r="D17" s="27" t="inlineStr">
        <is>
          <r>
            <rPr>
              <rFont val="Calibri"/>
              <i val="1"/>
              <color rgb="002B2B2B"/>
              <sz val="10"/>
            </rPr>
            <t>h</t>
          </r>
        </is>
      </c>
      <c r="E17" s="25" t="n">
        <v>600</v>
      </c>
      <c r="F17" s="28" t="inlineStr">
        <is>
          <t>mm</t>
        </is>
      </c>
      <c r="G17" s="23" t="n"/>
    </row>
    <row r="18" ht="17" customHeight="1">
      <c r="B18" s="26" t="inlineStr">
        <is>
          <t>4.4.1</t>
        </is>
      </c>
      <c r="C18" s="24" t="inlineStr">
        <is>
          <t>Nominal cover to links</t>
        </is>
      </c>
      <c r="D18" s="27" t="inlineStr">
        <is>
          <r>
            <rPr>
              <rFont val="Calibri"/>
              <i val="1"/>
              <color rgb="002B2B2B"/>
              <sz val="10"/>
            </rPr>
            <t>c</t>
          </r>
          <r>
            <rPr>
              <rFont val="Calibri"/>
              <i val="1"/>
              <color rgb="002B2B2B"/>
              <sz val="10"/>
              <vertAlign val="subscript"/>
            </rPr>
            <t>nom</t>
          </r>
        </is>
      </c>
      <c r="E18" s="25" t="n">
        <v>35</v>
      </c>
      <c r="F18" s="28" t="inlineStr">
        <is>
          <t>mm</t>
        </is>
      </c>
      <c r="G18" s="23" t="n"/>
    </row>
    <row r="19" ht="17" customHeight="1">
      <c r="B19" s="23" t="n"/>
      <c r="C19" s="24" t="inlineStr">
        <is>
          <t>Link diameter</t>
        </is>
      </c>
      <c r="D19" s="27" t="inlineStr">
        <is>
          <r>
            <rPr>
              <rFont val="Calibri"/>
              <i val="1"/>
              <color rgb="002B2B2B"/>
              <sz val="10"/>
            </rPr>
            <t>φ</t>
          </r>
          <r>
            <rPr>
              <rFont val="Calibri"/>
              <i val="1"/>
              <color rgb="002B2B2B"/>
              <sz val="10"/>
              <vertAlign val="subscript"/>
            </rPr>
            <t>w</t>
          </r>
        </is>
      </c>
      <c r="E19" s="25" t="n">
        <v>10</v>
      </c>
      <c r="F19" s="28" t="inlineStr">
        <is>
          <t>mm</t>
        </is>
      </c>
      <c r="G19" s="23" t="n"/>
    </row>
    <row r="20" ht="17" customHeight="1">
      <c r="B20" s="23" t="n"/>
      <c r="C20" s="24" t="inlineStr">
        <is>
          <t>Tension bar diameter</t>
        </is>
      </c>
      <c r="D20" s="27" t="inlineStr">
        <is>
          <r>
            <rPr>
              <rFont val="Calibri"/>
              <i val="1"/>
              <color rgb="002B2B2B"/>
              <sz val="10"/>
            </rPr>
            <t>φ</t>
          </r>
        </is>
      </c>
      <c r="E20" s="25" t="n">
        <v>25</v>
      </c>
      <c r="F20" s="28" t="inlineStr">
        <is>
          <t>mm</t>
        </is>
      </c>
      <c r="G20" s="23" t="n"/>
    </row>
    <row r="21" ht="17" customHeight="1">
      <c r="B21" s="23" t="n"/>
      <c r="C21" s="24" t="inlineStr">
        <is>
          <t>Number of tension bars (one layer)</t>
        </is>
      </c>
      <c r="D21" s="27" t="inlineStr">
        <is>
          <r>
            <rPr>
              <rFont val="Calibri"/>
              <i val="1"/>
              <color rgb="002B2B2B"/>
              <sz val="10"/>
            </rPr>
            <t>n</t>
          </r>
        </is>
      </c>
      <c r="E21" s="29" t="n">
        <v>4</v>
      </c>
      <c r="F21" s="23" t="n"/>
      <c r="G21" s="23" t="n"/>
    </row>
    <row r="22" ht="17" customHeight="1">
      <c r="B22" s="23" t="n"/>
      <c r="C22" s="24" t="inlineStr">
        <is>
          <t>Compression bar diameter</t>
        </is>
      </c>
      <c r="D22" s="27" t="inlineStr">
        <is>
          <r>
            <rPr>
              <rFont val="Calibri"/>
              <i val="1"/>
              <color rgb="002B2B2B"/>
              <sz val="10"/>
            </rPr>
            <t>φ</t>
          </r>
          <r>
            <rPr>
              <rFont val="Calibri"/>
              <i val="1"/>
              <color rgb="002B2B2B"/>
              <sz val="10"/>
              <vertAlign val="subscript"/>
            </rPr>
            <t>2</t>
          </r>
        </is>
      </c>
      <c r="E22" s="25" t="n">
        <v>16</v>
      </c>
      <c r="F22" s="28" t="inlineStr">
        <is>
          <t>mm</t>
        </is>
      </c>
      <c r="G22" s="23" t="n"/>
    </row>
    <row r="23" ht="17" customHeight="1">
      <c r="B23" s="23" t="n"/>
      <c r="C23" s="24" t="inlineStr">
        <is>
          <t>Number of compression bars (one layer)</t>
        </is>
      </c>
      <c r="D23" s="27" t="inlineStr">
        <is>
          <r>
            <rPr>
              <rFont val="Calibri"/>
              <i val="1"/>
              <color rgb="002B2B2B"/>
              <sz val="10"/>
            </rPr>
            <t>n</t>
          </r>
          <r>
            <rPr>
              <rFont val="Calibri"/>
              <i val="1"/>
              <color rgb="002B2B2B"/>
              <sz val="10"/>
              <vertAlign val="subscript"/>
            </rPr>
            <t>2</t>
          </r>
        </is>
      </c>
      <c r="E23" s="29" t="n">
        <v>2</v>
      </c>
      <c r="F23" s="23" t="n"/>
      <c r="G23" s="23" t="n"/>
    </row>
    <row r="25">
      <c r="B25" s="30" t="inlineStr">
        <is>
          <t>Your section, to scale  ·  changes with every input</t>
        </is>
      </c>
    </row>
    <row r="46" ht="22" customHeight="1">
      <c r="B46" s="20" t="inlineStr">
        <is>
          <t>Inputs  ·  actions and links</t>
        </is>
      </c>
      <c r="C46" s="21" t="n"/>
      <c r="D46" s="21" t="n"/>
      <c r="E46" s="21" t="n"/>
      <c r="F46" s="21" t="n"/>
      <c r="G46" s="22" t="inlineStr">
        <is>
          <t>ULS design values</t>
        </is>
      </c>
    </row>
    <row r="47" ht="17" customHeight="1">
      <c r="B47" s="23" t="n"/>
      <c r="C47" s="24" t="inlineStr">
        <is>
          <t>Design bending moment</t>
        </is>
      </c>
      <c r="D47" s="27" t="inlineStr">
        <is>
          <r>
            <rPr>
              <rFont val="Calibri"/>
              <i val="1"/>
              <color rgb="002B2B2B"/>
              <sz val="10"/>
            </rPr>
            <t>M</t>
          </r>
          <r>
            <rPr>
              <rFont val="Calibri"/>
              <i val="1"/>
              <color rgb="002B2B2B"/>
              <sz val="10"/>
              <vertAlign val="subscript"/>
            </rPr>
            <t>Ed</t>
          </r>
        </is>
      </c>
      <c r="E47" s="31" t="n">
        <v>350</v>
      </c>
      <c r="F47" s="28" t="inlineStr">
        <is>
          <t>kNm</t>
        </is>
      </c>
      <c r="G47" s="23" t="n"/>
    </row>
    <row r="48" ht="17" customHeight="1">
      <c r="B48" s="26" t="inlineStr">
        <is>
          <t>5.5(4)</t>
        </is>
      </c>
      <c r="C48" s="24" t="inlineStr">
        <is>
          <t>Moment redistribution ratio  (1.0 = none)</t>
        </is>
      </c>
      <c r="D48" s="27" t="inlineStr">
        <is>
          <r>
            <rPr>
              <rFont val="Calibri"/>
              <i val="1"/>
              <color rgb="002B2B2B"/>
              <sz val="10"/>
            </rPr>
            <t>δ</t>
          </r>
        </is>
      </c>
      <c r="E48" s="32" t="n">
        <v>1</v>
      </c>
      <c r="F48" s="23" t="n"/>
      <c r="G48" s="26" t="inlineStr">
        <is>
          <t>≥ 0.7 (B, C) / 0.8 (A)</t>
        </is>
      </c>
    </row>
    <row r="49" ht="17" customHeight="1">
      <c r="B49" s="26" t="inlineStr">
        <is>
          <t>6.2.1(8)</t>
        </is>
      </c>
      <c r="C49" s="24" t="inlineStr">
        <is>
          <t>Design shear force</t>
        </is>
      </c>
      <c r="D49" s="27" t="inlineStr">
        <is>
          <r>
            <rPr>
              <rFont val="Calibri"/>
              <i val="1"/>
              <color rgb="002B2B2B"/>
              <sz val="10"/>
            </rPr>
            <t>V</t>
          </r>
          <r>
            <rPr>
              <rFont val="Calibri"/>
              <i val="1"/>
              <color rgb="002B2B2B"/>
              <sz val="10"/>
              <vertAlign val="subscript"/>
            </rPr>
            <t>Ed</t>
          </r>
        </is>
      </c>
      <c r="E49" s="31" t="n">
        <v>250</v>
      </c>
      <c r="F49" s="28" t="inlineStr">
        <is>
          <t>kN</t>
        </is>
      </c>
      <c r="G49" s="23" t="n"/>
    </row>
    <row r="50" ht="17" customHeight="1">
      <c r="B50" s="23" t="n"/>
      <c r="C50" s="24" t="inlineStr">
        <is>
          <t>Link yield strength</t>
        </is>
      </c>
      <c r="D50" s="27" t="inlineStr">
        <is>
          <r>
            <rPr>
              <rFont val="Calibri"/>
              <i val="1"/>
              <color rgb="002B2B2B"/>
              <sz val="10"/>
            </rPr>
            <t>f</t>
          </r>
          <r>
            <rPr>
              <rFont val="Calibri"/>
              <i val="1"/>
              <color rgb="002B2B2B"/>
              <sz val="10"/>
              <vertAlign val="subscript"/>
            </rPr>
            <t>ywk</t>
          </r>
        </is>
      </c>
      <c r="E50" s="25" t="n">
        <v>500</v>
      </c>
      <c r="F50" s="28" t="inlineStr">
        <is>
          <t>MPa</t>
        </is>
      </c>
      <c r="G50" s="23" t="n"/>
    </row>
    <row r="51" ht="17" customHeight="1">
      <c r="B51" s="23" t="n"/>
      <c r="C51" s="24" t="inlineStr">
        <is>
          <t>Number of link legs</t>
        </is>
      </c>
      <c r="D51" s="27" t="inlineStr">
        <is>
          <r>
            <rPr>
              <rFont val="Calibri"/>
              <i val="1"/>
              <color rgb="002B2B2B"/>
              <sz val="10"/>
            </rPr>
            <t>n</t>
          </r>
          <r>
            <rPr>
              <rFont val="Calibri"/>
              <i val="1"/>
              <color rgb="002B2B2B"/>
              <sz val="10"/>
              <vertAlign val="subscript"/>
            </rPr>
            <t>w</t>
          </r>
        </is>
      </c>
      <c r="E51" s="29" t="n">
        <v>2</v>
      </c>
      <c r="F51" s="23" t="n"/>
      <c r="G51" s="23" t="n"/>
    </row>
    <row r="52" ht="17" customHeight="1">
      <c r="B52" s="23" t="n"/>
      <c r="C52" s="24" t="inlineStr">
        <is>
          <t>Link spacing</t>
        </is>
      </c>
      <c r="D52" s="27" t="inlineStr">
        <is>
          <r>
            <rPr>
              <rFont val="Calibri"/>
              <i val="1"/>
              <color rgb="002B2B2B"/>
              <sz val="10"/>
            </rPr>
            <t>s</t>
          </r>
        </is>
      </c>
      <c r="E52" s="25" t="n">
        <v>200</v>
      </c>
      <c r="F52" s="28" t="inlineStr">
        <is>
          <t>mm</t>
        </is>
      </c>
      <c r="G52" s="23" t="n"/>
    </row>
    <row r="53" ht="17" customHeight="1">
      <c r="B53" s="23" t="n"/>
      <c r="C53" s="24" t="inlineStr">
        <is>
          <t>Inputs valid and consistent</t>
        </is>
      </c>
      <c r="D53" s="23" t="n"/>
      <c r="E53" s="9" t="n"/>
      <c r="F53" s="23" t="n"/>
      <c r="G53" s="33">
        <f>IF(inputs_ok,"OK","FAIL")</f>
        <v/>
      </c>
    </row>
    <row r="55" ht="22" customHeight="1">
      <c r="B55" s="20" t="inlineStr">
        <is>
          <t>Results</t>
        </is>
      </c>
      <c r="C55" s="21" t="n"/>
      <c r="D55" s="21" t="n"/>
      <c r="E55" s="21" t="n"/>
      <c r="F55" s="21" t="n"/>
      <c r="G55" s="21" t="n"/>
    </row>
    <row r="56" ht="26" customHeight="1">
      <c r="B56" s="34" t="n"/>
      <c r="C56" s="35" t="inlineStr">
        <is>
          <t>Tension reinforcement  provided / required</t>
        </is>
      </c>
      <c r="D56" s="36" t="inlineStr">
        <is>
          <r>
            <rPr>
              <rFont val="Calibri"/>
              <i val="1"/>
              <color rgb="002B2B2B"/>
              <sz val="11"/>
            </rPr>
            <t>A</t>
          </r>
          <r>
            <rPr>
              <rFont val="Calibri"/>
              <i val="1"/>
              <color rgb="002B2B2B"/>
              <sz val="11"/>
              <vertAlign val="subscript"/>
            </rPr>
            <t>s1</t>
          </r>
        </is>
      </c>
      <c r="E56" s="37">
        <f>IF(comp_bad,"–",A_s1prov/MAX(A_s1req,1))</f>
        <v/>
      </c>
      <c r="F56" s="38" t="inlineStr"/>
      <c r="G56" s="39">
        <f>IF(NOT(inputs_ok),"FAIL",IF(NOT(inputs_ok),"FAIL",IF(bend_ok,"OK","FAIL")))</f>
        <v/>
      </c>
    </row>
    <row r="57" ht="26" customHeight="1">
      <c r="B57" s="34" t="n"/>
      <c r="C57" s="35" t="inlineStr">
        <is>
          <t>Compression reinforcement required</t>
        </is>
      </c>
      <c r="D57" s="36" t="inlineStr">
        <is>
          <r>
            <rPr>
              <rFont val="Calibri"/>
              <i val="1"/>
              <color rgb="002B2B2B"/>
              <sz val="11"/>
            </rPr>
            <t>A</t>
          </r>
          <r>
            <rPr>
              <rFont val="Calibri"/>
              <i val="1"/>
              <color rgb="002B2B2B"/>
              <sz val="11"/>
              <vertAlign val="subscript"/>
            </rPr>
            <t>s2</t>
          </r>
        </is>
      </c>
      <c r="E57" s="40">
        <f>IF(AND(K_m&gt;K_lim,f_sc&lt;=0),"–",CEILING(A_s2req,1))</f>
        <v/>
      </c>
      <c r="F57" s="38" t="inlineStr">
        <is>
          <t>mm²</t>
        </is>
      </c>
      <c r="G57" s="39">
        <f>IF(NOT(inputs_ok),"FAIL",IF(K_m&lt;=K_lim,"Not needed",IF(f_sc&lt;=0,"FAIL","! Needed")))</f>
        <v/>
      </c>
    </row>
    <row r="58" ht="29" customHeight="1">
      <c r="B58" s="41" t="inlineStr">
        <is>
          <t>If the compression bars are not above the neutral axis (fsc ≤ 0) the section cannot be designed with compression steel: increase the depth or the concrete class.</t>
        </is>
      </c>
    </row>
    <row r="59" ht="26" customHeight="1">
      <c r="B59" s="34" t="n"/>
      <c r="C59" s="35" t="inlineStr">
        <is>
          <t>Concrete strut crushing  VEd / VRd,max</t>
        </is>
      </c>
      <c r="D59" s="34" t="n"/>
      <c r="E59" s="37">
        <f>V_Ed/V_Rdmax</f>
        <v/>
      </c>
      <c r="F59" s="38" t="inlineStr"/>
      <c r="G59" s="39">
        <f>IF(NOT(inputs_ok),"FAIL",IF(V_Ed&lt;=V_Rdmax,"OK","FAIL"))</f>
        <v/>
      </c>
    </row>
    <row r="60" ht="26" customHeight="1">
      <c r="B60" s="34" t="n"/>
      <c r="C60" s="35" t="inlineStr">
        <is>
          <t>Shear: struts, links, longitudinal link spacing  (Asw/s prov / req)</t>
        </is>
      </c>
      <c r="D60" s="34" t="n"/>
      <c r="E60" s="37">
        <f>Asw_prov/MAX(Asw_need,0.000001)</f>
        <v/>
      </c>
      <c r="F60" s="38" t="inlineStr"/>
      <c r="G60" s="39">
        <f>IF(NOT(inputs_ok),"FAIL",IF(NOT(inputs_ok),"FAIL",IF(shear_ok,"OK","FAIL")))</f>
        <v/>
      </c>
    </row>
    <row r="61" ht="26" customHeight="1">
      <c r="B61" s="34" t="n"/>
      <c r="C61" s="35" t="inlineStr">
        <is>
          <t>Strut inclination used</t>
        </is>
      </c>
      <c r="D61" s="36" t="inlineStr">
        <is>
          <r>
            <rPr>
              <rFont val="Calibri"/>
              <i val="1"/>
              <color rgb="002B2B2B"/>
              <sz val="11"/>
            </rPr>
            <t>cot θ</t>
          </r>
        </is>
      </c>
      <c r="E61" s="37">
        <f>cot_theta</f>
        <v/>
      </c>
      <c r="F61" s="38" t="inlineStr"/>
      <c r="G61" s="34" t="n"/>
    </row>
    <row r="63" ht="22" customHeight="1">
      <c r="B63" s="20" t="inlineStr">
        <is>
          <t>Calculation  ·  bending</t>
        </is>
      </c>
      <c r="C63" s="21" t="n"/>
      <c r="D63" s="21" t="n"/>
      <c r="E63" s="21" t="n"/>
      <c r="F63" s="21" t="n"/>
      <c r="G63" s="21" t="n"/>
    </row>
    <row r="64" ht="17" customHeight="1">
      <c r="B64" s="26" t="inlineStr">
        <is>
          <t>2.4.2.4(1)</t>
        </is>
      </c>
      <c r="C64" s="24" t="inlineStr">
        <is>
          <t>Partial factor, concrete</t>
        </is>
      </c>
      <c r="D64" s="27" t="inlineStr">
        <is>
          <r>
            <rPr>
              <rFont val="Calibri"/>
              <i val="1"/>
              <color rgb="002B2B2B"/>
              <sz val="10"/>
            </rPr>
            <t>γ</t>
          </r>
          <r>
            <rPr>
              <rFont val="Calibri"/>
              <i val="1"/>
              <color rgb="002B2B2B"/>
              <sz val="10"/>
              <vertAlign val="subscript"/>
            </rPr>
            <t>c</t>
          </r>
        </is>
      </c>
      <c r="E64" s="42">
        <f>ndp_gamma_c</f>
        <v/>
      </c>
      <c r="F64" s="23" t="n"/>
      <c r="G64" s="26" t="inlineStr">
        <is>
          <t>NDP sheet</t>
        </is>
      </c>
    </row>
    <row r="65" ht="17" customHeight="1">
      <c r="B65" s="26" t="inlineStr">
        <is>
          <t>2.4.2.4(1)</t>
        </is>
      </c>
      <c r="C65" s="24" t="inlineStr">
        <is>
          <t>Partial factor, reinforcement</t>
        </is>
      </c>
      <c r="D65" s="27" t="inlineStr">
        <is>
          <r>
            <rPr>
              <rFont val="Calibri"/>
              <i val="1"/>
              <color rgb="002B2B2B"/>
              <sz val="10"/>
            </rPr>
            <t>γ</t>
          </r>
          <r>
            <rPr>
              <rFont val="Calibri"/>
              <i val="1"/>
              <color rgb="002B2B2B"/>
              <sz val="10"/>
              <vertAlign val="subscript"/>
            </rPr>
            <t>s</t>
          </r>
        </is>
      </c>
      <c r="E65" s="42">
        <f>ndp_gamma_s</f>
        <v/>
      </c>
      <c r="F65" s="23" t="n"/>
      <c r="G65" s="26" t="inlineStr">
        <is>
          <t>NDP sheet</t>
        </is>
      </c>
    </row>
    <row r="66" ht="17" customHeight="1">
      <c r="B66" s="26" t="inlineStr">
        <is>
          <t>3.1.6(1)</t>
        </is>
      </c>
      <c r="C66" s="24" t="inlineStr">
        <is>
          <t>Coefficient on compressive strength (flexure)</t>
        </is>
      </c>
      <c r="D66" s="27" t="inlineStr">
        <is>
          <r>
            <rPr>
              <rFont val="Calibri"/>
              <i val="1"/>
              <color rgb="002B2B2B"/>
              <sz val="10"/>
            </rPr>
            <t>α</t>
          </r>
          <r>
            <rPr>
              <rFont val="Calibri"/>
              <i val="1"/>
              <color rgb="002B2B2B"/>
              <sz val="10"/>
              <vertAlign val="subscript"/>
            </rPr>
            <t>cc</t>
          </r>
        </is>
      </c>
      <c r="E66" s="42">
        <f>ndp_alpha_cc</f>
        <v/>
      </c>
      <c r="F66" s="23" t="n"/>
      <c r="G66" s="26" t="inlineStr">
        <is>
          <t>NDP sheet</t>
        </is>
      </c>
    </row>
    <row r="67" ht="17" customHeight="1">
      <c r="B67" s="26" t="inlineStr">
        <is>
          <t>5.5(4)</t>
        </is>
      </c>
      <c r="C67" s="24" t="inlineStr">
        <is>
          <t>Coefficient for x/d limit</t>
        </is>
      </c>
      <c r="D67" s="27" t="inlineStr">
        <is>
          <r>
            <rPr>
              <rFont val="Calibri"/>
              <i val="1"/>
              <color rgb="002B2B2B"/>
              <sz val="10"/>
            </rPr>
            <t>k</t>
          </r>
          <r>
            <rPr>
              <rFont val="Calibri"/>
              <i val="1"/>
              <color rgb="002B2B2B"/>
              <sz val="10"/>
              <vertAlign val="subscript"/>
            </rPr>
            <t>1</t>
          </r>
        </is>
      </c>
      <c r="E67" s="42">
        <f>ndp_k1_red</f>
        <v/>
      </c>
      <c r="F67" s="23" t="n"/>
      <c r="G67" s="26" t="inlineStr">
        <is>
          <t>NDP sheet</t>
        </is>
      </c>
    </row>
    <row r="68" ht="17" customHeight="1">
      <c r="B68" s="26" t="inlineStr">
        <is>
          <t>5.5(4)</t>
        </is>
      </c>
      <c r="C68" s="24" t="inlineStr">
        <is>
          <t>Coefficient for x/d limit</t>
        </is>
      </c>
      <c r="D68" s="27" t="inlineStr">
        <is>
          <r>
            <rPr>
              <rFont val="Calibri"/>
              <i val="1"/>
              <color rgb="002B2B2B"/>
              <sz val="10"/>
            </rPr>
            <t>k</t>
          </r>
          <r>
            <rPr>
              <rFont val="Calibri"/>
              <i val="1"/>
              <color rgb="002B2B2B"/>
              <sz val="10"/>
              <vertAlign val="subscript"/>
            </rPr>
            <t>2</t>
          </r>
        </is>
      </c>
      <c r="E68" s="42">
        <f>ndp_k2_red</f>
        <v/>
      </c>
      <c r="F68" s="23" t="n"/>
      <c r="G68" s="26" t="inlineStr">
        <is>
          <t>NDP sheet</t>
        </is>
      </c>
    </row>
    <row r="69" ht="17" customHeight="1">
      <c r="B69" s="26" t="inlineStr">
        <is>
          <t>Table 3.1</t>
        </is>
      </c>
      <c r="C69" s="24" t="inlineStr">
        <is>
          <t>Characteristic cylinder strength</t>
        </is>
      </c>
      <c r="D69" s="27" t="inlineStr">
        <is>
          <r>
            <rPr>
              <rFont val="Calibri"/>
              <i val="1"/>
              <color rgb="002B2B2B"/>
              <sz val="10"/>
            </rPr>
            <t>f</t>
          </r>
          <r>
            <rPr>
              <rFont val="Calibri"/>
              <i val="1"/>
              <color rgb="002B2B2B"/>
              <sz val="10"/>
              <vertAlign val="subscript"/>
            </rPr>
            <t>ck</t>
          </r>
        </is>
      </c>
      <c r="E69" s="43">
        <f>VALUE(MID(conc_class,2,FIND("/",conc_class)-2))</f>
        <v/>
      </c>
      <c r="F69" s="28" t="inlineStr">
        <is>
          <t>MPa</t>
        </is>
      </c>
      <c r="G69" s="23" t="n"/>
    </row>
    <row r="70" ht="17" customHeight="1">
      <c r="B70" s="26" t="inlineStr">
        <is>
          <t>Table 3.1</t>
        </is>
      </c>
      <c r="C70" s="24" t="inlineStr">
        <is>
          <t>Mean tensile strength</t>
        </is>
      </c>
      <c r="D70" s="27" t="inlineStr">
        <is>
          <r>
            <rPr>
              <rFont val="Calibri"/>
              <i val="1"/>
              <color rgb="002B2B2B"/>
              <sz val="10"/>
            </rPr>
            <t>f</t>
          </r>
          <r>
            <rPr>
              <rFont val="Calibri"/>
              <i val="1"/>
              <color rgb="002B2B2B"/>
              <sz val="10"/>
              <vertAlign val="subscript"/>
            </rPr>
            <t>ctm</t>
          </r>
        </is>
      </c>
      <c r="E70" s="42">
        <f>IF(f_ck&lt;=50,0.3*f_ck^(2/3),2.12*LN(1+(f_ck+8)/10))</f>
        <v/>
      </c>
      <c r="F70" s="28" t="inlineStr">
        <is>
          <t>MPa</t>
        </is>
      </c>
      <c r="G70" s="23" t="n"/>
    </row>
    <row r="71" ht="17" customHeight="1">
      <c r="B71" s="26" t="inlineStr">
        <is>
          <t>3.1.6(1)</t>
        </is>
      </c>
      <c r="C71" s="24" t="inlineStr">
        <is>
          <t>Design compressive strength  αcc fck / γc</t>
        </is>
      </c>
      <c r="D71" s="27" t="inlineStr">
        <is>
          <r>
            <rPr>
              <rFont val="Calibri"/>
              <i val="1"/>
              <color rgb="002B2B2B"/>
              <sz val="10"/>
            </rPr>
            <t>f</t>
          </r>
          <r>
            <rPr>
              <rFont val="Calibri"/>
              <i val="1"/>
              <color rgb="002B2B2B"/>
              <sz val="10"/>
              <vertAlign val="subscript"/>
            </rPr>
            <t>cd</t>
          </r>
        </is>
      </c>
      <c r="E71" s="42">
        <f>alpha_cc*f_ck/gamma_c</f>
        <v/>
      </c>
      <c r="F71" s="28" t="inlineStr">
        <is>
          <t>MPa</t>
        </is>
      </c>
      <c r="G71" s="23" t="n"/>
    </row>
    <row r="72" ht="17" customHeight="1">
      <c r="B72" s="26" t="inlineStr">
        <is>
          <t>3.2.7</t>
        </is>
      </c>
      <c r="C72" s="24" t="inlineStr">
        <is>
          <t>Design yield strength</t>
        </is>
      </c>
      <c r="D72" s="27" t="inlineStr">
        <is>
          <r>
            <rPr>
              <rFont val="Calibri"/>
              <i val="1"/>
              <color rgb="002B2B2B"/>
              <sz val="10"/>
            </rPr>
            <t>f</t>
          </r>
          <r>
            <rPr>
              <rFont val="Calibri"/>
              <i val="1"/>
              <color rgb="002B2B2B"/>
              <sz val="10"/>
              <vertAlign val="subscript"/>
            </rPr>
            <t>yd</t>
          </r>
        </is>
      </c>
      <c r="E72" s="44">
        <f>f_yk/gamma_s</f>
        <v/>
      </c>
      <c r="F72" s="28" t="inlineStr">
        <is>
          <t>MPa</t>
        </is>
      </c>
      <c r="G72" s="23" t="n"/>
    </row>
    <row r="73" ht="17" customHeight="1">
      <c r="B73" s="23" t="n"/>
      <c r="C73" s="24" t="inlineStr">
        <is>
          <t>Effective depth  h − c − φw − φ/2</t>
        </is>
      </c>
      <c r="D73" s="27" t="inlineStr">
        <is>
          <r>
            <rPr>
              <rFont val="Calibri"/>
              <i val="1"/>
              <color rgb="002B2B2B"/>
              <sz val="10"/>
            </rPr>
            <t>d</t>
          </r>
        </is>
      </c>
      <c r="E73" s="43">
        <f>h_sec-c_nom-phi_w-phi/2</f>
        <v/>
      </c>
      <c r="F73" s="28" t="inlineStr">
        <is>
          <t>mm</t>
        </is>
      </c>
      <c r="G73" s="23" t="n"/>
    </row>
    <row r="74" ht="17" customHeight="1">
      <c r="B74" s="23" t="n"/>
      <c r="C74" s="24" t="inlineStr">
        <is>
          <t>Depth to compression bars  c + φw + φ2/2</t>
        </is>
      </c>
      <c r="D74" s="27" t="inlineStr">
        <is>
          <r>
            <rPr>
              <rFont val="Calibri"/>
              <i val="1"/>
              <color rgb="002B2B2B"/>
              <sz val="10"/>
            </rPr>
            <t>d</t>
          </r>
          <r>
            <rPr>
              <rFont val="Calibri"/>
              <i val="1"/>
              <color rgb="002B2B2B"/>
              <sz val="10"/>
              <vertAlign val="subscript"/>
            </rPr>
            <t>2</t>
          </r>
        </is>
      </c>
      <c r="E74" s="43">
        <f>c_nom+phi_w+phi_2/2</f>
        <v/>
      </c>
      <c r="F74" s="28" t="inlineStr">
        <is>
          <t>mm</t>
        </is>
      </c>
      <c r="G74" s="23" t="n"/>
    </row>
    <row r="75" ht="17" customHeight="1">
      <c r="B75" s="23" t="n"/>
      <c r="C75" s="24" t="inlineStr">
        <is>
          <t>Moment ratio  MEd / (b d² fck)</t>
        </is>
      </c>
      <c r="D75" s="27" t="inlineStr">
        <is>
          <r>
            <rPr>
              <rFont val="Calibri"/>
              <i val="1"/>
              <color rgb="002B2B2B"/>
              <sz val="10"/>
            </rPr>
            <t>K</t>
          </r>
        </is>
      </c>
      <c r="E75" s="45">
        <f>M_Ed*1000000/(b_w*d_eff^2*f_ck)</f>
        <v/>
      </c>
      <c r="F75" s="23" t="n"/>
      <c r="G75" s="23" t="n"/>
    </row>
    <row r="76" ht="17" customHeight="1">
      <c r="B76" s="26" t="inlineStr">
        <is>
          <t>3.2.7</t>
        </is>
      </c>
      <c r="C76" s="24" t="inlineStr">
        <is>
          <t>Neutral axis depth at first yield  εcu2 / (εcu2 + fyd/Es)</t>
        </is>
      </c>
      <c r="D76" s="27" t="inlineStr">
        <is>
          <r>
            <rPr>
              <rFont val="Calibri"/>
              <i val="1"/>
              <color rgb="002B2B2B"/>
              <sz val="10"/>
            </rPr>
            <t>ξ</t>
          </r>
          <r>
            <rPr>
              <rFont val="Calibri"/>
              <i val="1"/>
              <color rgb="002B2B2B"/>
              <sz val="10"/>
              <vertAlign val="subscript"/>
            </rPr>
            <t>y</t>
          </r>
        </is>
      </c>
      <c r="E76" s="45">
        <f>0.0035/(0.0035+f_yd/200000)</f>
        <v/>
      </c>
      <c r="F76" s="23" t="n"/>
      <c r="G76" s="23" t="n"/>
    </row>
    <row r="77" ht="17" customHeight="1">
      <c r="B77" s="26" t="inlineStr">
        <is>
          <t>5.5(4)</t>
        </is>
      </c>
      <c r="C77" s="24" t="inlineStr">
        <is>
          <t>Limiting neutral axis depth  min((δ − k1) / k2; ξy)</t>
        </is>
      </c>
      <c r="D77" s="27" t="inlineStr">
        <is>
          <r>
            <rPr>
              <rFont val="Calibri"/>
              <i val="1"/>
              <color rgb="002B2B2B"/>
              <sz val="10"/>
            </rPr>
            <t>x</t>
          </r>
          <r>
            <rPr>
              <rFont val="Calibri"/>
              <i val="1"/>
              <color rgb="002B2B2B"/>
              <sz val="10"/>
              <vertAlign val="subscript"/>
            </rPr>
            <t>u/d</t>
          </r>
        </is>
      </c>
      <c r="E77" s="45">
        <f>MIN(xi_y,(delta_r-k1_red)/k2_red)</f>
        <v/>
      </c>
      <c r="F77" s="23" t="n"/>
      <c r="G77" s="23" t="n"/>
    </row>
    <row r="78" ht="17" customHeight="1">
      <c r="B78" s="26" t="inlineStr">
        <is>
          <t>3.1.7(3)</t>
        </is>
      </c>
      <c r="C78" s="24" t="inlineStr">
        <is>
          <t>Limiting K  (αcc/γc) 0.8 ξ (1 − 0.4 ξ)</t>
        </is>
      </c>
      <c r="D78" s="27" t="inlineStr">
        <is>
          <r>
            <rPr>
              <rFont val="Calibri"/>
              <i val="1"/>
              <color rgb="002B2B2B"/>
              <sz val="10"/>
            </rPr>
            <t>K'</t>
          </r>
        </is>
      </c>
      <c r="E78" s="45">
        <f>alpha_cc/gamma_c*0.8*xi_lim*(1-0.4*xi_lim)</f>
        <v/>
      </c>
      <c r="F78" s="23" t="n"/>
      <c r="G78" s="23" t="n"/>
    </row>
    <row r="79" ht="17" customHeight="1">
      <c r="B79" s="26" t="inlineStr">
        <is>
          <t>3.1.7(3)</t>
        </is>
      </c>
      <c r="C79" s="24" t="inlineStr">
        <is>
          <t>Neutral axis depth ratio</t>
        </is>
      </c>
      <c r="D79" s="27" t="inlineStr">
        <is>
          <r>
            <rPr>
              <rFont val="Calibri"/>
              <i val="1"/>
              <color rgb="002B2B2B"/>
              <sz val="10"/>
            </rPr>
            <t>x/d</t>
          </r>
        </is>
      </c>
      <c r="E79" s="45">
        <f>IF(K_m&lt;=K_lim,(1-SQRT(1-2*K_m/(alpha_cc/gamma_c)))/0.8,xi_lim)</f>
        <v/>
      </c>
      <c r="F79" s="23" t="n"/>
      <c r="G79" s="23" t="n"/>
    </row>
    <row r="80" ht="17" customHeight="1">
      <c r="B80" s="23" t="n"/>
      <c r="C80" s="24" t="inlineStr">
        <is>
          <t>Neutral axis depth</t>
        </is>
      </c>
      <c r="D80" s="27" t="inlineStr">
        <is>
          <r>
            <rPr>
              <rFont val="Calibri"/>
              <i val="1"/>
              <color rgb="002B2B2B"/>
              <sz val="10"/>
            </rPr>
            <t>x</t>
          </r>
        </is>
      </c>
      <c r="E80" s="43">
        <f>xi*d_eff</f>
        <v/>
      </c>
      <c r="F80" s="28" t="inlineStr">
        <is>
          <t>mm</t>
        </is>
      </c>
      <c r="G80" s="23" t="n"/>
    </row>
    <row r="81" ht="17" customHeight="1">
      <c r="B81" s="23" t="n"/>
      <c r="C81" s="24" t="inlineStr">
        <is>
          <t>Lever arm  d (1 − 0.4 x/d) ≤ 0.95 d</t>
        </is>
      </c>
      <c r="D81" s="27" t="inlineStr">
        <is>
          <r>
            <rPr>
              <rFont val="Calibri"/>
              <i val="1"/>
              <color rgb="002B2B2B"/>
              <sz val="10"/>
            </rPr>
            <t>z</t>
          </r>
        </is>
      </c>
      <c r="E81" s="43">
        <f>MIN(0.95*d_eff,d_eff*(1-0.4*xi))</f>
        <v/>
      </c>
      <c r="F81" s="28" t="inlineStr">
        <is>
          <t>mm</t>
        </is>
      </c>
      <c r="G81" s="26" t="inlineStr">
        <is>
          <t>0.95d: common practice</t>
        </is>
      </c>
    </row>
    <row r="82" ht="17" customHeight="1">
      <c r="B82" s="23" t="n"/>
      <c r="C82" s="24" t="inlineStr">
        <is>
          <t>Moment resisted by concrete at K'</t>
        </is>
      </c>
      <c r="D82" s="27" t="inlineStr">
        <is>
          <r>
            <rPr>
              <rFont val="Calibri"/>
              <i val="1"/>
              <color rgb="002B2B2B"/>
              <sz val="10"/>
            </rPr>
            <t>M</t>
          </r>
          <r>
            <rPr>
              <rFont val="Calibri"/>
              <i val="1"/>
              <color rgb="002B2B2B"/>
              <sz val="10"/>
              <vertAlign val="subscript"/>
            </rPr>
            <t>lim</t>
          </r>
        </is>
      </c>
      <c r="E82" s="44">
        <f>K_lim*f_ck*b_w*d_eff^2/1000000</f>
        <v/>
      </c>
      <c r="F82" s="28" t="inlineStr">
        <is>
          <t>kNm</t>
        </is>
      </c>
      <c r="G82" s="23" t="n"/>
    </row>
    <row r="83" ht="17" customHeight="1">
      <c r="B83" s="26" t="inlineStr">
        <is>
          <t>3.2.7</t>
        </is>
      </c>
      <c r="C83" s="24" t="inlineStr">
        <is>
          <t>Stress in compression bars  Es εcu2 (x − d2)/x ≤ fyd</t>
        </is>
      </c>
      <c r="D83" s="27" t="inlineStr">
        <is>
          <r>
            <rPr>
              <rFont val="Calibri"/>
              <i val="1"/>
              <color rgb="002B2B2B"/>
              <sz val="10"/>
            </rPr>
            <t>f</t>
          </r>
          <r>
            <rPr>
              <rFont val="Calibri"/>
              <i val="1"/>
              <color rgb="002B2B2B"/>
              <sz val="10"/>
              <vertAlign val="subscript"/>
            </rPr>
            <t>sc</t>
          </r>
        </is>
      </c>
      <c r="E83" s="44">
        <f>IF(K_m&gt;K_lim,MIN(f_yd,200000*0.0035*(x_na-d_2)/x_na),f_yd)</f>
        <v/>
      </c>
      <c r="F83" s="28" t="inlineStr">
        <is>
          <t>MPa</t>
        </is>
      </c>
      <c r="G83" s="26" t="inlineStr">
        <is>
          <t>Only if As2 is needed; &gt; 0</t>
        </is>
      </c>
    </row>
    <row r="84" ht="17" customHeight="1">
      <c r="B84" s="23" t="n"/>
      <c r="C84" s="24" t="inlineStr">
        <is>
          <t>Compression reinforcement required</t>
        </is>
      </c>
      <c r="D84" s="27" t="inlineStr">
        <is>
          <r>
            <rPr>
              <rFont val="Calibri"/>
              <i val="1"/>
              <color rgb="002B2B2B"/>
              <sz val="10"/>
            </rPr>
            <t>A</t>
          </r>
          <r>
            <rPr>
              <rFont val="Calibri"/>
              <i val="1"/>
              <color rgb="002B2B2B"/>
              <sz val="10"/>
              <vertAlign val="subscript"/>
            </rPr>
            <t>s2,req</t>
          </r>
        </is>
      </c>
      <c r="E84" s="46">
        <f>IF(comp_bad,NA(),IF(K_m&gt;K_lim,(M_Ed-M_lim)*1000000/(f_sc*(d_eff-d_2)),0))</f>
        <v/>
      </c>
      <c r="F84" s="28" t="inlineStr">
        <is>
          <t>mm²</t>
        </is>
      </c>
      <c r="G84" s="23" t="n"/>
    </row>
    <row r="85" ht="17" customHeight="1">
      <c r="B85" s="23" t="n"/>
      <c r="C85" s="24" t="inlineStr">
        <is>
          <t>Tension reinforcement required</t>
        </is>
      </c>
      <c r="D85" s="27" t="inlineStr">
        <is>
          <r>
            <rPr>
              <rFont val="Calibri"/>
              <i val="1"/>
              <color rgb="002B2B2B"/>
              <sz val="10"/>
            </rPr>
            <t>A</t>
          </r>
          <r>
            <rPr>
              <rFont val="Calibri"/>
              <i val="1"/>
              <color rgb="002B2B2B"/>
              <sz val="10"/>
              <vertAlign val="subscript"/>
            </rPr>
            <t>s1,req</t>
          </r>
        </is>
      </c>
      <c r="E85" s="46">
        <f>IF(comp_bad,NA(),IF(K_m&lt;=K_lim,M_Ed*1000000/(f_yd*z_b),M_lim*1000000/(f_yd*z_b)+A_s2req*f_sc/f_yd))</f>
        <v/>
      </c>
      <c r="F85" s="28" t="inlineStr">
        <is>
          <t>mm²</t>
        </is>
      </c>
      <c r="G85" s="23" t="n"/>
    </row>
    <row r="86" ht="17" customHeight="1">
      <c r="B86" s="23" t="n"/>
      <c r="C86" s="24" t="inlineStr">
        <is>
          <t>Tension reinforcement provided  n π φ² / 4</t>
        </is>
      </c>
      <c r="D86" s="27" t="inlineStr">
        <is>
          <r>
            <rPr>
              <rFont val="Calibri"/>
              <i val="1"/>
              <color rgb="002B2B2B"/>
              <sz val="10"/>
            </rPr>
            <t>A</t>
          </r>
          <r>
            <rPr>
              <rFont val="Calibri"/>
              <i val="1"/>
              <color rgb="002B2B2B"/>
              <sz val="10"/>
              <vertAlign val="subscript"/>
            </rPr>
            <t>s1,prov</t>
          </r>
        </is>
      </c>
      <c r="E86" s="43">
        <f>n_bars*PI()*phi^2/4</f>
        <v/>
      </c>
      <c r="F86" s="28" t="inlineStr">
        <is>
          <t>mm²</t>
        </is>
      </c>
      <c r="G86" s="23" t="n"/>
    </row>
    <row r="87" ht="17" customHeight="1">
      <c r="B87" s="23" t="n"/>
      <c r="C87" s="24" t="inlineStr">
        <is>
          <t>Compression reinforcement provided</t>
        </is>
      </c>
      <c r="D87" s="27" t="inlineStr">
        <is>
          <r>
            <rPr>
              <rFont val="Calibri"/>
              <i val="1"/>
              <color rgb="002B2B2B"/>
              <sz val="10"/>
            </rPr>
            <t>A</t>
          </r>
          <r>
            <rPr>
              <rFont val="Calibri"/>
              <i val="1"/>
              <color rgb="002B2B2B"/>
              <sz val="10"/>
              <vertAlign val="subscript"/>
            </rPr>
            <t>s2,prov</t>
          </r>
        </is>
      </c>
      <c r="E87" s="43">
        <f>n_2*PI()*phi_2^2/4</f>
        <v/>
      </c>
      <c r="F87" s="28" t="inlineStr">
        <is>
          <t>mm²</t>
        </is>
      </c>
      <c r="G87" s="23" t="n"/>
    </row>
    <row r="88" ht="17" customHeight="1">
      <c r="B88" s="26" t="inlineStr">
        <is>
          <t>(9.1N)</t>
        </is>
      </c>
      <c r="C88" s="24" t="inlineStr">
        <is>
          <t>Minimum tension reinforcement  max(0.26 fctm/fyk; 0.0013) b d</t>
        </is>
      </c>
      <c r="D88" s="27" t="inlineStr">
        <is>
          <r>
            <rPr>
              <rFont val="Calibri"/>
              <i val="1"/>
              <color rgb="002B2B2B"/>
              <sz val="10"/>
            </rPr>
            <t>A</t>
          </r>
          <r>
            <rPr>
              <rFont val="Calibri"/>
              <i val="1"/>
              <color rgb="002B2B2B"/>
              <sz val="10"/>
              <vertAlign val="subscript"/>
            </rPr>
            <t>s,min</t>
          </r>
        </is>
      </c>
      <c r="E88" s="43">
        <f>MAX(0.26*f_ctm/f_yk,0.0013)*b_w*d_eff</f>
        <v/>
      </c>
      <c r="F88" s="28" t="inlineStr">
        <is>
          <t>mm²</t>
        </is>
      </c>
      <c r="G88" s="23" t="n"/>
    </row>
    <row r="89" ht="17" customHeight="1">
      <c r="B89" s="26" t="inlineStr">
        <is>
          <t>9.2.1.1(3)</t>
        </is>
      </c>
      <c r="C89" s="24" t="inlineStr">
        <is>
          <t>Maximum tension or compression reinforcement  0.04 Ac</t>
        </is>
      </c>
      <c r="D89" s="27" t="inlineStr">
        <is>
          <r>
            <rPr>
              <rFont val="Calibri"/>
              <i val="1"/>
              <color rgb="002B2B2B"/>
              <sz val="10"/>
            </rPr>
            <t>A</t>
          </r>
          <r>
            <rPr>
              <rFont val="Calibri"/>
              <i val="1"/>
              <color rgb="002B2B2B"/>
              <sz val="10"/>
              <vertAlign val="subscript"/>
            </rPr>
            <t>s,max</t>
          </r>
        </is>
      </c>
      <c r="E89" s="43">
        <f>0.04*b_w*h_sec</f>
        <v/>
      </c>
      <c r="F89" s="28" t="inlineStr">
        <is>
          <t>mm²</t>
        </is>
      </c>
      <c r="G89" s="26" t="inlineStr">
        <is>
          <t>Outside lap locations</t>
        </is>
      </c>
    </row>
    <row r="90" ht="17" customHeight="1">
      <c r="B90" s="26" t="inlineStr">
        <is>
          <t>8.2(2)</t>
        </is>
      </c>
      <c r="C90" s="24" t="inlineStr">
        <is>
          <t>Minimum clear gap, tension bars  max(φ; dg + 5; 20)</t>
        </is>
      </c>
      <c r="D90" s="27" t="inlineStr">
        <is>
          <r>
            <rPr>
              <rFont val="Calibri"/>
              <i val="1"/>
              <color rgb="002B2B2B"/>
              <sz val="10"/>
            </rPr>
            <t>a</t>
          </r>
          <r>
            <rPr>
              <rFont val="Calibri"/>
              <i val="1"/>
              <color rgb="002B2B2B"/>
              <sz val="10"/>
              <vertAlign val="subscript"/>
            </rPr>
            <t>min,1</t>
          </r>
        </is>
      </c>
      <c r="E90" s="43">
        <f>MAX(phi,d_g+5,20)</f>
        <v/>
      </c>
      <c r="F90" s="28" t="inlineStr">
        <is>
          <t>mm</t>
        </is>
      </c>
      <c r="G90" s="23" t="n"/>
    </row>
    <row r="91" ht="17" customHeight="1">
      <c r="B91" s="26" t="inlineStr">
        <is>
          <t>8.2(2)</t>
        </is>
      </c>
      <c r="C91" s="24" t="inlineStr">
        <is>
          <t>Minimum clear gap, compression bars  max(φ2; dg + 5; 20)</t>
        </is>
      </c>
      <c r="D91" s="27" t="inlineStr">
        <is>
          <r>
            <rPr>
              <rFont val="Calibri"/>
              <i val="1"/>
              <color rgb="002B2B2B"/>
              <sz val="10"/>
            </rPr>
            <t>a</t>
          </r>
          <r>
            <rPr>
              <rFont val="Calibri"/>
              <i val="1"/>
              <color rgb="002B2B2B"/>
              <sz val="10"/>
              <vertAlign val="subscript"/>
            </rPr>
            <t>min,2</t>
          </r>
        </is>
      </c>
      <c r="E91" s="43">
        <f>MAX(phi_2,d_g+5,20)</f>
        <v/>
      </c>
      <c r="F91" s="28" t="inlineStr">
        <is>
          <t>mm</t>
        </is>
      </c>
      <c r="G91" s="23" t="n"/>
    </row>
    <row r="92" ht="17" customHeight="1">
      <c r="B92" s="26" t="inlineStr">
        <is>
          <t>8.2(2)</t>
        </is>
      </c>
      <c r="C92" s="24" t="inlineStr">
        <is>
          <t>Vertical clear distance between layers  h − 2c − 2φw − φ − φ2</t>
        </is>
      </c>
      <c r="D92" s="27" t="inlineStr">
        <is>
          <r>
            <rPr>
              <rFont val="Calibri"/>
              <i val="1"/>
              <color rgb="002B2B2B"/>
              <sz val="10"/>
            </rPr>
            <t>a</t>
          </r>
          <r>
            <rPr>
              <rFont val="Calibri"/>
              <i val="1"/>
              <color rgb="002B2B2B"/>
              <sz val="10"/>
              <vertAlign val="subscript"/>
            </rPr>
            <t>v</t>
          </r>
        </is>
      </c>
      <c r="E92" s="43">
        <f>h_sec-2*c_nom-2*phi_w-phi-phi_2</f>
        <v/>
      </c>
      <c r="F92" s="28" t="inlineStr">
        <is>
          <t>mm</t>
        </is>
      </c>
      <c r="G92" s="23" t="n"/>
    </row>
    <row r="93" ht="17" customHeight="1">
      <c r="B93" s="26" t="inlineStr">
        <is>
          <t>8.2(2)</t>
        </is>
      </c>
      <c r="C93" s="24" t="inlineStr">
        <is>
          <t>Minimum vertical clear distance  max(φ; φ2; dg + 5; 20)</t>
        </is>
      </c>
      <c r="D93" s="27" t="inlineStr">
        <is>
          <r>
            <rPr>
              <rFont val="Calibri"/>
              <i val="1"/>
              <color rgb="002B2B2B"/>
              <sz val="10"/>
            </rPr>
            <t>a</t>
          </r>
          <r>
            <rPr>
              <rFont val="Calibri"/>
              <i val="1"/>
              <color rgb="002B2B2B"/>
              <sz val="10"/>
              <vertAlign val="subscript"/>
            </rPr>
            <t>min,v</t>
          </r>
        </is>
      </c>
      <c r="E93" s="43">
        <f>MAX(phi,phi_2,d_g+5,20)</f>
        <v/>
      </c>
      <c r="F93" s="28" t="inlineStr">
        <is>
          <t>mm</t>
        </is>
      </c>
      <c r="G93" s="23" t="n"/>
    </row>
    <row r="94" ht="17" customHeight="1">
      <c r="B94" s="23" t="n"/>
      <c r="C94" s="24" t="inlineStr">
        <is>
          <t>Clear gap, tension bars  (b − 2c − 2φw − nφ)/(n − 1)</t>
        </is>
      </c>
      <c r="D94" s="27" t="inlineStr">
        <is>
          <r>
            <rPr>
              <rFont val="Calibri"/>
              <i val="1"/>
              <color rgb="002B2B2B"/>
              <sz val="10"/>
            </rPr>
            <t>a</t>
          </r>
          <r>
            <rPr>
              <rFont val="Calibri"/>
              <i val="1"/>
              <color rgb="002B2B2B"/>
              <sz val="10"/>
              <vertAlign val="subscript"/>
            </rPr>
            <t>1</t>
          </r>
        </is>
      </c>
      <c r="E94" s="43">
        <f>(b_w-2*c_nom-2*phi_w-n_bars*phi)/(n_bars-1)</f>
        <v/>
      </c>
      <c r="F94" s="28" t="inlineStr">
        <is>
          <t>mm</t>
        </is>
      </c>
      <c r="G94" s="23" t="n"/>
    </row>
    <row r="95" ht="17" customHeight="1">
      <c r="B95" s="23" t="n"/>
      <c r="C95" s="24" t="inlineStr">
        <is>
          <t>Clear gap, compression bars</t>
        </is>
      </c>
      <c r="D95" s="27" t="inlineStr">
        <is>
          <r>
            <rPr>
              <rFont val="Calibri"/>
              <i val="1"/>
              <color rgb="002B2B2B"/>
              <sz val="10"/>
            </rPr>
            <t>a</t>
          </r>
          <r>
            <rPr>
              <rFont val="Calibri"/>
              <i val="1"/>
              <color rgb="002B2B2B"/>
              <sz val="10"/>
              <vertAlign val="subscript"/>
            </rPr>
            <t>2</t>
          </r>
        </is>
      </c>
      <c r="E95" s="43">
        <f>IF(n_2&gt;=2,(b_w-2*c_nom-2*phi_w-n_2*phi_2)/(n_2-1),0)</f>
        <v/>
      </c>
      <c r="F95" s="28" t="inlineStr">
        <is>
          <t>mm</t>
        </is>
      </c>
      <c r="G95" s="23" t="n"/>
    </row>
    <row r="96" ht="17" customHeight="1">
      <c r="B96" s="23" t="n"/>
      <c r="C96" s="24" t="inlineStr">
        <is>
          <t>Tension bars  As1,prov ≥ max(As1,req; As,min)</t>
        </is>
      </c>
      <c r="D96" s="27" t="inlineStr">
        <is>
          <r>
            <rPr>
              <rFont val="Calibri"/>
              <i val="1"/>
              <color rgb="002B2B2B"/>
              <sz val="10"/>
            </rPr>
            <t>A</t>
          </r>
          <r>
            <rPr>
              <rFont val="Calibri"/>
              <i val="1"/>
              <color rgb="002B2B2B"/>
              <sz val="10"/>
              <vertAlign val="subscript"/>
            </rPr>
            <t>s1</t>
          </r>
        </is>
      </c>
      <c r="E96" s="43">
        <f>A_s1prov</f>
        <v/>
      </c>
      <c r="F96" s="28" t="inlineStr">
        <is>
          <t>mm²</t>
        </is>
      </c>
      <c r="G96" s="33">
        <f>IF(NOT(inputs_ok),"FAIL",IF(A_s1prov&gt;=MAX(A_s1req,A_smin),"OK","FAIL"))</f>
        <v/>
      </c>
    </row>
    <row r="97" ht="17" customHeight="1">
      <c r="B97" s="23" t="n"/>
      <c r="C97" s="24" t="inlineStr">
        <is>
          <t>Compression bars  As2,prov ≥ As2,req (and above the neutral axis)</t>
        </is>
      </c>
      <c r="D97" s="27" t="inlineStr">
        <is>
          <r>
            <rPr>
              <rFont val="Calibri"/>
              <i val="1"/>
              <color rgb="002B2B2B"/>
              <sz val="10"/>
            </rPr>
            <t>A</t>
          </r>
          <r>
            <rPr>
              <rFont val="Calibri"/>
              <i val="1"/>
              <color rgb="002B2B2B"/>
              <sz val="10"/>
              <vertAlign val="subscript"/>
            </rPr>
            <t>s2</t>
          </r>
        </is>
      </c>
      <c r="E97" s="43">
        <f>A_s2prov</f>
        <v/>
      </c>
      <c r="F97" s="28" t="inlineStr">
        <is>
          <t>mm²</t>
        </is>
      </c>
      <c r="G97" s="33">
        <f>IF(NOT(inputs_ok),"FAIL",IF(AND(A_s2prov&gt;=A_s2req,OR(K_m&lt;=K_lim,f_sc&gt;0)),"OK","FAIL"))</f>
        <v/>
      </c>
    </row>
    <row r="98" ht="17" customHeight="1">
      <c r="B98" s="26" t="inlineStr">
        <is>
          <t>9.2.1.1(3)</t>
        </is>
      </c>
      <c r="C98" s="24" t="inlineStr">
        <is>
          <t>Tension and compression areas each  ≤ As,max</t>
        </is>
      </c>
      <c r="D98" s="23" t="n"/>
      <c r="E98" s="43">
        <f>MAX(A_s1prov,A_s2prov)</f>
        <v/>
      </c>
      <c r="F98" s="28" t="inlineStr">
        <is>
          <t>mm²</t>
        </is>
      </c>
      <c r="G98" s="33">
        <f>IF(NOT(inputs_ok),"FAIL",IF(MAX(A_s1prov,A_s2prov)&lt;=A_smax,"OK","FAIL"))</f>
        <v/>
      </c>
    </row>
    <row r="99" ht="17" customHeight="1">
      <c r="B99" s="26" t="inlineStr">
        <is>
          <t>8.2(2)</t>
        </is>
      </c>
      <c r="C99" s="24" t="inlineStr">
        <is>
          <t>Tension bars fit in one layer  a1 ≥ a_min</t>
        </is>
      </c>
      <c r="D99" s="27" t="inlineStr">
        <is>
          <r>
            <rPr>
              <rFont val="Calibri"/>
              <i val="1"/>
              <color rgb="002B2B2B"/>
              <sz val="10"/>
            </rPr>
            <t>a</t>
          </r>
          <r>
            <rPr>
              <rFont val="Calibri"/>
              <i val="1"/>
              <color rgb="002B2B2B"/>
              <sz val="10"/>
              <vertAlign val="subscript"/>
            </rPr>
            <t>1</t>
          </r>
        </is>
      </c>
      <c r="E99" s="43">
        <f>gap_1</f>
        <v/>
      </c>
      <c r="F99" s="28" t="inlineStr">
        <is>
          <t>mm</t>
        </is>
      </c>
      <c r="G99" s="33">
        <f>IF(NOT(inputs_ok),"FAIL",IF(gap_1&gt;=gap_min,"OK","FAIL"))</f>
        <v/>
      </c>
    </row>
    <row r="100" ht="17" customHeight="1">
      <c r="B100" s="26" t="inlineStr">
        <is>
          <t>8.2(2)</t>
        </is>
      </c>
      <c r="C100" s="24" t="inlineStr">
        <is>
          <t>Compression bars fit in one layer  a2 ≥ a_min,2</t>
        </is>
      </c>
      <c r="D100" s="27" t="inlineStr">
        <is>
          <r>
            <rPr>
              <rFont val="Calibri"/>
              <i val="1"/>
              <color rgb="002B2B2B"/>
              <sz val="10"/>
            </rPr>
            <t>a</t>
          </r>
          <r>
            <rPr>
              <rFont val="Calibri"/>
              <i val="1"/>
              <color rgb="002B2B2B"/>
              <sz val="10"/>
              <vertAlign val="subscript"/>
            </rPr>
            <t>2</t>
          </r>
        </is>
      </c>
      <c r="E100" s="43">
        <f>gap_2</f>
        <v/>
      </c>
      <c r="F100" s="28" t="inlineStr">
        <is>
          <t>mm</t>
        </is>
      </c>
      <c r="G100" s="33">
        <f>IF(NOT(inputs_ok),"FAIL",IF(OR(n_2&lt;2,gap_2&gt;=gap_min2),"OK","FAIL"))</f>
        <v/>
      </c>
    </row>
    <row r="101" ht="17" customHeight="1">
      <c r="B101" s="26" t="inlineStr">
        <is>
          <t>8.2(2)</t>
        </is>
      </c>
      <c r="C101" s="24" t="inlineStr">
        <is>
          <t>Vertical clear distance between layers  av ≥ a_min,v</t>
        </is>
      </c>
      <c r="D101" s="27" t="inlineStr">
        <is>
          <r>
            <rPr>
              <rFont val="Calibri"/>
              <i val="1"/>
              <color rgb="002B2B2B"/>
              <sz val="10"/>
            </rPr>
            <t>a</t>
          </r>
          <r>
            <rPr>
              <rFont val="Calibri"/>
              <i val="1"/>
              <color rgb="002B2B2B"/>
              <sz val="10"/>
              <vertAlign val="subscript"/>
            </rPr>
            <t>v</t>
          </r>
        </is>
      </c>
      <c r="E101" s="43">
        <f>gap_v</f>
        <v/>
      </c>
      <c r="F101" s="28" t="inlineStr">
        <is>
          <t>mm</t>
        </is>
      </c>
      <c r="G101" s="33">
        <f>IF(NOT(inputs_ok),"FAIL",IF(OR(n_2=0,gap_v&gt;=gap_minv),"OK","FAIL"))</f>
        <v/>
      </c>
    </row>
    <row r="103" ht="22" customHeight="1">
      <c r="B103" s="20" t="inlineStr">
        <is>
          <t>Calculation  ·  shear</t>
        </is>
      </c>
      <c r="C103" s="21" t="n"/>
      <c r="D103" s="21" t="n"/>
      <c r="E103" s="21" t="n"/>
      <c r="F103" s="21" t="n"/>
      <c r="G103" s="21" t="n"/>
    </row>
    <row r="104" ht="17" customHeight="1">
      <c r="B104" s="26" t="inlineStr">
        <is>
          <t>6.2.2(1), 6.4.4(1)</t>
        </is>
      </c>
      <c r="C104" s="24" t="inlineStr">
        <is>
          <t>Coefficient  0.18 / γc</t>
        </is>
      </c>
      <c r="D104" s="27" t="inlineStr">
        <is>
          <r>
            <rPr>
              <rFont val="Calibri"/>
              <i val="1"/>
              <color rgb="002B2B2B"/>
              <sz val="10"/>
            </rPr>
            <t>C</t>
          </r>
          <r>
            <rPr>
              <rFont val="Calibri"/>
              <i val="1"/>
              <color rgb="002B2B2B"/>
              <sz val="10"/>
              <vertAlign val="subscript"/>
            </rPr>
            <t>Rd,c</t>
          </r>
        </is>
      </c>
      <c r="E104" s="45">
        <f>ndp_C_Rdc/ndp_gamma_c</f>
        <v/>
      </c>
      <c r="F104" s="23" t="n"/>
      <c r="G104" s="26" t="inlineStr">
        <is>
          <t>NDP sheet</t>
        </is>
      </c>
    </row>
    <row r="105" ht="17" customHeight="1">
      <c r="B105" s="26" t="inlineStr">
        <is>
          <t>3.1.6(1)</t>
        </is>
      </c>
      <c r="C105" s="24" t="inlineStr">
        <is>
          <t>Coefficient on compressive strength (shear)</t>
        </is>
      </c>
      <c r="D105" s="27" t="inlineStr">
        <is>
          <r>
            <rPr>
              <rFont val="Calibri"/>
              <i val="1"/>
              <color rgb="002B2B2B"/>
              <sz val="10"/>
            </rPr>
            <t>α</t>
          </r>
          <r>
            <rPr>
              <rFont val="Calibri"/>
              <i val="1"/>
              <color rgb="002B2B2B"/>
              <sz val="10"/>
              <vertAlign val="subscript"/>
            </rPr>
            <t>cc</t>
          </r>
        </is>
      </c>
      <c r="E105" s="42">
        <f>ndp_alpha_cc_shear</f>
        <v/>
      </c>
      <c r="F105" s="23" t="n"/>
      <c r="G105" s="26" t="inlineStr">
        <is>
          <t>NDP sheet</t>
        </is>
      </c>
    </row>
    <row r="106" ht="17" customHeight="1">
      <c r="B106" s="26" t="inlineStr">
        <is>
          <t>6.2.3(2)</t>
        </is>
      </c>
      <c r="C106" s="24" t="inlineStr">
        <is>
          <t>Upper limit of cot θ</t>
        </is>
      </c>
      <c r="D106" s="27" t="inlineStr">
        <is>
          <r>
            <rPr>
              <rFont val="Calibri"/>
              <i val="1"/>
              <color rgb="002B2B2B"/>
              <sz val="10"/>
            </rPr>
            <t>cot θ</t>
          </r>
          <r>
            <rPr>
              <rFont val="Calibri"/>
              <i val="1"/>
              <color rgb="002B2B2B"/>
              <sz val="10"/>
              <vertAlign val="subscript"/>
            </rPr>
            <t>max</t>
          </r>
        </is>
      </c>
      <c r="E106" s="42">
        <f>ndp_cot_max</f>
        <v/>
      </c>
      <c r="F106" s="23" t="n"/>
      <c r="G106" s="26" t="inlineStr">
        <is>
          <t>NDP sheet</t>
        </is>
      </c>
    </row>
    <row r="107" ht="17" customHeight="1">
      <c r="B107" s="26" t="inlineStr">
        <is>
          <t>6.2.2(1)</t>
        </is>
      </c>
      <c r="C107" s="24" t="inlineStr">
        <is>
          <t>Size factor  1 + √(200/d) ≤ 2</t>
        </is>
      </c>
      <c r="D107" s="27" t="inlineStr">
        <is>
          <r>
            <rPr>
              <rFont val="Calibri"/>
              <i val="1"/>
              <color rgb="002B2B2B"/>
              <sz val="10"/>
            </rPr>
            <t>k</t>
          </r>
        </is>
      </c>
      <c r="E107" s="45">
        <f>MIN(2,1+SQRT(200/d_eff))</f>
        <v/>
      </c>
      <c r="F107" s="23" t="n"/>
      <c r="G107" s="23" t="n"/>
    </row>
    <row r="108" ht="17" customHeight="1">
      <c r="B108" s="26" t="inlineStr">
        <is>
          <t>6.2.2(1)</t>
        </is>
      </c>
      <c r="C108" s="24" t="inlineStr">
        <is>
          <t>Tension reinforcement ratio  As1,prov / (b d) ≤ 0.02</t>
        </is>
      </c>
      <c r="D108" s="27" t="inlineStr">
        <is>
          <r>
            <rPr>
              <rFont val="Calibri"/>
              <i val="1"/>
              <color rgb="002B2B2B"/>
              <sz val="10"/>
            </rPr>
            <t>ρ</t>
          </r>
          <r>
            <rPr>
              <rFont val="Calibri"/>
              <i val="1"/>
              <color rgb="002B2B2B"/>
              <sz val="10"/>
              <vertAlign val="subscript"/>
            </rPr>
            <t>l</t>
          </r>
        </is>
      </c>
      <c r="E108" s="47">
        <f>MIN(0.02,A_s1prov/(b_w*d_eff))</f>
        <v/>
      </c>
      <c r="F108" s="23" t="n"/>
      <c r="G108" s="26" t="inlineStr">
        <is>
          <t>Bars anchored beyond the section</t>
        </is>
      </c>
    </row>
    <row r="109" ht="17" customHeight="1">
      <c r="B109" s="26" t="inlineStr">
        <is>
          <t>(6.3N)</t>
        </is>
      </c>
      <c r="C109" s="24" t="inlineStr">
        <is>
          <t>Minimum shear stress</t>
        </is>
      </c>
      <c r="D109" s="27" t="inlineStr">
        <is>
          <r>
            <rPr>
              <rFont val="Calibri"/>
              <i val="1"/>
              <color rgb="002B2B2B"/>
              <sz val="10"/>
            </rPr>
            <t>v</t>
          </r>
          <r>
            <rPr>
              <rFont val="Calibri"/>
              <i val="1"/>
              <color rgb="002B2B2B"/>
              <sz val="10"/>
              <vertAlign val="subscript"/>
            </rPr>
            <t>min</t>
          </r>
        </is>
      </c>
      <c r="E109" s="45">
        <f>0.035*k_size^1.5*SQRT(f_ck)</f>
        <v/>
      </c>
      <c r="F109" s="28" t="inlineStr">
        <is>
          <t>MPa</t>
        </is>
      </c>
      <c r="G109" s="23" t="n"/>
    </row>
    <row r="110" ht="17" customHeight="1">
      <c r="B110" s="26" t="inlineStr">
        <is>
          <t>(6.2)</t>
        </is>
      </c>
      <c r="C110" s="24" t="inlineStr">
        <is>
          <t>Resistance without shear reinforcement</t>
        </is>
      </c>
      <c r="D110" s="27" t="inlineStr">
        <is>
          <r>
            <rPr>
              <rFont val="Calibri"/>
              <i val="1"/>
              <color rgb="002B2B2B"/>
              <sz val="10"/>
            </rPr>
            <t>V</t>
          </r>
          <r>
            <rPr>
              <rFont val="Calibri"/>
              <i val="1"/>
              <color rgb="002B2B2B"/>
              <sz val="10"/>
              <vertAlign val="subscript"/>
            </rPr>
            <t>Rd,c</t>
          </r>
        </is>
      </c>
      <c r="E110" s="44">
        <f>MAX(C_Rdc*k_size*(100*rho_l*f_ck)^(1/3),v_min)*b_w*d_eff/1000</f>
        <v/>
      </c>
      <c r="F110" s="28" t="inlineStr">
        <is>
          <t>kN</t>
        </is>
      </c>
      <c r="G110" s="23" t="n"/>
    </row>
    <row r="111" ht="17" customHeight="1">
      <c r="B111" s="26" t="inlineStr">
        <is>
          <t>6.2.3(1)</t>
        </is>
      </c>
      <c r="C111" s="24" t="inlineStr">
        <is>
          <t>Inner lever arm  0.9 d</t>
        </is>
      </c>
      <c r="D111" s="27" t="inlineStr">
        <is>
          <r>
            <rPr>
              <rFont val="Calibri"/>
              <i val="1"/>
              <color rgb="002B2B2B"/>
              <sz val="10"/>
            </rPr>
            <t>z</t>
          </r>
        </is>
      </c>
      <c r="E111" s="43">
        <f>0.9*d_eff</f>
        <v/>
      </c>
      <c r="F111" s="28" t="inlineStr">
        <is>
          <t>mm</t>
        </is>
      </c>
      <c r="G111" s="23" t="n"/>
    </row>
    <row r="112" ht="17" customHeight="1">
      <c r="B112" s="26" t="inlineStr">
        <is>
          <t>(6.6N)</t>
        </is>
      </c>
      <c r="C112" s="24" t="inlineStr">
        <is>
          <t>Strength reduction factor  ν1 = 0.6 (1 − fck/250)</t>
        </is>
      </c>
      <c r="D112" s="27" t="inlineStr">
        <is>
          <r>
            <rPr>
              <rFont val="Calibri"/>
              <i val="1"/>
              <color rgb="002B2B2B"/>
              <sz val="10"/>
            </rPr>
            <t>ν</t>
          </r>
          <r>
            <rPr>
              <rFont val="Calibri"/>
              <i val="1"/>
              <color rgb="002B2B2B"/>
              <sz val="10"/>
              <vertAlign val="subscript"/>
            </rPr>
            <t>1</t>
          </r>
        </is>
      </c>
      <c r="E112" s="45">
        <f>0.6*(1-f_ck/250)</f>
        <v/>
      </c>
      <c r="F112" s="23" t="n"/>
      <c r="G112" s="23" t="n"/>
    </row>
    <row r="113" ht="17" customHeight="1">
      <c r="B113" s="26" t="inlineStr">
        <is>
          <t>3.1.6(1)</t>
        </is>
      </c>
      <c r="C113" s="24" t="inlineStr">
        <is>
          <t>Design compressive strength for shear</t>
        </is>
      </c>
      <c r="D113" s="27" t="inlineStr">
        <is>
          <r>
            <rPr>
              <rFont val="Calibri"/>
              <i val="1"/>
              <color rgb="002B2B2B"/>
              <sz val="10"/>
            </rPr>
            <t>f</t>
          </r>
          <r>
            <rPr>
              <rFont val="Calibri"/>
              <i val="1"/>
              <color rgb="002B2B2B"/>
              <sz val="10"/>
              <vertAlign val="subscript"/>
            </rPr>
            <t>cd,v</t>
          </r>
        </is>
      </c>
      <c r="E113" s="42">
        <f>alpha_cc_shear*f_ck/gamma_c</f>
        <v/>
      </c>
      <c r="F113" s="28" t="inlineStr">
        <is>
          <t>MPa</t>
        </is>
      </c>
      <c r="G113" s="23" t="n"/>
    </row>
    <row r="114" ht="17" customHeight="1">
      <c r="B114" s="26" t="inlineStr">
        <is>
          <t>(6.9)</t>
        </is>
      </c>
      <c r="C114" s="24" t="inlineStr">
        <is>
          <t>Shear ratio  2 VEd / (b z ν1 fcd)  (= VEd / VRd,max at 45°)</t>
        </is>
      </c>
      <c r="D114" s="23" t="n"/>
      <c r="E114" s="45">
        <f>2*V_Ed*1000/(b_w*z_v*nu_1*f_cdv)</f>
        <v/>
      </c>
      <c r="F114" s="23" t="n"/>
      <c r="G114" s="23" t="n"/>
    </row>
    <row r="115" ht="17" customHeight="1">
      <c r="B115" s="26" t="inlineStr">
        <is>
          <t>6.2.3(2)</t>
        </is>
      </c>
      <c r="C115" s="24" t="inlineStr">
        <is>
          <t>Strut inclination  1 ≤ cot θ ≤ cot θmax</t>
        </is>
      </c>
      <c r="D115" s="27" t="inlineStr">
        <is>
          <r>
            <rPr>
              <rFont val="Calibri"/>
              <i val="1"/>
              <color rgb="002B2B2B"/>
              <sz val="10"/>
            </rPr>
            <t>cot θ</t>
          </r>
        </is>
      </c>
      <c r="E115" s="45">
        <f>IF(ratio_v&lt;=0,cot_max,IF(ratio_v&gt;=1,1,MIN(cot_max,1/TAN(0.5*ASIN(ratio_v)))))</f>
        <v/>
      </c>
      <c r="F115" s="23" t="n"/>
      <c r="G115" s="23" t="n"/>
    </row>
    <row r="116" ht="17" customHeight="1">
      <c r="B116" s="26" t="inlineStr">
        <is>
          <t>(6.9)</t>
        </is>
      </c>
      <c r="C116" s="24" t="inlineStr">
        <is>
          <t>Maximum shear resistance  b z ν1 fcd / (cot θ + tan θ)</t>
        </is>
      </c>
      <c r="D116" s="27" t="inlineStr">
        <is>
          <r>
            <rPr>
              <rFont val="Calibri"/>
              <i val="1"/>
              <color rgb="002B2B2B"/>
              <sz val="10"/>
            </rPr>
            <t>V</t>
          </r>
          <r>
            <rPr>
              <rFont val="Calibri"/>
              <i val="1"/>
              <color rgb="002B2B2B"/>
              <sz val="10"/>
              <vertAlign val="subscript"/>
            </rPr>
            <t>Rd,max</t>
          </r>
        </is>
      </c>
      <c r="E116" s="48">
        <f>b_w*z_v*nu_1*f_cdv/(cot_theta+1/cot_theta)/1000</f>
        <v/>
      </c>
      <c r="F116" s="28" t="inlineStr">
        <is>
          <t>kN</t>
        </is>
      </c>
      <c r="G116" s="23" t="n"/>
    </row>
    <row r="117" ht="17" customHeight="1">
      <c r="B117" s="26" t="inlineStr">
        <is>
          <t>3.2.7</t>
        </is>
      </c>
      <c r="C117" s="24" t="inlineStr">
        <is>
          <t>Design yield strength of links</t>
        </is>
      </c>
      <c r="D117" s="27" t="inlineStr">
        <is>
          <r>
            <rPr>
              <rFont val="Calibri"/>
              <i val="1"/>
              <color rgb="002B2B2B"/>
              <sz val="10"/>
            </rPr>
            <t>f</t>
          </r>
          <r>
            <rPr>
              <rFont val="Calibri"/>
              <i val="1"/>
              <color rgb="002B2B2B"/>
              <sz val="10"/>
              <vertAlign val="subscript"/>
            </rPr>
            <t>ywd</t>
          </r>
        </is>
      </c>
      <c r="E117" s="44">
        <f>f_ywk/gamma_s</f>
        <v/>
      </c>
      <c r="F117" s="28" t="inlineStr">
        <is>
          <t>MPa</t>
        </is>
      </c>
      <c r="G117" s="23" t="n"/>
    </row>
    <row r="118" ht="17" customHeight="1">
      <c r="B118" s="26" t="inlineStr">
        <is>
          <t>(6.8)</t>
        </is>
      </c>
      <c r="C118" s="24" t="inlineStr">
        <is>
          <t>Links required for VEd  VEd / (z fywd cot θ)</t>
        </is>
      </c>
      <c r="D118" s="27" t="inlineStr">
        <is>
          <r>
            <rPr>
              <rFont val="Calibri"/>
              <i val="1"/>
              <color rgb="002B2B2B"/>
              <sz val="10"/>
            </rPr>
            <t>A</t>
          </r>
          <r>
            <rPr>
              <rFont val="Calibri"/>
              <i val="1"/>
              <color rgb="002B2B2B"/>
              <sz val="10"/>
              <vertAlign val="subscript"/>
            </rPr>
            <t>sw/s</t>
          </r>
        </is>
      </c>
      <c r="E118" s="45">
        <f>IF(V_Ed&lt;=V_Rdc,0,V_Ed*1000/(z_v*f_ywd*cot_theta))</f>
        <v/>
      </c>
      <c r="F118" s="28" t="inlineStr">
        <is>
          <t>mm²/mm</t>
        </is>
      </c>
      <c r="G118" s="23" t="n"/>
    </row>
    <row r="119" ht="17" customHeight="1">
      <c r="B119" s="26" t="inlineStr">
        <is>
          <t>(9.5N)</t>
        </is>
      </c>
      <c r="C119" s="24" t="inlineStr">
        <is>
          <t>Minimum links  0.08 √fck / fyk · b</t>
        </is>
      </c>
      <c r="D119" s="27" t="inlineStr">
        <is>
          <r>
            <rPr>
              <rFont val="Calibri"/>
              <i val="1"/>
              <color rgb="002B2B2B"/>
              <sz val="10"/>
            </rPr>
            <t>A</t>
          </r>
          <r>
            <rPr>
              <rFont val="Calibri"/>
              <i val="1"/>
              <color rgb="002B2B2B"/>
              <sz val="10"/>
              <vertAlign val="subscript"/>
            </rPr>
            <t>sw/s_min</t>
          </r>
        </is>
      </c>
      <c r="E119" s="45">
        <f>0.08*SQRT(f_ck)/f_ywk*b_w</f>
        <v/>
      </c>
      <c r="F119" s="28" t="inlineStr">
        <is>
          <t>mm²/mm</t>
        </is>
      </c>
      <c r="G119" s="23" t="n"/>
    </row>
    <row r="120" ht="17" customHeight="1">
      <c r="B120" s="23" t="n"/>
      <c r="C120" s="24" t="inlineStr">
        <is>
          <t>Links needed  max(required; minimum)</t>
        </is>
      </c>
      <c r="D120" s="23" t="n"/>
      <c r="E120" s="49">
        <f>MAX(Asw_req,Asw_min)</f>
        <v/>
      </c>
      <c r="F120" s="28" t="inlineStr">
        <is>
          <t>mm²/mm</t>
        </is>
      </c>
      <c r="G120" s="23" t="n"/>
    </row>
    <row r="121" ht="17" customHeight="1">
      <c r="B121" s="23" t="n"/>
      <c r="C121" s="24" t="inlineStr">
        <is>
          <t>Links provided  nw π φw² / 4 / s</t>
        </is>
      </c>
      <c r="D121" s="27" t="inlineStr">
        <is>
          <r>
            <rPr>
              <rFont val="Calibri"/>
              <i val="1"/>
              <color rgb="002B2B2B"/>
              <sz val="10"/>
            </rPr>
            <t>A</t>
          </r>
          <r>
            <rPr>
              <rFont val="Calibri"/>
              <i val="1"/>
              <color rgb="002B2B2B"/>
              <sz val="10"/>
              <vertAlign val="subscript"/>
            </rPr>
            <t>sw/s_prov</t>
          </r>
        </is>
      </c>
      <c r="E121" s="45">
        <f>n_legs*PI()*phi_w^2/4/s_link</f>
        <v/>
      </c>
      <c r="F121" s="28" t="inlineStr">
        <is>
          <t>mm²/mm</t>
        </is>
      </c>
      <c r="G121" s="23" t="n"/>
    </row>
    <row r="122" ht="17" customHeight="1">
      <c r="B122" s="26" t="inlineStr">
        <is>
          <t>(6.8)</t>
        </is>
      </c>
      <c r="C122" s="24" t="inlineStr">
        <is>
          <t>Shear resistance of links provided</t>
        </is>
      </c>
      <c r="D122" s="27" t="inlineStr">
        <is>
          <r>
            <rPr>
              <rFont val="Calibri"/>
              <i val="1"/>
              <color rgb="002B2B2B"/>
              <sz val="10"/>
            </rPr>
            <t>V</t>
          </r>
          <r>
            <rPr>
              <rFont val="Calibri"/>
              <i val="1"/>
              <color rgb="002B2B2B"/>
              <sz val="10"/>
              <vertAlign val="subscript"/>
            </rPr>
            <t>Rd,s</t>
          </r>
        </is>
      </c>
      <c r="E122" s="44">
        <f>Asw_prov*z_v*f_ywd*cot_theta/1000</f>
        <v/>
      </c>
      <c r="F122" s="28" t="inlineStr">
        <is>
          <t>kN</t>
        </is>
      </c>
      <c r="G122" s="23" t="n"/>
    </row>
    <row r="123" ht="17" customHeight="1">
      <c r="B123" s="26" t="inlineStr">
        <is>
          <t>(9.6N)</t>
        </is>
      </c>
      <c r="C123" s="24" t="inlineStr">
        <is>
          <t>Maximum longitudinal link spacing  0.75 d</t>
        </is>
      </c>
      <c r="D123" s="27" t="inlineStr">
        <is>
          <r>
            <rPr>
              <rFont val="Calibri"/>
              <i val="1"/>
              <color rgb="002B2B2B"/>
              <sz val="10"/>
            </rPr>
            <t>s</t>
          </r>
          <r>
            <rPr>
              <rFont val="Calibri"/>
              <i val="1"/>
              <color rgb="002B2B2B"/>
              <sz val="10"/>
              <vertAlign val="subscript"/>
            </rPr>
            <t>l,max</t>
          </r>
        </is>
      </c>
      <c r="E123" s="43">
        <f>0.75*d_eff</f>
        <v/>
      </c>
      <c r="F123" s="28" t="inlineStr">
        <is>
          <t>mm</t>
        </is>
      </c>
      <c r="G123" s="23" t="n"/>
    </row>
    <row r="124" ht="17" customHeight="1">
      <c r="B124" s="26" t="inlineStr">
        <is>
          <t>(6.9)</t>
        </is>
      </c>
      <c r="C124" s="24" t="inlineStr">
        <is>
          <t>Shear force against crushing of struts</t>
        </is>
      </c>
      <c r="D124" s="27" t="inlineStr">
        <is>
          <r>
            <rPr>
              <rFont val="Calibri"/>
              <i val="1"/>
              <color rgb="002B2B2B"/>
              <sz val="10"/>
            </rPr>
            <t>V</t>
          </r>
          <r>
            <rPr>
              <rFont val="Calibri"/>
              <i val="1"/>
              <color rgb="002B2B2B"/>
              <sz val="10"/>
              <vertAlign val="subscript"/>
            </rPr>
            <t>Ed</t>
          </r>
        </is>
      </c>
      <c r="E124" s="44">
        <f>V_Ed</f>
        <v/>
      </c>
      <c r="F124" s="28" t="inlineStr">
        <is>
          <t>kN</t>
        </is>
      </c>
      <c r="G124" s="33">
        <f>IF(NOT(inputs_ok),"FAIL",IF(V_Ed&lt;=V_Rdmax,"OK","FAIL"))</f>
        <v/>
      </c>
    </row>
    <row r="125" ht="17" customHeight="1">
      <c r="B125" s="26" t="inlineStr">
        <is>
          <t>(6.8)</t>
        </is>
      </c>
      <c r="C125" s="24" t="inlineStr">
        <is>
          <t>Links  Asw/s provided ≥ needed</t>
        </is>
      </c>
      <c r="D125" s="23" t="n"/>
      <c r="E125" s="45">
        <f>Asw_prov</f>
        <v/>
      </c>
      <c r="F125" s="28" t="inlineStr">
        <is>
          <t>mm²/mm</t>
        </is>
      </c>
      <c r="G125" s="33">
        <f>IF(NOT(inputs_ok),"FAIL",IF(Asw_prov&gt;=Asw_need,"OK","FAIL"))</f>
        <v/>
      </c>
    </row>
    <row r="126" ht="17" customHeight="1">
      <c r="B126" s="26" t="inlineStr">
        <is>
          <t>(9.6N)</t>
        </is>
      </c>
      <c r="C126" s="24" t="inlineStr">
        <is>
          <t>Link spacing  s ≤ 0.75 d</t>
        </is>
      </c>
      <c r="D126" s="27" t="inlineStr">
        <is>
          <r>
            <rPr>
              <rFont val="Calibri"/>
              <i val="1"/>
              <color rgb="002B2B2B"/>
              <sz val="10"/>
            </rPr>
            <t>s</t>
          </r>
        </is>
      </c>
      <c r="E126" s="43">
        <f>s_link</f>
        <v/>
      </c>
      <c r="F126" s="28" t="inlineStr">
        <is>
          <t>mm</t>
        </is>
      </c>
      <c r="G126" s="33">
        <f>IF(NOT(inputs_ok),"FAIL",IF(s_link&lt;=s_lmax,"OK","FAIL"))</f>
        <v/>
      </c>
    </row>
    <row r="127" ht="41.5" customHeight="1">
      <c r="B127" s="41" t="inlineStr">
        <is>
          <t>Not in the shear status: transverse spacing of legs and the additional tensile force in the longitudinal bars. Minimum links are provided even where VEd ≤ VRd,c (9.2.2(5)). Transverse spacing of legs should not exceed 0.75d or 600 mm (9.2.2(8)). Check the longitudinal bars for the additional tensile force from shear (6.2.3(7), shift rule 9.2.1.3).</t>
        </is>
      </c>
    </row>
    <row r="129" ht="29" customHeight="1">
      <c r="B129" s="41"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8">
    <mergeCell ref="E5:G5"/>
    <mergeCell ref="B129:G129"/>
    <mergeCell ref="B127:G127"/>
    <mergeCell ref="B58:G58"/>
    <mergeCell ref="D2:G2"/>
    <mergeCell ref="E7:G7"/>
    <mergeCell ref="E6:G6"/>
    <mergeCell ref="C3:G3"/>
  </mergeCells>
  <conditionalFormatting sqref="G9:G130">
    <cfRule type="expression" priority="1" dxfId="0">
      <formula>G9="OK"</formula>
    </cfRule>
    <cfRule type="expression" priority="2" dxfId="1">
      <formula>G9="FAIL"</formula>
    </cfRule>
    <cfRule type="expression" priority="3" dxfId="2">
      <formula>LEFT(G9,1)="!"</formula>
    </cfRule>
  </conditionalFormatting>
  <dataValidations count="18">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Pick a value from the list." type="list" errorStyle="stop">
      <formula1>"A,B,C"</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Pick a value from the list." type="list" errorStyle="stop">
      <formula1>"6,8,10,12,16"</formula1>
    </dataValidation>
    <dataValidation sqref="E20 E22" showDropDown="0" showInputMessage="0" showErrorMessage="1" allowBlank="0" errorTitle="NA Engineering" error="Pick a value from the list." type="list" errorStyle="stop">
      <formula1>"8,10,12,16,20,25,32,40"</formula1>
    </dataValidation>
    <dataValidation sqref="E21" showDropDown="0" showInputMessage="0" showErrorMessage="1" allowBlank="0" errorTitle="NA Engineering" error="Enter a number greater than 0." type="decimal" errorStyle="stop" operator="greaterThan">
      <formula1>0</formula1>
    </dataValidation>
    <dataValidation sqref="E23" showDropDown="0" showInputMessage="0" showErrorMessage="1" allowBlank="0" errorTitle="NA Engineering" error="Enter a number ≥ 0." type="decimal" errorStyle="stop" operator="greaterThanOrEqual">
      <formula1>0</formula1>
    </dataValidation>
    <dataValidation sqref="E47" showDropDown="0" showInputMessage="0" showErrorMessage="1" allowBlank="0" errorTitle="NA Engineering" error="Enter a number ≥ 0." type="decimal" errorStyle="stop" operator="greaterThanOrEqual">
      <formula1>0</formula1>
    </dataValidation>
    <dataValidation sqref="E48" showDropDown="0" showInputMessage="0" showErrorMessage="1" allowBlank="0" errorTitle="NA Engineering" error="Enter a number greater than 0." type="decimal" errorStyle="stop" operator="greaterThan">
      <formula1>0</formula1>
    </dataValidation>
    <dataValidation sqref="E49" showDropDown="0" showInputMessage="0" showErrorMessage="1" allowBlank="0" errorTitle="NA Engineering" error="Enter a number ≥ 0." type="decimal" errorStyle="stop" operator="greaterThanOrEqual">
      <formula1>0</formula1>
    </dataValidation>
    <dataValidation sqref="E50" showDropDown="0" showInputMessage="0" showErrorMessage="1" allowBlank="0" errorTitle="NA Engineering" error="Enter a number greater than 0." type="decimal" errorStyle="stop" operator="greaterThan">
      <formula1>0</formula1>
    </dataValidation>
    <dataValidation sqref="E51" showDropDown="0" showInputMessage="0" showErrorMessage="1" allowBlank="0" errorTitle="NA Engineering" error="Enter a number greater than 0." type="decimal" errorStyle="stop" operator="greaterThan">
      <formula1>0</formula1>
    </dataValidation>
    <dataValidation sqref="E52"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&amp;K8A8A8ANAE-RC-004  v1.0</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DL19"/>
  <sheetViews>
    <sheetView tabSelected="0" workbookViewId="0">
      <selection activeCell="A1" sqref="A1"/>
    </sheetView>
  </sheetViews>
  <sheetFormatPr baseColWidth="8" defaultRowHeight="15"/>
  <sheetData>
    <row r="1">
      <c r="A1" t="inlineStr">
        <is>
          <t>Coordinates for the live drawings (mm). Generated - do not edit.</t>
        </is>
      </c>
    </row>
    <row r="2">
      <c r="A2" t="inlineStr">
        <is>
          <t>section</t>
        </is>
      </c>
      <c r="D2" t="inlineStr">
        <is>
          <t>link</t>
        </is>
      </c>
      <c r="G2" t="inlineStr">
        <is>
          <t>bar t0</t>
        </is>
      </c>
      <c r="J2" t="inlineStr">
        <is>
          <t>bar c0</t>
        </is>
      </c>
      <c r="M2" t="inlineStr">
        <is>
          <t>bar t1</t>
        </is>
      </c>
      <c r="P2" t="inlineStr">
        <is>
          <t>bar c1</t>
        </is>
      </c>
      <c r="S2" t="inlineStr">
        <is>
          <t>bar t2</t>
        </is>
      </c>
      <c r="V2" t="inlineStr">
        <is>
          <t>bar c2</t>
        </is>
      </c>
      <c r="Y2" t="inlineStr">
        <is>
          <t>bar t3</t>
        </is>
      </c>
      <c r="AB2" t="inlineStr">
        <is>
          <t>bar c3</t>
        </is>
      </c>
      <c r="AE2" t="inlineStr">
        <is>
          <t>bar t4</t>
        </is>
      </c>
      <c r="AH2" t="inlineStr">
        <is>
          <t>bar c4</t>
        </is>
      </c>
      <c r="AK2" t="inlineStr">
        <is>
          <t>bar t5</t>
        </is>
      </c>
      <c r="AN2" t="inlineStr">
        <is>
          <t>bar c5</t>
        </is>
      </c>
      <c r="AQ2" t="inlineStr">
        <is>
          <t>bar t6</t>
        </is>
      </c>
      <c r="AT2" t="inlineStr">
        <is>
          <t>bar c6</t>
        </is>
      </c>
      <c r="AW2" t="inlineStr">
        <is>
          <t>bar t7</t>
        </is>
      </c>
      <c r="AZ2" t="inlineStr">
        <is>
          <t>bar c7</t>
        </is>
      </c>
      <c r="BC2" t="inlineStr">
        <is>
          <t>bar t8</t>
        </is>
      </c>
      <c r="BF2" t="inlineStr">
        <is>
          <t>bar c8</t>
        </is>
      </c>
      <c r="BI2" t="inlineStr">
        <is>
          <t>bar t9</t>
        </is>
      </c>
      <c r="BL2" t="inlineStr">
        <is>
          <t>bar c9</t>
        </is>
      </c>
      <c r="BO2" t="inlineStr">
        <is>
          <t>bar t10</t>
        </is>
      </c>
      <c r="BR2" t="inlineStr">
        <is>
          <t>bar c10</t>
        </is>
      </c>
      <c r="BU2" t="inlineStr">
        <is>
          <t>bar t11</t>
        </is>
      </c>
      <c r="BX2" t="inlineStr">
        <is>
          <t>bar c11</t>
        </is>
      </c>
      <c r="CA2" t="inlineStr">
        <is>
          <t>neutral axis</t>
        </is>
      </c>
      <c r="CD2" t="inlineStr">
        <is>
          <t>dim</t>
        </is>
      </c>
      <c r="CG2">
        <f>"b = "&amp;TEXT(b_w,"0")</f>
        <v/>
      </c>
      <c r="CJ2" t="inlineStr">
        <is>
          <t>dim</t>
        </is>
      </c>
      <c r="CM2">
        <f>"h = "&amp;TEXT(h_sec,"0")</f>
        <v/>
      </c>
      <c r="CP2" t="inlineStr">
        <is>
          <t>dim</t>
        </is>
      </c>
      <c r="CS2">
        <f>"d = "&amp;TEXT(d_eff,"0")</f>
        <v/>
      </c>
      <c r="CV2" t="inlineStr">
        <is>
          <t>dim</t>
        </is>
      </c>
      <c r="CY2">
        <f>"x = "&amp;TEXT(x_na,"0")</f>
        <v/>
      </c>
      <c r="DB2">
        <f>n_bars&amp;" × φ"&amp;phi</f>
        <v/>
      </c>
      <c r="DE2">
        <f>IF(n_2&gt;0,n_2&amp;" × φ"&amp;phi_2,"")</f>
        <v/>
      </c>
      <c r="DH2">
        <f>"links φ"&amp;phi_w&amp;" @ "&amp;s_link</f>
        <v/>
      </c>
      <c r="DK2" t="inlineStr">
        <is>
          <t>frame</t>
        </is>
      </c>
    </row>
    <row r="3">
      <c r="A3">
        <f>0</f>
        <v/>
      </c>
      <c r="B3">
        <f>0</f>
        <v/>
      </c>
      <c r="D3">
        <f>(c_nom+phi_w/2)</f>
        <v/>
      </c>
      <c r="E3">
        <f>(c_nom+phi_w/2)</f>
        <v/>
      </c>
      <c r="G3">
        <f>IF(0&lt;n_bars,(c_nom+phi_w+phi/2+0*(b_w-2*c_nom-2*phi_w-phi)/MAX(n_bars-1,1))+(phi/2)*1.000000,NA())</f>
        <v/>
      </c>
      <c r="H3">
        <f>IF(0&lt;n_bars,((c_nom+phi_w+phi/2))+(phi/2)*0.000000,NA())</f>
        <v/>
      </c>
      <c r="J3">
        <f>IF(0&lt;n_2,(c_nom+phi_w+phi_2/2+0*(b_w-2*c_nom-2*phi_w-phi_2)/MAX(n_2-1,1))+(phi_2/2)*1.000000,NA())</f>
        <v/>
      </c>
      <c r="K3">
        <f>IF(0&lt;n_2,((h_sec-c_nom-phi_w-phi_2/2))+(phi_2/2)*0.000000,NA())</f>
        <v/>
      </c>
      <c r="M3">
        <f>IF(1&lt;n_bars,(c_nom+phi_w+phi/2+1*(b_w-2*c_nom-2*phi_w-phi)/MAX(n_bars-1,1))+(phi/2)*1.000000,NA())</f>
        <v/>
      </c>
      <c r="N3">
        <f>IF(1&lt;n_bars,((c_nom+phi_w+phi/2))+(phi/2)*0.000000,NA())</f>
        <v/>
      </c>
      <c r="P3">
        <f>IF(1&lt;n_2,(c_nom+phi_w+phi_2/2+1*(b_w-2*c_nom-2*phi_w-phi_2)/MAX(n_2-1,1))+(phi_2/2)*1.000000,NA())</f>
        <v/>
      </c>
      <c r="Q3">
        <f>IF(1&lt;n_2,((h_sec-c_nom-phi_w-phi_2/2))+(phi_2/2)*0.000000,NA())</f>
        <v/>
      </c>
      <c r="S3">
        <f>IF(2&lt;n_bars,(c_nom+phi_w+phi/2+2*(b_w-2*c_nom-2*phi_w-phi)/MAX(n_bars-1,1))+(phi/2)*1.000000,NA())</f>
        <v/>
      </c>
      <c r="T3">
        <f>IF(2&lt;n_bars,((c_nom+phi_w+phi/2))+(phi/2)*0.000000,NA())</f>
        <v/>
      </c>
      <c r="V3">
        <f>IF(2&lt;n_2,(c_nom+phi_w+phi_2/2+2*(b_w-2*c_nom-2*phi_w-phi_2)/MAX(n_2-1,1))+(phi_2/2)*1.000000,NA())</f>
        <v/>
      </c>
      <c r="W3">
        <f>IF(2&lt;n_2,((h_sec-c_nom-phi_w-phi_2/2))+(phi_2/2)*0.000000,NA())</f>
        <v/>
      </c>
      <c r="Y3">
        <f>IF(3&lt;n_bars,(c_nom+phi_w+phi/2+3*(b_w-2*c_nom-2*phi_w-phi)/MAX(n_bars-1,1))+(phi/2)*1.000000,NA())</f>
        <v/>
      </c>
      <c r="Z3">
        <f>IF(3&lt;n_bars,((c_nom+phi_w+phi/2))+(phi/2)*0.000000,NA())</f>
        <v/>
      </c>
      <c r="AB3">
        <f>IF(3&lt;n_2,(c_nom+phi_w+phi_2/2+3*(b_w-2*c_nom-2*phi_w-phi_2)/MAX(n_2-1,1))+(phi_2/2)*1.000000,NA())</f>
        <v/>
      </c>
      <c r="AC3">
        <f>IF(3&lt;n_2,((h_sec-c_nom-phi_w-phi_2/2))+(phi_2/2)*0.000000,NA())</f>
        <v/>
      </c>
      <c r="AE3">
        <f>IF(4&lt;n_bars,(c_nom+phi_w+phi/2+4*(b_w-2*c_nom-2*phi_w-phi)/MAX(n_bars-1,1))+(phi/2)*1.000000,NA())</f>
        <v/>
      </c>
      <c r="AF3">
        <f>IF(4&lt;n_bars,((c_nom+phi_w+phi/2))+(phi/2)*0.000000,NA())</f>
        <v/>
      </c>
      <c r="AH3">
        <f>IF(4&lt;n_2,(c_nom+phi_w+phi_2/2+4*(b_w-2*c_nom-2*phi_w-phi_2)/MAX(n_2-1,1))+(phi_2/2)*1.000000,NA())</f>
        <v/>
      </c>
      <c r="AI3">
        <f>IF(4&lt;n_2,((h_sec-c_nom-phi_w-phi_2/2))+(phi_2/2)*0.000000,NA())</f>
        <v/>
      </c>
      <c r="AK3">
        <f>IF(5&lt;n_bars,(c_nom+phi_w+phi/2+5*(b_w-2*c_nom-2*phi_w-phi)/MAX(n_bars-1,1))+(phi/2)*1.000000,NA())</f>
        <v/>
      </c>
      <c r="AL3">
        <f>IF(5&lt;n_bars,((c_nom+phi_w+phi/2))+(phi/2)*0.000000,NA())</f>
        <v/>
      </c>
      <c r="AN3">
        <f>IF(5&lt;n_2,(c_nom+phi_w+phi_2/2+5*(b_w-2*c_nom-2*phi_w-phi_2)/MAX(n_2-1,1))+(phi_2/2)*1.000000,NA())</f>
        <v/>
      </c>
      <c r="AO3">
        <f>IF(5&lt;n_2,((h_sec-c_nom-phi_w-phi_2/2))+(phi_2/2)*0.000000,NA())</f>
        <v/>
      </c>
      <c r="AQ3">
        <f>IF(6&lt;n_bars,(c_nom+phi_w+phi/2+6*(b_w-2*c_nom-2*phi_w-phi)/MAX(n_bars-1,1))+(phi/2)*1.000000,NA())</f>
        <v/>
      </c>
      <c r="AR3">
        <f>IF(6&lt;n_bars,((c_nom+phi_w+phi/2))+(phi/2)*0.000000,NA())</f>
        <v/>
      </c>
      <c r="AT3">
        <f>IF(6&lt;n_2,(c_nom+phi_w+phi_2/2+6*(b_w-2*c_nom-2*phi_w-phi_2)/MAX(n_2-1,1))+(phi_2/2)*1.000000,NA())</f>
        <v/>
      </c>
      <c r="AU3">
        <f>IF(6&lt;n_2,((h_sec-c_nom-phi_w-phi_2/2))+(phi_2/2)*0.000000,NA())</f>
        <v/>
      </c>
      <c r="AW3">
        <f>IF(7&lt;n_bars,(c_nom+phi_w+phi/2+7*(b_w-2*c_nom-2*phi_w-phi)/MAX(n_bars-1,1))+(phi/2)*1.000000,NA())</f>
        <v/>
      </c>
      <c r="AX3">
        <f>IF(7&lt;n_bars,((c_nom+phi_w+phi/2))+(phi/2)*0.000000,NA())</f>
        <v/>
      </c>
      <c r="AZ3">
        <f>IF(7&lt;n_2,(c_nom+phi_w+phi_2/2+7*(b_w-2*c_nom-2*phi_w-phi_2)/MAX(n_2-1,1))+(phi_2/2)*1.000000,NA())</f>
        <v/>
      </c>
      <c r="BA3">
        <f>IF(7&lt;n_2,((h_sec-c_nom-phi_w-phi_2/2))+(phi_2/2)*0.000000,NA())</f>
        <v/>
      </c>
      <c r="BC3">
        <f>IF(8&lt;n_bars,(c_nom+phi_w+phi/2+8*(b_w-2*c_nom-2*phi_w-phi)/MAX(n_bars-1,1))+(phi/2)*1.000000,NA())</f>
        <v/>
      </c>
      <c r="BD3">
        <f>IF(8&lt;n_bars,((c_nom+phi_w+phi/2))+(phi/2)*0.000000,NA())</f>
        <v/>
      </c>
      <c r="BF3">
        <f>IF(8&lt;n_2,(c_nom+phi_w+phi_2/2+8*(b_w-2*c_nom-2*phi_w-phi_2)/MAX(n_2-1,1))+(phi_2/2)*1.000000,NA())</f>
        <v/>
      </c>
      <c r="BG3">
        <f>IF(8&lt;n_2,((h_sec-c_nom-phi_w-phi_2/2))+(phi_2/2)*0.000000,NA())</f>
        <v/>
      </c>
      <c r="BI3">
        <f>IF(9&lt;n_bars,(c_nom+phi_w+phi/2+9*(b_w-2*c_nom-2*phi_w-phi)/MAX(n_bars-1,1))+(phi/2)*1.000000,NA())</f>
        <v/>
      </c>
      <c r="BJ3">
        <f>IF(9&lt;n_bars,((c_nom+phi_w+phi/2))+(phi/2)*0.000000,NA())</f>
        <v/>
      </c>
      <c r="BL3">
        <f>IF(9&lt;n_2,(c_nom+phi_w+phi_2/2+9*(b_w-2*c_nom-2*phi_w-phi_2)/MAX(n_2-1,1))+(phi_2/2)*1.000000,NA())</f>
        <v/>
      </c>
      <c r="BM3">
        <f>IF(9&lt;n_2,((h_sec-c_nom-phi_w-phi_2/2))+(phi_2/2)*0.000000,NA())</f>
        <v/>
      </c>
      <c r="BO3">
        <f>IF(10&lt;n_bars,(c_nom+phi_w+phi/2+10*(b_w-2*c_nom-2*phi_w-phi)/MAX(n_bars-1,1))+(phi/2)*1.000000,NA())</f>
        <v/>
      </c>
      <c r="BP3">
        <f>IF(10&lt;n_bars,((c_nom+phi_w+phi/2))+(phi/2)*0.000000,NA())</f>
        <v/>
      </c>
      <c r="BR3">
        <f>IF(10&lt;n_2,(c_nom+phi_w+phi_2/2+10*(b_w-2*c_nom-2*phi_w-phi_2)/MAX(n_2-1,1))+(phi_2/2)*1.000000,NA())</f>
        <v/>
      </c>
      <c r="BS3">
        <f>IF(10&lt;n_2,((h_sec-c_nom-phi_w-phi_2/2))+(phi_2/2)*0.000000,NA())</f>
        <v/>
      </c>
      <c r="BU3">
        <f>IF(11&lt;n_bars,(c_nom+phi_w+phi/2+11*(b_w-2*c_nom-2*phi_w-phi)/MAX(n_bars-1,1))+(phi/2)*1.000000,NA())</f>
        <v/>
      </c>
      <c r="BV3">
        <f>IF(11&lt;n_bars,((c_nom+phi_w+phi/2))+(phi/2)*0.000000,NA())</f>
        <v/>
      </c>
      <c r="BX3">
        <f>IF(11&lt;n_2,(c_nom+phi_w+phi_2/2+11*(b_w-2*c_nom-2*phi_w-phi_2)/MAX(n_2-1,1))+(phi_2/2)*1.000000,NA())</f>
        <v/>
      </c>
      <c r="BY3">
        <f>IF(11&lt;n_2,((h_sec-c_nom-phi_w-phi_2/2))+(phi_2/2)*0.000000,NA())</f>
        <v/>
      </c>
      <c r="CA3">
        <f>IF(M_Ed&gt;0,-0.05*b_w,NA())</f>
        <v/>
      </c>
      <c r="CB3">
        <f>h_sec-x_na</f>
        <v/>
      </c>
      <c r="CD3">
        <f>IF(TRUE,0,NA())</f>
        <v/>
      </c>
      <c r="CE3">
        <f>IF(TRUE,-0.07*h_sec,NA())</f>
        <v/>
      </c>
      <c r="CG3">
        <f>IF(TRUE,((0)+(b_w))/2,NA())</f>
        <v/>
      </c>
      <c r="CH3">
        <f>IF(TRUE,((-0.07*h_sec)+(-0.07*h_sec))/2,NA())</f>
        <v/>
      </c>
      <c r="CJ3">
        <f>IF(TRUE,-0.07*h_sec,NA())</f>
        <v/>
      </c>
      <c r="CK3">
        <f>IF(TRUE,0,NA())</f>
        <v/>
      </c>
      <c r="CM3">
        <f>IF(TRUE,((-0.07*h_sec)+(-0.07*h_sec))/2,NA())</f>
        <v/>
      </c>
      <c r="CN3">
        <f>IF(TRUE,((0)+(h_sec))/2,NA())</f>
        <v/>
      </c>
      <c r="CP3">
        <f>IF(TRUE,b_w+0.07*h_sec,NA())</f>
        <v/>
      </c>
      <c r="CQ3">
        <f>IF(TRUE,(c_nom+phi_w+phi/2),NA())</f>
        <v/>
      </c>
      <c r="CS3">
        <f>IF(TRUE,((b_w+0.07*h_sec)+(b_w+0.07*h_sec))/2,NA())</f>
        <v/>
      </c>
      <c r="CT3">
        <f>IF(TRUE,(((c_nom+phi_w+phi/2))+(h_sec))/2,NA())</f>
        <v/>
      </c>
      <c r="CV3">
        <f>IF(AND(M_Ed&gt;0,NOT(comp_bad)),b_w+3.2*0.07*h_sec,NA())</f>
        <v/>
      </c>
      <c r="CW3">
        <f>IF(AND(M_Ed&gt;0,NOT(comp_bad)),h_sec-x_na,NA())</f>
        <v/>
      </c>
      <c r="CY3">
        <f>IF(AND(M_Ed&gt;0,NOT(comp_bad)),((b_w+3.2*0.07*h_sec)+(b_w+3.2*0.07*h_sec))/2,NA())</f>
        <v/>
      </c>
      <c r="CZ3">
        <f>IF(AND(M_Ed&gt;0,NOT(comp_bad)),((h_sec-x_na)+(h_sec))/2,NA())</f>
        <v/>
      </c>
      <c r="DB3">
        <f>b_w/2</f>
        <v/>
      </c>
      <c r="DC3">
        <f>(c_nom+phi_w+phi/2)+phi/2+0.03*h_sec</f>
        <v/>
      </c>
      <c r="DE3">
        <f>b_w/2</f>
        <v/>
      </c>
      <c r="DF3">
        <f>(h_sec-c_nom-phi_w-phi_2/2)-phi_2/2-0.03*h_sec</f>
        <v/>
      </c>
      <c r="DH3">
        <f>b_w/2</f>
        <v/>
      </c>
      <c r="DI3">
        <f>0.5*h_sec</f>
        <v/>
      </c>
      <c r="DK3">
        <f>((-2*0.07*h_sec)+(b_w+5*0.07*h_sec))/2-MAX((h_sec)-(-1.6*0.07*h_sec),((b_w+5*0.07*h_sec)-(-2*0.07*h_sec))/1.55)*0.58*1.55</f>
        <v/>
      </c>
      <c r="DL3">
        <f>((-1.6*0.07*h_sec)+(h_sec))/2-MAX((h_sec)-(-1.6*0.07*h_sec),((b_w+5*0.07*h_sec)-(-2*0.07*h_sec))/1.55)*0.58</f>
        <v/>
      </c>
    </row>
    <row r="4">
      <c r="A4">
        <f>b_w</f>
        <v/>
      </c>
      <c r="B4">
        <f>0</f>
        <v/>
      </c>
      <c r="D4">
        <f>b_w-(c_nom+phi_w/2)</f>
        <v/>
      </c>
      <c r="E4">
        <f>(c_nom+phi_w/2)</f>
        <v/>
      </c>
      <c r="G4">
        <f>IF(0&lt;n_bars,(c_nom+phi_w+phi/2+0*(b_w-2*c_nom-2*phi_w-phi)/MAX(n_bars-1,1))+(phi/2)*0.923880,NA())</f>
        <v/>
      </c>
      <c r="H4">
        <f>IF(0&lt;n_bars,((c_nom+phi_w+phi/2))+(phi/2)*0.382683,NA())</f>
        <v/>
      </c>
      <c r="J4">
        <f>IF(0&lt;n_2,(c_nom+phi_w+phi_2/2+0*(b_w-2*c_nom-2*phi_w-phi_2)/MAX(n_2-1,1))+(phi_2/2)*0.923880,NA())</f>
        <v/>
      </c>
      <c r="K4">
        <f>IF(0&lt;n_2,((h_sec-c_nom-phi_w-phi_2/2))+(phi_2/2)*0.382683,NA())</f>
        <v/>
      </c>
      <c r="M4">
        <f>IF(1&lt;n_bars,(c_nom+phi_w+phi/2+1*(b_w-2*c_nom-2*phi_w-phi)/MAX(n_bars-1,1))+(phi/2)*0.923880,NA())</f>
        <v/>
      </c>
      <c r="N4">
        <f>IF(1&lt;n_bars,((c_nom+phi_w+phi/2))+(phi/2)*0.382683,NA())</f>
        <v/>
      </c>
      <c r="P4">
        <f>IF(1&lt;n_2,(c_nom+phi_w+phi_2/2+1*(b_w-2*c_nom-2*phi_w-phi_2)/MAX(n_2-1,1))+(phi_2/2)*0.923880,NA())</f>
        <v/>
      </c>
      <c r="Q4">
        <f>IF(1&lt;n_2,((h_sec-c_nom-phi_w-phi_2/2))+(phi_2/2)*0.382683,NA())</f>
        <v/>
      </c>
      <c r="S4">
        <f>IF(2&lt;n_bars,(c_nom+phi_w+phi/2+2*(b_w-2*c_nom-2*phi_w-phi)/MAX(n_bars-1,1))+(phi/2)*0.923880,NA())</f>
        <v/>
      </c>
      <c r="T4">
        <f>IF(2&lt;n_bars,((c_nom+phi_w+phi/2))+(phi/2)*0.382683,NA())</f>
        <v/>
      </c>
      <c r="V4">
        <f>IF(2&lt;n_2,(c_nom+phi_w+phi_2/2+2*(b_w-2*c_nom-2*phi_w-phi_2)/MAX(n_2-1,1))+(phi_2/2)*0.923880,NA())</f>
        <v/>
      </c>
      <c r="W4">
        <f>IF(2&lt;n_2,((h_sec-c_nom-phi_w-phi_2/2))+(phi_2/2)*0.382683,NA())</f>
        <v/>
      </c>
      <c r="Y4">
        <f>IF(3&lt;n_bars,(c_nom+phi_w+phi/2+3*(b_w-2*c_nom-2*phi_w-phi)/MAX(n_bars-1,1))+(phi/2)*0.923880,NA())</f>
        <v/>
      </c>
      <c r="Z4">
        <f>IF(3&lt;n_bars,((c_nom+phi_w+phi/2))+(phi/2)*0.382683,NA())</f>
        <v/>
      </c>
      <c r="AB4">
        <f>IF(3&lt;n_2,(c_nom+phi_w+phi_2/2+3*(b_w-2*c_nom-2*phi_w-phi_2)/MAX(n_2-1,1))+(phi_2/2)*0.923880,NA())</f>
        <v/>
      </c>
      <c r="AC4">
        <f>IF(3&lt;n_2,((h_sec-c_nom-phi_w-phi_2/2))+(phi_2/2)*0.382683,NA())</f>
        <v/>
      </c>
      <c r="AE4">
        <f>IF(4&lt;n_bars,(c_nom+phi_w+phi/2+4*(b_w-2*c_nom-2*phi_w-phi)/MAX(n_bars-1,1))+(phi/2)*0.923880,NA())</f>
        <v/>
      </c>
      <c r="AF4">
        <f>IF(4&lt;n_bars,((c_nom+phi_w+phi/2))+(phi/2)*0.382683,NA())</f>
        <v/>
      </c>
      <c r="AH4">
        <f>IF(4&lt;n_2,(c_nom+phi_w+phi_2/2+4*(b_w-2*c_nom-2*phi_w-phi_2)/MAX(n_2-1,1))+(phi_2/2)*0.923880,NA())</f>
        <v/>
      </c>
      <c r="AI4">
        <f>IF(4&lt;n_2,((h_sec-c_nom-phi_w-phi_2/2))+(phi_2/2)*0.382683,NA())</f>
        <v/>
      </c>
      <c r="AK4">
        <f>IF(5&lt;n_bars,(c_nom+phi_w+phi/2+5*(b_w-2*c_nom-2*phi_w-phi)/MAX(n_bars-1,1))+(phi/2)*0.923880,NA())</f>
        <v/>
      </c>
      <c r="AL4">
        <f>IF(5&lt;n_bars,((c_nom+phi_w+phi/2))+(phi/2)*0.382683,NA())</f>
        <v/>
      </c>
      <c r="AN4">
        <f>IF(5&lt;n_2,(c_nom+phi_w+phi_2/2+5*(b_w-2*c_nom-2*phi_w-phi_2)/MAX(n_2-1,1))+(phi_2/2)*0.923880,NA())</f>
        <v/>
      </c>
      <c r="AO4">
        <f>IF(5&lt;n_2,((h_sec-c_nom-phi_w-phi_2/2))+(phi_2/2)*0.382683,NA())</f>
        <v/>
      </c>
      <c r="AQ4">
        <f>IF(6&lt;n_bars,(c_nom+phi_w+phi/2+6*(b_w-2*c_nom-2*phi_w-phi)/MAX(n_bars-1,1))+(phi/2)*0.923880,NA())</f>
        <v/>
      </c>
      <c r="AR4">
        <f>IF(6&lt;n_bars,((c_nom+phi_w+phi/2))+(phi/2)*0.382683,NA())</f>
        <v/>
      </c>
      <c r="AT4">
        <f>IF(6&lt;n_2,(c_nom+phi_w+phi_2/2+6*(b_w-2*c_nom-2*phi_w-phi_2)/MAX(n_2-1,1))+(phi_2/2)*0.923880,NA())</f>
        <v/>
      </c>
      <c r="AU4">
        <f>IF(6&lt;n_2,((h_sec-c_nom-phi_w-phi_2/2))+(phi_2/2)*0.382683,NA())</f>
        <v/>
      </c>
      <c r="AW4">
        <f>IF(7&lt;n_bars,(c_nom+phi_w+phi/2+7*(b_w-2*c_nom-2*phi_w-phi)/MAX(n_bars-1,1))+(phi/2)*0.923880,NA())</f>
        <v/>
      </c>
      <c r="AX4">
        <f>IF(7&lt;n_bars,((c_nom+phi_w+phi/2))+(phi/2)*0.382683,NA())</f>
        <v/>
      </c>
      <c r="AZ4">
        <f>IF(7&lt;n_2,(c_nom+phi_w+phi_2/2+7*(b_w-2*c_nom-2*phi_w-phi_2)/MAX(n_2-1,1))+(phi_2/2)*0.923880,NA())</f>
        <v/>
      </c>
      <c r="BA4">
        <f>IF(7&lt;n_2,((h_sec-c_nom-phi_w-phi_2/2))+(phi_2/2)*0.382683,NA())</f>
        <v/>
      </c>
      <c r="BC4">
        <f>IF(8&lt;n_bars,(c_nom+phi_w+phi/2+8*(b_w-2*c_nom-2*phi_w-phi)/MAX(n_bars-1,1))+(phi/2)*0.923880,NA())</f>
        <v/>
      </c>
      <c r="BD4">
        <f>IF(8&lt;n_bars,((c_nom+phi_w+phi/2))+(phi/2)*0.382683,NA())</f>
        <v/>
      </c>
      <c r="BF4">
        <f>IF(8&lt;n_2,(c_nom+phi_w+phi_2/2+8*(b_w-2*c_nom-2*phi_w-phi_2)/MAX(n_2-1,1))+(phi_2/2)*0.923880,NA())</f>
        <v/>
      </c>
      <c r="BG4">
        <f>IF(8&lt;n_2,((h_sec-c_nom-phi_w-phi_2/2))+(phi_2/2)*0.382683,NA())</f>
        <v/>
      </c>
      <c r="BI4">
        <f>IF(9&lt;n_bars,(c_nom+phi_w+phi/2+9*(b_w-2*c_nom-2*phi_w-phi)/MAX(n_bars-1,1))+(phi/2)*0.923880,NA())</f>
        <v/>
      </c>
      <c r="BJ4">
        <f>IF(9&lt;n_bars,((c_nom+phi_w+phi/2))+(phi/2)*0.382683,NA())</f>
        <v/>
      </c>
      <c r="BL4">
        <f>IF(9&lt;n_2,(c_nom+phi_w+phi_2/2+9*(b_w-2*c_nom-2*phi_w-phi_2)/MAX(n_2-1,1))+(phi_2/2)*0.923880,NA())</f>
        <v/>
      </c>
      <c r="BM4">
        <f>IF(9&lt;n_2,((h_sec-c_nom-phi_w-phi_2/2))+(phi_2/2)*0.382683,NA())</f>
        <v/>
      </c>
      <c r="BO4">
        <f>IF(10&lt;n_bars,(c_nom+phi_w+phi/2+10*(b_w-2*c_nom-2*phi_w-phi)/MAX(n_bars-1,1))+(phi/2)*0.923880,NA())</f>
        <v/>
      </c>
      <c r="BP4">
        <f>IF(10&lt;n_bars,((c_nom+phi_w+phi/2))+(phi/2)*0.382683,NA())</f>
        <v/>
      </c>
      <c r="BR4">
        <f>IF(10&lt;n_2,(c_nom+phi_w+phi_2/2+10*(b_w-2*c_nom-2*phi_w-phi_2)/MAX(n_2-1,1))+(phi_2/2)*0.923880,NA())</f>
        <v/>
      </c>
      <c r="BS4">
        <f>IF(10&lt;n_2,((h_sec-c_nom-phi_w-phi_2/2))+(phi_2/2)*0.382683,NA())</f>
        <v/>
      </c>
      <c r="BU4">
        <f>IF(11&lt;n_bars,(c_nom+phi_w+phi/2+11*(b_w-2*c_nom-2*phi_w-phi)/MAX(n_bars-1,1))+(phi/2)*0.923880,NA())</f>
        <v/>
      </c>
      <c r="BV4">
        <f>IF(11&lt;n_bars,((c_nom+phi_w+phi/2))+(phi/2)*0.382683,NA())</f>
        <v/>
      </c>
      <c r="BX4">
        <f>IF(11&lt;n_2,(c_nom+phi_w+phi_2/2+11*(b_w-2*c_nom-2*phi_w-phi_2)/MAX(n_2-1,1))+(phi_2/2)*0.923880,NA())</f>
        <v/>
      </c>
      <c r="BY4">
        <f>IF(11&lt;n_2,((h_sec-c_nom-phi_w-phi_2/2))+(phi_2/2)*0.382683,NA())</f>
        <v/>
      </c>
      <c r="CA4">
        <f>IF(M_Ed&gt;0,1.05*b_w,NA())</f>
        <v/>
      </c>
      <c r="CB4">
        <f>h_sec-x_na</f>
        <v/>
      </c>
      <c r="CD4">
        <f>IF(TRUE,b_w,NA())</f>
        <v/>
      </c>
      <c r="CE4">
        <f>IF(TRUE,-0.07*h_sec,NA())</f>
        <v/>
      </c>
      <c r="CJ4">
        <f>IF(TRUE,-0.07*h_sec,NA())</f>
        <v/>
      </c>
      <c r="CK4">
        <f>IF(TRUE,h_sec,NA())</f>
        <v/>
      </c>
      <c r="CP4">
        <f>IF(TRUE,b_w+0.07*h_sec,NA())</f>
        <v/>
      </c>
      <c r="CQ4">
        <f>IF(TRUE,h_sec,NA())</f>
        <v/>
      </c>
      <c r="CV4">
        <f>IF(AND(M_Ed&gt;0,NOT(comp_bad)),b_w+3.2*0.07*h_sec,NA())</f>
        <v/>
      </c>
      <c r="CW4">
        <f>IF(AND(M_Ed&gt;0,NOT(comp_bad)),h_sec,NA())</f>
        <v/>
      </c>
      <c r="DK4">
        <f>((-2*0.07*h_sec)+(b_w+5*0.07*h_sec))/2+MAX((h_sec)-(-1.6*0.07*h_sec),((b_w+5*0.07*h_sec)-(-2*0.07*h_sec))/1.55)*0.58*1.55</f>
        <v/>
      </c>
      <c r="DL4">
        <f>((-1.6*0.07*h_sec)+(h_sec))/2+MAX((h_sec)-(-1.6*0.07*h_sec),((b_w+5*0.07*h_sec)-(-2*0.07*h_sec))/1.55)*0.58</f>
        <v/>
      </c>
    </row>
    <row r="5">
      <c r="A5">
        <f>b_w</f>
        <v/>
      </c>
      <c r="B5">
        <f>h_sec</f>
        <v/>
      </c>
      <c r="D5">
        <f>b_w-(c_nom+phi_w/2)</f>
        <v/>
      </c>
      <c r="E5">
        <f>h_sec-(c_nom+phi_w/2)</f>
        <v/>
      </c>
      <c r="G5">
        <f>IF(0&lt;n_bars,(c_nom+phi_w+phi/2+0*(b_w-2*c_nom-2*phi_w-phi)/MAX(n_bars-1,1))+(phi/2)*0.707107,NA())</f>
        <v/>
      </c>
      <c r="H5">
        <f>IF(0&lt;n_bars,((c_nom+phi_w+phi/2))+(phi/2)*0.707107,NA())</f>
        <v/>
      </c>
      <c r="J5">
        <f>IF(0&lt;n_2,(c_nom+phi_w+phi_2/2+0*(b_w-2*c_nom-2*phi_w-phi_2)/MAX(n_2-1,1))+(phi_2/2)*0.707107,NA())</f>
        <v/>
      </c>
      <c r="K5">
        <f>IF(0&lt;n_2,((h_sec-c_nom-phi_w-phi_2/2))+(phi_2/2)*0.707107,NA())</f>
        <v/>
      </c>
      <c r="M5">
        <f>IF(1&lt;n_bars,(c_nom+phi_w+phi/2+1*(b_w-2*c_nom-2*phi_w-phi)/MAX(n_bars-1,1))+(phi/2)*0.707107,NA())</f>
        <v/>
      </c>
      <c r="N5">
        <f>IF(1&lt;n_bars,((c_nom+phi_w+phi/2))+(phi/2)*0.707107,NA())</f>
        <v/>
      </c>
      <c r="P5">
        <f>IF(1&lt;n_2,(c_nom+phi_w+phi_2/2+1*(b_w-2*c_nom-2*phi_w-phi_2)/MAX(n_2-1,1))+(phi_2/2)*0.707107,NA())</f>
        <v/>
      </c>
      <c r="Q5">
        <f>IF(1&lt;n_2,((h_sec-c_nom-phi_w-phi_2/2))+(phi_2/2)*0.707107,NA())</f>
        <v/>
      </c>
      <c r="S5">
        <f>IF(2&lt;n_bars,(c_nom+phi_w+phi/2+2*(b_w-2*c_nom-2*phi_w-phi)/MAX(n_bars-1,1))+(phi/2)*0.707107,NA())</f>
        <v/>
      </c>
      <c r="T5">
        <f>IF(2&lt;n_bars,((c_nom+phi_w+phi/2))+(phi/2)*0.707107,NA())</f>
        <v/>
      </c>
      <c r="V5">
        <f>IF(2&lt;n_2,(c_nom+phi_w+phi_2/2+2*(b_w-2*c_nom-2*phi_w-phi_2)/MAX(n_2-1,1))+(phi_2/2)*0.707107,NA())</f>
        <v/>
      </c>
      <c r="W5">
        <f>IF(2&lt;n_2,((h_sec-c_nom-phi_w-phi_2/2))+(phi_2/2)*0.707107,NA())</f>
        <v/>
      </c>
      <c r="Y5">
        <f>IF(3&lt;n_bars,(c_nom+phi_w+phi/2+3*(b_w-2*c_nom-2*phi_w-phi)/MAX(n_bars-1,1))+(phi/2)*0.707107,NA())</f>
        <v/>
      </c>
      <c r="Z5">
        <f>IF(3&lt;n_bars,((c_nom+phi_w+phi/2))+(phi/2)*0.707107,NA())</f>
        <v/>
      </c>
      <c r="AB5">
        <f>IF(3&lt;n_2,(c_nom+phi_w+phi_2/2+3*(b_w-2*c_nom-2*phi_w-phi_2)/MAX(n_2-1,1))+(phi_2/2)*0.707107,NA())</f>
        <v/>
      </c>
      <c r="AC5">
        <f>IF(3&lt;n_2,((h_sec-c_nom-phi_w-phi_2/2))+(phi_2/2)*0.707107,NA())</f>
        <v/>
      </c>
      <c r="AE5">
        <f>IF(4&lt;n_bars,(c_nom+phi_w+phi/2+4*(b_w-2*c_nom-2*phi_w-phi)/MAX(n_bars-1,1))+(phi/2)*0.707107,NA())</f>
        <v/>
      </c>
      <c r="AF5">
        <f>IF(4&lt;n_bars,((c_nom+phi_w+phi/2))+(phi/2)*0.707107,NA())</f>
        <v/>
      </c>
      <c r="AH5">
        <f>IF(4&lt;n_2,(c_nom+phi_w+phi_2/2+4*(b_w-2*c_nom-2*phi_w-phi_2)/MAX(n_2-1,1))+(phi_2/2)*0.707107,NA())</f>
        <v/>
      </c>
      <c r="AI5">
        <f>IF(4&lt;n_2,((h_sec-c_nom-phi_w-phi_2/2))+(phi_2/2)*0.707107,NA())</f>
        <v/>
      </c>
      <c r="AK5">
        <f>IF(5&lt;n_bars,(c_nom+phi_w+phi/2+5*(b_w-2*c_nom-2*phi_w-phi)/MAX(n_bars-1,1))+(phi/2)*0.707107,NA())</f>
        <v/>
      </c>
      <c r="AL5">
        <f>IF(5&lt;n_bars,((c_nom+phi_w+phi/2))+(phi/2)*0.707107,NA())</f>
        <v/>
      </c>
      <c r="AN5">
        <f>IF(5&lt;n_2,(c_nom+phi_w+phi_2/2+5*(b_w-2*c_nom-2*phi_w-phi_2)/MAX(n_2-1,1))+(phi_2/2)*0.707107,NA())</f>
        <v/>
      </c>
      <c r="AO5">
        <f>IF(5&lt;n_2,((h_sec-c_nom-phi_w-phi_2/2))+(phi_2/2)*0.707107,NA())</f>
        <v/>
      </c>
      <c r="AQ5">
        <f>IF(6&lt;n_bars,(c_nom+phi_w+phi/2+6*(b_w-2*c_nom-2*phi_w-phi)/MAX(n_bars-1,1))+(phi/2)*0.707107,NA())</f>
        <v/>
      </c>
      <c r="AR5">
        <f>IF(6&lt;n_bars,((c_nom+phi_w+phi/2))+(phi/2)*0.707107,NA())</f>
        <v/>
      </c>
      <c r="AT5">
        <f>IF(6&lt;n_2,(c_nom+phi_w+phi_2/2+6*(b_w-2*c_nom-2*phi_w-phi_2)/MAX(n_2-1,1))+(phi_2/2)*0.707107,NA())</f>
        <v/>
      </c>
      <c r="AU5">
        <f>IF(6&lt;n_2,((h_sec-c_nom-phi_w-phi_2/2))+(phi_2/2)*0.707107,NA())</f>
        <v/>
      </c>
      <c r="AW5">
        <f>IF(7&lt;n_bars,(c_nom+phi_w+phi/2+7*(b_w-2*c_nom-2*phi_w-phi)/MAX(n_bars-1,1))+(phi/2)*0.707107,NA())</f>
        <v/>
      </c>
      <c r="AX5">
        <f>IF(7&lt;n_bars,((c_nom+phi_w+phi/2))+(phi/2)*0.707107,NA())</f>
        <v/>
      </c>
      <c r="AZ5">
        <f>IF(7&lt;n_2,(c_nom+phi_w+phi_2/2+7*(b_w-2*c_nom-2*phi_w-phi_2)/MAX(n_2-1,1))+(phi_2/2)*0.707107,NA())</f>
        <v/>
      </c>
      <c r="BA5">
        <f>IF(7&lt;n_2,((h_sec-c_nom-phi_w-phi_2/2))+(phi_2/2)*0.707107,NA())</f>
        <v/>
      </c>
      <c r="BC5">
        <f>IF(8&lt;n_bars,(c_nom+phi_w+phi/2+8*(b_w-2*c_nom-2*phi_w-phi)/MAX(n_bars-1,1))+(phi/2)*0.707107,NA())</f>
        <v/>
      </c>
      <c r="BD5">
        <f>IF(8&lt;n_bars,((c_nom+phi_w+phi/2))+(phi/2)*0.707107,NA())</f>
        <v/>
      </c>
      <c r="BF5">
        <f>IF(8&lt;n_2,(c_nom+phi_w+phi_2/2+8*(b_w-2*c_nom-2*phi_w-phi_2)/MAX(n_2-1,1))+(phi_2/2)*0.707107,NA())</f>
        <v/>
      </c>
      <c r="BG5">
        <f>IF(8&lt;n_2,((h_sec-c_nom-phi_w-phi_2/2))+(phi_2/2)*0.707107,NA())</f>
        <v/>
      </c>
      <c r="BI5">
        <f>IF(9&lt;n_bars,(c_nom+phi_w+phi/2+9*(b_w-2*c_nom-2*phi_w-phi)/MAX(n_bars-1,1))+(phi/2)*0.707107,NA())</f>
        <v/>
      </c>
      <c r="BJ5">
        <f>IF(9&lt;n_bars,((c_nom+phi_w+phi/2))+(phi/2)*0.707107,NA())</f>
        <v/>
      </c>
      <c r="BL5">
        <f>IF(9&lt;n_2,(c_nom+phi_w+phi_2/2+9*(b_w-2*c_nom-2*phi_w-phi_2)/MAX(n_2-1,1))+(phi_2/2)*0.707107,NA())</f>
        <v/>
      </c>
      <c r="BM5">
        <f>IF(9&lt;n_2,((h_sec-c_nom-phi_w-phi_2/2))+(phi_2/2)*0.707107,NA())</f>
        <v/>
      </c>
      <c r="BO5">
        <f>IF(10&lt;n_bars,(c_nom+phi_w+phi/2+10*(b_w-2*c_nom-2*phi_w-phi)/MAX(n_bars-1,1))+(phi/2)*0.707107,NA())</f>
        <v/>
      </c>
      <c r="BP5">
        <f>IF(10&lt;n_bars,((c_nom+phi_w+phi/2))+(phi/2)*0.707107,NA())</f>
        <v/>
      </c>
      <c r="BR5">
        <f>IF(10&lt;n_2,(c_nom+phi_w+phi_2/2+10*(b_w-2*c_nom-2*phi_w-phi_2)/MAX(n_2-1,1))+(phi_2/2)*0.707107,NA())</f>
        <v/>
      </c>
      <c r="BS5">
        <f>IF(10&lt;n_2,((h_sec-c_nom-phi_w-phi_2/2))+(phi_2/2)*0.707107,NA())</f>
        <v/>
      </c>
      <c r="BU5">
        <f>IF(11&lt;n_bars,(c_nom+phi_w+phi/2+11*(b_w-2*c_nom-2*phi_w-phi)/MAX(n_bars-1,1))+(phi/2)*0.707107,NA())</f>
        <v/>
      </c>
      <c r="BV5">
        <f>IF(11&lt;n_bars,((c_nom+phi_w+phi/2))+(phi/2)*0.707107,NA())</f>
        <v/>
      </c>
      <c r="BX5">
        <f>IF(11&lt;n_2,(c_nom+phi_w+phi_2/2+11*(b_w-2*c_nom-2*phi_w-phi_2)/MAX(n_2-1,1))+(phi_2/2)*0.707107,NA())</f>
        <v/>
      </c>
      <c r="BY5">
        <f>IF(11&lt;n_2,((h_sec-c_nom-phi_w-phi_2/2))+(phi_2/2)*0.707107,NA())</f>
        <v/>
      </c>
    </row>
    <row r="6">
      <c r="A6">
        <f>0</f>
        <v/>
      </c>
      <c r="B6">
        <f>h_sec</f>
        <v/>
      </c>
      <c r="D6">
        <f>(c_nom+phi_w/2)</f>
        <v/>
      </c>
      <c r="E6">
        <f>h_sec-(c_nom+phi_w/2)</f>
        <v/>
      </c>
      <c r="G6">
        <f>IF(0&lt;n_bars,(c_nom+phi_w+phi/2+0*(b_w-2*c_nom-2*phi_w-phi)/MAX(n_bars-1,1))+(phi/2)*0.382683,NA())</f>
        <v/>
      </c>
      <c r="H6">
        <f>IF(0&lt;n_bars,((c_nom+phi_w+phi/2))+(phi/2)*0.923880,NA())</f>
        <v/>
      </c>
      <c r="J6">
        <f>IF(0&lt;n_2,(c_nom+phi_w+phi_2/2+0*(b_w-2*c_nom-2*phi_w-phi_2)/MAX(n_2-1,1))+(phi_2/2)*0.382683,NA())</f>
        <v/>
      </c>
      <c r="K6">
        <f>IF(0&lt;n_2,((h_sec-c_nom-phi_w-phi_2/2))+(phi_2/2)*0.923880,NA())</f>
        <v/>
      </c>
      <c r="M6">
        <f>IF(1&lt;n_bars,(c_nom+phi_w+phi/2+1*(b_w-2*c_nom-2*phi_w-phi)/MAX(n_bars-1,1))+(phi/2)*0.382683,NA())</f>
        <v/>
      </c>
      <c r="N6">
        <f>IF(1&lt;n_bars,((c_nom+phi_w+phi/2))+(phi/2)*0.923880,NA())</f>
        <v/>
      </c>
      <c r="P6">
        <f>IF(1&lt;n_2,(c_nom+phi_w+phi_2/2+1*(b_w-2*c_nom-2*phi_w-phi_2)/MAX(n_2-1,1))+(phi_2/2)*0.382683,NA())</f>
        <v/>
      </c>
      <c r="Q6">
        <f>IF(1&lt;n_2,((h_sec-c_nom-phi_w-phi_2/2))+(phi_2/2)*0.923880,NA())</f>
        <v/>
      </c>
      <c r="S6">
        <f>IF(2&lt;n_bars,(c_nom+phi_w+phi/2+2*(b_w-2*c_nom-2*phi_w-phi)/MAX(n_bars-1,1))+(phi/2)*0.382683,NA())</f>
        <v/>
      </c>
      <c r="T6">
        <f>IF(2&lt;n_bars,((c_nom+phi_w+phi/2))+(phi/2)*0.923880,NA())</f>
        <v/>
      </c>
      <c r="V6">
        <f>IF(2&lt;n_2,(c_nom+phi_w+phi_2/2+2*(b_w-2*c_nom-2*phi_w-phi_2)/MAX(n_2-1,1))+(phi_2/2)*0.382683,NA())</f>
        <v/>
      </c>
      <c r="W6">
        <f>IF(2&lt;n_2,((h_sec-c_nom-phi_w-phi_2/2))+(phi_2/2)*0.923880,NA())</f>
        <v/>
      </c>
      <c r="Y6">
        <f>IF(3&lt;n_bars,(c_nom+phi_w+phi/2+3*(b_w-2*c_nom-2*phi_w-phi)/MAX(n_bars-1,1))+(phi/2)*0.382683,NA())</f>
        <v/>
      </c>
      <c r="Z6">
        <f>IF(3&lt;n_bars,((c_nom+phi_w+phi/2))+(phi/2)*0.923880,NA())</f>
        <v/>
      </c>
      <c r="AB6">
        <f>IF(3&lt;n_2,(c_nom+phi_w+phi_2/2+3*(b_w-2*c_nom-2*phi_w-phi_2)/MAX(n_2-1,1))+(phi_2/2)*0.382683,NA())</f>
        <v/>
      </c>
      <c r="AC6">
        <f>IF(3&lt;n_2,((h_sec-c_nom-phi_w-phi_2/2))+(phi_2/2)*0.923880,NA())</f>
        <v/>
      </c>
      <c r="AE6">
        <f>IF(4&lt;n_bars,(c_nom+phi_w+phi/2+4*(b_w-2*c_nom-2*phi_w-phi)/MAX(n_bars-1,1))+(phi/2)*0.382683,NA())</f>
        <v/>
      </c>
      <c r="AF6">
        <f>IF(4&lt;n_bars,((c_nom+phi_w+phi/2))+(phi/2)*0.923880,NA())</f>
        <v/>
      </c>
      <c r="AH6">
        <f>IF(4&lt;n_2,(c_nom+phi_w+phi_2/2+4*(b_w-2*c_nom-2*phi_w-phi_2)/MAX(n_2-1,1))+(phi_2/2)*0.382683,NA())</f>
        <v/>
      </c>
      <c r="AI6">
        <f>IF(4&lt;n_2,((h_sec-c_nom-phi_w-phi_2/2))+(phi_2/2)*0.923880,NA())</f>
        <v/>
      </c>
      <c r="AK6">
        <f>IF(5&lt;n_bars,(c_nom+phi_w+phi/2+5*(b_w-2*c_nom-2*phi_w-phi)/MAX(n_bars-1,1))+(phi/2)*0.382683,NA())</f>
        <v/>
      </c>
      <c r="AL6">
        <f>IF(5&lt;n_bars,((c_nom+phi_w+phi/2))+(phi/2)*0.923880,NA())</f>
        <v/>
      </c>
      <c r="AN6">
        <f>IF(5&lt;n_2,(c_nom+phi_w+phi_2/2+5*(b_w-2*c_nom-2*phi_w-phi_2)/MAX(n_2-1,1))+(phi_2/2)*0.382683,NA())</f>
        <v/>
      </c>
      <c r="AO6">
        <f>IF(5&lt;n_2,((h_sec-c_nom-phi_w-phi_2/2))+(phi_2/2)*0.923880,NA())</f>
        <v/>
      </c>
      <c r="AQ6">
        <f>IF(6&lt;n_bars,(c_nom+phi_w+phi/2+6*(b_w-2*c_nom-2*phi_w-phi)/MAX(n_bars-1,1))+(phi/2)*0.382683,NA())</f>
        <v/>
      </c>
      <c r="AR6">
        <f>IF(6&lt;n_bars,((c_nom+phi_w+phi/2))+(phi/2)*0.923880,NA())</f>
        <v/>
      </c>
      <c r="AT6">
        <f>IF(6&lt;n_2,(c_nom+phi_w+phi_2/2+6*(b_w-2*c_nom-2*phi_w-phi_2)/MAX(n_2-1,1))+(phi_2/2)*0.382683,NA())</f>
        <v/>
      </c>
      <c r="AU6">
        <f>IF(6&lt;n_2,((h_sec-c_nom-phi_w-phi_2/2))+(phi_2/2)*0.923880,NA())</f>
        <v/>
      </c>
      <c r="AW6">
        <f>IF(7&lt;n_bars,(c_nom+phi_w+phi/2+7*(b_w-2*c_nom-2*phi_w-phi)/MAX(n_bars-1,1))+(phi/2)*0.382683,NA())</f>
        <v/>
      </c>
      <c r="AX6">
        <f>IF(7&lt;n_bars,((c_nom+phi_w+phi/2))+(phi/2)*0.923880,NA())</f>
        <v/>
      </c>
      <c r="AZ6">
        <f>IF(7&lt;n_2,(c_nom+phi_w+phi_2/2+7*(b_w-2*c_nom-2*phi_w-phi_2)/MAX(n_2-1,1))+(phi_2/2)*0.382683,NA())</f>
        <v/>
      </c>
      <c r="BA6">
        <f>IF(7&lt;n_2,((h_sec-c_nom-phi_w-phi_2/2))+(phi_2/2)*0.923880,NA())</f>
        <v/>
      </c>
      <c r="BC6">
        <f>IF(8&lt;n_bars,(c_nom+phi_w+phi/2+8*(b_w-2*c_nom-2*phi_w-phi)/MAX(n_bars-1,1))+(phi/2)*0.382683,NA())</f>
        <v/>
      </c>
      <c r="BD6">
        <f>IF(8&lt;n_bars,((c_nom+phi_w+phi/2))+(phi/2)*0.923880,NA())</f>
        <v/>
      </c>
      <c r="BF6">
        <f>IF(8&lt;n_2,(c_nom+phi_w+phi_2/2+8*(b_w-2*c_nom-2*phi_w-phi_2)/MAX(n_2-1,1))+(phi_2/2)*0.382683,NA())</f>
        <v/>
      </c>
      <c r="BG6">
        <f>IF(8&lt;n_2,((h_sec-c_nom-phi_w-phi_2/2))+(phi_2/2)*0.923880,NA())</f>
        <v/>
      </c>
      <c r="BI6">
        <f>IF(9&lt;n_bars,(c_nom+phi_w+phi/2+9*(b_w-2*c_nom-2*phi_w-phi)/MAX(n_bars-1,1))+(phi/2)*0.382683,NA())</f>
        <v/>
      </c>
      <c r="BJ6">
        <f>IF(9&lt;n_bars,((c_nom+phi_w+phi/2))+(phi/2)*0.923880,NA())</f>
        <v/>
      </c>
      <c r="BL6">
        <f>IF(9&lt;n_2,(c_nom+phi_w+phi_2/2+9*(b_w-2*c_nom-2*phi_w-phi_2)/MAX(n_2-1,1))+(phi_2/2)*0.382683,NA())</f>
        <v/>
      </c>
      <c r="BM6">
        <f>IF(9&lt;n_2,((h_sec-c_nom-phi_w-phi_2/2))+(phi_2/2)*0.923880,NA())</f>
        <v/>
      </c>
      <c r="BO6">
        <f>IF(10&lt;n_bars,(c_nom+phi_w+phi/2+10*(b_w-2*c_nom-2*phi_w-phi)/MAX(n_bars-1,1))+(phi/2)*0.382683,NA())</f>
        <v/>
      </c>
      <c r="BP6">
        <f>IF(10&lt;n_bars,((c_nom+phi_w+phi/2))+(phi/2)*0.923880,NA())</f>
        <v/>
      </c>
      <c r="BR6">
        <f>IF(10&lt;n_2,(c_nom+phi_w+phi_2/2+10*(b_w-2*c_nom-2*phi_w-phi_2)/MAX(n_2-1,1))+(phi_2/2)*0.382683,NA())</f>
        <v/>
      </c>
      <c r="BS6">
        <f>IF(10&lt;n_2,((h_sec-c_nom-phi_w-phi_2/2))+(phi_2/2)*0.923880,NA())</f>
        <v/>
      </c>
      <c r="BU6">
        <f>IF(11&lt;n_bars,(c_nom+phi_w+phi/2+11*(b_w-2*c_nom-2*phi_w-phi)/MAX(n_bars-1,1))+(phi/2)*0.382683,NA())</f>
        <v/>
      </c>
      <c r="BV6">
        <f>IF(11&lt;n_bars,((c_nom+phi_w+phi/2))+(phi/2)*0.923880,NA())</f>
        <v/>
      </c>
      <c r="BX6">
        <f>IF(11&lt;n_2,(c_nom+phi_w+phi_2/2+11*(b_w-2*c_nom-2*phi_w-phi_2)/MAX(n_2-1,1))+(phi_2/2)*0.382683,NA())</f>
        <v/>
      </c>
      <c r="BY6">
        <f>IF(11&lt;n_2,((h_sec-c_nom-phi_w-phi_2/2))+(phi_2/2)*0.923880,NA())</f>
        <v/>
      </c>
    </row>
    <row r="7">
      <c r="A7">
        <f>0</f>
        <v/>
      </c>
      <c r="B7">
        <f>0</f>
        <v/>
      </c>
      <c r="D7">
        <f>(c_nom+phi_w/2)</f>
        <v/>
      </c>
      <c r="E7">
        <f>(c_nom+phi_w/2)</f>
        <v/>
      </c>
      <c r="G7">
        <f>IF(0&lt;n_bars,(c_nom+phi_w+phi/2+0*(b_w-2*c_nom-2*phi_w-phi)/MAX(n_bars-1,1))+(phi/2)*0.000000,NA())</f>
        <v/>
      </c>
      <c r="H7">
        <f>IF(0&lt;n_bars,((c_nom+phi_w+phi/2))+(phi/2)*1.000000,NA())</f>
        <v/>
      </c>
      <c r="J7">
        <f>IF(0&lt;n_2,(c_nom+phi_w+phi_2/2+0*(b_w-2*c_nom-2*phi_w-phi_2)/MAX(n_2-1,1))+(phi_2/2)*0.000000,NA())</f>
        <v/>
      </c>
      <c r="K7">
        <f>IF(0&lt;n_2,((h_sec-c_nom-phi_w-phi_2/2))+(phi_2/2)*1.000000,NA())</f>
        <v/>
      </c>
      <c r="M7">
        <f>IF(1&lt;n_bars,(c_nom+phi_w+phi/2+1*(b_w-2*c_nom-2*phi_w-phi)/MAX(n_bars-1,1))+(phi/2)*0.000000,NA())</f>
        <v/>
      </c>
      <c r="N7">
        <f>IF(1&lt;n_bars,((c_nom+phi_w+phi/2))+(phi/2)*1.000000,NA())</f>
        <v/>
      </c>
      <c r="P7">
        <f>IF(1&lt;n_2,(c_nom+phi_w+phi_2/2+1*(b_w-2*c_nom-2*phi_w-phi_2)/MAX(n_2-1,1))+(phi_2/2)*0.000000,NA())</f>
        <v/>
      </c>
      <c r="Q7">
        <f>IF(1&lt;n_2,((h_sec-c_nom-phi_w-phi_2/2))+(phi_2/2)*1.000000,NA())</f>
        <v/>
      </c>
      <c r="S7">
        <f>IF(2&lt;n_bars,(c_nom+phi_w+phi/2+2*(b_w-2*c_nom-2*phi_w-phi)/MAX(n_bars-1,1))+(phi/2)*0.000000,NA())</f>
        <v/>
      </c>
      <c r="T7">
        <f>IF(2&lt;n_bars,((c_nom+phi_w+phi/2))+(phi/2)*1.000000,NA())</f>
        <v/>
      </c>
      <c r="V7">
        <f>IF(2&lt;n_2,(c_nom+phi_w+phi_2/2+2*(b_w-2*c_nom-2*phi_w-phi_2)/MAX(n_2-1,1))+(phi_2/2)*0.000000,NA())</f>
        <v/>
      </c>
      <c r="W7">
        <f>IF(2&lt;n_2,((h_sec-c_nom-phi_w-phi_2/2))+(phi_2/2)*1.000000,NA())</f>
        <v/>
      </c>
      <c r="Y7">
        <f>IF(3&lt;n_bars,(c_nom+phi_w+phi/2+3*(b_w-2*c_nom-2*phi_w-phi)/MAX(n_bars-1,1))+(phi/2)*0.000000,NA())</f>
        <v/>
      </c>
      <c r="Z7">
        <f>IF(3&lt;n_bars,((c_nom+phi_w+phi/2))+(phi/2)*1.000000,NA())</f>
        <v/>
      </c>
      <c r="AB7">
        <f>IF(3&lt;n_2,(c_nom+phi_w+phi_2/2+3*(b_w-2*c_nom-2*phi_w-phi_2)/MAX(n_2-1,1))+(phi_2/2)*0.000000,NA())</f>
        <v/>
      </c>
      <c r="AC7">
        <f>IF(3&lt;n_2,((h_sec-c_nom-phi_w-phi_2/2))+(phi_2/2)*1.000000,NA())</f>
        <v/>
      </c>
      <c r="AE7">
        <f>IF(4&lt;n_bars,(c_nom+phi_w+phi/2+4*(b_w-2*c_nom-2*phi_w-phi)/MAX(n_bars-1,1))+(phi/2)*0.000000,NA())</f>
        <v/>
      </c>
      <c r="AF7">
        <f>IF(4&lt;n_bars,((c_nom+phi_w+phi/2))+(phi/2)*1.000000,NA())</f>
        <v/>
      </c>
      <c r="AH7">
        <f>IF(4&lt;n_2,(c_nom+phi_w+phi_2/2+4*(b_w-2*c_nom-2*phi_w-phi_2)/MAX(n_2-1,1))+(phi_2/2)*0.000000,NA())</f>
        <v/>
      </c>
      <c r="AI7">
        <f>IF(4&lt;n_2,((h_sec-c_nom-phi_w-phi_2/2))+(phi_2/2)*1.000000,NA())</f>
        <v/>
      </c>
      <c r="AK7">
        <f>IF(5&lt;n_bars,(c_nom+phi_w+phi/2+5*(b_w-2*c_nom-2*phi_w-phi)/MAX(n_bars-1,1))+(phi/2)*0.000000,NA())</f>
        <v/>
      </c>
      <c r="AL7">
        <f>IF(5&lt;n_bars,((c_nom+phi_w+phi/2))+(phi/2)*1.000000,NA())</f>
        <v/>
      </c>
      <c r="AN7">
        <f>IF(5&lt;n_2,(c_nom+phi_w+phi_2/2+5*(b_w-2*c_nom-2*phi_w-phi_2)/MAX(n_2-1,1))+(phi_2/2)*0.000000,NA())</f>
        <v/>
      </c>
      <c r="AO7">
        <f>IF(5&lt;n_2,((h_sec-c_nom-phi_w-phi_2/2))+(phi_2/2)*1.000000,NA())</f>
        <v/>
      </c>
      <c r="AQ7">
        <f>IF(6&lt;n_bars,(c_nom+phi_w+phi/2+6*(b_w-2*c_nom-2*phi_w-phi)/MAX(n_bars-1,1))+(phi/2)*0.000000,NA())</f>
        <v/>
      </c>
      <c r="AR7">
        <f>IF(6&lt;n_bars,((c_nom+phi_w+phi/2))+(phi/2)*1.000000,NA())</f>
        <v/>
      </c>
      <c r="AT7">
        <f>IF(6&lt;n_2,(c_nom+phi_w+phi_2/2+6*(b_w-2*c_nom-2*phi_w-phi_2)/MAX(n_2-1,1))+(phi_2/2)*0.000000,NA())</f>
        <v/>
      </c>
      <c r="AU7">
        <f>IF(6&lt;n_2,((h_sec-c_nom-phi_w-phi_2/2))+(phi_2/2)*1.000000,NA())</f>
        <v/>
      </c>
      <c r="AW7">
        <f>IF(7&lt;n_bars,(c_nom+phi_w+phi/2+7*(b_w-2*c_nom-2*phi_w-phi)/MAX(n_bars-1,1))+(phi/2)*0.000000,NA())</f>
        <v/>
      </c>
      <c r="AX7">
        <f>IF(7&lt;n_bars,((c_nom+phi_w+phi/2))+(phi/2)*1.000000,NA())</f>
        <v/>
      </c>
      <c r="AZ7">
        <f>IF(7&lt;n_2,(c_nom+phi_w+phi_2/2+7*(b_w-2*c_nom-2*phi_w-phi_2)/MAX(n_2-1,1))+(phi_2/2)*0.000000,NA())</f>
        <v/>
      </c>
      <c r="BA7">
        <f>IF(7&lt;n_2,((h_sec-c_nom-phi_w-phi_2/2))+(phi_2/2)*1.000000,NA())</f>
        <v/>
      </c>
      <c r="BC7">
        <f>IF(8&lt;n_bars,(c_nom+phi_w+phi/2+8*(b_w-2*c_nom-2*phi_w-phi)/MAX(n_bars-1,1))+(phi/2)*0.000000,NA())</f>
        <v/>
      </c>
      <c r="BD7">
        <f>IF(8&lt;n_bars,((c_nom+phi_w+phi/2))+(phi/2)*1.000000,NA())</f>
        <v/>
      </c>
      <c r="BF7">
        <f>IF(8&lt;n_2,(c_nom+phi_w+phi_2/2+8*(b_w-2*c_nom-2*phi_w-phi_2)/MAX(n_2-1,1))+(phi_2/2)*0.000000,NA())</f>
        <v/>
      </c>
      <c r="BG7">
        <f>IF(8&lt;n_2,((h_sec-c_nom-phi_w-phi_2/2))+(phi_2/2)*1.000000,NA())</f>
        <v/>
      </c>
      <c r="BI7">
        <f>IF(9&lt;n_bars,(c_nom+phi_w+phi/2+9*(b_w-2*c_nom-2*phi_w-phi)/MAX(n_bars-1,1))+(phi/2)*0.000000,NA())</f>
        <v/>
      </c>
      <c r="BJ7">
        <f>IF(9&lt;n_bars,((c_nom+phi_w+phi/2))+(phi/2)*1.000000,NA())</f>
        <v/>
      </c>
      <c r="BL7">
        <f>IF(9&lt;n_2,(c_nom+phi_w+phi_2/2+9*(b_w-2*c_nom-2*phi_w-phi_2)/MAX(n_2-1,1))+(phi_2/2)*0.000000,NA())</f>
        <v/>
      </c>
      <c r="BM7">
        <f>IF(9&lt;n_2,((h_sec-c_nom-phi_w-phi_2/2))+(phi_2/2)*1.000000,NA())</f>
        <v/>
      </c>
      <c r="BO7">
        <f>IF(10&lt;n_bars,(c_nom+phi_w+phi/2+10*(b_w-2*c_nom-2*phi_w-phi)/MAX(n_bars-1,1))+(phi/2)*0.000000,NA())</f>
        <v/>
      </c>
      <c r="BP7">
        <f>IF(10&lt;n_bars,((c_nom+phi_w+phi/2))+(phi/2)*1.000000,NA())</f>
        <v/>
      </c>
      <c r="BR7">
        <f>IF(10&lt;n_2,(c_nom+phi_w+phi_2/2+10*(b_w-2*c_nom-2*phi_w-phi_2)/MAX(n_2-1,1))+(phi_2/2)*0.000000,NA())</f>
        <v/>
      </c>
      <c r="BS7">
        <f>IF(10&lt;n_2,((h_sec-c_nom-phi_w-phi_2/2))+(phi_2/2)*1.000000,NA())</f>
        <v/>
      </c>
      <c r="BU7">
        <f>IF(11&lt;n_bars,(c_nom+phi_w+phi/2+11*(b_w-2*c_nom-2*phi_w-phi)/MAX(n_bars-1,1))+(phi/2)*0.000000,NA())</f>
        <v/>
      </c>
      <c r="BV7">
        <f>IF(11&lt;n_bars,((c_nom+phi_w+phi/2))+(phi/2)*1.000000,NA())</f>
        <v/>
      </c>
      <c r="BX7">
        <f>IF(11&lt;n_2,(c_nom+phi_w+phi_2/2+11*(b_w-2*c_nom-2*phi_w-phi_2)/MAX(n_2-1,1))+(phi_2/2)*0.000000,NA())</f>
        <v/>
      </c>
      <c r="BY7">
        <f>IF(11&lt;n_2,((h_sec-c_nom-phi_w-phi_2/2))+(phi_2/2)*1.000000,NA())</f>
        <v/>
      </c>
    </row>
    <row r="8">
      <c r="G8">
        <f>IF(0&lt;n_bars,(c_nom+phi_w+phi/2+0*(b_w-2*c_nom-2*phi_w-phi)/MAX(n_bars-1,1))+(phi/2)*-0.382683,NA())</f>
        <v/>
      </c>
      <c r="H8">
        <f>IF(0&lt;n_bars,((c_nom+phi_w+phi/2))+(phi/2)*0.923880,NA())</f>
        <v/>
      </c>
      <c r="J8">
        <f>IF(0&lt;n_2,(c_nom+phi_w+phi_2/2+0*(b_w-2*c_nom-2*phi_w-phi_2)/MAX(n_2-1,1))+(phi_2/2)*-0.382683,NA())</f>
        <v/>
      </c>
      <c r="K8">
        <f>IF(0&lt;n_2,((h_sec-c_nom-phi_w-phi_2/2))+(phi_2/2)*0.923880,NA())</f>
        <v/>
      </c>
      <c r="M8">
        <f>IF(1&lt;n_bars,(c_nom+phi_w+phi/2+1*(b_w-2*c_nom-2*phi_w-phi)/MAX(n_bars-1,1))+(phi/2)*-0.382683,NA())</f>
        <v/>
      </c>
      <c r="N8">
        <f>IF(1&lt;n_bars,((c_nom+phi_w+phi/2))+(phi/2)*0.923880,NA())</f>
        <v/>
      </c>
      <c r="P8">
        <f>IF(1&lt;n_2,(c_nom+phi_w+phi_2/2+1*(b_w-2*c_nom-2*phi_w-phi_2)/MAX(n_2-1,1))+(phi_2/2)*-0.382683,NA())</f>
        <v/>
      </c>
      <c r="Q8">
        <f>IF(1&lt;n_2,((h_sec-c_nom-phi_w-phi_2/2))+(phi_2/2)*0.923880,NA())</f>
        <v/>
      </c>
      <c r="S8">
        <f>IF(2&lt;n_bars,(c_nom+phi_w+phi/2+2*(b_w-2*c_nom-2*phi_w-phi)/MAX(n_bars-1,1))+(phi/2)*-0.382683,NA())</f>
        <v/>
      </c>
      <c r="T8">
        <f>IF(2&lt;n_bars,((c_nom+phi_w+phi/2))+(phi/2)*0.923880,NA())</f>
        <v/>
      </c>
      <c r="V8">
        <f>IF(2&lt;n_2,(c_nom+phi_w+phi_2/2+2*(b_w-2*c_nom-2*phi_w-phi_2)/MAX(n_2-1,1))+(phi_2/2)*-0.382683,NA())</f>
        <v/>
      </c>
      <c r="W8">
        <f>IF(2&lt;n_2,((h_sec-c_nom-phi_w-phi_2/2))+(phi_2/2)*0.923880,NA())</f>
        <v/>
      </c>
      <c r="Y8">
        <f>IF(3&lt;n_bars,(c_nom+phi_w+phi/2+3*(b_w-2*c_nom-2*phi_w-phi)/MAX(n_bars-1,1))+(phi/2)*-0.382683,NA())</f>
        <v/>
      </c>
      <c r="Z8">
        <f>IF(3&lt;n_bars,((c_nom+phi_w+phi/2))+(phi/2)*0.923880,NA())</f>
        <v/>
      </c>
      <c r="AB8">
        <f>IF(3&lt;n_2,(c_nom+phi_w+phi_2/2+3*(b_w-2*c_nom-2*phi_w-phi_2)/MAX(n_2-1,1))+(phi_2/2)*-0.382683,NA())</f>
        <v/>
      </c>
      <c r="AC8">
        <f>IF(3&lt;n_2,((h_sec-c_nom-phi_w-phi_2/2))+(phi_2/2)*0.923880,NA())</f>
        <v/>
      </c>
      <c r="AE8">
        <f>IF(4&lt;n_bars,(c_nom+phi_w+phi/2+4*(b_w-2*c_nom-2*phi_w-phi)/MAX(n_bars-1,1))+(phi/2)*-0.382683,NA())</f>
        <v/>
      </c>
      <c r="AF8">
        <f>IF(4&lt;n_bars,((c_nom+phi_w+phi/2))+(phi/2)*0.923880,NA())</f>
        <v/>
      </c>
      <c r="AH8">
        <f>IF(4&lt;n_2,(c_nom+phi_w+phi_2/2+4*(b_w-2*c_nom-2*phi_w-phi_2)/MAX(n_2-1,1))+(phi_2/2)*-0.382683,NA())</f>
        <v/>
      </c>
      <c r="AI8">
        <f>IF(4&lt;n_2,((h_sec-c_nom-phi_w-phi_2/2))+(phi_2/2)*0.923880,NA())</f>
        <v/>
      </c>
      <c r="AK8">
        <f>IF(5&lt;n_bars,(c_nom+phi_w+phi/2+5*(b_w-2*c_nom-2*phi_w-phi)/MAX(n_bars-1,1))+(phi/2)*-0.382683,NA())</f>
        <v/>
      </c>
      <c r="AL8">
        <f>IF(5&lt;n_bars,((c_nom+phi_w+phi/2))+(phi/2)*0.923880,NA())</f>
        <v/>
      </c>
      <c r="AN8">
        <f>IF(5&lt;n_2,(c_nom+phi_w+phi_2/2+5*(b_w-2*c_nom-2*phi_w-phi_2)/MAX(n_2-1,1))+(phi_2/2)*-0.382683,NA())</f>
        <v/>
      </c>
      <c r="AO8">
        <f>IF(5&lt;n_2,((h_sec-c_nom-phi_w-phi_2/2))+(phi_2/2)*0.923880,NA())</f>
        <v/>
      </c>
      <c r="AQ8">
        <f>IF(6&lt;n_bars,(c_nom+phi_w+phi/2+6*(b_w-2*c_nom-2*phi_w-phi)/MAX(n_bars-1,1))+(phi/2)*-0.382683,NA())</f>
        <v/>
      </c>
      <c r="AR8">
        <f>IF(6&lt;n_bars,((c_nom+phi_w+phi/2))+(phi/2)*0.923880,NA())</f>
        <v/>
      </c>
      <c r="AT8">
        <f>IF(6&lt;n_2,(c_nom+phi_w+phi_2/2+6*(b_w-2*c_nom-2*phi_w-phi_2)/MAX(n_2-1,1))+(phi_2/2)*-0.382683,NA())</f>
        <v/>
      </c>
      <c r="AU8">
        <f>IF(6&lt;n_2,((h_sec-c_nom-phi_w-phi_2/2))+(phi_2/2)*0.923880,NA())</f>
        <v/>
      </c>
      <c r="AW8">
        <f>IF(7&lt;n_bars,(c_nom+phi_w+phi/2+7*(b_w-2*c_nom-2*phi_w-phi)/MAX(n_bars-1,1))+(phi/2)*-0.382683,NA())</f>
        <v/>
      </c>
      <c r="AX8">
        <f>IF(7&lt;n_bars,((c_nom+phi_w+phi/2))+(phi/2)*0.923880,NA())</f>
        <v/>
      </c>
      <c r="AZ8">
        <f>IF(7&lt;n_2,(c_nom+phi_w+phi_2/2+7*(b_w-2*c_nom-2*phi_w-phi_2)/MAX(n_2-1,1))+(phi_2/2)*-0.382683,NA())</f>
        <v/>
      </c>
      <c r="BA8">
        <f>IF(7&lt;n_2,((h_sec-c_nom-phi_w-phi_2/2))+(phi_2/2)*0.923880,NA())</f>
        <v/>
      </c>
      <c r="BC8">
        <f>IF(8&lt;n_bars,(c_nom+phi_w+phi/2+8*(b_w-2*c_nom-2*phi_w-phi)/MAX(n_bars-1,1))+(phi/2)*-0.382683,NA())</f>
        <v/>
      </c>
      <c r="BD8">
        <f>IF(8&lt;n_bars,((c_nom+phi_w+phi/2))+(phi/2)*0.923880,NA())</f>
        <v/>
      </c>
      <c r="BF8">
        <f>IF(8&lt;n_2,(c_nom+phi_w+phi_2/2+8*(b_w-2*c_nom-2*phi_w-phi_2)/MAX(n_2-1,1))+(phi_2/2)*-0.382683,NA())</f>
        <v/>
      </c>
      <c r="BG8">
        <f>IF(8&lt;n_2,((h_sec-c_nom-phi_w-phi_2/2))+(phi_2/2)*0.923880,NA())</f>
        <v/>
      </c>
      <c r="BI8">
        <f>IF(9&lt;n_bars,(c_nom+phi_w+phi/2+9*(b_w-2*c_nom-2*phi_w-phi)/MAX(n_bars-1,1))+(phi/2)*-0.382683,NA())</f>
        <v/>
      </c>
      <c r="BJ8">
        <f>IF(9&lt;n_bars,((c_nom+phi_w+phi/2))+(phi/2)*0.923880,NA())</f>
        <v/>
      </c>
      <c r="BL8">
        <f>IF(9&lt;n_2,(c_nom+phi_w+phi_2/2+9*(b_w-2*c_nom-2*phi_w-phi_2)/MAX(n_2-1,1))+(phi_2/2)*-0.382683,NA())</f>
        <v/>
      </c>
      <c r="BM8">
        <f>IF(9&lt;n_2,((h_sec-c_nom-phi_w-phi_2/2))+(phi_2/2)*0.923880,NA())</f>
        <v/>
      </c>
      <c r="BO8">
        <f>IF(10&lt;n_bars,(c_nom+phi_w+phi/2+10*(b_w-2*c_nom-2*phi_w-phi)/MAX(n_bars-1,1))+(phi/2)*-0.382683,NA())</f>
        <v/>
      </c>
      <c r="BP8">
        <f>IF(10&lt;n_bars,((c_nom+phi_w+phi/2))+(phi/2)*0.923880,NA())</f>
        <v/>
      </c>
      <c r="BR8">
        <f>IF(10&lt;n_2,(c_nom+phi_w+phi_2/2+10*(b_w-2*c_nom-2*phi_w-phi_2)/MAX(n_2-1,1))+(phi_2/2)*-0.382683,NA())</f>
        <v/>
      </c>
      <c r="BS8">
        <f>IF(10&lt;n_2,((h_sec-c_nom-phi_w-phi_2/2))+(phi_2/2)*0.923880,NA())</f>
        <v/>
      </c>
      <c r="BU8">
        <f>IF(11&lt;n_bars,(c_nom+phi_w+phi/2+11*(b_w-2*c_nom-2*phi_w-phi)/MAX(n_bars-1,1))+(phi/2)*-0.382683,NA())</f>
        <v/>
      </c>
      <c r="BV8">
        <f>IF(11&lt;n_bars,((c_nom+phi_w+phi/2))+(phi/2)*0.923880,NA())</f>
        <v/>
      </c>
      <c r="BX8">
        <f>IF(11&lt;n_2,(c_nom+phi_w+phi_2/2+11*(b_w-2*c_nom-2*phi_w-phi_2)/MAX(n_2-1,1))+(phi_2/2)*-0.382683,NA())</f>
        <v/>
      </c>
      <c r="BY8">
        <f>IF(11&lt;n_2,((h_sec-c_nom-phi_w-phi_2/2))+(phi_2/2)*0.923880,NA())</f>
        <v/>
      </c>
    </row>
    <row r="9">
      <c r="G9">
        <f>IF(0&lt;n_bars,(c_nom+phi_w+phi/2+0*(b_w-2*c_nom-2*phi_w-phi)/MAX(n_bars-1,1))+(phi/2)*-0.707107,NA())</f>
        <v/>
      </c>
      <c r="H9">
        <f>IF(0&lt;n_bars,((c_nom+phi_w+phi/2))+(phi/2)*0.707107,NA())</f>
        <v/>
      </c>
      <c r="J9">
        <f>IF(0&lt;n_2,(c_nom+phi_w+phi_2/2+0*(b_w-2*c_nom-2*phi_w-phi_2)/MAX(n_2-1,1))+(phi_2/2)*-0.707107,NA())</f>
        <v/>
      </c>
      <c r="K9">
        <f>IF(0&lt;n_2,((h_sec-c_nom-phi_w-phi_2/2))+(phi_2/2)*0.707107,NA())</f>
        <v/>
      </c>
      <c r="M9">
        <f>IF(1&lt;n_bars,(c_nom+phi_w+phi/2+1*(b_w-2*c_nom-2*phi_w-phi)/MAX(n_bars-1,1))+(phi/2)*-0.707107,NA())</f>
        <v/>
      </c>
      <c r="N9">
        <f>IF(1&lt;n_bars,((c_nom+phi_w+phi/2))+(phi/2)*0.707107,NA())</f>
        <v/>
      </c>
      <c r="P9">
        <f>IF(1&lt;n_2,(c_nom+phi_w+phi_2/2+1*(b_w-2*c_nom-2*phi_w-phi_2)/MAX(n_2-1,1))+(phi_2/2)*-0.707107,NA())</f>
        <v/>
      </c>
      <c r="Q9">
        <f>IF(1&lt;n_2,((h_sec-c_nom-phi_w-phi_2/2))+(phi_2/2)*0.707107,NA())</f>
        <v/>
      </c>
      <c r="S9">
        <f>IF(2&lt;n_bars,(c_nom+phi_w+phi/2+2*(b_w-2*c_nom-2*phi_w-phi)/MAX(n_bars-1,1))+(phi/2)*-0.707107,NA())</f>
        <v/>
      </c>
      <c r="T9">
        <f>IF(2&lt;n_bars,((c_nom+phi_w+phi/2))+(phi/2)*0.707107,NA())</f>
        <v/>
      </c>
      <c r="V9">
        <f>IF(2&lt;n_2,(c_nom+phi_w+phi_2/2+2*(b_w-2*c_nom-2*phi_w-phi_2)/MAX(n_2-1,1))+(phi_2/2)*-0.707107,NA())</f>
        <v/>
      </c>
      <c r="W9">
        <f>IF(2&lt;n_2,((h_sec-c_nom-phi_w-phi_2/2))+(phi_2/2)*0.707107,NA())</f>
        <v/>
      </c>
      <c r="Y9">
        <f>IF(3&lt;n_bars,(c_nom+phi_w+phi/2+3*(b_w-2*c_nom-2*phi_w-phi)/MAX(n_bars-1,1))+(phi/2)*-0.707107,NA())</f>
        <v/>
      </c>
      <c r="Z9">
        <f>IF(3&lt;n_bars,((c_nom+phi_w+phi/2))+(phi/2)*0.707107,NA())</f>
        <v/>
      </c>
      <c r="AB9">
        <f>IF(3&lt;n_2,(c_nom+phi_w+phi_2/2+3*(b_w-2*c_nom-2*phi_w-phi_2)/MAX(n_2-1,1))+(phi_2/2)*-0.707107,NA())</f>
        <v/>
      </c>
      <c r="AC9">
        <f>IF(3&lt;n_2,((h_sec-c_nom-phi_w-phi_2/2))+(phi_2/2)*0.707107,NA())</f>
        <v/>
      </c>
      <c r="AE9">
        <f>IF(4&lt;n_bars,(c_nom+phi_w+phi/2+4*(b_w-2*c_nom-2*phi_w-phi)/MAX(n_bars-1,1))+(phi/2)*-0.707107,NA())</f>
        <v/>
      </c>
      <c r="AF9">
        <f>IF(4&lt;n_bars,((c_nom+phi_w+phi/2))+(phi/2)*0.707107,NA())</f>
        <v/>
      </c>
      <c r="AH9">
        <f>IF(4&lt;n_2,(c_nom+phi_w+phi_2/2+4*(b_w-2*c_nom-2*phi_w-phi_2)/MAX(n_2-1,1))+(phi_2/2)*-0.707107,NA())</f>
        <v/>
      </c>
      <c r="AI9">
        <f>IF(4&lt;n_2,((h_sec-c_nom-phi_w-phi_2/2))+(phi_2/2)*0.707107,NA())</f>
        <v/>
      </c>
      <c r="AK9">
        <f>IF(5&lt;n_bars,(c_nom+phi_w+phi/2+5*(b_w-2*c_nom-2*phi_w-phi)/MAX(n_bars-1,1))+(phi/2)*-0.707107,NA())</f>
        <v/>
      </c>
      <c r="AL9">
        <f>IF(5&lt;n_bars,((c_nom+phi_w+phi/2))+(phi/2)*0.707107,NA())</f>
        <v/>
      </c>
      <c r="AN9">
        <f>IF(5&lt;n_2,(c_nom+phi_w+phi_2/2+5*(b_w-2*c_nom-2*phi_w-phi_2)/MAX(n_2-1,1))+(phi_2/2)*-0.707107,NA())</f>
        <v/>
      </c>
      <c r="AO9">
        <f>IF(5&lt;n_2,((h_sec-c_nom-phi_w-phi_2/2))+(phi_2/2)*0.707107,NA())</f>
        <v/>
      </c>
      <c r="AQ9">
        <f>IF(6&lt;n_bars,(c_nom+phi_w+phi/2+6*(b_w-2*c_nom-2*phi_w-phi)/MAX(n_bars-1,1))+(phi/2)*-0.707107,NA())</f>
        <v/>
      </c>
      <c r="AR9">
        <f>IF(6&lt;n_bars,((c_nom+phi_w+phi/2))+(phi/2)*0.707107,NA())</f>
        <v/>
      </c>
      <c r="AT9">
        <f>IF(6&lt;n_2,(c_nom+phi_w+phi_2/2+6*(b_w-2*c_nom-2*phi_w-phi_2)/MAX(n_2-1,1))+(phi_2/2)*-0.707107,NA())</f>
        <v/>
      </c>
      <c r="AU9">
        <f>IF(6&lt;n_2,((h_sec-c_nom-phi_w-phi_2/2))+(phi_2/2)*0.707107,NA())</f>
        <v/>
      </c>
      <c r="AW9">
        <f>IF(7&lt;n_bars,(c_nom+phi_w+phi/2+7*(b_w-2*c_nom-2*phi_w-phi)/MAX(n_bars-1,1))+(phi/2)*-0.707107,NA())</f>
        <v/>
      </c>
      <c r="AX9">
        <f>IF(7&lt;n_bars,((c_nom+phi_w+phi/2))+(phi/2)*0.707107,NA())</f>
        <v/>
      </c>
      <c r="AZ9">
        <f>IF(7&lt;n_2,(c_nom+phi_w+phi_2/2+7*(b_w-2*c_nom-2*phi_w-phi_2)/MAX(n_2-1,1))+(phi_2/2)*-0.707107,NA())</f>
        <v/>
      </c>
      <c r="BA9">
        <f>IF(7&lt;n_2,((h_sec-c_nom-phi_w-phi_2/2))+(phi_2/2)*0.707107,NA())</f>
        <v/>
      </c>
      <c r="BC9">
        <f>IF(8&lt;n_bars,(c_nom+phi_w+phi/2+8*(b_w-2*c_nom-2*phi_w-phi)/MAX(n_bars-1,1))+(phi/2)*-0.707107,NA())</f>
        <v/>
      </c>
      <c r="BD9">
        <f>IF(8&lt;n_bars,((c_nom+phi_w+phi/2))+(phi/2)*0.707107,NA())</f>
        <v/>
      </c>
      <c r="BF9">
        <f>IF(8&lt;n_2,(c_nom+phi_w+phi_2/2+8*(b_w-2*c_nom-2*phi_w-phi_2)/MAX(n_2-1,1))+(phi_2/2)*-0.707107,NA())</f>
        <v/>
      </c>
      <c r="BG9">
        <f>IF(8&lt;n_2,((h_sec-c_nom-phi_w-phi_2/2))+(phi_2/2)*0.707107,NA())</f>
        <v/>
      </c>
      <c r="BI9">
        <f>IF(9&lt;n_bars,(c_nom+phi_w+phi/2+9*(b_w-2*c_nom-2*phi_w-phi)/MAX(n_bars-1,1))+(phi/2)*-0.707107,NA())</f>
        <v/>
      </c>
      <c r="BJ9">
        <f>IF(9&lt;n_bars,((c_nom+phi_w+phi/2))+(phi/2)*0.707107,NA())</f>
        <v/>
      </c>
      <c r="BL9">
        <f>IF(9&lt;n_2,(c_nom+phi_w+phi_2/2+9*(b_w-2*c_nom-2*phi_w-phi_2)/MAX(n_2-1,1))+(phi_2/2)*-0.707107,NA())</f>
        <v/>
      </c>
      <c r="BM9">
        <f>IF(9&lt;n_2,((h_sec-c_nom-phi_w-phi_2/2))+(phi_2/2)*0.707107,NA())</f>
        <v/>
      </c>
      <c r="BO9">
        <f>IF(10&lt;n_bars,(c_nom+phi_w+phi/2+10*(b_w-2*c_nom-2*phi_w-phi)/MAX(n_bars-1,1))+(phi/2)*-0.707107,NA())</f>
        <v/>
      </c>
      <c r="BP9">
        <f>IF(10&lt;n_bars,((c_nom+phi_w+phi/2))+(phi/2)*0.707107,NA())</f>
        <v/>
      </c>
      <c r="BR9">
        <f>IF(10&lt;n_2,(c_nom+phi_w+phi_2/2+10*(b_w-2*c_nom-2*phi_w-phi_2)/MAX(n_2-1,1))+(phi_2/2)*-0.707107,NA())</f>
        <v/>
      </c>
      <c r="BS9">
        <f>IF(10&lt;n_2,((h_sec-c_nom-phi_w-phi_2/2))+(phi_2/2)*0.707107,NA())</f>
        <v/>
      </c>
      <c r="BU9">
        <f>IF(11&lt;n_bars,(c_nom+phi_w+phi/2+11*(b_w-2*c_nom-2*phi_w-phi)/MAX(n_bars-1,1))+(phi/2)*-0.707107,NA())</f>
        <v/>
      </c>
      <c r="BV9">
        <f>IF(11&lt;n_bars,((c_nom+phi_w+phi/2))+(phi/2)*0.707107,NA())</f>
        <v/>
      </c>
      <c r="BX9">
        <f>IF(11&lt;n_2,(c_nom+phi_w+phi_2/2+11*(b_w-2*c_nom-2*phi_w-phi_2)/MAX(n_2-1,1))+(phi_2/2)*-0.707107,NA())</f>
        <v/>
      </c>
      <c r="BY9">
        <f>IF(11&lt;n_2,((h_sec-c_nom-phi_w-phi_2/2))+(phi_2/2)*0.707107,NA())</f>
        <v/>
      </c>
    </row>
    <row r="10">
      <c r="G10">
        <f>IF(0&lt;n_bars,(c_nom+phi_w+phi/2+0*(b_w-2*c_nom-2*phi_w-phi)/MAX(n_bars-1,1))+(phi/2)*-0.923880,NA())</f>
        <v/>
      </c>
      <c r="H10">
        <f>IF(0&lt;n_bars,((c_nom+phi_w+phi/2))+(phi/2)*0.382683,NA())</f>
        <v/>
      </c>
      <c r="J10">
        <f>IF(0&lt;n_2,(c_nom+phi_w+phi_2/2+0*(b_w-2*c_nom-2*phi_w-phi_2)/MAX(n_2-1,1))+(phi_2/2)*-0.923880,NA())</f>
        <v/>
      </c>
      <c r="K10">
        <f>IF(0&lt;n_2,((h_sec-c_nom-phi_w-phi_2/2))+(phi_2/2)*0.382683,NA())</f>
        <v/>
      </c>
      <c r="M10">
        <f>IF(1&lt;n_bars,(c_nom+phi_w+phi/2+1*(b_w-2*c_nom-2*phi_w-phi)/MAX(n_bars-1,1))+(phi/2)*-0.923880,NA())</f>
        <v/>
      </c>
      <c r="N10">
        <f>IF(1&lt;n_bars,((c_nom+phi_w+phi/2))+(phi/2)*0.382683,NA())</f>
        <v/>
      </c>
      <c r="P10">
        <f>IF(1&lt;n_2,(c_nom+phi_w+phi_2/2+1*(b_w-2*c_nom-2*phi_w-phi_2)/MAX(n_2-1,1))+(phi_2/2)*-0.923880,NA())</f>
        <v/>
      </c>
      <c r="Q10">
        <f>IF(1&lt;n_2,((h_sec-c_nom-phi_w-phi_2/2))+(phi_2/2)*0.382683,NA())</f>
        <v/>
      </c>
      <c r="S10">
        <f>IF(2&lt;n_bars,(c_nom+phi_w+phi/2+2*(b_w-2*c_nom-2*phi_w-phi)/MAX(n_bars-1,1))+(phi/2)*-0.923880,NA())</f>
        <v/>
      </c>
      <c r="T10">
        <f>IF(2&lt;n_bars,((c_nom+phi_w+phi/2))+(phi/2)*0.382683,NA())</f>
        <v/>
      </c>
      <c r="V10">
        <f>IF(2&lt;n_2,(c_nom+phi_w+phi_2/2+2*(b_w-2*c_nom-2*phi_w-phi_2)/MAX(n_2-1,1))+(phi_2/2)*-0.923880,NA())</f>
        <v/>
      </c>
      <c r="W10">
        <f>IF(2&lt;n_2,((h_sec-c_nom-phi_w-phi_2/2))+(phi_2/2)*0.382683,NA())</f>
        <v/>
      </c>
      <c r="Y10">
        <f>IF(3&lt;n_bars,(c_nom+phi_w+phi/2+3*(b_w-2*c_nom-2*phi_w-phi)/MAX(n_bars-1,1))+(phi/2)*-0.923880,NA())</f>
        <v/>
      </c>
      <c r="Z10">
        <f>IF(3&lt;n_bars,((c_nom+phi_w+phi/2))+(phi/2)*0.382683,NA())</f>
        <v/>
      </c>
      <c r="AB10">
        <f>IF(3&lt;n_2,(c_nom+phi_w+phi_2/2+3*(b_w-2*c_nom-2*phi_w-phi_2)/MAX(n_2-1,1))+(phi_2/2)*-0.923880,NA())</f>
        <v/>
      </c>
      <c r="AC10">
        <f>IF(3&lt;n_2,((h_sec-c_nom-phi_w-phi_2/2))+(phi_2/2)*0.382683,NA())</f>
        <v/>
      </c>
      <c r="AE10">
        <f>IF(4&lt;n_bars,(c_nom+phi_w+phi/2+4*(b_w-2*c_nom-2*phi_w-phi)/MAX(n_bars-1,1))+(phi/2)*-0.923880,NA())</f>
        <v/>
      </c>
      <c r="AF10">
        <f>IF(4&lt;n_bars,((c_nom+phi_w+phi/2))+(phi/2)*0.382683,NA())</f>
        <v/>
      </c>
      <c r="AH10">
        <f>IF(4&lt;n_2,(c_nom+phi_w+phi_2/2+4*(b_w-2*c_nom-2*phi_w-phi_2)/MAX(n_2-1,1))+(phi_2/2)*-0.923880,NA())</f>
        <v/>
      </c>
      <c r="AI10">
        <f>IF(4&lt;n_2,((h_sec-c_nom-phi_w-phi_2/2))+(phi_2/2)*0.382683,NA())</f>
        <v/>
      </c>
      <c r="AK10">
        <f>IF(5&lt;n_bars,(c_nom+phi_w+phi/2+5*(b_w-2*c_nom-2*phi_w-phi)/MAX(n_bars-1,1))+(phi/2)*-0.923880,NA())</f>
        <v/>
      </c>
      <c r="AL10">
        <f>IF(5&lt;n_bars,((c_nom+phi_w+phi/2))+(phi/2)*0.382683,NA())</f>
        <v/>
      </c>
      <c r="AN10">
        <f>IF(5&lt;n_2,(c_nom+phi_w+phi_2/2+5*(b_w-2*c_nom-2*phi_w-phi_2)/MAX(n_2-1,1))+(phi_2/2)*-0.923880,NA())</f>
        <v/>
      </c>
      <c r="AO10">
        <f>IF(5&lt;n_2,((h_sec-c_nom-phi_w-phi_2/2))+(phi_2/2)*0.382683,NA())</f>
        <v/>
      </c>
      <c r="AQ10">
        <f>IF(6&lt;n_bars,(c_nom+phi_w+phi/2+6*(b_w-2*c_nom-2*phi_w-phi)/MAX(n_bars-1,1))+(phi/2)*-0.923880,NA())</f>
        <v/>
      </c>
      <c r="AR10">
        <f>IF(6&lt;n_bars,((c_nom+phi_w+phi/2))+(phi/2)*0.382683,NA())</f>
        <v/>
      </c>
      <c r="AT10">
        <f>IF(6&lt;n_2,(c_nom+phi_w+phi_2/2+6*(b_w-2*c_nom-2*phi_w-phi_2)/MAX(n_2-1,1))+(phi_2/2)*-0.923880,NA())</f>
        <v/>
      </c>
      <c r="AU10">
        <f>IF(6&lt;n_2,((h_sec-c_nom-phi_w-phi_2/2))+(phi_2/2)*0.382683,NA())</f>
        <v/>
      </c>
      <c r="AW10">
        <f>IF(7&lt;n_bars,(c_nom+phi_w+phi/2+7*(b_w-2*c_nom-2*phi_w-phi)/MAX(n_bars-1,1))+(phi/2)*-0.923880,NA())</f>
        <v/>
      </c>
      <c r="AX10">
        <f>IF(7&lt;n_bars,((c_nom+phi_w+phi/2))+(phi/2)*0.382683,NA())</f>
        <v/>
      </c>
      <c r="AZ10">
        <f>IF(7&lt;n_2,(c_nom+phi_w+phi_2/2+7*(b_w-2*c_nom-2*phi_w-phi_2)/MAX(n_2-1,1))+(phi_2/2)*-0.923880,NA())</f>
        <v/>
      </c>
      <c r="BA10">
        <f>IF(7&lt;n_2,((h_sec-c_nom-phi_w-phi_2/2))+(phi_2/2)*0.382683,NA())</f>
        <v/>
      </c>
      <c r="BC10">
        <f>IF(8&lt;n_bars,(c_nom+phi_w+phi/2+8*(b_w-2*c_nom-2*phi_w-phi)/MAX(n_bars-1,1))+(phi/2)*-0.923880,NA())</f>
        <v/>
      </c>
      <c r="BD10">
        <f>IF(8&lt;n_bars,((c_nom+phi_w+phi/2))+(phi/2)*0.382683,NA())</f>
        <v/>
      </c>
      <c r="BF10">
        <f>IF(8&lt;n_2,(c_nom+phi_w+phi_2/2+8*(b_w-2*c_nom-2*phi_w-phi_2)/MAX(n_2-1,1))+(phi_2/2)*-0.923880,NA())</f>
        <v/>
      </c>
      <c r="BG10">
        <f>IF(8&lt;n_2,((h_sec-c_nom-phi_w-phi_2/2))+(phi_2/2)*0.382683,NA())</f>
        <v/>
      </c>
      <c r="BI10">
        <f>IF(9&lt;n_bars,(c_nom+phi_w+phi/2+9*(b_w-2*c_nom-2*phi_w-phi)/MAX(n_bars-1,1))+(phi/2)*-0.923880,NA())</f>
        <v/>
      </c>
      <c r="BJ10">
        <f>IF(9&lt;n_bars,((c_nom+phi_w+phi/2))+(phi/2)*0.382683,NA())</f>
        <v/>
      </c>
      <c r="BL10">
        <f>IF(9&lt;n_2,(c_nom+phi_w+phi_2/2+9*(b_w-2*c_nom-2*phi_w-phi_2)/MAX(n_2-1,1))+(phi_2/2)*-0.923880,NA())</f>
        <v/>
      </c>
      <c r="BM10">
        <f>IF(9&lt;n_2,((h_sec-c_nom-phi_w-phi_2/2))+(phi_2/2)*0.382683,NA())</f>
        <v/>
      </c>
      <c r="BO10">
        <f>IF(10&lt;n_bars,(c_nom+phi_w+phi/2+10*(b_w-2*c_nom-2*phi_w-phi)/MAX(n_bars-1,1))+(phi/2)*-0.923880,NA())</f>
        <v/>
      </c>
      <c r="BP10">
        <f>IF(10&lt;n_bars,((c_nom+phi_w+phi/2))+(phi/2)*0.382683,NA())</f>
        <v/>
      </c>
      <c r="BR10">
        <f>IF(10&lt;n_2,(c_nom+phi_w+phi_2/2+10*(b_w-2*c_nom-2*phi_w-phi_2)/MAX(n_2-1,1))+(phi_2/2)*-0.923880,NA())</f>
        <v/>
      </c>
      <c r="BS10">
        <f>IF(10&lt;n_2,((h_sec-c_nom-phi_w-phi_2/2))+(phi_2/2)*0.382683,NA())</f>
        <v/>
      </c>
      <c r="BU10">
        <f>IF(11&lt;n_bars,(c_nom+phi_w+phi/2+11*(b_w-2*c_nom-2*phi_w-phi)/MAX(n_bars-1,1))+(phi/2)*-0.923880,NA())</f>
        <v/>
      </c>
      <c r="BV10">
        <f>IF(11&lt;n_bars,((c_nom+phi_w+phi/2))+(phi/2)*0.382683,NA())</f>
        <v/>
      </c>
      <c r="BX10">
        <f>IF(11&lt;n_2,(c_nom+phi_w+phi_2/2+11*(b_w-2*c_nom-2*phi_w-phi_2)/MAX(n_2-1,1))+(phi_2/2)*-0.923880,NA())</f>
        <v/>
      </c>
      <c r="BY10">
        <f>IF(11&lt;n_2,((h_sec-c_nom-phi_w-phi_2/2))+(phi_2/2)*0.382683,NA())</f>
        <v/>
      </c>
    </row>
    <row r="11">
      <c r="G11">
        <f>IF(0&lt;n_bars,(c_nom+phi_w+phi/2+0*(b_w-2*c_nom-2*phi_w-phi)/MAX(n_bars-1,1))+(phi/2)*-1.000000,NA())</f>
        <v/>
      </c>
      <c r="H11">
        <f>IF(0&lt;n_bars,((c_nom+phi_w+phi/2))+(phi/2)*0.000000,NA())</f>
        <v/>
      </c>
      <c r="J11">
        <f>IF(0&lt;n_2,(c_nom+phi_w+phi_2/2+0*(b_w-2*c_nom-2*phi_w-phi_2)/MAX(n_2-1,1))+(phi_2/2)*-1.000000,NA())</f>
        <v/>
      </c>
      <c r="K11">
        <f>IF(0&lt;n_2,((h_sec-c_nom-phi_w-phi_2/2))+(phi_2/2)*0.000000,NA())</f>
        <v/>
      </c>
      <c r="M11">
        <f>IF(1&lt;n_bars,(c_nom+phi_w+phi/2+1*(b_w-2*c_nom-2*phi_w-phi)/MAX(n_bars-1,1))+(phi/2)*-1.000000,NA())</f>
        <v/>
      </c>
      <c r="N11">
        <f>IF(1&lt;n_bars,((c_nom+phi_w+phi/2))+(phi/2)*0.000000,NA())</f>
        <v/>
      </c>
      <c r="P11">
        <f>IF(1&lt;n_2,(c_nom+phi_w+phi_2/2+1*(b_w-2*c_nom-2*phi_w-phi_2)/MAX(n_2-1,1))+(phi_2/2)*-1.000000,NA())</f>
        <v/>
      </c>
      <c r="Q11">
        <f>IF(1&lt;n_2,((h_sec-c_nom-phi_w-phi_2/2))+(phi_2/2)*0.000000,NA())</f>
        <v/>
      </c>
      <c r="S11">
        <f>IF(2&lt;n_bars,(c_nom+phi_w+phi/2+2*(b_w-2*c_nom-2*phi_w-phi)/MAX(n_bars-1,1))+(phi/2)*-1.000000,NA())</f>
        <v/>
      </c>
      <c r="T11">
        <f>IF(2&lt;n_bars,((c_nom+phi_w+phi/2))+(phi/2)*0.000000,NA())</f>
        <v/>
      </c>
      <c r="V11">
        <f>IF(2&lt;n_2,(c_nom+phi_w+phi_2/2+2*(b_w-2*c_nom-2*phi_w-phi_2)/MAX(n_2-1,1))+(phi_2/2)*-1.000000,NA())</f>
        <v/>
      </c>
      <c r="W11">
        <f>IF(2&lt;n_2,((h_sec-c_nom-phi_w-phi_2/2))+(phi_2/2)*0.000000,NA())</f>
        <v/>
      </c>
      <c r="Y11">
        <f>IF(3&lt;n_bars,(c_nom+phi_w+phi/2+3*(b_w-2*c_nom-2*phi_w-phi)/MAX(n_bars-1,1))+(phi/2)*-1.000000,NA())</f>
        <v/>
      </c>
      <c r="Z11">
        <f>IF(3&lt;n_bars,((c_nom+phi_w+phi/2))+(phi/2)*0.000000,NA())</f>
        <v/>
      </c>
      <c r="AB11">
        <f>IF(3&lt;n_2,(c_nom+phi_w+phi_2/2+3*(b_w-2*c_nom-2*phi_w-phi_2)/MAX(n_2-1,1))+(phi_2/2)*-1.000000,NA())</f>
        <v/>
      </c>
      <c r="AC11">
        <f>IF(3&lt;n_2,((h_sec-c_nom-phi_w-phi_2/2))+(phi_2/2)*0.000000,NA())</f>
        <v/>
      </c>
      <c r="AE11">
        <f>IF(4&lt;n_bars,(c_nom+phi_w+phi/2+4*(b_w-2*c_nom-2*phi_w-phi)/MAX(n_bars-1,1))+(phi/2)*-1.000000,NA())</f>
        <v/>
      </c>
      <c r="AF11">
        <f>IF(4&lt;n_bars,((c_nom+phi_w+phi/2))+(phi/2)*0.000000,NA())</f>
        <v/>
      </c>
      <c r="AH11">
        <f>IF(4&lt;n_2,(c_nom+phi_w+phi_2/2+4*(b_w-2*c_nom-2*phi_w-phi_2)/MAX(n_2-1,1))+(phi_2/2)*-1.000000,NA())</f>
        <v/>
      </c>
      <c r="AI11">
        <f>IF(4&lt;n_2,((h_sec-c_nom-phi_w-phi_2/2))+(phi_2/2)*0.000000,NA())</f>
        <v/>
      </c>
      <c r="AK11">
        <f>IF(5&lt;n_bars,(c_nom+phi_w+phi/2+5*(b_w-2*c_nom-2*phi_w-phi)/MAX(n_bars-1,1))+(phi/2)*-1.000000,NA())</f>
        <v/>
      </c>
      <c r="AL11">
        <f>IF(5&lt;n_bars,((c_nom+phi_w+phi/2))+(phi/2)*0.000000,NA())</f>
        <v/>
      </c>
      <c r="AN11">
        <f>IF(5&lt;n_2,(c_nom+phi_w+phi_2/2+5*(b_w-2*c_nom-2*phi_w-phi_2)/MAX(n_2-1,1))+(phi_2/2)*-1.000000,NA())</f>
        <v/>
      </c>
      <c r="AO11">
        <f>IF(5&lt;n_2,((h_sec-c_nom-phi_w-phi_2/2))+(phi_2/2)*0.000000,NA())</f>
        <v/>
      </c>
      <c r="AQ11">
        <f>IF(6&lt;n_bars,(c_nom+phi_w+phi/2+6*(b_w-2*c_nom-2*phi_w-phi)/MAX(n_bars-1,1))+(phi/2)*-1.000000,NA())</f>
        <v/>
      </c>
      <c r="AR11">
        <f>IF(6&lt;n_bars,((c_nom+phi_w+phi/2))+(phi/2)*0.000000,NA())</f>
        <v/>
      </c>
      <c r="AT11">
        <f>IF(6&lt;n_2,(c_nom+phi_w+phi_2/2+6*(b_w-2*c_nom-2*phi_w-phi_2)/MAX(n_2-1,1))+(phi_2/2)*-1.000000,NA())</f>
        <v/>
      </c>
      <c r="AU11">
        <f>IF(6&lt;n_2,((h_sec-c_nom-phi_w-phi_2/2))+(phi_2/2)*0.000000,NA())</f>
        <v/>
      </c>
      <c r="AW11">
        <f>IF(7&lt;n_bars,(c_nom+phi_w+phi/2+7*(b_w-2*c_nom-2*phi_w-phi)/MAX(n_bars-1,1))+(phi/2)*-1.000000,NA())</f>
        <v/>
      </c>
      <c r="AX11">
        <f>IF(7&lt;n_bars,((c_nom+phi_w+phi/2))+(phi/2)*0.000000,NA())</f>
        <v/>
      </c>
      <c r="AZ11">
        <f>IF(7&lt;n_2,(c_nom+phi_w+phi_2/2+7*(b_w-2*c_nom-2*phi_w-phi_2)/MAX(n_2-1,1))+(phi_2/2)*-1.000000,NA())</f>
        <v/>
      </c>
      <c r="BA11">
        <f>IF(7&lt;n_2,((h_sec-c_nom-phi_w-phi_2/2))+(phi_2/2)*0.000000,NA())</f>
        <v/>
      </c>
      <c r="BC11">
        <f>IF(8&lt;n_bars,(c_nom+phi_w+phi/2+8*(b_w-2*c_nom-2*phi_w-phi)/MAX(n_bars-1,1))+(phi/2)*-1.000000,NA())</f>
        <v/>
      </c>
      <c r="BD11">
        <f>IF(8&lt;n_bars,((c_nom+phi_w+phi/2))+(phi/2)*0.000000,NA())</f>
        <v/>
      </c>
      <c r="BF11">
        <f>IF(8&lt;n_2,(c_nom+phi_w+phi_2/2+8*(b_w-2*c_nom-2*phi_w-phi_2)/MAX(n_2-1,1))+(phi_2/2)*-1.000000,NA())</f>
        <v/>
      </c>
      <c r="BG11">
        <f>IF(8&lt;n_2,((h_sec-c_nom-phi_w-phi_2/2))+(phi_2/2)*0.000000,NA())</f>
        <v/>
      </c>
      <c r="BI11">
        <f>IF(9&lt;n_bars,(c_nom+phi_w+phi/2+9*(b_w-2*c_nom-2*phi_w-phi)/MAX(n_bars-1,1))+(phi/2)*-1.000000,NA())</f>
        <v/>
      </c>
      <c r="BJ11">
        <f>IF(9&lt;n_bars,((c_nom+phi_w+phi/2))+(phi/2)*0.000000,NA())</f>
        <v/>
      </c>
      <c r="BL11">
        <f>IF(9&lt;n_2,(c_nom+phi_w+phi_2/2+9*(b_w-2*c_nom-2*phi_w-phi_2)/MAX(n_2-1,1))+(phi_2/2)*-1.000000,NA())</f>
        <v/>
      </c>
      <c r="BM11">
        <f>IF(9&lt;n_2,((h_sec-c_nom-phi_w-phi_2/2))+(phi_2/2)*0.000000,NA())</f>
        <v/>
      </c>
      <c r="BO11">
        <f>IF(10&lt;n_bars,(c_nom+phi_w+phi/2+10*(b_w-2*c_nom-2*phi_w-phi)/MAX(n_bars-1,1))+(phi/2)*-1.000000,NA())</f>
        <v/>
      </c>
      <c r="BP11">
        <f>IF(10&lt;n_bars,((c_nom+phi_w+phi/2))+(phi/2)*0.000000,NA())</f>
        <v/>
      </c>
      <c r="BR11">
        <f>IF(10&lt;n_2,(c_nom+phi_w+phi_2/2+10*(b_w-2*c_nom-2*phi_w-phi_2)/MAX(n_2-1,1))+(phi_2/2)*-1.000000,NA())</f>
        <v/>
      </c>
      <c r="BS11">
        <f>IF(10&lt;n_2,((h_sec-c_nom-phi_w-phi_2/2))+(phi_2/2)*0.000000,NA())</f>
        <v/>
      </c>
      <c r="BU11">
        <f>IF(11&lt;n_bars,(c_nom+phi_w+phi/2+11*(b_w-2*c_nom-2*phi_w-phi)/MAX(n_bars-1,1))+(phi/2)*-1.000000,NA())</f>
        <v/>
      </c>
      <c r="BV11">
        <f>IF(11&lt;n_bars,((c_nom+phi_w+phi/2))+(phi/2)*0.000000,NA())</f>
        <v/>
      </c>
      <c r="BX11">
        <f>IF(11&lt;n_2,(c_nom+phi_w+phi_2/2+11*(b_w-2*c_nom-2*phi_w-phi_2)/MAX(n_2-1,1))+(phi_2/2)*-1.000000,NA())</f>
        <v/>
      </c>
      <c r="BY11">
        <f>IF(11&lt;n_2,((h_sec-c_nom-phi_w-phi_2/2))+(phi_2/2)*0.000000,NA())</f>
        <v/>
      </c>
    </row>
    <row r="12">
      <c r="G12">
        <f>IF(0&lt;n_bars,(c_nom+phi_w+phi/2+0*(b_w-2*c_nom-2*phi_w-phi)/MAX(n_bars-1,1))+(phi/2)*-0.923880,NA())</f>
        <v/>
      </c>
      <c r="H12">
        <f>IF(0&lt;n_bars,((c_nom+phi_w+phi/2))+(phi/2)*-0.382683,NA())</f>
        <v/>
      </c>
      <c r="J12">
        <f>IF(0&lt;n_2,(c_nom+phi_w+phi_2/2+0*(b_w-2*c_nom-2*phi_w-phi_2)/MAX(n_2-1,1))+(phi_2/2)*-0.923880,NA())</f>
        <v/>
      </c>
      <c r="K12">
        <f>IF(0&lt;n_2,((h_sec-c_nom-phi_w-phi_2/2))+(phi_2/2)*-0.382683,NA())</f>
        <v/>
      </c>
      <c r="M12">
        <f>IF(1&lt;n_bars,(c_nom+phi_w+phi/2+1*(b_w-2*c_nom-2*phi_w-phi)/MAX(n_bars-1,1))+(phi/2)*-0.923880,NA())</f>
        <v/>
      </c>
      <c r="N12">
        <f>IF(1&lt;n_bars,((c_nom+phi_w+phi/2))+(phi/2)*-0.382683,NA())</f>
        <v/>
      </c>
      <c r="P12">
        <f>IF(1&lt;n_2,(c_nom+phi_w+phi_2/2+1*(b_w-2*c_nom-2*phi_w-phi_2)/MAX(n_2-1,1))+(phi_2/2)*-0.923880,NA())</f>
        <v/>
      </c>
      <c r="Q12">
        <f>IF(1&lt;n_2,((h_sec-c_nom-phi_w-phi_2/2))+(phi_2/2)*-0.382683,NA())</f>
        <v/>
      </c>
      <c r="S12">
        <f>IF(2&lt;n_bars,(c_nom+phi_w+phi/2+2*(b_w-2*c_nom-2*phi_w-phi)/MAX(n_bars-1,1))+(phi/2)*-0.923880,NA())</f>
        <v/>
      </c>
      <c r="T12">
        <f>IF(2&lt;n_bars,((c_nom+phi_w+phi/2))+(phi/2)*-0.382683,NA())</f>
        <v/>
      </c>
      <c r="V12">
        <f>IF(2&lt;n_2,(c_nom+phi_w+phi_2/2+2*(b_w-2*c_nom-2*phi_w-phi_2)/MAX(n_2-1,1))+(phi_2/2)*-0.923880,NA())</f>
        <v/>
      </c>
      <c r="W12">
        <f>IF(2&lt;n_2,((h_sec-c_nom-phi_w-phi_2/2))+(phi_2/2)*-0.382683,NA())</f>
        <v/>
      </c>
      <c r="Y12">
        <f>IF(3&lt;n_bars,(c_nom+phi_w+phi/2+3*(b_w-2*c_nom-2*phi_w-phi)/MAX(n_bars-1,1))+(phi/2)*-0.923880,NA())</f>
        <v/>
      </c>
      <c r="Z12">
        <f>IF(3&lt;n_bars,((c_nom+phi_w+phi/2))+(phi/2)*-0.382683,NA())</f>
        <v/>
      </c>
      <c r="AB12">
        <f>IF(3&lt;n_2,(c_nom+phi_w+phi_2/2+3*(b_w-2*c_nom-2*phi_w-phi_2)/MAX(n_2-1,1))+(phi_2/2)*-0.923880,NA())</f>
        <v/>
      </c>
      <c r="AC12">
        <f>IF(3&lt;n_2,((h_sec-c_nom-phi_w-phi_2/2))+(phi_2/2)*-0.382683,NA())</f>
        <v/>
      </c>
      <c r="AE12">
        <f>IF(4&lt;n_bars,(c_nom+phi_w+phi/2+4*(b_w-2*c_nom-2*phi_w-phi)/MAX(n_bars-1,1))+(phi/2)*-0.923880,NA())</f>
        <v/>
      </c>
      <c r="AF12">
        <f>IF(4&lt;n_bars,((c_nom+phi_w+phi/2))+(phi/2)*-0.382683,NA())</f>
        <v/>
      </c>
      <c r="AH12">
        <f>IF(4&lt;n_2,(c_nom+phi_w+phi_2/2+4*(b_w-2*c_nom-2*phi_w-phi_2)/MAX(n_2-1,1))+(phi_2/2)*-0.923880,NA())</f>
        <v/>
      </c>
      <c r="AI12">
        <f>IF(4&lt;n_2,((h_sec-c_nom-phi_w-phi_2/2))+(phi_2/2)*-0.382683,NA())</f>
        <v/>
      </c>
      <c r="AK12">
        <f>IF(5&lt;n_bars,(c_nom+phi_w+phi/2+5*(b_w-2*c_nom-2*phi_w-phi)/MAX(n_bars-1,1))+(phi/2)*-0.923880,NA())</f>
        <v/>
      </c>
      <c r="AL12">
        <f>IF(5&lt;n_bars,((c_nom+phi_w+phi/2))+(phi/2)*-0.382683,NA())</f>
        <v/>
      </c>
      <c r="AN12">
        <f>IF(5&lt;n_2,(c_nom+phi_w+phi_2/2+5*(b_w-2*c_nom-2*phi_w-phi_2)/MAX(n_2-1,1))+(phi_2/2)*-0.923880,NA())</f>
        <v/>
      </c>
      <c r="AO12">
        <f>IF(5&lt;n_2,((h_sec-c_nom-phi_w-phi_2/2))+(phi_2/2)*-0.382683,NA())</f>
        <v/>
      </c>
      <c r="AQ12">
        <f>IF(6&lt;n_bars,(c_nom+phi_w+phi/2+6*(b_w-2*c_nom-2*phi_w-phi)/MAX(n_bars-1,1))+(phi/2)*-0.923880,NA())</f>
        <v/>
      </c>
      <c r="AR12">
        <f>IF(6&lt;n_bars,((c_nom+phi_w+phi/2))+(phi/2)*-0.382683,NA())</f>
        <v/>
      </c>
      <c r="AT12">
        <f>IF(6&lt;n_2,(c_nom+phi_w+phi_2/2+6*(b_w-2*c_nom-2*phi_w-phi_2)/MAX(n_2-1,1))+(phi_2/2)*-0.923880,NA())</f>
        <v/>
      </c>
      <c r="AU12">
        <f>IF(6&lt;n_2,((h_sec-c_nom-phi_w-phi_2/2))+(phi_2/2)*-0.382683,NA())</f>
        <v/>
      </c>
      <c r="AW12">
        <f>IF(7&lt;n_bars,(c_nom+phi_w+phi/2+7*(b_w-2*c_nom-2*phi_w-phi)/MAX(n_bars-1,1))+(phi/2)*-0.923880,NA())</f>
        <v/>
      </c>
      <c r="AX12">
        <f>IF(7&lt;n_bars,((c_nom+phi_w+phi/2))+(phi/2)*-0.382683,NA())</f>
        <v/>
      </c>
      <c r="AZ12">
        <f>IF(7&lt;n_2,(c_nom+phi_w+phi_2/2+7*(b_w-2*c_nom-2*phi_w-phi_2)/MAX(n_2-1,1))+(phi_2/2)*-0.923880,NA())</f>
        <v/>
      </c>
      <c r="BA12">
        <f>IF(7&lt;n_2,((h_sec-c_nom-phi_w-phi_2/2))+(phi_2/2)*-0.382683,NA())</f>
        <v/>
      </c>
      <c r="BC12">
        <f>IF(8&lt;n_bars,(c_nom+phi_w+phi/2+8*(b_w-2*c_nom-2*phi_w-phi)/MAX(n_bars-1,1))+(phi/2)*-0.923880,NA())</f>
        <v/>
      </c>
      <c r="BD12">
        <f>IF(8&lt;n_bars,((c_nom+phi_w+phi/2))+(phi/2)*-0.382683,NA())</f>
        <v/>
      </c>
      <c r="BF12">
        <f>IF(8&lt;n_2,(c_nom+phi_w+phi_2/2+8*(b_w-2*c_nom-2*phi_w-phi_2)/MAX(n_2-1,1))+(phi_2/2)*-0.923880,NA())</f>
        <v/>
      </c>
      <c r="BG12">
        <f>IF(8&lt;n_2,((h_sec-c_nom-phi_w-phi_2/2))+(phi_2/2)*-0.382683,NA())</f>
        <v/>
      </c>
      <c r="BI12">
        <f>IF(9&lt;n_bars,(c_nom+phi_w+phi/2+9*(b_w-2*c_nom-2*phi_w-phi)/MAX(n_bars-1,1))+(phi/2)*-0.923880,NA())</f>
        <v/>
      </c>
      <c r="BJ12">
        <f>IF(9&lt;n_bars,((c_nom+phi_w+phi/2))+(phi/2)*-0.382683,NA())</f>
        <v/>
      </c>
      <c r="BL12">
        <f>IF(9&lt;n_2,(c_nom+phi_w+phi_2/2+9*(b_w-2*c_nom-2*phi_w-phi_2)/MAX(n_2-1,1))+(phi_2/2)*-0.923880,NA())</f>
        <v/>
      </c>
      <c r="BM12">
        <f>IF(9&lt;n_2,((h_sec-c_nom-phi_w-phi_2/2))+(phi_2/2)*-0.382683,NA())</f>
        <v/>
      </c>
      <c r="BO12">
        <f>IF(10&lt;n_bars,(c_nom+phi_w+phi/2+10*(b_w-2*c_nom-2*phi_w-phi)/MAX(n_bars-1,1))+(phi/2)*-0.923880,NA())</f>
        <v/>
      </c>
      <c r="BP12">
        <f>IF(10&lt;n_bars,((c_nom+phi_w+phi/2))+(phi/2)*-0.382683,NA())</f>
        <v/>
      </c>
      <c r="BR12">
        <f>IF(10&lt;n_2,(c_nom+phi_w+phi_2/2+10*(b_w-2*c_nom-2*phi_w-phi_2)/MAX(n_2-1,1))+(phi_2/2)*-0.923880,NA())</f>
        <v/>
      </c>
      <c r="BS12">
        <f>IF(10&lt;n_2,((h_sec-c_nom-phi_w-phi_2/2))+(phi_2/2)*-0.382683,NA())</f>
        <v/>
      </c>
      <c r="BU12">
        <f>IF(11&lt;n_bars,(c_nom+phi_w+phi/2+11*(b_w-2*c_nom-2*phi_w-phi)/MAX(n_bars-1,1))+(phi/2)*-0.923880,NA())</f>
        <v/>
      </c>
      <c r="BV12">
        <f>IF(11&lt;n_bars,((c_nom+phi_w+phi/2))+(phi/2)*-0.382683,NA())</f>
        <v/>
      </c>
      <c r="BX12">
        <f>IF(11&lt;n_2,(c_nom+phi_w+phi_2/2+11*(b_w-2*c_nom-2*phi_w-phi_2)/MAX(n_2-1,1))+(phi_2/2)*-0.923880,NA())</f>
        <v/>
      </c>
      <c r="BY12">
        <f>IF(11&lt;n_2,((h_sec-c_nom-phi_w-phi_2/2))+(phi_2/2)*-0.382683,NA())</f>
        <v/>
      </c>
    </row>
    <row r="13">
      <c r="G13">
        <f>IF(0&lt;n_bars,(c_nom+phi_w+phi/2+0*(b_w-2*c_nom-2*phi_w-phi)/MAX(n_bars-1,1))+(phi/2)*-0.707107,NA())</f>
        <v/>
      </c>
      <c r="H13">
        <f>IF(0&lt;n_bars,((c_nom+phi_w+phi/2))+(phi/2)*-0.707107,NA())</f>
        <v/>
      </c>
      <c r="J13">
        <f>IF(0&lt;n_2,(c_nom+phi_w+phi_2/2+0*(b_w-2*c_nom-2*phi_w-phi_2)/MAX(n_2-1,1))+(phi_2/2)*-0.707107,NA())</f>
        <v/>
      </c>
      <c r="K13">
        <f>IF(0&lt;n_2,((h_sec-c_nom-phi_w-phi_2/2))+(phi_2/2)*-0.707107,NA())</f>
        <v/>
      </c>
      <c r="M13">
        <f>IF(1&lt;n_bars,(c_nom+phi_w+phi/2+1*(b_w-2*c_nom-2*phi_w-phi)/MAX(n_bars-1,1))+(phi/2)*-0.707107,NA())</f>
        <v/>
      </c>
      <c r="N13">
        <f>IF(1&lt;n_bars,((c_nom+phi_w+phi/2))+(phi/2)*-0.707107,NA())</f>
        <v/>
      </c>
      <c r="P13">
        <f>IF(1&lt;n_2,(c_nom+phi_w+phi_2/2+1*(b_w-2*c_nom-2*phi_w-phi_2)/MAX(n_2-1,1))+(phi_2/2)*-0.707107,NA())</f>
        <v/>
      </c>
      <c r="Q13">
        <f>IF(1&lt;n_2,((h_sec-c_nom-phi_w-phi_2/2))+(phi_2/2)*-0.707107,NA())</f>
        <v/>
      </c>
      <c r="S13">
        <f>IF(2&lt;n_bars,(c_nom+phi_w+phi/2+2*(b_w-2*c_nom-2*phi_w-phi)/MAX(n_bars-1,1))+(phi/2)*-0.707107,NA())</f>
        <v/>
      </c>
      <c r="T13">
        <f>IF(2&lt;n_bars,((c_nom+phi_w+phi/2))+(phi/2)*-0.707107,NA())</f>
        <v/>
      </c>
      <c r="V13">
        <f>IF(2&lt;n_2,(c_nom+phi_w+phi_2/2+2*(b_w-2*c_nom-2*phi_w-phi_2)/MAX(n_2-1,1))+(phi_2/2)*-0.707107,NA())</f>
        <v/>
      </c>
      <c r="W13">
        <f>IF(2&lt;n_2,((h_sec-c_nom-phi_w-phi_2/2))+(phi_2/2)*-0.707107,NA())</f>
        <v/>
      </c>
      <c r="Y13">
        <f>IF(3&lt;n_bars,(c_nom+phi_w+phi/2+3*(b_w-2*c_nom-2*phi_w-phi)/MAX(n_bars-1,1))+(phi/2)*-0.707107,NA())</f>
        <v/>
      </c>
      <c r="Z13">
        <f>IF(3&lt;n_bars,((c_nom+phi_w+phi/2))+(phi/2)*-0.707107,NA())</f>
        <v/>
      </c>
      <c r="AB13">
        <f>IF(3&lt;n_2,(c_nom+phi_w+phi_2/2+3*(b_w-2*c_nom-2*phi_w-phi_2)/MAX(n_2-1,1))+(phi_2/2)*-0.707107,NA())</f>
        <v/>
      </c>
      <c r="AC13">
        <f>IF(3&lt;n_2,((h_sec-c_nom-phi_w-phi_2/2))+(phi_2/2)*-0.707107,NA())</f>
        <v/>
      </c>
      <c r="AE13">
        <f>IF(4&lt;n_bars,(c_nom+phi_w+phi/2+4*(b_w-2*c_nom-2*phi_w-phi)/MAX(n_bars-1,1))+(phi/2)*-0.707107,NA())</f>
        <v/>
      </c>
      <c r="AF13">
        <f>IF(4&lt;n_bars,((c_nom+phi_w+phi/2))+(phi/2)*-0.707107,NA())</f>
        <v/>
      </c>
      <c r="AH13">
        <f>IF(4&lt;n_2,(c_nom+phi_w+phi_2/2+4*(b_w-2*c_nom-2*phi_w-phi_2)/MAX(n_2-1,1))+(phi_2/2)*-0.707107,NA())</f>
        <v/>
      </c>
      <c r="AI13">
        <f>IF(4&lt;n_2,((h_sec-c_nom-phi_w-phi_2/2))+(phi_2/2)*-0.707107,NA())</f>
        <v/>
      </c>
      <c r="AK13">
        <f>IF(5&lt;n_bars,(c_nom+phi_w+phi/2+5*(b_w-2*c_nom-2*phi_w-phi)/MAX(n_bars-1,1))+(phi/2)*-0.707107,NA())</f>
        <v/>
      </c>
      <c r="AL13">
        <f>IF(5&lt;n_bars,((c_nom+phi_w+phi/2))+(phi/2)*-0.707107,NA())</f>
        <v/>
      </c>
      <c r="AN13">
        <f>IF(5&lt;n_2,(c_nom+phi_w+phi_2/2+5*(b_w-2*c_nom-2*phi_w-phi_2)/MAX(n_2-1,1))+(phi_2/2)*-0.707107,NA())</f>
        <v/>
      </c>
      <c r="AO13">
        <f>IF(5&lt;n_2,((h_sec-c_nom-phi_w-phi_2/2))+(phi_2/2)*-0.707107,NA())</f>
        <v/>
      </c>
      <c r="AQ13">
        <f>IF(6&lt;n_bars,(c_nom+phi_w+phi/2+6*(b_w-2*c_nom-2*phi_w-phi)/MAX(n_bars-1,1))+(phi/2)*-0.707107,NA())</f>
        <v/>
      </c>
      <c r="AR13">
        <f>IF(6&lt;n_bars,((c_nom+phi_w+phi/2))+(phi/2)*-0.707107,NA())</f>
        <v/>
      </c>
      <c r="AT13">
        <f>IF(6&lt;n_2,(c_nom+phi_w+phi_2/2+6*(b_w-2*c_nom-2*phi_w-phi_2)/MAX(n_2-1,1))+(phi_2/2)*-0.707107,NA())</f>
        <v/>
      </c>
      <c r="AU13">
        <f>IF(6&lt;n_2,((h_sec-c_nom-phi_w-phi_2/2))+(phi_2/2)*-0.707107,NA())</f>
        <v/>
      </c>
      <c r="AW13">
        <f>IF(7&lt;n_bars,(c_nom+phi_w+phi/2+7*(b_w-2*c_nom-2*phi_w-phi)/MAX(n_bars-1,1))+(phi/2)*-0.707107,NA())</f>
        <v/>
      </c>
      <c r="AX13">
        <f>IF(7&lt;n_bars,((c_nom+phi_w+phi/2))+(phi/2)*-0.707107,NA())</f>
        <v/>
      </c>
      <c r="AZ13">
        <f>IF(7&lt;n_2,(c_nom+phi_w+phi_2/2+7*(b_w-2*c_nom-2*phi_w-phi_2)/MAX(n_2-1,1))+(phi_2/2)*-0.707107,NA())</f>
        <v/>
      </c>
      <c r="BA13">
        <f>IF(7&lt;n_2,((h_sec-c_nom-phi_w-phi_2/2))+(phi_2/2)*-0.707107,NA())</f>
        <v/>
      </c>
      <c r="BC13">
        <f>IF(8&lt;n_bars,(c_nom+phi_w+phi/2+8*(b_w-2*c_nom-2*phi_w-phi)/MAX(n_bars-1,1))+(phi/2)*-0.707107,NA())</f>
        <v/>
      </c>
      <c r="BD13">
        <f>IF(8&lt;n_bars,((c_nom+phi_w+phi/2))+(phi/2)*-0.707107,NA())</f>
        <v/>
      </c>
      <c r="BF13">
        <f>IF(8&lt;n_2,(c_nom+phi_w+phi_2/2+8*(b_w-2*c_nom-2*phi_w-phi_2)/MAX(n_2-1,1))+(phi_2/2)*-0.707107,NA())</f>
        <v/>
      </c>
      <c r="BG13">
        <f>IF(8&lt;n_2,((h_sec-c_nom-phi_w-phi_2/2))+(phi_2/2)*-0.707107,NA())</f>
        <v/>
      </c>
      <c r="BI13">
        <f>IF(9&lt;n_bars,(c_nom+phi_w+phi/2+9*(b_w-2*c_nom-2*phi_w-phi)/MAX(n_bars-1,1))+(phi/2)*-0.707107,NA())</f>
        <v/>
      </c>
      <c r="BJ13">
        <f>IF(9&lt;n_bars,((c_nom+phi_w+phi/2))+(phi/2)*-0.707107,NA())</f>
        <v/>
      </c>
      <c r="BL13">
        <f>IF(9&lt;n_2,(c_nom+phi_w+phi_2/2+9*(b_w-2*c_nom-2*phi_w-phi_2)/MAX(n_2-1,1))+(phi_2/2)*-0.707107,NA())</f>
        <v/>
      </c>
      <c r="BM13">
        <f>IF(9&lt;n_2,((h_sec-c_nom-phi_w-phi_2/2))+(phi_2/2)*-0.707107,NA())</f>
        <v/>
      </c>
      <c r="BO13">
        <f>IF(10&lt;n_bars,(c_nom+phi_w+phi/2+10*(b_w-2*c_nom-2*phi_w-phi)/MAX(n_bars-1,1))+(phi/2)*-0.707107,NA())</f>
        <v/>
      </c>
      <c r="BP13">
        <f>IF(10&lt;n_bars,((c_nom+phi_w+phi/2))+(phi/2)*-0.707107,NA())</f>
        <v/>
      </c>
      <c r="BR13">
        <f>IF(10&lt;n_2,(c_nom+phi_w+phi_2/2+10*(b_w-2*c_nom-2*phi_w-phi_2)/MAX(n_2-1,1))+(phi_2/2)*-0.707107,NA())</f>
        <v/>
      </c>
      <c r="BS13">
        <f>IF(10&lt;n_2,((h_sec-c_nom-phi_w-phi_2/2))+(phi_2/2)*-0.707107,NA())</f>
        <v/>
      </c>
      <c r="BU13">
        <f>IF(11&lt;n_bars,(c_nom+phi_w+phi/2+11*(b_w-2*c_nom-2*phi_w-phi)/MAX(n_bars-1,1))+(phi/2)*-0.707107,NA())</f>
        <v/>
      </c>
      <c r="BV13">
        <f>IF(11&lt;n_bars,((c_nom+phi_w+phi/2))+(phi/2)*-0.707107,NA())</f>
        <v/>
      </c>
      <c r="BX13">
        <f>IF(11&lt;n_2,(c_nom+phi_w+phi_2/2+11*(b_w-2*c_nom-2*phi_w-phi_2)/MAX(n_2-1,1))+(phi_2/2)*-0.707107,NA())</f>
        <v/>
      </c>
      <c r="BY13">
        <f>IF(11&lt;n_2,((h_sec-c_nom-phi_w-phi_2/2))+(phi_2/2)*-0.707107,NA())</f>
        <v/>
      </c>
    </row>
    <row r="14">
      <c r="G14">
        <f>IF(0&lt;n_bars,(c_nom+phi_w+phi/2+0*(b_w-2*c_nom-2*phi_w-phi)/MAX(n_bars-1,1))+(phi/2)*-0.382683,NA())</f>
        <v/>
      </c>
      <c r="H14">
        <f>IF(0&lt;n_bars,((c_nom+phi_w+phi/2))+(phi/2)*-0.923880,NA())</f>
        <v/>
      </c>
      <c r="J14">
        <f>IF(0&lt;n_2,(c_nom+phi_w+phi_2/2+0*(b_w-2*c_nom-2*phi_w-phi_2)/MAX(n_2-1,1))+(phi_2/2)*-0.382683,NA())</f>
        <v/>
      </c>
      <c r="K14">
        <f>IF(0&lt;n_2,((h_sec-c_nom-phi_w-phi_2/2))+(phi_2/2)*-0.923880,NA())</f>
        <v/>
      </c>
      <c r="M14">
        <f>IF(1&lt;n_bars,(c_nom+phi_w+phi/2+1*(b_w-2*c_nom-2*phi_w-phi)/MAX(n_bars-1,1))+(phi/2)*-0.382683,NA())</f>
        <v/>
      </c>
      <c r="N14">
        <f>IF(1&lt;n_bars,((c_nom+phi_w+phi/2))+(phi/2)*-0.923880,NA())</f>
        <v/>
      </c>
      <c r="P14">
        <f>IF(1&lt;n_2,(c_nom+phi_w+phi_2/2+1*(b_w-2*c_nom-2*phi_w-phi_2)/MAX(n_2-1,1))+(phi_2/2)*-0.382683,NA())</f>
        <v/>
      </c>
      <c r="Q14">
        <f>IF(1&lt;n_2,((h_sec-c_nom-phi_w-phi_2/2))+(phi_2/2)*-0.923880,NA())</f>
        <v/>
      </c>
      <c r="S14">
        <f>IF(2&lt;n_bars,(c_nom+phi_w+phi/2+2*(b_w-2*c_nom-2*phi_w-phi)/MAX(n_bars-1,1))+(phi/2)*-0.382683,NA())</f>
        <v/>
      </c>
      <c r="T14">
        <f>IF(2&lt;n_bars,((c_nom+phi_w+phi/2))+(phi/2)*-0.923880,NA())</f>
        <v/>
      </c>
      <c r="V14">
        <f>IF(2&lt;n_2,(c_nom+phi_w+phi_2/2+2*(b_w-2*c_nom-2*phi_w-phi_2)/MAX(n_2-1,1))+(phi_2/2)*-0.382683,NA())</f>
        <v/>
      </c>
      <c r="W14">
        <f>IF(2&lt;n_2,((h_sec-c_nom-phi_w-phi_2/2))+(phi_2/2)*-0.923880,NA())</f>
        <v/>
      </c>
      <c r="Y14">
        <f>IF(3&lt;n_bars,(c_nom+phi_w+phi/2+3*(b_w-2*c_nom-2*phi_w-phi)/MAX(n_bars-1,1))+(phi/2)*-0.382683,NA())</f>
        <v/>
      </c>
      <c r="Z14">
        <f>IF(3&lt;n_bars,((c_nom+phi_w+phi/2))+(phi/2)*-0.923880,NA())</f>
        <v/>
      </c>
      <c r="AB14">
        <f>IF(3&lt;n_2,(c_nom+phi_w+phi_2/2+3*(b_w-2*c_nom-2*phi_w-phi_2)/MAX(n_2-1,1))+(phi_2/2)*-0.382683,NA())</f>
        <v/>
      </c>
      <c r="AC14">
        <f>IF(3&lt;n_2,((h_sec-c_nom-phi_w-phi_2/2))+(phi_2/2)*-0.923880,NA())</f>
        <v/>
      </c>
      <c r="AE14">
        <f>IF(4&lt;n_bars,(c_nom+phi_w+phi/2+4*(b_w-2*c_nom-2*phi_w-phi)/MAX(n_bars-1,1))+(phi/2)*-0.382683,NA())</f>
        <v/>
      </c>
      <c r="AF14">
        <f>IF(4&lt;n_bars,((c_nom+phi_w+phi/2))+(phi/2)*-0.923880,NA())</f>
        <v/>
      </c>
      <c r="AH14">
        <f>IF(4&lt;n_2,(c_nom+phi_w+phi_2/2+4*(b_w-2*c_nom-2*phi_w-phi_2)/MAX(n_2-1,1))+(phi_2/2)*-0.382683,NA())</f>
        <v/>
      </c>
      <c r="AI14">
        <f>IF(4&lt;n_2,((h_sec-c_nom-phi_w-phi_2/2))+(phi_2/2)*-0.923880,NA())</f>
        <v/>
      </c>
      <c r="AK14">
        <f>IF(5&lt;n_bars,(c_nom+phi_w+phi/2+5*(b_w-2*c_nom-2*phi_w-phi)/MAX(n_bars-1,1))+(phi/2)*-0.382683,NA())</f>
        <v/>
      </c>
      <c r="AL14">
        <f>IF(5&lt;n_bars,((c_nom+phi_w+phi/2))+(phi/2)*-0.923880,NA())</f>
        <v/>
      </c>
      <c r="AN14">
        <f>IF(5&lt;n_2,(c_nom+phi_w+phi_2/2+5*(b_w-2*c_nom-2*phi_w-phi_2)/MAX(n_2-1,1))+(phi_2/2)*-0.382683,NA())</f>
        <v/>
      </c>
      <c r="AO14">
        <f>IF(5&lt;n_2,((h_sec-c_nom-phi_w-phi_2/2))+(phi_2/2)*-0.923880,NA())</f>
        <v/>
      </c>
      <c r="AQ14">
        <f>IF(6&lt;n_bars,(c_nom+phi_w+phi/2+6*(b_w-2*c_nom-2*phi_w-phi)/MAX(n_bars-1,1))+(phi/2)*-0.382683,NA())</f>
        <v/>
      </c>
      <c r="AR14">
        <f>IF(6&lt;n_bars,((c_nom+phi_w+phi/2))+(phi/2)*-0.923880,NA())</f>
        <v/>
      </c>
      <c r="AT14">
        <f>IF(6&lt;n_2,(c_nom+phi_w+phi_2/2+6*(b_w-2*c_nom-2*phi_w-phi_2)/MAX(n_2-1,1))+(phi_2/2)*-0.382683,NA())</f>
        <v/>
      </c>
      <c r="AU14">
        <f>IF(6&lt;n_2,((h_sec-c_nom-phi_w-phi_2/2))+(phi_2/2)*-0.923880,NA())</f>
        <v/>
      </c>
      <c r="AW14">
        <f>IF(7&lt;n_bars,(c_nom+phi_w+phi/2+7*(b_w-2*c_nom-2*phi_w-phi)/MAX(n_bars-1,1))+(phi/2)*-0.382683,NA())</f>
        <v/>
      </c>
      <c r="AX14">
        <f>IF(7&lt;n_bars,((c_nom+phi_w+phi/2))+(phi/2)*-0.923880,NA())</f>
        <v/>
      </c>
      <c r="AZ14">
        <f>IF(7&lt;n_2,(c_nom+phi_w+phi_2/2+7*(b_w-2*c_nom-2*phi_w-phi_2)/MAX(n_2-1,1))+(phi_2/2)*-0.382683,NA())</f>
        <v/>
      </c>
      <c r="BA14">
        <f>IF(7&lt;n_2,((h_sec-c_nom-phi_w-phi_2/2))+(phi_2/2)*-0.923880,NA())</f>
        <v/>
      </c>
      <c r="BC14">
        <f>IF(8&lt;n_bars,(c_nom+phi_w+phi/2+8*(b_w-2*c_nom-2*phi_w-phi)/MAX(n_bars-1,1))+(phi/2)*-0.382683,NA())</f>
        <v/>
      </c>
      <c r="BD14">
        <f>IF(8&lt;n_bars,((c_nom+phi_w+phi/2))+(phi/2)*-0.923880,NA())</f>
        <v/>
      </c>
      <c r="BF14">
        <f>IF(8&lt;n_2,(c_nom+phi_w+phi_2/2+8*(b_w-2*c_nom-2*phi_w-phi_2)/MAX(n_2-1,1))+(phi_2/2)*-0.382683,NA())</f>
        <v/>
      </c>
      <c r="BG14">
        <f>IF(8&lt;n_2,((h_sec-c_nom-phi_w-phi_2/2))+(phi_2/2)*-0.923880,NA())</f>
        <v/>
      </c>
      <c r="BI14">
        <f>IF(9&lt;n_bars,(c_nom+phi_w+phi/2+9*(b_w-2*c_nom-2*phi_w-phi)/MAX(n_bars-1,1))+(phi/2)*-0.382683,NA())</f>
        <v/>
      </c>
      <c r="BJ14">
        <f>IF(9&lt;n_bars,((c_nom+phi_w+phi/2))+(phi/2)*-0.923880,NA())</f>
        <v/>
      </c>
      <c r="BL14">
        <f>IF(9&lt;n_2,(c_nom+phi_w+phi_2/2+9*(b_w-2*c_nom-2*phi_w-phi_2)/MAX(n_2-1,1))+(phi_2/2)*-0.382683,NA())</f>
        <v/>
      </c>
      <c r="BM14">
        <f>IF(9&lt;n_2,((h_sec-c_nom-phi_w-phi_2/2))+(phi_2/2)*-0.923880,NA())</f>
        <v/>
      </c>
      <c r="BO14">
        <f>IF(10&lt;n_bars,(c_nom+phi_w+phi/2+10*(b_w-2*c_nom-2*phi_w-phi)/MAX(n_bars-1,1))+(phi/2)*-0.382683,NA())</f>
        <v/>
      </c>
      <c r="BP14">
        <f>IF(10&lt;n_bars,((c_nom+phi_w+phi/2))+(phi/2)*-0.923880,NA())</f>
        <v/>
      </c>
      <c r="BR14">
        <f>IF(10&lt;n_2,(c_nom+phi_w+phi_2/2+10*(b_w-2*c_nom-2*phi_w-phi_2)/MAX(n_2-1,1))+(phi_2/2)*-0.382683,NA())</f>
        <v/>
      </c>
      <c r="BS14">
        <f>IF(10&lt;n_2,((h_sec-c_nom-phi_w-phi_2/2))+(phi_2/2)*-0.923880,NA())</f>
        <v/>
      </c>
      <c r="BU14">
        <f>IF(11&lt;n_bars,(c_nom+phi_w+phi/2+11*(b_w-2*c_nom-2*phi_w-phi)/MAX(n_bars-1,1))+(phi/2)*-0.382683,NA())</f>
        <v/>
      </c>
      <c r="BV14">
        <f>IF(11&lt;n_bars,((c_nom+phi_w+phi/2))+(phi/2)*-0.923880,NA())</f>
        <v/>
      </c>
      <c r="BX14">
        <f>IF(11&lt;n_2,(c_nom+phi_w+phi_2/2+11*(b_w-2*c_nom-2*phi_w-phi_2)/MAX(n_2-1,1))+(phi_2/2)*-0.382683,NA())</f>
        <v/>
      </c>
      <c r="BY14">
        <f>IF(11&lt;n_2,((h_sec-c_nom-phi_w-phi_2/2))+(phi_2/2)*-0.923880,NA())</f>
        <v/>
      </c>
    </row>
    <row r="15">
      <c r="G15">
        <f>IF(0&lt;n_bars,(c_nom+phi_w+phi/2+0*(b_w-2*c_nom-2*phi_w-phi)/MAX(n_bars-1,1))+(phi/2)*-0.000000,NA())</f>
        <v/>
      </c>
      <c r="H15">
        <f>IF(0&lt;n_bars,((c_nom+phi_w+phi/2))+(phi/2)*-1.000000,NA())</f>
        <v/>
      </c>
      <c r="J15">
        <f>IF(0&lt;n_2,(c_nom+phi_w+phi_2/2+0*(b_w-2*c_nom-2*phi_w-phi_2)/MAX(n_2-1,1))+(phi_2/2)*-0.000000,NA())</f>
        <v/>
      </c>
      <c r="K15">
        <f>IF(0&lt;n_2,((h_sec-c_nom-phi_w-phi_2/2))+(phi_2/2)*-1.000000,NA())</f>
        <v/>
      </c>
      <c r="M15">
        <f>IF(1&lt;n_bars,(c_nom+phi_w+phi/2+1*(b_w-2*c_nom-2*phi_w-phi)/MAX(n_bars-1,1))+(phi/2)*-0.000000,NA())</f>
        <v/>
      </c>
      <c r="N15">
        <f>IF(1&lt;n_bars,((c_nom+phi_w+phi/2))+(phi/2)*-1.000000,NA())</f>
        <v/>
      </c>
      <c r="P15">
        <f>IF(1&lt;n_2,(c_nom+phi_w+phi_2/2+1*(b_w-2*c_nom-2*phi_w-phi_2)/MAX(n_2-1,1))+(phi_2/2)*-0.000000,NA())</f>
        <v/>
      </c>
      <c r="Q15">
        <f>IF(1&lt;n_2,((h_sec-c_nom-phi_w-phi_2/2))+(phi_2/2)*-1.000000,NA())</f>
        <v/>
      </c>
      <c r="S15">
        <f>IF(2&lt;n_bars,(c_nom+phi_w+phi/2+2*(b_w-2*c_nom-2*phi_w-phi)/MAX(n_bars-1,1))+(phi/2)*-0.000000,NA())</f>
        <v/>
      </c>
      <c r="T15">
        <f>IF(2&lt;n_bars,((c_nom+phi_w+phi/2))+(phi/2)*-1.000000,NA())</f>
        <v/>
      </c>
      <c r="V15">
        <f>IF(2&lt;n_2,(c_nom+phi_w+phi_2/2+2*(b_w-2*c_nom-2*phi_w-phi_2)/MAX(n_2-1,1))+(phi_2/2)*-0.000000,NA())</f>
        <v/>
      </c>
      <c r="W15">
        <f>IF(2&lt;n_2,((h_sec-c_nom-phi_w-phi_2/2))+(phi_2/2)*-1.000000,NA())</f>
        <v/>
      </c>
      <c r="Y15">
        <f>IF(3&lt;n_bars,(c_nom+phi_w+phi/2+3*(b_w-2*c_nom-2*phi_w-phi)/MAX(n_bars-1,1))+(phi/2)*-0.000000,NA())</f>
        <v/>
      </c>
      <c r="Z15">
        <f>IF(3&lt;n_bars,((c_nom+phi_w+phi/2))+(phi/2)*-1.000000,NA())</f>
        <v/>
      </c>
      <c r="AB15">
        <f>IF(3&lt;n_2,(c_nom+phi_w+phi_2/2+3*(b_w-2*c_nom-2*phi_w-phi_2)/MAX(n_2-1,1))+(phi_2/2)*-0.000000,NA())</f>
        <v/>
      </c>
      <c r="AC15">
        <f>IF(3&lt;n_2,((h_sec-c_nom-phi_w-phi_2/2))+(phi_2/2)*-1.000000,NA())</f>
        <v/>
      </c>
      <c r="AE15">
        <f>IF(4&lt;n_bars,(c_nom+phi_w+phi/2+4*(b_w-2*c_nom-2*phi_w-phi)/MAX(n_bars-1,1))+(phi/2)*-0.000000,NA())</f>
        <v/>
      </c>
      <c r="AF15">
        <f>IF(4&lt;n_bars,((c_nom+phi_w+phi/2))+(phi/2)*-1.000000,NA())</f>
        <v/>
      </c>
      <c r="AH15">
        <f>IF(4&lt;n_2,(c_nom+phi_w+phi_2/2+4*(b_w-2*c_nom-2*phi_w-phi_2)/MAX(n_2-1,1))+(phi_2/2)*-0.000000,NA())</f>
        <v/>
      </c>
      <c r="AI15">
        <f>IF(4&lt;n_2,((h_sec-c_nom-phi_w-phi_2/2))+(phi_2/2)*-1.000000,NA())</f>
        <v/>
      </c>
      <c r="AK15">
        <f>IF(5&lt;n_bars,(c_nom+phi_w+phi/2+5*(b_w-2*c_nom-2*phi_w-phi)/MAX(n_bars-1,1))+(phi/2)*-0.000000,NA())</f>
        <v/>
      </c>
      <c r="AL15">
        <f>IF(5&lt;n_bars,((c_nom+phi_w+phi/2))+(phi/2)*-1.000000,NA())</f>
        <v/>
      </c>
      <c r="AN15">
        <f>IF(5&lt;n_2,(c_nom+phi_w+phi_2/2+5*(b_w-2*c_nom-2*phi_w-phi_2)/MAX(n_2-1,1))+(phi_2/2)*-0.000000,NA())</f>
        <v/>
      </c>
      <c r="AO15">
        <f>IF(5&lt;n_2,((h_sec-c_nom-phi_w-phi_2/2))+(phi_2/2)*-1.000000,NA())</f>
        <v/>
      </c>
      <c r="AQ15">
        <f>IF(6&lt;n_bars,(c_nom+phi_w+phi/2+6*(b_w-2*c_nom-2*phi_w-phi)/MAX(n_bars-1,1))+(phi/2)*-0.000000,NA())</f>
        <v/>
      </c>
      <c r="AR15">
        <f>IF(6&lt;n_bars,((c_nom+phi_w+phi/2))+(phi/2)*-1.000000,NA())</f>
        <v/>
      </c>
      <c r="AT15">
        <f>IF(6&lt;n_2,(c_nom+phi_w+phi_2/2+6*(b_w-2*c_nom-2*phi_w-phi_2)/MAX(n_2-1,1))+(phi_2/2)*-0.000000,NA())</f>
        <v/>
      </c>
      <c r="AU15">
        <f>IF(6&lt;n_2,((h_sec-c_nom-phi_w-phi_2/2))+(phi_2/2)*-1.000000,NA())</f>
        <v/>
      </c>
      <c r="AW15">
        <f>IF(7&lt;n_bars,(c_nom+phi_w+phi/2+7*(b_w-2*c_nom-2*phi_w-phi)/MAX(n_bars-1,1))+(phi/2)*-0.000000,NA())</f>
        <v/>
      </c>
      <c r="AX15">
        <f>IF(7&lt;n_bars,((c_nom+phi_w+phi/2))+(phi/2)*-1.000000,NA())</f>
        <v/>
      </c>
      <c r="AZ15">
        <f>IF(7&lt;n_2,(c_nom+phi_w+phi_2/2+7*(b_w-2*c_nom-2*phi_w-phi_2)/MAX(n_2-1,1))+(phi_2/2)*-0.000000,NA())</f>
        <v/>
      </c>
      <c r="BA15">
        <f>IF(7&lt;n_2,((h_sec-c_nom-phi_w-phi_2/2))+(phi_2/2)*-1.000000,NA())</f>
        <v/>
      </c>
      <c r="BC15">
        <f>IF(8&lt;n_bars,(c_nom+phi_w+phi/2+8*(b_w-2*c_nom-2*phi_w-phi)/MAX(n_bars-1,1))+(phi/2)*-0.000000,NA())</f>
        <v/>
      </c>
      <c r="BD15">
        <f>IF(8&lt;n_bars,((c_nom+phi_w+phi/2))+(phi/2)*-1.000000,NA())</f>
        <v/>
      </c>
      <c r="BF15">
        <f>IF(8&lt;n_2,(c_nom+phi_w+phi_2/2+8*(b_w-2*c_nom-2*phi_w-phi_2)/MAX(n_2-1,1))+(phi_2/2)*-0.000000,NA())</f>
        <v/>
      </c>
      <c r="BG15">
        <f>IF(8&lt;n_2,((h_sec-c_nom-phi_w-phi_2/2))+(phi_2/2)*-1.000000,NA())</f>
        <v/>
      </c>
      <c r="BI15">
        <f>IF(9&lt;n_bars,(c_nom+phi_w+phi/2+9*(b_w-2*c_nom-2*phi_w-phi)/MAX(n_bars-1,1))+(phi/2)*-0.000000,NA())</f>
        <v/>
      </c>
      <c r="BJ15">
        <f>IF(9&lt;n_bars,((c_nom+phi_w+phi/2))+(phi/2)*-1.000000,NA())</f>
        <v/>
      </c>
      <c r="BL15">
        <f>IF(9&lt;n_2,(c_nom+phi_w+phi_2/2+9*(b_w-2*c_nom-2*phi_w-phi_2)/MAX(n_2-1,1))+(phi_2/2)*-0.000000,NA())</f>
        <v/>
      </c>
      <c r="BM15">
        <f>IF(9&lt;n_2,((h_sec-c_nom-phi_w-phi_2/2))+(phi_2/2)*-1.000000,NA())</f>
        <v/>
      </c>
      <c r="BO15">
        <f>IF(10&lt;n_bars,(c_nom+phi_w+phi/2+10*(b_w-2*c_nom-2*phi_w-phi)/MAX(n_bars-1,1))+(phi/2)*-0.000000,NA())</f>
        <v/>
      </c>
      <c r="BP15">
        <f>IF(10&lt;n_bars,((c_nom+phi_w+phi/2))+(phi/2)*-1.000000,NA())</f>
        <v/>
      </c>
      <c r="BR15">
        <f>IF(10&lt;n_2,(c_nom+phi_w+phi_2/2+10*(b_w-2*c_nom-2*phi_w-phi_2)/MAX(n_2-1,1))+(phi_2/2)*-0.000000,NA())</f>
        <v/>
      </c>
      <c r="BS15">
        <f>IF(10&lt;n_2,((h_sec-c_nom-phi_w-phi_2/2))+(phi_2/2)*-1.000000,NA())</f>
        <v/>
      </c>
      <c r="BU15">
        <f>IF(11&lt;n_bars,(c_nom+phi_w+phi/2+11*(b_w-2*c_nom-2*phi_w-phi)/MAX(n_bars-1,1))+(phi/2)*-0.000000,NA())</f>
        <v/>
      </c>
      <c r="BV15">
        <f>IF(11&lt;n_bars,((c_nom+phi_w+phi/2))+(phi/2)*-1.000000,NA())</f>
        <v/>
      </c>
      <c r="BX15">
        <f>IF(11&lt;n_2,(c_nom+phi_w+phi_2/2+11*(b_w-2*c_nom-2*phi_w-phi_2)/MAX(n_2-1,1))+(phi_2/2)*-0.000000,NA())</f>
        <v/>
      </c>
      <c r="BY15">
        <f>IF(11&lt;n_2,((h_sec-c_nom-phi_w-phi_2/2))+(phi_2/2)*-1.000000,NA())</f>
        <v/>
      </c>
    </row>
    <row r="16">
      <c r="G16">
        <f>IF(0&lt;n_bars,(c_nom+phi_w+phi/2+0*(b_w-2*c_nom-2*phi_w-phi)/MAX(n_bars-1,1))+(phi/2)*0.382683,NA())</f>
        <v/>
      </c>
      <c r="H16">
        <f>IF(0&lt;n_bars,((c_nom+phi_w+phi/2))+(phi/2)*-0.923880,NA())</f>
        <v/>
      </c>
      <c r="J16">
        <f>IF(0&lt;n_2,(c_nom+phi_w+phi_2/2+0*(b_w-2*c_nom-2*phi_w-phi_2)/MAX(n_2-1,1))+(phi_2/2)*0.382683,NA())</f>
        <v/>
      </c>
      <c r="K16">
        <f>IF(0&lt;n_2,((h_sec-c_nom-phi_w-phi_2/2))+(phi_2/2)*-0.923880,NA())</f>
        <v/>
      </c>
      <c r="M16">
        <f>IF(1&lt;n_bars,(c_nom+phi_w+phi/2+1*(b_w-2*c_nom-2*phi_w-phi)/MAX(n_bars-1,1))+(phi/2)*0.382683,NA())</f>
        <v/>
      </c>
      <c r="N16">
        <f>IF(1&lt;n_bars,((c_nom+phi_w+phi/2))+(phi/2)*-0.923880,NA())</f>
        <v/>
      </c>
      <c r="P16">
        <f>IF(1&lt;n_2,(c_nom+phi_w+phi_2/2+1*(b_w-2*c_nom-2*phi_w-phi_2)/MAX(n_2-1,1))+(phi_2/2)*0.382683,NA())</f>
        <v/>
      </c>
      <c r="Q16">
        <f>IF(1&lt;n_2,((h_sec-c_nom-phi_w-phi_2/2))+(phi_2/2)*-0.923880,NA())</f>
        <v/>
      </c>
      <c r="S16">
        <f>IF(2&lt;n_bars,(c_nom+phi_w+phi/2+2*(b_w-2*c_nom-2*phi_w-phi)/MAX(n_bars-1,1))+(phi/2)*0.382683,NA())</f>
        <v/>
      </c>
      <c r="T16">
        <f>IF(2&lt;n_bars,((c_nom+phi_w+phi/2))+(phi/2)*-0.923880,NA())</f>
        <v/>
      </c>
      <c r="V16">
        <f>IF(2&lt;n_2,(c_nom+phi_w+phi_2/2+2*(b_w-2*c_nom-2*phi_w-phi_2)/MAX(n_2-1,1))+(phi_2/2)*0.382683,NA())</f>
        <v/>
      </c>
      <c r="W16">
        <f>IF(2&lt;n_2,((h_sec-c_nom-phi_w-phi_2/2))+(phi_2/2)*-0.923880,NA())</f>
        <v/>
      </c>
      <c r="Y16">
        <f>IF(3&lt;n_bars,(c_nom+phi_w+phi/2+3*(b_w-2*c_nom-2*phi_w-phi)/MAX(n_bars-1,1))+(phi/2)*0.382683,NA())</f>
        <v/>
      </c>
      <c r="Z16">
        <f>IF(3&lt;n_bars,((c_nom+phi_w+phi/2))+(phi/2)*-0.923880,NA())</f>
        <v/>
      </c>
      <c r="AB16">
        <f>IF(3&lt;n_2,(c_nom+phi_w+phi_2/2+3*(b_w-2*c_nom-2*phi_w-phi_2)/MAX(n_2-1,1))+(phi_2/2)*0.382683,NA())</f>
        <v/>
      </c>
      <c r="AC16">
        <f>IF(3&lt;n_2,((h_sec-c_nom-phi_w-phi_2/2))+(phi_2/2)*-0.923880,NA())</f>
        <v/>
      </c>
      <c r="AE16">
        <f>IF(4&lt;n_bars,(c_nom+phi_w+phi/2+4*(b_w-2*c_nom-2*phi_w-phi)/MAX(n_bars-1,1))+(phi/2)*0.382683,NA())</f>
        <v/>
      </c>
      <c r="AF16">
        <f>IF(4&lt;n_bars,((c_nom+phi_w+phi/2))+(phi/2)*-0.923880,NA())</f>
        <v/>
      </c>
      <c r="AH16">
        <f>IF(4&lt;n_2,(c_nom+phi_w+phi_2/2+4*(b_w-2*c_nom-2*phi_w-phi_2)/MAX(n_2-1,1))+(phi_2/2)*0.382683,NA())</f>
        <v/>
      </c>
      <c r="AI16">
        <f>IF(4&lt;n_2,((h_sec-c_nom-phi_w-phi_2/2))+(phi_2/2)*-0.923880,NA())</f>
        <v/>
      </c>
      <c r="AK16">
        <f>IF(5&lt;n_bars,(c_nom+phi_w+phi/2+5*(b_w-2*c_nom-2*phi_w-phi)/MAX(n_bars-1,1))+(phi/2)*0.382683,NA())</f>
        <v/>
      </c>
      <c r="AL16">
        <f>IF(5&lt;n_bars,((c_nom+phi_w+phi/2))+(phi/2)*-0.923880,NA())</f>
        <v/>
      </c>
      <c r="AN16">
        <f>IF(5&lt;n_2,(c_nom+phi_w+phi_2/2+5*(b_w-2*c_nom-2*phi_w-phi_2)/MAX(n_2-1,1))+(phi_2/2)*0.382683,NA())</f>
        <v/>
      </c>
      <c r="AO16">
        <f>IF(5&lt;n_2,((h_sec-c_nom-phi_w-phi_2/2))+(phi_2/2)*-0.923880,NA())</f>
        <v/>
      </c>
      <c r="AQ16">
        <f>IF(6&lt;n_bars,(c_nom+phi_w+phi/2+6*(b_w-2*c_nom-2*phi_w-phi)/MAX(n_bars-1,1))+(phi/2)*0.382683,NA())</f>
        <v/>
      </c>
      <c r="AR16">
        <f>IF(6&lt;n_bars,((c_nom+phi_w+phi/2))+(phi/2)*-0.923880,NA())</f>
        <v/>
      </c>
      <c r="AT16">
        <f>IF(6&lt;n_2,(c_nom+phi_w+phi_2/2+6*(b_w-2*c_nom-2*phi_w-phi_2)/MAX(n_2-1,1))+(phi_2/2)*0.382683,NA())</f>
        <v/>
      </c>
      <c r="AU16">
        <f>IF(6&lt;n_2,((h_sec-c_nom-phi_w-phi_2/2))+(phi_2/2)*-0.923880,NA())</f>
        <v/>
      </c>
      <c r="AW16">
        <f>IF(7&lt;n_bars,(c_nom+phi_w+phi/2+7*(b_w-2*c_nom-2*phi_w-phi)/MAX(n_bars-1,1))+(phi/2)*0.382683,NA())</f>
        <v/>
      </c>
      <c r="AX16">
        <f>IF(7&lt;n_bars,((c_nom+phi_w+phi/2))+(phi/2)*-0.923880,NA())</f>
        <v/>
      </c>
      <c r="AZ16">
        <f>IF(7&lt;n_2,(c_nom+phi_w+phi_2/2+7*(b_w-2*c_nom-2*phi_w-phi_2)/MAX(n_2-1,1))+(phi_2/2)*0.382683,NA())</f>
        <v/>
      </c>
      <c r="BA16">
        <f>IF(7&lt;n_2,((h_sec-c_nom-phi_w-phi_2/2))+(phi_2/2)*-0.923880,NA())</f>
        <v/>
      </c>
      <c r="BC16">
        <f>IF(8&lt;n_bars,(c_nom+phi_w+phi/2+8*(b_w-2*c_nom-2*phi_w-phi)/MAX(n_bars-1,1))+(phi/2)*0.382683,NA())</f>
        <v/>
      </c>
      <c r="BD16">
        <f>IF(8&lt;n_bars,((c_nom+phi_w+phi/2))+(phi/2)*-0.923880,NA())</f>
        <v/>
      </c>
      <c r="BF16">
        <f>IF(8&lt;n_2,(c_nom+phi_w+phi_2/2+8*(b_w-2*c_nom-2*phi_w-phi_2)/MAX(n_2-1,1))+(phi_2/2)*0.382683,NA())</f>
        <v/>
      </c>
      <c r="BG16">
        <f>IF(8&lt;n_2,((h_sec-c_nom-phi_w-phi_2/2))+(phi_2/2)*-0.923880,NA())</f>
        <v/>
      </c>
      <c r="BI16">
        <f>IF(9&lt;n_bars,(c_nom+phi_w+phi/2+9*(b_w-2*c_nom-2*phi_w-phi)/MAX(n_bars-1,1))+(phi/2)*0.382683,NA())</f>
        <v/>
      </c>
      <c r="BJ16">
        <f>IF(9&lt;n_bars,((c_nom+phi_w+phi/2))+(phi/2)*-0.923880,NA())</f>
        <v/>
      </c>
      <c r="BL16">
        <f>IF(9&lt;n_2,(c_nom+phi_w+phi_2/2+9*(b_w-2*c_nom-2*phi_w-phi_2)/MAX(n_2-1,1))+(phi_2/2)*0.382683,NA())</f>
        <v/>
      </c>
      <c r="BM16">
        <f>IF(9&lt;n_2,((h_sec-c_nom-phi_w-phi_2/2))+(phi_2/2)*-0.923880,NA())</f>
        <v/>
      </c>
      <c r="BO16">
        <f>IF(10&lt;n_bars,(c_nom+phi_w+phi/2+10*(b_w-2*c_nom-2*phi_w-phi)/MAX(n_bars-1,1))+(phi/2)*0.382683,NA())</f>
        <v/>
      </c>
      <c r="BP16">
        <f>IF(10&lt;n_bars,((c_nom+phi_w+phi/2))+(phi/2)*-0.923880,NA())</f>
        <v/>
      </c>
      <c r="BR16">
        <f>IF(10&lt;n_2,(c_nom+phi_w+phi_2/2+10*(b_w-2*c_nom-2*phi_w-phi_2)/MAX(n_2-1,1))+(phi_2/2)*0.382683,NA())</f>
        <v/>
      </c>
      <c r="BS16">
        <f>IF(10&lt;n_2,((h_sec-c_nom-phi_w-phi_2/2))+(phi_2/2)*-0.923880,NA())</f>
        <v/>
      </c>
      <c r="BU16">
        <f>IF(11&lt;n_bars,(c_nom+phi_w+phi/2+11*(b_w-2*c_nom-2*phi_w-phi)/MAX(n_bars-1,1))+(phi/2)*0.382683,NA())</f>
        <v/>
      </c>
      <c r="BV16">
        <f>IF(11&lt;n_bars,((c_nom+phi_w+phi/2))+(phi/2)*-0.923880,NA())</f>
        <v/>
      </c>
      <c r="BX16">
        <f>IF(11&lt;n_2,(c_nom+phi_w+phi_2/2+11*(b_w-2*c_nom-2*phi_w-phi_2)/MAX(n_2-1,1))+(phi_2/2)*0.382683,NA())</f>
        <v/>
      </c>
      <c r="BY16">
        <f>IF(11&lt;n_2,((h_sec-c_nom-phi_w-phi_2/2))+(phi_2/2)*-0.923880,NA())</f>
        <v/>
      </c>
    </row>
    <row r="17">
      <c r="G17">
        <f>IF(0&lt;n_bars,(c_nom+phi_w+phi/2+0*(b_w-2*c_nom-2*phi_w-phi)/MAX(n_bars-1,1))+(phi/2)*0.707107,NA())</f>
        <v/>
      </c>
      <c r="H17">
        <f>IF(0&lt;n_bars,((c_nom+phi_w+phi/2))+(phi/2)*-0.707107,NA())</f>
        <v/>
      </c>
      <c r="J17">
        <f>IF(0&lt;n_2,(c_nom+phi_w+phi_2/2+0*(b_w-2*c_nom-2*phi_w-phi_2)/MAX(n_2-1,1))+(phi_2/2)*0.707107,NA())</f>
        <v/>
      </c>
      <c r="K17">
        <f>IF(0&lt;n_2,((h_sec-c_nom-phi_w-phi_2/2))+(phi_2/2)*-0.707107,NA())</f>
        <v/>
      </c>
      <c r="M17">
        <f>IF(1&lt;n_bars,(c_nom+phi_w+phi/2+1*(b_w-2*c_nom-2*phi_w-phi)/MAX(n_bars-1,1))+(phi/2)*0.707107,NA())</f>
        <v/>
      </c>
      <c r="N17">
        <f>IF(1&lt;n_bars,((c_nom+phi_w+phi/2))+(phi/2)*-0.707107,NA())</f>
        <v/>
      </c>
      <c r="P17">
        <f>IF(1&lt;n_2,(c_nom+phi_w+phi_2/2+1*(b_w-2*c_nom-2*phi_w-phi_2)/MAX(n_2-1,1))+(phi_2/2)*0.707107,NA())</f>
        <v/>
      </c>
      <c r="Q17">
        <f>IF(1&lt;n_2,((h_sec-c_nom-phi_w-phi_2/2))+(phi_2/2)*-0.707107,NA())</f>
        <v/>
      </c>
      <c r="S17">
        <f>IF(2&lt;n_bars,(c_nom+phi_w+phi/2+2*(b_w-2*c_nom-2*phi_w-phi)/MAX(n_bars-1,1))+(phi/2)*0.707107,NA())</f>
        <v/>
      </c>
      <c r="T17">
        <f>IF(2&lt;n_bars,((c_nom+phi_w+phi/2))+(phi/2)*-0.707107,NA())</f>
        <v/>
      </c>
      <c r="V17">
        <f>IF(2&lt;n_2,(c_nom+phi_w+phi_2/2+2*(b_w-2*c_nom-2*phi_w-phi_2)/MAX(n_2-1,1))+(phi_2/2)*0.707107,NA())</f>
        <v/>
      </c>
      <c r="W17">
        <f>IF(2&lt;n_2,((h_sec-c_nom-phi_w-phi_2/2))+(phi_2/2)*-0.707107,NA())</f>
        <v/>
      </c>
      <c r="Y17">
        <f>IF(3&lt;n_bars,(c_nom+phi_w+phi/2+3*(b_w-2*c_nom-2*phi_w-phi)/MAX(n_bars-1,1))+(phi/2)*0.707107,NA())</f>
        <v/>
      </c>
      <c r="Z17">
        <f>IF(3&lt;n_bars,((c_nom+phi_w+phi/2))+(phi/2)*-0.707107,NA())</f>
        <v/>
      </c>
      <c r="AB17">
        <f>IF(3&lt;n_2,(c_nom+phi_w+phi_2/2+3*(b_w-2*c_nom-2*phi_w-phi_2)/MAX(n_2-1,1))+(phi_2/2)*0.707107,NA())</f>
        <v/>
      </c>
      <c r="AC17">
        <f>IF(3&lt;n_2,((h_sec-c_nom-phi_w-phi_2/2))+(phi_2/2)*-0.707107,NA())</f>
        <v/>
      </c>
      <c r="AE17">
        <f>IF(4&lt;n_bars,(c_nom+phi_w+phi/2+4*(b_w-2*c_nom-2*phi_w-phi)/MAX(n_bars-1,1))+(phi/2)*0.707107,NA())</f>
        <v/>
      </c>
      <c r="AF17">
        <f>IF(4&lt;n_bars,((c_nom+phi_w+phi/2))+(phi/2)*-0.707107,NA())</f>
        <v/>
      </c>
      <c r="AH17">
        <f>IF(4&lt;n_2,(c_nom+phi_w+phi_2/2+4*(b_w-2*c_nom-2*phi_w-phi_2)/MAX(n_2-1,1))+(phi_2/2)*0.707107,NA())</f>
        <v/>
      </c>
      <c r="AI17">
        <f>IF(4&lt;n_2,((h_sec-c_nom-phi_w-phi_2/2))+(phi_2/2)*-0.707107,NA())</f>
        <v/>
      </c>
      <c r="AK17">
        <f>IF(5&lt;n_bars,(c_nom+phi_w+phi/2+5*(b_w-2*c_nom-2*phi_w-phi)/MAX(n_bars-1,1))+(phi/2)*0.707107,NA())</f>
        <v/>
      </c>
      <c r="AL17">
        <f>IF(5&lt;n_bars,((c_nom+phi_w+phi/2))+(phi/2)*-0.707107,NA())</f>
        <v/>
      </c>
      <c r="AN17">
        <f>IF(5&lt;n_2,(c_nom+phi_w+phi_2/2+5*(b_w-2*c_nom-2*phi_w-phi_2)/MAX(n_2-1,1))+(phi_2/2)*0.707107,NA())</f>
        <v/>
      </c>
      <c r="AO17">
        <f>IF(5&lt;n_2,((h_sec-c_nom-phi_w-phi_2/2))+(phi_2/2)*-0.707107,NA())</f>
        <v/>
      </c>
      <c r="AQ17">
        <f>IF(6&lt;n_bars,(c_nom+phi_w+phi/2+6*(b_w-2*c_nom-2*phi_w-phi)/MAX(n_bars-1,1))+(phi/2)*0.707107,NA())</f>
        <v/>
      </c>
      <c r="AR17">
        <f>IF(6&lt;n_bars,((c_nom+phi_w+phi/2))+(phi/2)*-0.707107,NA())</f>
        <v/>
      </c>
      <c r="AT17">
        <f>IF(6&lt;n_2,(c_nom+phi_w+phi_2/2+6*(b_w-2*c_nom-2*phi_w-phi_2)/MAX(n_2-1,1))+(phi_2/2)*0.707107,NA())</f>
        <v/>
      </c>
      <c r="AU17">
        <f>IF(6&lt;n_2,((h_sec-c_nom-phi_w-phi_2/2))+(phi_2/2)*-0.707107,NA())</f>
        <v/>
      </c>
      <c r="AW17">
        <f>IF(7&lt;n_bars,(c_nom+phi_w+phi/2+7*(b_w-2*c_nom-2*phi_w-phi)/MAX(n_bars-1,1))+(phi/2)*0.707107,NA())</f>
        <v/>
      </c>
      <c r="AX17">
        <f>IF(7&lt;n_bars,((c_nom+phi_w+phi/2))+(phi/2)*-0.707107,NA())</f>
        <v/>
      </c>
      <c r="AZ17">
        <f>IF(7&lt;n_2,(c_nom+phi_w+phi_2/2+7*(b_w-2*c_nom-2*phi_w-phi_2)/MAX(n_2-1,1))+(phi_2/2)*0.707107,NA())</f>
        <v/>
      </c>
      <c r="BA17">
        <f>IF(7&lt;n_2,((h_sec-c_nom-phi_w-phi_2/2))+(phi_2/2)*-0.707107,NA())</f>
        <v/>
      </c>
      <c r="BC17">
        <f>IF(8&lt;n_bars,(c_nom+phi_w+phi/2+8*(b_w-2*c_nom-2*phi_w-phi)/MAX(n_bars-1,1))+(phi/2)*0.707107,NA())</f>
        <v/>
      </c>
      <c r="BD17">
        <f>IF(8&lt;n_bars,((c_nom+phi_w+phi/2))+(phi/2)*-0.707107,NA())</f>
        <v/>
      </c>
      <c r="BF17">
        <f>IF(8&lt;n_2,(c_nom+phi_w+phi_2/2+8*(b_w-2*c_nom-2*phi_w-phi_2)/MAX(n_2-1,1))+(phi_2/2)*0.707107,NA())</f>
        <v/>
      </c>
      <c r="BG17">
        <f>IF(8&lt;n_2,((h_sec-c_nom-phi_w-phi_2/2))+(phi_2/2)*-0.707107,NA())</f>
        <v/>
      </c>
      <c r="BI17">
        <f>IF(9&lt;n_bars,(c_nom+phi_w+phi/2+9*(b_w-2*c_nom-2*phi_w-phi)/MAX(n_bars-1,1))+(phi/2)*0.707107,NA())</f>
        <v/>
      </c>
      <c r="BJ17">
        <f>IF(9&lt;n_bars,((c_nom+phi_w+phi/2))+(phi/2)*-0.707107,NA())</f>
        <v/>
      </c>
      <c r="BL17">
        <f>IF(9&lt;n_2,(c_nom+phi_w+phi_2/2+9*(b_w-2*c_nom-2*phi_w-phi_2)/MAX(n_2-1,1))+(phi_2/2)*0.707107,NA())</f>
        <v/>
      </c>
      <c r="BM17">
        <f>IF(9&lt;n_2,((h_sec-c_nom-phi_w-phi_2/2))+(phi_2/2)*-0.707107,NA())</f>
        <v/>
      </c>
      <c r="BO17">
        <f>IF(10&lt;n_bars,(c_nom+phi_w+phi/2+10*(b_w-2*c_nom-2*phi_w-phi)/MAX(n_bars-1,1))+(phi/2)*0.707107,NA())</f>
        <v/>
      </c>
      <c r="BP17">
        <f>IF(10&lt;n_bars,((c_nom+phi_w+phi/2))+(phi/2)*-0.707107,NA())</f>
        <v/>
      </c>
      <c r="BR17">
        <f>IF(10&lt;n_2,(c_nom+phi_w+phi_2/2+10*(b_w-2*c_nom-2*phi_w-phi_2)/MAX(n_2-1,1))+(phi_2/2)*0.707107,NA())</f>
        <v/>
      </c>
      <c r="BS17">
        <f>IF(10&lt;n_2,((h_sec-c_nom-phi_w-phi_2/2))+(phi_2/2)*-0.707107,NA())</f>
        <v/>
      </c>
      <c r="BU17">
        <f>IF(11&lt;n_bars,(c_nom+phi_w+phi/2+11*(b_w-2*c_nom-2*phi_w-phi)/MAX(n_bars-1,1))+(phi/2)*0.707107,NA())</f>
        <v/>
      </c>
      <c r="BV17">
        <f>IF(11&lt;n_bars,((c_nom+phi_w+phi/2))+(phi/2)*-0.707107,NA())</f>
        <v/>
      </c>
      <c r="BX17">
        <f>IF(11&lt;n_2,(c_nom+phi_w+phi_2/2+11*(b_w-2*c_nom-2*phi_w-phi_2)/MAX(n_2-1,1))+(phi_2/2)*0.707107,NA())</f>
        <v/>
      </c>
      <c r="BY17">
        <f>IF(11&lt;n_2,((h_sec-c_nom-phi_w-phi_2/2))+(phi_2/2)*-0.707107,NA())</f>
        <v/>
      </c>
    </row>
    <row r="18">
      <c r="G18">
        <f>IF(0&lt;n_bars,(c_nom+phi_w+phi/2+0*(b_w-2*c_nom-2*phi_w-phi)/MAX(n_bars-1,1))+(phi/2)*0.923880,NA())</f>
        <v/>
      </c>
      <c r="H18">
        <f>IF(0&lt;n_bars,((c_nom+phi_w+phi/2))+(phi/2)*-0.382683,NA())</f>
        <v/>
      </c>
      <c r="J18">
        <f>IF(0&lt;n_2,(c_nom+phi_w+phi_2/2+0*(b_w-2*c_nom-2*phi_w-phi_2)/MAX(n_2-1,1))+(phi_2/2)*0.923880,NA())</f>
        <v/>
      </c>
      <c r="K18">
        <f>IF(0&lt;n_2,((h_sec-c_nom-phi_w-phi_2/2))+(phi_2/2)*-0.382683,NA())</f>
        <v/>
      </c>
      <c r="M18">
        <f>IF(1&lt;n_bars,(c_nom+phi_w+phi/2+1*(b_w-2*c_nom-2*phi_w-phi)/MAX(n_bars-1,1))+(phi/2)*0.923880,NA())</f>
        <v/>
      </c>
      <c r="N18">
        <f>IF(1&lt;n_bars,((c_nom+phi_w+phi/2))+(phi/2)*-0.382683,NA())</f>
        <v/>
      </c>
      <c r="P18">
        <f>IF(1&lt;n_2,(c_nom+phi_w+phi_2/2+1*(b_w-2*c_nom-2*phi_w-phi_2)/MAX(n_2-1,1))+(phi_2/2)*0.923880,NA())</f>
        <v/>
      </c>
      <c r="Q18">
        <f>IF(1&lt;n_2,((h_sec-c_nom-phi_w-phi_2/2))+(phi_2/2)*-0.382683,NA())</f>
        <v/>
      </c>
      <c r="S18">
        <f>IF(2&lt;n_bars,(c_nom+phi_w+phi/2+2*(b_w-2*c_nom-2*phi_w-phi)/MAX(n_bars-1,1))+(phi/2)*0.923880,NA())</f>
        <v/>
      </c>
      <c r="T18">
        <f>IF(2&lt;n_bars,((c_nom+phi_w+phi/2))+(phi/2)*-0.382683,NA())</f>
        <v/>
      </c>
      <c r="V18">
        <f>IF(2&lt;n_2,(c_nom+phi_w+phi_2/2+2*(b_w-2*c_nom-2*phi_w-phi_2)/MAX(n_2-1,1))+(phi_2/2)*0.923880,NA())</f>
        <v/>
      </c>
      <c r="W18">
        <f>IF(2&lt;n_2,((h_sec-c_nom-phi_w-phi_2/2))+(phi_2/2)*-0.382683,NA())</f>
        <v/>
      </c>
      <c r="Y18">
        <f>IF(3&lt;n_bars,(c_nom+phi_w+phi/2+3*(b_w-2*c_nom-2*phi_w-phi)/MAX(n_bars-1,1))+(phi/2)*0.923880,NA())</f>
        <v/>
      </c>
      <c r="Z18">
        <f>IF(3&lt;n_bars,((c_nom+phi_w+phi/2))+(phi/2)*-0.382683,NA())</f>
        <v/>
      </c>
      <c r="AB18">
        <f>IF(3&lt;n_2,(c_nom+phi_w+phi_2/2+3*(b_w-2*c_nom-2*phi_w-phi_2)/MAX(n_2-1,1))+(phi_2/2)*0.923880,NA())</f>
        <v/>
      </c>
      <c r="AC18">
        <f>IF(3&lt;n_2,((h_sec-c_nom-phi_w-phi_2/2))+(phi_2/2)*-0.382683,NA())</f>
        <v/>
      </c>
      <c r="AE18">
        <f>IF(4&lt;n_bars,(c_nom+phi_w+phi/2+4*(b_w-2*c_nom-2*phi_w-phi)/MAX(n_bars-1,1))+(phi/2)*0.923880,NA())</f>
        <v/>
      </c>
      <c r="AF18">
        <f>IF(4&lt;n_bars,((c_nom+phi_w+phi/2))+(phi/2)*-0.382683,NA())</f>
        <v/>
      </c>
      <c r="AH18">
        <f>IF(4&lt;n_2,(c_nom+phi_w+phi_2/2+4*(b_w-2*c_nom-2*phi_w-phi_2)/MAX(n_2-1,1))+(phi_2/2)*0.923880,NA())</f>
        <v/>
      </c>
      <c r="AI18">
        <f>IF(4&lt;n_2,((h_sec-c_nom-phi_w-phi_2/2))+(phi_2/2)*-0.382683,NA())</f>
        <v/>
      </c>
      <c r="AK18">
        <f>IF(5&lt;n_bars,(c_nom+phi_w+phi/2+5*(b_w-2*c_nom-2*phi_w-phi)/MAX(n_bars-1,1))+(phi/2)*0.923880,NA())</f>
        <v/>
      </c>
      <c r="AL18">
        <f>IF(5&lt;n_bars,((c_nom+phi_w+phi/2))+(phi/2)*-0.382683,NA())</f>
        <v/>
      </c>
      <c r="AN18">
        <f>IF(5&lt;n_2,(c_nom+phi_w+phi_2/2+5*(b_w-2*c_nom-2*phi_w-phi_2)/MAX(n_2-1,1))+(phi_2/2)*0.923880,NA())</f>
        <v/>
      </c>
      <c r="AO18">
        <f>IF(5&lt;n_2,((h_sec-c_nom-phi_w-phi_2/2))+(phi_2/2)*-0.382683,NA())</f>
        <v/>
      </c>
      <c r="AQ18">
        <f>IF(6&lt;n_bars,(c_nom+phi_w+phi/2+6*(b_w-2*c_nom-2*phi_w-phi)/MAX(n_bars-1,1))+(phi/2)*0.923880,NA())</f>
        <v/>
      </c>
      <c r="AR18">
        <f>IF(6&lt;n_bars,((c_nom+phi_w+phi/2))+(phi/2)*-0.382683,NA())</f>
        <v/>
      </c>
      <c r="AT18">
        <f>IF(6&lt;n_2,(c_nom+phi_w+phi_2/2+6*(b_w-2*c_nom-2*phi_w-phi_2)/MAX(n_2-1,1))+(phi_2/2)*0.923880,NA())</f>
        <v/>
      </c>
      <c r="AU18">
        <f>IF(6&lt;n_2,((h_sec-c_nom-phi_w-phi_2/2))+(phi_2/2)*-0.382683,NA())</f>
        <v/>
      </c>
      <c r="AW18">
        <f>IF(7&lt;n_bars,(c_nom+phi_w+phi/2+7*(b_w-2*c_nom-2*phi_w-phi)/MAX(n_bars-1,1))+(phi/2)*0.923880,NA())</f>
        <v/>
      </c>
      <c r="AX18">
        <f>IF(7&lt;n_bars,((c_nom+phi_w+phi/2))+(phi/2)*-0.382683,NA())</f>
        <v/>
      </c>
      <c r="AZ18">
        <f>IF(7&lt;n_2,(c_nom+phi_w+phi_2/2+7*(b_w-2*c_nom-2*phi_w-phi_2)/MAX(n_2-1,1))+(phi_2/2)*0.923880,NA())</f>
        <v/>
      </c>
      <c r="BA18">
        <f>IF(7&lt;n_2,((h_sec-c_nom-phi_w-phi_2/2))+(phi_2/2)*-0.382683,NA())</f>
        <v/>
      </c>
      <c r="BC18">
        <f>IF(8&lt;n_bars,(c_nom+phi_w+phi/2+8*(b_w-2*c_nom-2*phi_w-phi)/MAX(n_bars-1,1))+(phi/2)*0.923880,NA())</f>
        <v/>
      </c>
      <c r="BD18">
        <f>IF(8&lt;n_bars,((c_nom+phi_w+phi/2))+(phi/2)*-0.382683,NA())</f>
        <v/>
      </c>
      <c r="BF18">
        <f>IF(8&lt;n_2,(c_nom+phi_w+phi_2/2+8*(b_w-2*c_nom-2*phi_w-phi_2)/MAX(n_2-1,1))+(phi_2/2)*0.923880,NA())</f>
        <v/>
      </c>
      <c r="BG18">
        <f>IF(8&lt;n_2,((h_sec-c_nom-phi_w-phi_2/2))+(phi_2/2)*-0.382683,NA())</f>
        <v/>
      </c>
      <c r="BI18">
        <f>IF(9&lt;n_bars,(c_nom+phi_w+phi/2+9*(b_w-2*c_nom-2*phi_w-phi)/MAX(n_bars-1,1))+(phi/2)*0.923880,NA())</f>
        <v/>
      </c>
      <c r="BJ18">
        <f>IF(9&lt;n_bars,((c_nom+phi_w+phi/2))+(phi/2)*-0.382683,NA())</f>
        <v/>
      </c>
      <c r="BL18">
        <f>IF(9&lt;n_2,(c_nom+phi_w+phi_2/2+9*(b_w-2*c_nom-2*phi_w-phi_2)/MAX(n_2-1,1))+(phi_2/2)*0.923880,NA())</f>
        <v/>
      </c>
      <c r="BM18">
        <f>IF(9&lt;n_2,((h_sec-c_nom-phi_w-phi_2/2))+(phi_2/2)*-0.382683,NA())</f>
        <v/>
      </c>
      <c r="BO18">
        <f>IF(10&lt;n_bars,(c_nom+phi_w+phi/2+10*(b_w-2*c_nom-2*phi_w-phi)/MAX(n_bars-1,1))+(phi/2)*0.923880,NA())</f>
        <v/>
      </c>
      <c r="BP18">
        <f>IF(10&lt;n_bars,((c_nom+phi_w+phi/2))+(phi/2)*-0.382683,NA())</f>
        <v/>
      </c>
      <c r="BR18">
        <f>IF(10&lt;n_2,(c_nom+phi_w+phi_2/2+10*(b_w-2*c_nom-2*phi_w-phi_2)/MAX(n_2-1,1))+(phi_2/2)*0.923880,NA())</f>
        <v/>
      </c>
      <c r="BS18">
        <f>IF(10&lt;n_2,((h_sec-c_nom-phi_w-phi_2/2))+(phi_2/2)*-0.382683,NA())</f>
        <v/>
      </c>
      <c r="BU18">
        <f>IF(11&lt;n_bars,(c_nom+phi_w+phi/2+11*(b_w-2*c_nom-2*phi_w-phi)/MAX(n_bars-1,1))+(phi/2)*0.923880,NA())</f>
        <v/>
      </c>
      <c r="BV18">
        <f>IF(11&lt;n_bars,((c_nom+phi_w+phi/2))+(phi/2)*-0.382683,NA())</f>
        <v/>
      </c>
      <c r="BX18">
        <f>IF(11&lt;n_2,(c_nom+phi_w+phi_2/2+11*(b_w-2*c_nom-2*phi_w-phi_2)/MAX(n_2-1,1))+(phi_2/2)*0.923880,NA())</f>
        <v/>
      </c>
      <c r="BY18">
        <f>IF(11&lt;n_2,((h_sec-c_nom-phi_w-phi_2/2))+(phi_2/2)*-0.382683,NA())</f>
        <v/>
      </c>
    </row>
    <row r="19">
      <c r="G19">
        <f>IF(0&lt;n_bars,(c_nom+phi_w+phi/2+0*(b_w-2*c_nom-2*phi_w-phi)/MAX(n_bars-1,1))+(phi/2)*1.000000,NA())</f>
        <v/>
      </c>
      <c r="H19">
        <f>IF(0&lt;n_bars,((c_nom+phi_w+phi/2))+(phi/2)*-0.000000,NA())</f>
        <v/>
      </c>
      <c r="J19">
        <f>IF(0&lt;n_2,(c_nom+phi_w+phi_2/2+0*(b_w-2*c_nom-2*phi_w-phi_2)/MAX(n_2-1,1))+(phi_2/2)*1.000000,NA())</f>
        <v/>
      </c>
      <c r="K19">
        <f>IF(0&lt;n_2,((h_sec-c_nom-phi_w-phi_2/2))+(phi_2/2)*-0.000000,NA())</f>
        <v/>
      </c>
      <c r="M19">
        <f>IF(1&lt;n_bars,(c_nom+phi_w+phi/2+1*(b_w-2*c_nom-2*phi_w-phi)/MAX(n_bars-1,1))+(phi/2)*1.000000,NA())</f>
        <v/>
      </c>
      <c r="N19">
        <f>IF(1&lt;n_bars,((c_nom+phi_w+phi/2))+(phi/2)*-0.000000,NA())</f>
        <v/>
      </c>
      <c r="P19">
        <f>IF(1&lt;n_2,(c_nom+phi_w+phi_2/2+1*(b_w-2*c_nom-2*phi_w-phi_2)/MAX(n_2-1,1))+(phi_2/2)*1.000000,NA())</f>
        <v/>
      </c>
      <c r="Q19">
        <f>IF(1&lt;n_2,((h_sec-c_nom-phi_w-phi_2/2))+(phi_2/2)*-0.000000,NA())</f>
        <v/>
      </c>
      <c r="S19">
        <f>IF(2&lt;n_bars,(c_nom+phi_w+phi/2+2*(b_w-2*c_nom-2*phi_w-phi)/MAX(n_bars-1,1))+(phi/2)*1.000000,NA())</f>
        <v/>
      </c>
      <c r="T19">
        <f>IF(2&lt;n_bars,((c_nom+phi_w+phi/2))+(phi/2)*-0.000000,NA())</f>
        <v/>
      </c>
      <c r="V19">
        <f>IF(2&lt;n_2,(c_nom+phi_w+phi_2/2+2*(b_w-2*c_nom-2*phi_w-phi_2)/MAX(n_2-1,1))+(phi_2/2)*1.000000,NA())</f>
        <v/>
      </c>
      <c r="W19">
        <f>IF(2&lt;n_2,((h_sec-c_nom-phi_w-phi_2/2))+(phi_2/2)*-0.000000,NA())</f>
        <v/>
      </c>
      <c r="Y19">
        <f>IF(3&lt;n_bars,(c_nom+phi_w+phi/2+3*(b_w-2*c_nom-2*phi_w-phi)/MAX(n_bars-1,1))+(phi/2)*1.000000,NA())</f>
        <v/>
      </c>
      <c r="Z19">
        <f>IF(3&lt;n_bars,((c_nom+phi_w+phi/2))+(phi/2)*-0.000000,NA())</f>
        <v/>
      </c>
      <c r="AB19">
        <f>IF(3&lt;n_2,(c_nom+phi_w+phi_2/2+3*(b_w-2*c_nom-2*phi_w-phi_2)/MAX(n_2-1,1))+(phi_2/2)*1.000000,NA())</f>
        <v/>
      </c>
      <c r="AC19">
        <f>IF(3&lt;n_2,((h_sec-c_nom-phi_w-phi_2/2))+(phi_2/2)*-0.000000,NA())</f>
        <v/>
      </c>
      <c r="AE19">
        <f>IF(4&lt;n_bars,(c_nom+phi_w+phi/2+4*(b_w-2*c_nom-2*phi_w-phi)/MAX(n_bars-1,1))+(phi/2)*1.000000,NA())</f>
        <v/>
      </c>
      <c r="AF19">
        <f>IF(4&lt;n_bars,((c_nom+phi_w+phi/2))+(phi/2)*-0.000000,NA())</f>
        <v/>
      </c>
      <c r="AH19">
        <f>IF(4&lt;n_2,(c_nom+phi_w+phi_2/2+4*(b_w-2*c_nom-2*phi_w-phi_2)/MAX(n_2-1,1))+(phi_2/2)*1.000000,NA())</f>
        <v/>
      </c>
      <c r="AI19">
        <f>IF(4&lt;n_2,((h_sec-c_nom-phi_w-phi_2/2))+(phi_2/2)*-0.000000,NA())</f>
        <v/>
      </c>
      <c r="AK19">
        <f>IF(5&lt;n_bars,(c_nom+phi_w+phi/2+5*(b_w-2*c_nom-2*phi_w-phi)/MAX(n_bars-1,1))+(phi/2)*1.000000,NA())</f>
        <v/>
      </c>
      <c r="AL19">
        <f>IF(5&lt;n_bars,((c_nom+phi_w+phi/2))+(phi/2)*-0.000000,NA())</f>
        <v/>
      </c>
      <c r="AN19">
        <f>IF(5&lt;n_2,(c_nom+phi_w+phi_2/2+5*(b_w-2*c_nom-2*phi_w-phi_2)/MAX(n_2-1,1))+(phi_2/2)*1.000000,NA())</f>
        <v/>
      </c>
      <c r="AO19">
        <f>IF(5&lt;n_2,((h_sec-c_nom-phi_w-phi_2/2))+(phi_2/2)*-0.000000,NA())</f>
        <v/>
      </c>
      <c r="AQ19">
        <f>IF(6&lt;n_bars,(c_nom+phi_w+phi/2+6*(b_w-2*c_nom-2*phi_w-phi)/MAX(n_bars-1,1))+(phi/2)*1.000000,NA())</f>
        <v/>
      </c>
      <c r="AR19">
        <f>IF(6&lt;n_bars,((c_nom+phi_w+phi/2))+(phi/2)*-0.000000,NA())</f>
        <v/>
      </c>
      <c r="AT19">
        <f>IF(6&lt;n_2,(c_nom+phi_w+phi_2/2+6*(b_w-2*c_nom-2*phi_w-phi_2)/MAX(n_2-1,1))+(phi_2/2)*1.000000,NA())</f>
        <v/>
      </c>
      <c r="AU19">
        <f>IF(6&lt;n_2,((h_sec-c_nom-phi_w-phi_2/2))+(phi_2/2)*-0.000000,NA())</f>
        <v/>
      </c>
      <c r="AW19">
        <f>IF(7&lt;n_bars,(c_nom+phi_w+phi/2+7*(b_w-2*c_nom-2*phi_w-phi)/MAX(n_bars-1,1))+(phi/2)*1.000000,NA())</f>
        <v/>
      </c>
      <c r="AX19">
        <f>IF(7&lt;n_bars,((c_nom+phi_w+phi/2))+(phi/2)*-0.000000,NA())</f>
        <v/>
      </c>
      <c r="AZ19">
        <f>IF(7&lt;n_2,(c_nom+phi_w+phi_2/2+7*(b_w-2*c_nom-2*phi_w-phi_2)/MAX(n_2-1,1))+(phi_2/2)*1.000000,NA())</f>
        <v/>
      </c>
      <c r="BA19">
        <f>IF(7&lt;n_2,((h_sec-c_nom-phi_w-phi_2/2))+(phi_2/2)*-0.000000,NA())</f>
        <v/>
      </c>
      <c r="BC19">
        <f>IF(8&lt;n_bars,(c_nom+phi_w+phi/2+8*(b_w-2*c_nom-2*phi_w-phi)/MAX(n_bars-1,1))+(phi/2)*1.000000,NA())</f>
        <v/>
      </c>
      <c r="BD19">
        <f>IF(8&lt;n_bars,((c_nom+phi_w+phi/2))+(phi/2)*-0.000000,NA())</f>
        <v/>
      </c>
      <c r="BF19">
        <f>IF(8&lt;n_2,(c_nom+phi_w+phi_2/2+8*(b_w-2*c_nom-2*phi_w-phi_2)/MAX(n_2-1,1))+(phi_2/2)*1.000000,NA())</f>
        <v/>
      </c>
      <c r="BG19">
        <f>IF(8&lt;n_2,((h_sec-c_nom-phi_w-phi_2/2))+(phi_2/2)*-0.000000,NA())</f>
        <v/>
      </c>
      <c r="BI19">
        <f>IF(9&lt;n_bars,(c_nom+phi_w+phi/2+9*(b_w-2*c_nom-2*phi_w-phi)/MAX(n_bars-1,1))+(phi/2)*1.000000,NA())</f>
        <v/>
      </c>
      <c r="BJ19">
        <f>IF(9&lt;n_bars,((c_nom+phi_w+phi/2))+(phi/2)*-0.000000,NA())</f>
        <v/>
      </c>
      <c r="BL19">
        <f>IF(9&lt;n_2,(c_nom+phi_w+phi_2/2+9*(b_w-2*c_nom-2*phi_w-phi_2)/MAX(n_2-1,1))+(phi_2/2)*1.000000,NA())</f>
        <v/>
      </c>
      <c r="BM19">
        <f>IF(9&lt;n_2,((h_sec-c_nom-phi_w-phi_2/2))+(phi_2/2)*-0.000000,NA())</f>
        <v/>
      </c>
      <c r="BO19">
        <f>IF(10&lt;n_bars,(c_nom+phi_w+phi/2+10*(b_w-2*c_nom-2*phi_w-phi)/MAX(n_bars-1,1))+(phi/2)*1.000000,NA())</f>
        <v/>
      </c>
      <c r="BP19">
        <f>IF(10&lt;n_bars,((c_nom+phi_w+phi/2))+(phi/2)*-0.000000,NA())</f>
        <v/>
      </c>
      <c r="BR19">
        <f>IF(10&lt;n_2,(c_nom+phi_w+phi_2/2+10*(b_w-2*c_nom-2*phi_w-phi_2)/MAX(n_2-1,1))+(phi_2/2)*1.000000,NA())</f>
        <v/>
      </c>
      <c r="BS19">
        <f>IF(10&lt;n_2,((h_sec-c_nom-phi_w-phi_2/2))+(phi_2/2)*-0.000000,NA())</f>
        <v/>
      </c>
      <c r="BU19">
        <f>IF(11&lt;n_bars,(c_nom+phi_w+phi/2+11*(b_w-2*c_nom-2*phi_w-phi)/MAX(n_bars-1,1))+(phi/2)*1.000000,NA())</f>
        <v/>
      </c>
      <c r="BV19">
        <f>IF(11&lt;n_bars,((c_nom+phi_w+phi/2))+(phi/2)*-0.000000,NA())</f>
        <v/>
      </c>
      <c r="BX19">
        <f>IF(11&lt;n_2,(c_nom+phi_w+phi_2/2+11*(b_w-2*c_nom-2*phi_w-phi_2)/MAX(n_2-1,1))+(phi_2/2)*1.000000,NA())</f>
        <v/>
      </c>
      <c r="BY19">
        <f>IF(11&lt;n_2,((h_sec-c_nom-phi_w-phi_2/2))+(phi_2/2)*-0.000000,NA())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50"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51" t="inlineStr">
        <is>
          <t>Parameter</t>
        </is>
      </c>
      <c r="C5" s="51" t="inlineStr">
        <is>
          <t>Clause</t>
        </is>
      </c>
      <c r="D5" s="51" t="inlineStr">
        <is>
          <t>UK NA</t>
        </is>
      </c>
      <c r="E5" s="51" t="inlineStr">
        <is>
          <t>PL NA</t>
        </is>
      </c>
      <c r="F5" s="51" t="inlineStr">
        <is>
          <t>Notes</t>
        </is>
      </c>
    </row>
    <row r="6">
      <c r="B6" s="52" t="inlineStr">
        <is>
          <t>Partial factor, concrete  γc</t>
        </is>
      </c>
      <c r="C6" s="53" t="inlineStr">
        <is>
          <t>2.4.2.4(1)</t>
        </is>
      </c>
      <c r="D6" s="54" t="n">
        <v>1.5</v>
      </c>
      <c r="E6" s="54" t="n">
        <v>1.4</v>
      </c>
      <c r="F6" s="53" t="inlineStr">
        <is>
          <t>Persistent &amp; transient. UK NA: recommended; PL: NA.2, Table NA.2</t>
        </is>
      </c>
    </row>
    <row r="7">
      <c r="B7" s="52" t="inlineStr">
        <is>
          <t>Partial factor, reinforcement  γs</t>
        </is>
      </c>
      <c r="C7" s="53" t="inlineStr">
        <is>
          <t>2.4.2.4(1)</t>
        </is>
      </c>
      <c r="D7" s="54" t="n">
        <v>1.15</v>
      </c>
      <c r="E7" s="54" t="n">
        <v>1.15</v>
      </c>
      <c r="F7" s="53" t="inlineStr">
        <is>
          <t>UK NA: recommended; PL: NA.2, Table NA.2</t>
        </is>
      </c>
    </row>
    <row r="8">
      <c r="B8" s="52" t="inlineStr">
        <is>
          <t>αcc  (compression in flexure / axial)</t>
        </is>
      </c>
      <c r="C8" s="53" t="inlineStr">
        <is>
          <t>3.1.6(1)</t>
        </is>
      </c>
      <c r="D8" s="54" t="n">
        <v>0.85</v>
      </c>
      <c r="E8" s="54" t="n">
        <v>1</v>
      </c>
      <c r="F8" s="53" t="inlineStr">
        <is>
          <t>UK NA: 0.85; PL: recommended (NA.9)</t>
        </is>
      </c>
    </row>
    <row r="9">
      <c r="B9" s="52" t="inlineStr">
        <is>
          <t>αcc,pl  (plain concrete, compression)</t>
        </is>
      </c>
      <c r="C9" s="53" t="inlineStr">
        <is>
          <t>12.3.1(1)</t>
        </is>
      </c>
      <c r="D9" s="54" t="n">
        <v>0.6</v>
      </c>
      <c r="E9" s="54" t="n">
        <v>0.8</v>
      </c>
      <c r="F9" s="53" t="inlineStr">
        <is>
          <t>UK NA Table NA.1: 0.6; PL: recommended (NA.9)</t>
        </is>
      </c>
    </row>
    <row r="10">
      <c r="B10" s="52" t="inlineStr">
        <is>
          <t>αcc  (shear and punching)</t>
        </is>
      </c>
      <c r="C10" s="53" t="inlineStr">
        <is>
          <t>3.1.6(1)</t>
        </is>
      </c>
      <c r="D10" s="54" t="n">
        <v>1</v>
      </c>
      <c r="E10" s="54" t="n">
        <v>1</v>
      </c>
      <c r="F10" s="53" t="inlineStr">
        <is>
          <t>UK NA: 1.0 for other phenomena; PL: recommended (NA.9)</t>
        </is>
      </c>
    </row>
    <row r="11">
      <c r="B11" s="52" t="inlineStr">
        <is>
          <t>αct  (design tensile strength)</t>
        </is>
      </c>
      <c r="C11" s="53" t="inlineStr">
        <is>
          <t>3.1.6(2)</t>
        </is>
      </c>
      <c r="D11" s="54" t="n">
        <v>1</v>
      </c>
      <c r="E11" s="54" t="n">
        <v>1</v>
      </c>
      <c r="F11" s="53" t="inlineStr">
        <is>
          <t>Recommended value in both annexes</t>
        </is>
      </c>
    </row>
    <row r="12">
      <c r="B12" s="52" t="inlineStr">
        <is>
          <t>CRd,c numerator  (CRd,c = value / γc)</t>
        </is>
      </c>
      <c r="C12" s="53" t="inlineStr">
        <is>
          <t>6.2.2(1), 6.4.4(1)</t>
        </is>
      </c>
      <c r="D12" s="54" t="n">
        <v>0.18</v>
      </c>
      <c r="E12" s="54" t="n">
        <v>0.18</v>
      </c>
      <c r="F12" s="53" t="inlineStr">
        <is>
          <t>Recommended value in both annexes</t>
        </is>
      </c>
    </row>
    <row r="13">
      <c r="B13" s="52" t="inlineStr">
        <is>
          <t>k1  (axial stress term, punching)</t>
        </is>
      </c>
      <c r="C13" s="53" t="inlineStr">
        <is>
          <t>6.4.4(1)</t>
        </is>
      </c>
      <c r="D13" s="54" t="n">
        <v>0.1</v>
      </c>
      <c r="E13" s="54" t="n">
        <v>0.1</v>
      </c>
      <c r="F13" s="53" t="inlineStr">
        <is>
          <t>Recommended value in both annexes</t>
        </is>
      </c>
    </row>
    <row r="14">
      <c r="B14" s="52" t="inlineStr">
        <is>
          <t>vRd,max factor  (vRd,max = factor · ν · fcd)</t>
        </is>
      </c>
      <c r="C14" s="53" t="inlineStr">
        <is>
          <t>6.4.5(3)</t>
        </is>
      </c>
      <c r="D14" s="54" t="n">
        <v>0.5</v>
      </c>
      <c r="E14" s="54" t="n">
        <v>0.4</v>
      </c>
      <c r="F14" s="53" t="inlineStr">
        <is>
          <t>UK NA: 0.5 ν fcd; PL: recommended value (NA.9), 0.4 ν fcd since EN 1992-1-1 AC:2010 (PN-EN 1992-1-1:2008/AC:2011)</t>
        </is>
      </c>
    </row>
    <row r="15">
      <c r="B15" s="52" t="inlineStr">
        <is>
          <t>kmax  (vEd ≤ kmax · vRd,c at u1)</t>
        </is>
      </c>
      <c r="C15" s="53" t="inlineStr">
        <is>
          <t>6.4.5</t>
        </is>
      </c>
      <c r="D15" s="54" t="n">
        <v>2</v>
      </c>
      <c r="E15" s="54" t="n">
        <v>1.5</v>
      </c>
      <c r="F15" s="53" t="inlineStr">
        <is>
          <t>UK NA 6.4.5(3): 2 vRd,c. PL: no limit in PN-EN 1992-1-1:2008; 1.5 (A1:2014 recommendation) applied conservatively</t>
        </is>
      </c>
    </row>
    <row r="16">
      <c r="B16" s="52" t="inlineStr">
        <is>
          <t>φlarge  (large bar threshold, mm)</t>
        </is>
      </c>
      <c r="C16" s="53" t="inlineStr">
        <is>
          <t>8.8(1)</t>
        </is>
      </c>
      <c r="D16" s="54" t="n">
        <v>40</v>
      </c>
      <c r="E16" s="54" t="n">
        <v>32</v>
      </c>
      <c r="F16" s="53" t="inlineStr">
        <is>
          <t>UK NA: 40 mm; PL: 32 mm recommended (NA.9)</t>
        </is>
      </c>
    </row>
    <row r="17">
      <c r="B17" s="52" t="inlineStr">
        <is>
          <t>cot θ upper limit  (variable strut)</t>
        </is>
      </c>
      <c r="C17" s="53" t="inlineStr">
        <is>
          <t>6.2.3(2)</t>
        </is>
      </c>
      <c r="D17" s="54" t="n">
        <v>2.5</v>
      </c>
      <c r="E17" s="54" t="n">
        <v>2</v>
      </c>
      <c r="F17" s="53" t="inlineStr">
        <is>
          <t>UK NA: 2.5 (1.25 with axial tension); PL: NA.4, 1 ≤ cot θ ≤ 2.0</t>
        </is>
      </c>
    </row>
    <row r="18">
      <c r="B18" s="52" t="inlineStr">
        <is>
          <t>k1  (x/d limit, δ ≥ k1 + k2 xu/d)</t>
        </is>
      </c>
      <c r="C18" s="53" t="inlineStr">
        <is>
          <t>5.5(4)</t>
        </is>
      </c>
      <c r="D18" s="54" t="n">
        <v>0.4</v>
      </c>
      <c r="E18" s="54" t="n">
        <v>0.44</v>
      </c>
      <c r="F18" s="53" t="inlineStr">
        <is>
          <t>UK NA for fyk ≤ 500 MPa; PL: recommended (NA.9)</t>
        </is>
      </c>
    </row>
    <row r="19">
      <c r="B19" s="52" t="inlineStr">
        <is>
          <t>k2  (x/d limit, εcu2 = 0.0035)</t>
        </is>
      </c>
      <c r="C19" s="53" t="inlineStr">
        <is>
          <t>5.5(4)</t>
        </is>
      </c>
      <c r="D19" s="54" t="n">
        <v>1</v>
      </c>
      <c r="E19" s="54" t="n">
        <v>1.25</v>
      </c>
      <c r="F19" s="53" t="inlineStr">
        <is>
          <t>UK NA: 0.6 + 0.0014/εcu2; PL: 1.25(0.6 + 0.0014/εcu2)</t>
        </is>
      </c>
    </row>
    <row r="20">
      <c r="B20" s="52" t="inlineStr">
        <is>
          <t>Upper limit on the (310/σs) factor  (0 = none)</t>
        </is>
      </c>
      <c r="C20" s="53" t="inlineStr">
        <is>
          <t>7.4.2(2)</t>
        </is>
      </c>
      <c r="D20" s="54" t="n">
        <v>1.5</v>
      </c>
      <c r="E20" s="54" t="n">
        <v>0</v>
      </c>
      <c r="F20" s="53" t="inlineStr">
        <is>
          <t>UK NA Table NA.5 Note 5: (310/σs) or (500/fyk)(As,prov/As,req) ≤ 1.5; PL: none</t>
        </is>
      </c>
    </row>
    <row r="21">
      <c r="B21" s="52" t="inlineStr">
        <is>
          <t>L/d not to exceed 40 K  (1 = applies)</t>
        </is>
      </c>
      <c r="C21" s="53" t="inlineStr">
        <is>
          <t>7.4.2(2)</t>
        </is>
      </c>
      <c r="D21" s="54" t="n">
        <v>1</v>
      </c>
      <c r="E21" s="54" t="n">
        <v>0</v>
      </c>
      <c r="F21" s="53" t="inlineStr">
        <is>
          <t>UK NA Table NA.5 Note 6; not in EN text</t>
        </is>
      </c>
    </row>
    <row r="22">
      <c r="B22" s="52" t="inlineStr">
        <is>
          <t>φmin  (longitudinal bars in columns, mm)</t>
        </is>
      </c>
      <c r="C22" s="53" t="inlineStr">
        <is>
          <t>9.5.2(1)</t>
        </is>
      </c>
      <c r="D22" s="54" t="n">
        <v>12</v>
      </c>
      <c r="E22" s="54" t="n">
        <v>6</v>
      </c>
      <c r="F22" s="53" t="inlineStr">
        <is>
          <t>UK NA: 12 mm; PL: NA.6, 6 mm</t>
        </is>
      </c>
    </row>
    <row r="23">
      <c r="B23" s="52" t="inlineStr">
        <is>
          <t>k3  (crack spacing)</t>
        </is>
      </c>
      <c r="C23" s="53" t="inlineStr">
        <is>
          <t>7.3.4(3)</t>
        </is>
      </c>
      <c r="D23" s="54" t="n">
        <v>3.4</v>
      </c>
      <c r="E23" s="54" t="n">
        <v>3.4</v>
      </c>
      <c r="F23" s="53" t="inlineStr">
        <is>
          <t>Recommended value in both annexes</t>
        </is>
      </c>
    </row>
    <row r="24">
      <c r="B24" s="52" t="inlineStr">
        <is>
          <t>k4  (crack spacing)</t>
        </is>
      </c>
      <c r="C24" s="53" t="inlineStr">
        <is>
          <t>7.3.4(3)</t>
        </is>
      </c>
      <c r="D24" s="54" t="n">
        <v>0.425</v>
      </c>
      <c r="E24" s="54" t="n">
        <v>0.425</v>
      </c>
      <c r="F24" s="53" t="inlineStr">
        <is>
          <t>Recommended value in both annexes</t>
        </is>
      </c>
    </row>
    <row r="25">
      <c r="B25" s="52" t="inlineStr">
        <is>
          <t>k1  (concrete stress, characteristic; XD, XF, XS)</t>
        </is>
      </c>
      <c r="C25" s="53" t="inlineStr">
        <is>
          <t>7.2(2)</t>
        </is>
      </c>
      <c r="D25" s="54" t="n">
        <v>0.6</v>
      </c>
      <c r="E25" s="54" t="n">
        <v>1</v>
      </c>
      <c r="F25" s="53" t="inlineStr">
        <is>
          <t>UK NA: recommended; PL: NA.5, k1 = 1.0</t>
        </is>
      </c>
    </row>
    <row r="26">
      <c r="B26" s="52" t="inlineStr">
        <is>
          <t>k2  (concrete stress, quasi-permanent; linear creep)</t>
        </is>
      </c>
      <c r="C26" s="53" t="inlineStr">
        <is>
          <t>7.2(3)</t>
        </is>
      </c>
      <c r="D26" s="54" t="n">
        <v>0.45</v>
      </c>
      <c r="E26" s="54" t="n">
        <v>0.45</v>
      </c>
      <c r="F26" s="53" t="inlineStr">
        <is>
          <t>Recommended value in both annexes (UK NA; PL NA.9)</t>
        </is>
      </c>
    </row>
    <row r="27">
      <c r="B27" s="52" t="inlineStr">
        <is>
          <t>k3  (steel stress, characteristic)</t>
        </is>
      </c>
      <c r="C27" s="53" t="inlineStr">
        <is>
          <t>7.2(5)</t>
        </is>
      </c>
      <c r="D27" s="54" t="n">
        <v>0.8</v>
      </c>
      <c r="E27" s="54" t="n">
        <v>0.8</v>
      </c>
      <c r="F27" s="53" t="inlineStr">
        <is>
          <t>Recommended value in both annexes (UK NA; PL NA.9)</t>
        </is>
      </c>
    </row>
    <row r="28">
      <c r="B28" s="52" t="inlineStr">
        <is>
          <t>k4  (steel stress, imposed deformation)</t>
        </is>
      </c>
      <c r="C28" s="53" t="inlineStr">
        <is>
          <t>7.2(5)</t>
        </is>
      </c>
      <c r="D28" s="54" t="n">
        <v>1</v>
      </c>
      <c r="E28" s="54" t="n">
        <v>1</v>
      </c>
      <c r="F28" s="53"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&amp;K8A8A8ANAE-RC-004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NAE-RC-004 Beam bending &amp; shear</dc:title>
  <dc:subject xmlns:dc="http://purl.org/dc/elements/1.1/">Rectangular RC sections  ·  EN 1992-1-1 §6.1, §6.2, §9.2  ·  UK NA / PN-EN</dc:subject>
  <dcterms:created xmlns:dcterms="http://purl.org/dc/terms/" xmlns:xsi="http://www.w3.org/2001/XMLSchema-instance" xsi:type="dcterms:W3CDTF">2026-10-30T10:58:36Z</dcterms:created>
  <dcterms:modified xmlns:dcterms="http://purl.org/dc/terms/" xmlns:xsi="http://www.w3.org/2001/XMLSchema-instance" xsi:type="dcterms:W3CDTF">2026-10-30T10:58:36Z</dcterms:modified>
  <cp:lastModifiedBy>NA Engineering sp. z o.o.</cp:lastModifiedBy>
  <cp:keywords>NA Engineering; Eurocode 2; EN 1992-1-1</cp:keywords>
</cp:coreProperties>
</file>