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worksheets/sheet4.xml" ContentType="application/vnd.openxmlformats-officedocument.spreadsheetml.worksheet+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workbookPassword="AA0A" lockStructure="1"/>
  <bookViews>
    <workbookView visibility="visible" minimized="0" showHorizontalScroll="1" showVerticalScroll="1" showSheetTabs="1" tabRatio="600" firstSheet="0" activeTab="1" autoFilterDateGrouping="1"/>
  </bookViews>
  <sheets>
    <sheet xmlns:r="http://schemas.openxmlformats.org/officeDocument/2006/relationships" name="About" sheetId="1" state="visible" r:id="rId1"/>
    <sheet xmlns:r="http://schemas.openxmlformats.org/officeDocument/2006/relationships" name="Calculation" sheetId="2" state="visible" r:id="rId2"/>
    <sheet xmlns:r="http://schemas.openxmlformats.org/officeDocument/2006/relationships" name="Geometry" sheetId="3" state="hidden" r:id="rId3"/>
    <sheet xmlns:r="http://schemas.openxmlformats.org/officeDocument/2006/relationships" name="NDP" sheetId="4" state="visible" r:id="rId4"/>
  </sheets>
  <definedNames>
    <definedName name="NA_sel">'Calculation'!$E$11</definedName>
    <definedName name="conc_class">'Calculation'!$E$12</definedName>
    <definedName name="b_sec">'Calculation'!$E$13</definedName>
    <definedName name="h_sec">'Calculation'!$E$14</definedName>
    <definedName name="c_nom">'Calculation'!$E$15</definedName>
    <definedName name="phi">'Calculation'!$E$16</definedName>
    <definedName name="s_bar">'Calculation'!$E$17</definedName>
    <definedName name="M_qp">'Calculation'!$E$18</definedName>
    <definedName name="M_k">'Calculation'!$E$19</definedName>
    <definedName name="phi_creep">'Calculation'!$E$20</definedName>
    <definedName name="duration">'Calculation'!$E$21</definedName>
    <definedName name="w_max">'Calculation'!$E$22</definedName>
    <definedName name="f_yk">'Calculation'!$E$23</definedName>
    <definedName name="inputs_ok">IFERROR(AND(OR(NA_sel="UK NA (BS EN)",NA_sel="PL NA (PN-EN)"),OR(conc_class="C20/25",conc_class="C25/30",conc_class="C28/35",conc_class="C30/37",conc_class="C32/40",conc_class="C35/45",conc_class="C40/50",conc_class="C45/55",conc_class="C50/60"),ISNUMBER(b_sec),b_sec&gt;0,ISNUMBER(h_sec),h_sec&gt;0,ISNUMBER(c_nom),c_nom&gt;0,OR(AND(ISNUMBER(phi),phi=8),AND(ISNUMBER(phi),phi=10),AND(ISNUMBER(phi),phi=12),AND(ISNUMBER(phi),phi=16),AND(ISNUMBER(phi),phi=20),AND(ISNUMBER(phi),phi=25),AND(ISNUMBER(phi),phi=32),AND(ISNUMBER(phi),phi=40)),ISNUMBER(s_bar),s_bar&gt;0,ISNUMBER(M_qp),M_qp&gt;=0,ISNUMBER(M_k),M_k&gt;=0,ISNUMBER(phi_creep),phi_creep&gt;=0,OR(duration="Long-term",duration="Short-term"),ISNUMBER(w_max),w_max&gt;0,ISNUMBER(f_yk),f_yk&gt;0,AND(b_sec&gt;0,h_sec&gt;c_nom+phi,c_nom&gt;0,s_bar&gt;phi,M_qp&gt;=0,M_k&gt;=0,phi_creep&gt;=0,w_max&gt;0,f_yk&gt;0)),FALSE)</definedName>
    <definedName name="input_status">'Calculation'!$G$24</definedName>
    <definedName name="crack_status">'Calculation'!$G$45</definedName>
    <definedName name="stress_status">'Calculation'!$G$46</definedName>
    <definedName name="k_3">'Calculation'!$E$52</definedName>
    <definedName name="k_4">'Calculation'!$E$53</definedName>
    <definedName name="f_ck">'Calculation'!$E$54</definedName>
    <definedName name="f_ctm">'Calculation'!$E$55</definedName>
    <definedName name="E_cm">'Calculation'!$E$56</definedName>
    <definedName name="E_s">'Calculation'!$E$57</definedName>
    <definedName name="d_eff">'Calculation'!$E$58</definedName>
    <definedName name="A_s">'Calculation'!$E$59</definedName>
    <definedName name="rho">'Calculation'!$E$60</definedName>
    <definedName name="E_ceff">'Calculation'!$E$61</definedName>
    <definedName name="alpha_elt">'Calculation'!$E$62</definedName>
    <definedName name="x_na">'Calculation'!$E$63</definedName>
    <definedName name="sigma_s">'Calculation'!$E$64</definedName>
    <definedName name="h_ceff">'Calculation'!$E$65</definedName>
    <definedName name="rho_peff">'Calculation'!$E$66</definedName>
    <definedName name="k_t">'Calculation'!$E$67</definedName>
    <definedName name="alpha_e">'Calculation'!$E$68</definedName>
    <definedName name="eps_diff">'Calculation'!$E$69</definedName>
    <definedName name="s_lim">'Calculation'!$E$70</definedName>
    <definedName name="sr_max">'Calculation'!$E$71</definedName>
    <definedName name="w_k">'Calculation'!$E$72</definedName>
    <definedName name="k_h">'Calculation'!$E$73</definedName>
    <definedName name="As_min">'Calculation'!$E$74</definedName>
    <definedName name="sigma_sk">'Calculation'!$E$75</definedName>
    <definedName name="ndp_gamma_c">INDEX('NDP'!$D$6:$E$6,na_idx)</definedName>
    <definedName name="ndp_gamma_s">INDEX('NDP'!$D$7:$E$7,na_idx)</definedName>
    <definedName name="ndp_alpha_cc">INDEX('NDP'!$D$8:$E$8,na_idx)</definedName>
    <definedName name="ndp_alpha_cc_pl">INDEX('NDP'!$D$9:$E$9,na_idx)</definedName>
    <definedName name="ndp_alpha_cc_shear">INDEX('NDP'!$D$10:$E$10,na_idx)</definedName>
    <definedName name="ndp_alpha_ct">INDEX('NDP'!$D$11:$E$11,na_idx)</definedName>
    <definedName name="ndp_C_Rdc">INDEX('NDP'!$D$12:$E$12,na_idx)</definedName>
    <definedName name="ndp_k1_p">INDEX('NDP'!$D$13:$E$13,na_idx)</definedName>
    <definedName name="ndp_vmax">INDEX('NDP'!$D$14:$E$14,na_idx)</definedName>
    <definedName name="ndp_kmax">INDEX('NDP'!$D$15:$E$15,na_idx)</definedName>
    <definedName name="ndp_phi_large">INDEX('NDP'!$D$16:$E$16,na_idx)</definedName>
    <definedName name="ndp_cot_max">INDEX('NDP'!$D$17:$E$17,na_idx)</definedName>
    <definedName name="ndp_k1_red">INDEX('NDP'!$D$18:$E$18,na_idx)</definedName>
    <definedName name="ndp_k2_red">INDEX('NDP'!$D$19:$E$19,na_idx)</definedName>
    <definedName name="ndp_ld_mod_max">INDEX('NDP'!$D$20:$E$20,na_idx)</definedName>
    <definedName name="ndp_ld_cap_40K">INDEX('NDP'!$D$21:$E$21,na_idx)</definedName>
    <definedName name="ndp_phi_min_col">INDEX('NDP'!$D$22:$E$22,na_idx)</definedName>
    <definedName name="ndp_k3">INDEX('NDP'!$D$23:$E$23,na_idx)</definedName>
    <definedName name="ndp_k4">INDEX('NDP'!$D$24:$E$24,na_idx)</definedName>
    <definedName name="ndp_k1_sl">INDEX('NDP'!$D$25:$E$25,na_idx)</definedName>
    <definedName name="ndp_k2_sl">INDEX('NDP'!$D$26:$E$26,na_idx)</definedName>
    <definedName name="ndp_k3_sl">INDEX('NDP'!$D$27:$E$27,na_idx)</definedName>
    <definedName name="ndp_k4_sl">INDEX('NDP'!$D$28:$E$28,na_idx)</definedName>
    <definedName name="na_idx">IF(NA_sel="PL NA (PN-EN)",2,IF(NA_sel="UK NA (BS EN)",1,NA()))</definedName>
    <definedName name="_xlnm.Print_Area" localSheetId="0">'About'!$A$1:$D$39</definedName>
    <definedName name="_xlnm.Print_Area" localSheetId="1">'Calculation'!$A$1:$H$80</definedName>
    <definedName name="_xlnm.Print_Area" localSheetId="3">'NDP'!$A$1:$G$29</definedName>
  </definedNames>
  <calcPr calcId="124519" fullCalcOnLoad="1"/>
</workbook>
</file>

<file path=xl/styles.xml><?xml version="1.0" encoding="utf-8"?>
<styleSheet xmlns="http://schemas.openxmlformats.org/spreadsheetml/2006/main">
  <numFmts count="5">
    <numFmt numFmtId="164" formatCode="dd mmm yyyy"/>
    <numFmt numFmtId="165" formatCode="0.0"/>
    <numFmt numFmtId="166" formatCode="0.000"/>
    <numFmt numFmtId="167" formatCode="0.0000"/>
    <numFmt numFmtId="168" formatCode="0.000000"/>
  </numFmts>
  <fonts count="21">
    <font>
      <name val="Calibri"/>
      <family val="2"/>
      <color theme="1"/>
      <sz val="11"/>
      <scheme val="minor"/>
    </font>
    <font>
      <name val="Calibri"/>
      <color rgb="00BDBDBD"/>
      <sz val="9"/>
    </font>
    <font>
      <name val="Calibri"/>
      <b val="1"/>
      <color rgb="002B2B2B"/>
      <sz val="24"/>
    </font>
    <font>
      <name val="Calibri"/>
      <color rgb="008A8A8A"/>
      <sz val="12"/>
    </font>
    <font>
      <name val="Calibri"/>
      <color rgb="008A8A8A"/>
      <sz val="10"/>
    </font>
    <font>
      <name val="Calibri"/>
      <color rgb="002B2B2B"/>
      <sz val="10"/>
    </font>
    <font>
      <name val="Calibri"/>
      <b val="1"/>
      <color rgb="005B7F8A"/>
      <sz val="11"/>
    </font>
    <font>
      <name val="Calibri"/>
      <color rgb="005B7F8A"/>
      <sz val="10"/>
    </font>
    <font>
      <name val="Calibri"/>
      <color rgb="008A8A8A"/>
      <sz val="9"/>
    </font>
    <font>
      <name val="Calibri"/>
      <b val="1"/>
      <color rgb="00FFFFFF"/>
      <sz val="14"/>
    </font>
    <font>
      <name val="Calibri"/>
      <b val="1"/>
      <color rgb="005B7F8A"/>
      <sz val="12"/>
    </font>
    <font>
      <name val="Calibri"/>
      <i val="1"/>
      <color rgb="008A8A8A"/>
      <sz val="8"/>
    </font>
    <font>
      <name val="Calibri"/>
      <b val="1"/>
      <color rgb="002B2B2B"/>
      <sz val="10"/>
    </font>
    <font>
      <name val="Calibri"/>
      <color rgb="008A8A8A"/>
      <sz val="8"/>
    </font>
    <font>
      <name val="Calibri"/>
      <b val="1"/>
      <color rgb="002B2B2B"/>
      <sz val="9"/>
    </font>
    <font>
      <name val="Calibri"/>
      <family val="2"/>
      <i val="1"/>
      <color rgb="008A8A8A"/>
      <sz val="9"/>
      <scheme val="minor"/>
    </font>
    <font>
      <name val="Calibri"/>
      <color rgb="002B2B2B"/>
      <sz val="11"/>
    </font>
    <font>
      <name val="Calibri"/>
      <b val="1"/>
      <color rgb="002B2B2B"/>
      <sz val="15"/>
    </font>
    <font>
      <name val="Calibri"/>
      <i val="1"/>
      <color rgb="008A8A8A"/>
      <sz val="8.5"/>
    </font>
    <font>
      <name val="Calibri"/>
      <b val="1"/>
      <color rgb="002B2B2B"/>
      <sz val="16"/>
    </font>
    <font>
      <name val="Calibri"/>
      <b val="1"/>
      <color rgb="008A8A8A"/>
      <sz val="9"/>
    </font>
  </fonts>
  <fills count="5">
    <fill>
      <patternFill/>
    </fill>
    <fill>
      <patternFill patternType="gray125"/>
    </fill>
    <fill>
      <patternFill patternType="solid">
        <fgColor rgb="001F1F1F"/>
        <bgColor rgb="001F1F1F"/>
      </patternFill>
    </fill>
    <fill>
      <patternFill patternType="solid">
        <fgColor rgb="00FFF4D6"/>
        <bgColor rgb="00FFF4D6"/>
      </patternFill>
    </fill>
    <fill>
      <patternFill patternType="solid">
        <fgColor rgb="00EEF4F6"/>
        <bgColor rgb="00EEF4F6"/>
      </patternFill>
    </fill>
  </fills>
  <borders count="3">
    <border>
      <left/>
      <right/>
      <top/>
      <bottom/>
      <diagonal/>
    </border>
    <border>
      <bottom style="thin">
        <color rgb="00E3E3E3"/>
      </bottom>
    </border>
    <border>
      <bottom style="thin">
        <color rgb="005B7F8A"/>
      </bottom>
    </border>
  </borders>
  <cellStyleXfs count="1">
    <xf numFmtId="0" fontId="0" fillId="0" borderId="0"/>
  </cellStyleXfs>
  <cellXfs count="54">
    <xf numFmtId="0" fontId="0" fillId="0" borderId="0" pivotButton="0" quotePrefix="0" xfId="0"/>
    <xf numFmtId="0" fontId="0" fillId="2" borderId="0" pivotButton="0" quotePrefix="0" xfId="0"/>
    <xf numFmtId="0" fontId="1" fillId="2" borderId="0" applyAlignment="1" pivotButton="0" quotePrefix="0" xfId="0">
      <alignment horizontal="right" vertical="center"/>
    </xf>
    <xf numFmtId="0" fontId="2" fillId="0" borderId="0" pivotButton="0" quotePrefix="0" xfId="0"/>
    <xf numFmtId="0" fontId="3" fillId="0" borderId="0" pivotButton="0" quotePrefix="0" xfId="0"/>
    <xf numFmtId="0" fontId="4" fillId="0" borderId="0" applyAlignment="1" pivotButton="0" quotePrefix="0" xfId="0">
      <alignment vertical="top"/>
    </xf>
    <xf numFmtId="0" fontId="5" fillId="0" borderId="0" pivotButton="0" quotePrefix="0" xfId="0"/>
    <xf numFmtId="0" fontId="5" fillId="0" borderId="0" applyAlignment="1" pivotButton="0" quotePrefix="0" xfId="0">
      <alignment vertical="top" wrapText="1"/>
    </xf>
    <xf numFmtId="0" fontId="6" fillId="0" borderId="1" pivotButton="0" quotePrefix="0" xfId="0"/>
    <xf numFmtId="0" fontId="0" fillId="0" borderId="1" pivotButton="0" quotePrefix="0" xfId="0"/>
    <xf numFmtId="0" fontId="4" fillId="0" borderId="0" applyAlignment="1" pivotButton="0" quotePrefix="0" xfId="0">
      <alignment vertical="top" wrapText="1"/>
    </xf>
    <xf numFmtId="0" fontId="4" fillId="0" borderId="0" pivotButton="0" quotePrefix="0" xfId="0"/>
    <xf numFmtId="0" fontId="7" fillId="0" borderId="0" pivotButton="0" quotePrefix="0" xfId="0"/>
    <xf numFmtId="0" fontId="8" fillId="0" borderId="0" applyAlignment="1" pivotButton="0" quotePrefix="0" xfId="0">
      <alignment vertical="top" wrapText="1"/>
    </xf>
    <xf numFmtId="0" fontId="9" fillId="2" borderId="0" applyAlignment="1" pivotButton="0" quotePrefix="0" xfId="0">
      <alignment horizontal="right" vertical="center"/>
    </xf>
    <xf numFmtId="0" fontId="1" fillId="2" borderId="0" applyAlignment="1" pivotButton="0" quotePrefix="0" xfId="0">
      <alignment horizontal="right" vertical="top"/>
    </xf>
    <xf numFmtId="0" fontId="8" fillId="0" borderId="0" pivotButton="0" quotePrefix="0" xfId="0"/>
    <xf numFmtId="0" fontId="5" fillId="3" borderId="0" applyProtection="1" pivotButton="0" quotePrefix="0" xfId="0">
      <protection locked="0" hidden="0"/>
    </xf>
    <xf numFmtId="0" fontId="8" fillId="0" borderId="0" applyAlignment="1" pivotButton="0" quotePrefix="0" xfId="0">
      <alignment horizontal="right"/>
    </xf>
    <xf numFmtId="164" fontId="5" fillId="3" borderId="0" applyProtection="1" pivotButton="0" quotePrefix="0" xfId="0">
      <protection locked="0" hidden="0"/>
    </xf>
    <xf numFmtId="0" fontId="10" fillId="0" borderId="2" pivotButton="0" quotePrefix="0" xfId="0"/>
    <xf numFmtId="0" fontId="0" fillId="0" borderId="2" pivotButton="0" quotePrefix="0" xfId="0"/>
    <xf numFmtId="0" fontId="11" fillId="0" borderId="2" applyAlignment="1" pivotButton="0" quotePrefix="0" xfId="0">
      <alignment horizontal="right"/>
    </xf>
    <xf numFmtId="0" fontId="0" fillId="0" borderId="1" applyAlignment="1" pivotButton="0" quotePrefix="0" xfId="0">
      <alignment vertical="center"/>
    </xf>
    <xf numFmtId="0" fontId="5" fillId="0" borderId="1" applyAlignment="1" pivotButton="0" quotePrefix="0" xfId="0">
      <alignment vertical="center"/>
    </xf>
    <xf numFmtId="0" fontId="12" fillId="3" borderId="1" applyAlignment="1" applyProtection="1" pivotButton="0" quotePrefix="0" xfId="0">
      <alignment horizontal="center" vertical="center"/>
      <protection locked="0" hidden="0"/>
    </xf>
    <xf numFmtId="0" fontId="13" fillId="0" borderId="1" applyAlignment="1" pivotButton="0" quotePrefix="0" xfId="0">
      <alignment vertical="center"/>
    </xf>
    <xf numFmtId="0" fontId="0" fillId="0" borderId="1" applyAlignment="1" pivotButton="0" quotePrefix="0" xfId="0">
      <alignment horizontal="center" vertical="center"/>
    </xf>
    <xf numFmtId="0" fontId="8" fillId="0" borderId="1" applyAlignment="1" pivotButton="0" quotePrefix="0" xfId="0">
      <alignment vertical="center"/>
    </xf>
    <xf numFmtId="165" fontId="12" fillId="3" borderId="1" applyAlignment="1" applyProtection="1" pivotButton="0" quotePrefix="0" xfId="0">
      <alignment horizontal="center" vertical="center"/>
      <protection locked="0" hidden="0"/>
    </xf>
    <xf numFmtId="2" fontId="12" fillId="3" borderId="1" applyAlignment="1" applyProtection="1" pivotButton="0" quotePrefix="0" xfId="0">
      <alignment horizontal="center" vertical="center"/>
      <protection locked="0" hidden="0"/>
    </xf>
    <xf numFmtId="0" fontId="14" fillId="0" borderId="1" applyAlignment="1" pivotButton="0" quotePrefix="0" xfId="0">
      <alignment horizontal="center" vertical="center"/>
    </xf>
    <xf numFmtId="0" fontId="15" fillId="0" borderId="0" pivotButton="0" quotePrefix="0" xfId="0"/>
    <xf numFmtId="0" fontId="0" fillId="4" borderId="0" pivotButton="0" quotePrefix="0" xfId="0"/>
    <xf numFmtId="0" fontId="16" fillId="4" borderId="0" applyAlignment="1" pivotButton="0" quotePrefix="0" xfId="0">
      <alignment vertical="center"/>
    </xf>
    <xf numFmtId="0" fontId="0" fillId="4" borderId="0" applyAlignment="1" pivotButton="0" quotePrefix="0" xfId="0">
      <alignment horizontal="center" vertical="center"/>
    </xf>
    <xf numFmtId="166" fontId="17" fillId="4" borderId="0" applyAlignment="1" pivotButton="0" quotePrefix="0" xfId="0">
      <alignment horizontal="center" vertical="center"/>
    </xf>
    <xf numFmtId="0" fontId="4" fillId="4" borderId="0" applyAlignment="1" pivotButton="0" quotePrefix="0" xfId="0">
      <alignment vertical="center"/>
    </xf>
    <xf numFmtId="0" fontId="12" fillId="4" borderId="0" applyAlignment="1" pivotButton="0" quotePrefix="0" xfId="0">
      <alignment horizontal="center" vertical="center"/>
    </xf>
    <xf numFmtId="1" fontId="17" fillId="4" borderId="0" applyAlignment="1" pivotButton="0" quotePrefix="0" xfId="0">
      <alignment horizontal="center" vertical="center"/>
    </xf>
    <xf numFmtId="2" fontId="17" fillId="4" borderId="0" applyAlignment="1" pivotButton="0" quotePrefix="0" xfId="0">
      <alignment horizontal="center" vertical="center"/>
    </xf>
    <xf numFmtId="1" fontId="5" fillId="0" borderId="1" applyAlignment="1" pivotButton="0" quotePrefix="0" xfId="0">
      <alignment horizontal="center" vertical="center"/>
    </xf>
    <xf numFmtId="2" fontId="5" fillId="0" borderId="1" applyAlignment="1" pivotButton="0" quotePrefix="0" xfId="0">
      <alignment horizontal="center" vertical="center"/>
    </xf>
    <xf numFmtId="166" fontId="5" fillId="0" borderId="1" applyAlignment="1" pivotButton="0" quotePrefix="0" xfId="0">
      <alignment horizontal="center" vertical="center"/>
    </xf>
    <xf numFmtId="167" fontId="5" fillId="0" borderId="1" applyAlignment="1" pivotButton="0" quotePrefix="0" xfId="0">
      <alignment horizontal="center" vertical="center"/>
    </xf>
    <xf numFmtId="165" fontId="5" fillId="0" borderId="1" applyAlignment="1" pivotButton="0" quotePrefix="0" xfId="0">
      <alignment horizontal="center" vertical="center"/>
    </xf>
    <xf numFmtId="165" fontId="12" fillId="0" borderId="1" applyAlignment="1" pivotButton="0" quotePrefix="0" xfId="0">
      <alignment horizontal="center" vertical="center"/>
    </xf>
    <xf numFmtId="168" fontId="5" fillId="0" borderId="1" applyAlignment="1" pivotButton="0" quotePrefix="0" xfId="0">
      <alignment horizontal="center" vertical="center"/>
    </xf>
    <xf numFmtId="0" fontId="18" fillId="0" borderId="0" applyAlignment="1" pivotButton="0" quotePrefix="0" xfId="0">
      <alignment vertical="top" wrapText="1"/>
    </xf>
    <xf numFmtId="0" fontId="19" fillId="0" borderId="0" pivotButton="0" quotePrefix="0" xfId="0"/>
    <xf numFmtId="0" fontId="20" fillId="0" borderId="2" pivotButton="0" quotePrefix="0" xfId="0"/>
    <xf numFmtId="0" fontId="5" fillId="0" borderId="1" pivotButton="0" quotePrefix="0" xfId="0"/>
    <xf numFmtId="0" fontId="8" fillId="0" borderId="1" pivotButton="0" quotePrefix="0" xfId="0"/>
    <xf numFmtId="0" fontId="12" fillId="0" borderId="1" applyAlignment="1" pivotButton="0" quotePrefix="0" xfId="0">
      <alignment horizontal="center"/>
    </xf>
  </cellXfs>
  <cellStyles count="1">
    <cellStyle name="Normal" xfId="0" builtinId="0" hidden="0"/>
  </cellStyles>
  <dxfs count="3">
    <dxf>
      <font>
        <name val="Calibri"/>
        <b val="1"/>
        <color rgb="001E7F4F"/>
      </font>
      <fill>
        <patternFill patternType="solid">
          <fgColor rgb="00E6F4EC"/>
          <bgColor rgb="00E6F4EC"/>
        </patternFill>
      </fill>
    </dxf>
    <dxf>
      <font>
        <name val="Calibri"/>
        <b val="1"/>
        <color rgb="00B3261E"/>
      </font>
      <fill>
        <patternFill patternType="solid">
          <fgColor rgb="00FBE9E7"/>
          <bgColor rgb="00FBE9E7"/>
        </patternFill>
      </fill>
    </dxf>
    <dxf>
      <font>
        <name val="Calibri"/>
        <b val="1"/>
        <color rgb="008A5A00"/>
      </font>
      <fill>
        <patternFill patternType="solid">
          <fgColor rgb="00FFF1D6"/>
          <bgColor rgb="00FFF1D6"/>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harts/chart1.xml><?xml version="1.0" encoding="utf-8"?>
<chartSpace xmlns="http://schemas.openxmlformats.org/drawingml/2006/chart">
  <style val="1"/>
  <chart>
    <plotArea>
      <scatterChart>
        <scatterStyle val="lineMarker"/>
        <ser>
          <idx val="0"/>
          <order val="0"/>
          <tx>
            <v>section</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'Geometry'!$A$3:$A$7</f>
            </numRef>
          </xVal>
          <yVal>
            <numRef>
              <f>'Geometry'!$B$3:$B$7</f>
            </numRef>
          </yVal>
          <smooth val="0"/>
        </ser>
        <ser>
          <idx val="1"/>
          <order val="1"/>
          <tx>
            <v>bar 0</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'Geometry'!$D$3:$D$15</f>
            </numRef>
          </xVal>
          <yVal>
            <numRef>
              <f>'Geometry'!$E$3:$E$15</f>
            </numRef>
          </yVal>
          <smooth val="0"/>
        </ser>
        <ser>
          <idx val="2"/>
          <order val="2"/>
          <tx>
            <v>bar 1</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'Geometry'!$G$3:$G$15</f>
            </numRef>
          </xVal>
          <yVal>
            <numRef>
              <f>'Geometry'!$H$3:$H$15</f>
            </numRef>
          </yVal>
          <smooth val="0"/>
        </ser>
        <ser>
          <idx val="3"/>
          <order val="3"/>
          <tx>
            <v>bar 2</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'Geometry'!$J$3:$J$15</f>
            </numRef>
          </xVal>
          <yVal>
            <numRef>
              <f>'Geometry'!$K$3:$K$15</f>
            </numRef>
          </yVal>
          <smooth val="0"/>
        </ser>
        <ser>
          <idx val="4"/>
          <order val="4"/>
          <tx>
            <v>bar 3</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'Geometry'!$M$3:$M$15</f>
            </numRef>
          </xVal>
          <yVal>
            <numRef>
              <f>'Geometry'!$N$3:$N$15</f>
            </numRef>
          </yVal>
          <smooth val="0"/>
        </ser>
        <ser>
          <idx val="5"/>
          <order val="5"/>
          <tx>
            <v>bar 4</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'Geometry'!$P$3:$P$15</f>
            </numRef>
          </xVal>
          <yVal>
            <numRef>
              <f>'Geometry'!$Q$3:$Q$15</f>
            </numRef>
          </yVal>
          <smooth val="0"/>
        </ser>
        <ser>
          <idx val="6"/>
          <order val="6"/>
          <tx>
            <v>bar 5</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'Geometry'!$S$3:$S$15</f>
            </numRef>
          </xVal>
          <yVal>
            <numRef>
              <f>'Geometry'!$T$3:$T$15</f>
            </numRef>
          </yVal>
          <smooth val="0"/>
        </ser>
        <ser>
          <idx val="7"/>
          <order val="7"/>
          <tx>
            <v>bar 6</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'Geometry'!$V$3:$V$15</f>
            </numRef>
          </xVal>
          <yVal>
            <numRef>
              <f>'Geometry'!$W$3:$W$15</f>
            </numRef>
          </yVal>
          <smooth val="0"/>
        </ser>
        <ser>
          <idx val="8"/>
          <order val="8"/>
          <tx>
            <v>bar 7</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'Geometry'!$Y$3:$Y$15</f>
            </numRef>
          </xVal>
          <yVal>
            <numRef>
              <f>'Geometry'!$Z$3:$Z$15</f>
            </numRef>
          </yVal>
          <smooth val="0"/>
        </ser>
        <ser>
          <idx val="9"/>
          <order val="9"/>
          <tx>
            <v>bar 8</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'Geometry'!$AB$3:$AB$15</f>
            </numRef>
          </xVal>
          <yVal>
            <numRef>
              <f>'Geometry'!$AC$3:$AC$15</f>
            </numRef>
          </yVal>
          <smooth val="0"/>
        </ser>
        <ser>
          <idx val="10"/>
          <order val="10"/>
          <tx>
            <v>bar 9</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'Geometry'!$AE$3:$AE$15</f>
            </numRef>
          </xVal>
          <yVal>
            <numRef>
              <f>'Geometry'!$AF$3:$AF$15</f>
            </numRef>
          </yVal>
          <smooth val="0"/>
        </ser>
        <ser>
          <idx val="11"/>
          <order val="11"/>
          <tx>
            <v>bar 10</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'Geometry'!$AH$3:$AH$15</f>
            </numRef>
          </xVal>
          <yVal>
            <numRef>
              <f>'Geometry'!$AI$3:$AI$15</f>
            </numRef>
          </yVal>
          <smooth val="0"/>
        </ser>
        <ser>
          <idx val="12"/>
          <order val="12"/>
          <tx>
            <v>bar 11</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'Geometry'!$AK$3:$AK$15</f>
            </numRef>
          </xVal>
          <yVal>
            <numRef>
              <f>'Geometry'!$AL$3:$AL$15</f>
            </numRef>
          </yVal>
          <smooth val="0"/>
        </ser>
        <ser>
          <idx val="13"/>
          <order val="13"/>
          <tx>
            <v>bar 12</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'Geometry'!$AN$3:$AN$15</f>
            </numRef>
          </xVal>
          <yVal>
            <numRef>
              <f>'Geometry'!$AO$3:$AO$15</f>
            </numRef>
          </yVal>
          <smooth val="0"/>
        </ser>
        <ser>
          <idx val="14"/>
          <order val="14"/>
          <tx>
            <v>bar 13</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'Geometry'!$AQ$3:$AQ$15</f>
            </numRef>
          </xVal>
          <yVal>
            <numRef>
              <f>'Geometry'!$AR$3:$AR$15</f>
            </numRef>
          </yVal>
          <smooth val="0"/>
        </ser>
        <ser>
          <idx val="15"/>
          <order val="15"/>
          <tx>
            <v>bar 14</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'Geometry'!$AT$3:$AT$15</f>
            </numRef>
          </xVal>
          <yVal>
            <numRef>
              <f>'Geometry'!$AU$3:$AU$15</f>
            </numRef>
          </yVal>
          <smooth val="0"/>
        </ser>
        <ser>
          <idx val="16"/>
          <order val="16"/>
          <tx>
            <v>bar 15</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'Geometry'!$AW$3:$AW$15</f>
            </numRef>
          </xVal>
          <yVal>
            <numRef>
              <f>'Geometry'!$AX$3:$AX$15</f>
            </numRef>
          </yVal>
          <smooth val="0"/>
        </ser>
        <ser>
          <idx val="17"/>
          <order val="17"/>
          <tx>
            <v>bar 16</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'Geometry'!$AZ$3:$AZ$15</f>
            </numRef>
          </xVal>
          <yVal>
            <numRef>
              <f>'Geometry'!$BA$3:$BA$15</f>
            </numRef>
          </yVal>
          <smooth val="0"/>
        </ser>
        <ser>
          <idx val="18"/>
          <order val="18"/>
          <tx>
            <v>bar 17</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'Geometry'!$BC$3:$BC$15</f>
            </numRef>
          </xVal>
          <yVal>
            <numRef>
              <f>'Geometry'!$BD$3:$BD$15</f>
            </numRef>
          </yVal>
          <smooth val="0"/>
        </ser>
        <ser>
          <idx val="19"/>
          <order val="19"/>
          <tx>
            <v>bar 18</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'Geometry'!$BF$3:$BF$15</f>
            </numRef>
          </xVal>
          <yVal>
            <numRef>
              <f>'Geometry'!$BG$3:$BG$15</f>
            </numRef>
          </yVal>
          <smooth val="0"/>
        </ser>
        <ser>
          <idx val="20"/>
          <order val="20"/>
          <tx>
            <v>bar 19</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'Geometry'!$BI$3:$BI$15</f>
            </numRef>
          </xVal>
          <yVal>
            <numRef>
              <f>'Geometry'!$BJ$3:$BJ$15</f>
            </numRef>
          </yVal>
          <smooth val="0"/>
        </ser>
        <ser>
          <idx val="21"/>
          <order val="21"/>
          <tx>
            <v>bar 20</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'Geometry'!$BL$3:$BL$15</f>
            </numRef>
          </xVal>
          <yVal>
            <numRef>
              <f>'Geometry'!$BM$3:$BM$15</f>
            </numRef>
          </yVal>
          <smooth val="0"/>
        </ser>
        <ser>
          <idx val="22"/>
          <order val="22"/>
          <tx>
            <v>bar 21</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'Geometry'!$BO$3:$BO$15</f>
            </numRef>
          </xVal>
          <yVal>
            <numRef>
              <f>'Geometry'!$BP$3:$BP$15</f>
            </numRef>
          </yVal>
          <smooth val="0"/>
        </ser>
        <ser>
          <idx val="23"/>
          <order val="23"/>
          <tx>
            <v>bar 22</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'Geometry'!$BR$3:$BR$15</f>
            </numRef>
          </xVal>
          <yVal>
            <numRef>
              <f>'Geometry'!$BS$3:$BS$15</f>
            </numRef>
          </yVal>
          <smooth val="0"/>
        </ser>
        <ser>
          <idx val="24"/>
          <order val="24"/>
          <tx>
            <v>bar 23</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'Geometry'!$BU$3:$BU$15</f>
            </numRef>
          </xVal>
          <yVal>
            <numRef>
              <f>'Geometry'!$BV$3:$BV$15</f>
            </numRef>
          </yVal>
          <smooth val="0"/>
        </ser>
        <ser>
          <idx val="25"/>
          <order val="25"/>
          <tx>
            <v>bar 24</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'Geometry'!$BX$3:$BX$15</f>
            </numRef>
          </xVal>
          <yVal>
            <numRef>
              <f>'Geometry'!$BY$3:$BY$15</f>
            </numRef>
          </yVal>
          <smooth val="0"/>
        </ser>
        <ser>
          <idx val="26"/>
          <order val="26"/>
          <tx>
            <v>bar 25</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'Geometry'!$CA$3:$CA$15</f>
            </numRef>
          </xVal>
          <yVal>
            <numRef>
              <f>'Geometry'!$CB$3:$CB$15</f>
            </numRef>
          </yVal>
          <smooth val="0"/>
        </ser>
        <ser>
          <idx val="27"/>
          <order val="27"/>
          <tx>
            <v>bar 26</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'Geometry'!$CD$3:$CD$15</f>
            </numRef>
          </xVal>
          <yVal>
            <numRef>
              <f>'Geometry'!$CE$3:$CE$15</f>
            </numRef>
          </yVal>
          <smooth val="0"/>
        </ser>
        <ser>
          <idx val="28"/>
          <order val="28"/>
          <tx>
            <v>bar 27</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'Geometry'!$CG$3:$CG$15</f>
            </numRef>
          </xVal>
          <yVal>
            <numRef>
              <f>'Geometry'!$CH$3:$CH$15</f>
            </numRef>
          </yVal>
          <smooth val="0"/>
        </ser>
        <ser>
          <idx val="29"/>
          <order val="29"/>
          <tx>
            <v>bar 28</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'Geometry'!$CJ$3:$CJ$15</f>
            </numRef>
          </xVal>
          <yVal>
            <numRef>
              <f>'Geometry'!$CK$3:$CK$15</f>
            </numRef>
          </yVal>
          <smooth val="0"/>
        </ser>
        <ser>
          <idx val="30"/>
          <order val="30"/>
          <tx>
            <v>bar 29</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'Geometry'!$CM$3:$CM$15</f>
            </numRef>
          </xVal>
          <yVal>
            <numRef>
              <f>'Geometry'!$CN$3:$CN$15</f>
            </numRef>
          </yVal>
          <smooth val="0"/>
        </ser>
        <ser>
          <idx val="31"/>
          <order val="31"/>
          <tx>
            <v>neutral axis</v>
          </tx>
          <spPr>
            <a:ln xmlns:a="http://schemas.openxmlformats.org/drawingml/2006/main" w="12700">
              <a:solidFill>
                <a:srgbClr val="5B7F8A"/>
              </a:solidFill>
              <a:prstDash val="dash"/>
            </a:ln>
          </spPr>
          <marker>
            <symbol val="none"/>
            <spPr>
              <a:ln xmlns:a="http://schemas.openxmlformats.org/drawingml/2006/main">
                <a:prstDash val="solid"/>
              </a:ln>
            </spPr>
          </marker>
          <xVal>
            <numRef>
              <f>'Geometry'!$CP$3:$CP$4</f>
            </numRef>
          </xVal>
          <yVal>
            <numRef>
              <f>'Geometry'!$CQ$3:$CQ$4</f>
            </numRef>
          </yVal>
          <smooth val="0"/>
        </ser>
        <ser>
          <idx val="32"/>
          <order val="32"/>
          <tx>
            <v>hc,ef</v>
          </tx>
          <spPr>
            <a:ln xmlns:a="http://schemas.openxmlformats.org/drawingml/2006/main" w="12700">
              <a:solidFill>
                <a:srgbClr val="B3261E"/>
              </a:solidFill>
              <a:prstDash val="sysDot"/>
            </a:ln>
          </spPr>
          <marker>
            <symbol val="none"/>
            <spPr>
              <a:ln xmlns:a="http://schemas.openxmlformats.org/drawingml/2006/main">
                <a:prstDash val="solid"/>
              </a:ln>
            </spPr>
          </marker>
          <xVal>
            <numRef>
              <f>'Geometry'!$CS$3:$CS$4</f>
            </numRef>
          </xVal>
          <yVal>
            <numRef>
              <f>'Geometry'!$CT$3:$CT$4</f>
            </numRef>
          </yVal>
          <smooth val="0"/>
        </ser>
        <ser>
          <idx val="33"/>
          <order val="33"/>
          <tx>
            <v>dim</v>
          </tx>
          <spPr>
            <a:ln xmlns:a="http://schemas.openxmlformats.org/drawingml/2006/main" w="9525">
              <a:solidFill>
                <a:srgbClr val="2B2B2B"/>
              </a:solidFill>
              <a:prstDash val="solid"/>
              <a:headEnd type="triangle" w="sm" len="sm"/>
              <a:tailEnd type="triangle" w="sm" len="sm"/>
            </a:ln>
          </spPr>
          <marker>
            <symbol val="none"/>
            <spPr>
              <a:ln xmlns:a="http://schemas.openxmlformats.org/drawingml/2006/main">
                <a:prstDash val="solid"/>
              </a:ln>
            </spPr>
          </marker>
          <xVal>
            <numRef>
              <f>'Geometry'!$CV$3:$CV$4</f>
            </numRef>
          </xVal>
          <yVal>
            <numRef>
              <f>'Geometry'!$CW$3:$CW$4</f>
            </numRef>
          </yVal>
          <smooth val="0"/>
        </ser>
        <ser>
          <idx val="34"/>
          <order val="34"/>
          <tx>
            <strRef>
              <f>'Geometry'!$CY$2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2B2B2B"/>
                    </a:solidFill>
                  </a:defRPr>
                </a:pPr>
                <a:r>
                  <a:t/>
                </a:r>
                <a:endParaRPr sz="900">
                  <a:solidFill>
                    <a:srgbClr val="2B2B2B"/>
                  </a:solidFill>
                </a:endParaRPr>
              </a:p>
            </txPr>
            <dLblPos val="b"/>
            <showLegendKey val="0"/>
            <showVal val="0"/>
            <showCatName val="0"/>
            <showSerName val="1"/>
            <showPercent val="0"/>
          </dLbls>
          <xVal>
            <numRef>
              <f>'Geometry'!$CY$3</f>
            </numRef>
          </xVal>
          <yVal>
            <numRef>
              <f>'Geometry'!$CZ$3</f>
            </numRef>
          </yVal>
          <smooth val="0"/>
        </ser>
        <ser>
          <idx val="35"/>
          <order val="35"/>
          <tx>
            <v>dim</v>
          </tx>
          <spPr>
            <a:ln xmlns:a="http://schemas.openxmlformats.org/drawingml/2006/main" w="9525">
              <a:solidFill>
                <a:srgbClr val="2B2B2B"/>
              </a:solidFill>
              <a:prstDash val="solid"/>
              <a:headEnd type="triangle" w="sm" len="sm"/>
              <a:tailEnd type="triangle" w="sm" len="sm"/>
            </a:ln>
          </spPr>
          <marker>
            <symbol val="none"/>
            <spPr>
              <a:ln xmlns:a="http://schemas.openxmlformats.org/drawingml/2006/main">
                <a:prstDash val="solid"/>
              </a:ln>
            </spPr>
          </marker>
          <xVal>
            <numRef>
              <f>'Geometry'!$DB$3:$DB$4</f>
            </numRef>
          </xVal>
          <yVal>
            <numRef>
              <f>'Geometry'!$DC$3:$DC$4</f>
            </numRef>
          </yVal>
          <smooth val="0"/>
        </ser>
        <ser>
          <idx val="36"/>
          <order val="36"/>
          <tx>
            <strRef>
              <f>'Geometry'!$DE$2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2B2B2B"/>
                    </a:solidFill>
                  </a:defRPr>
                </a:pPr>
                <a:r>
                  <a:t/>
                </a:r>
                <a:endParaRPr sz="900">
                  <a:solidFill>
                    <a:srgbClr val="2B2B2B"/>
                  </a:solidFill>
                </a:endParaRPr>
              </a:p>
            </txPr>
            <dLblPos val="l"/>
            <showLegendKey val="0"/>
            <showVal val="0"/>
            <showCatName val="0"/>
            <showSerName val="1"/>
            <showPercent val="0"/>
          </dLbls>
          <xVal>
            <numRef>
              <f>'Geometry'!$DE$3</f>
            </numRef>
          </xVal>
          <yVal>
            <numRef>
              <f>'Geometry'!$DF$3</f>
            </numRef>
          </yVal>
          <smooth val="0"/>
        </ser>
        <ser>
          <idx val="37"/>
          <order val="37"/>
          <tx>
            <v>dim</v>
          </tx>
          <spPr>
            <a:ln xmlns:a="http://schemas.openxmlformats.org/drawingml/2006/main" w="9525">
              <a:solidFill>
                <a:srgbClr val="2B2B2B"/>
              </a:solidFill>
              <a:prstDash val="solid"/>
              <a:headEnd type="triangle" w="sm" len="sm"/>
              <a:tailEnd type="triangle" w="sm" len="sm"/>
            </a:ln>
          </spPr>
          <marker>
            <symbol val="none"/>
            <spPr>
              <a:ln xmlns:a="http://schemas.openxmlformats.org/drawingml/2006/main">
                <a:prstDash val="solid"/>
              </a:ln>
            </spPr>
          </marker>
          <xVal>
            <numRef>
              <f>'Geometry'!$DH$3:$DH$4</f>
            </numRef>
          </xVal>
          <yVal>
            <numRef>
              <f>'Geometry'!$DI$3:$DI$4</f>
            </numRef>
          </yVal>
          <smooth val="0"/>
        </ser>
        <ser>
          <idx val="38"/>
          <order val="38"/>
          <tx>
            <strRef>
              <f>'Geometry'!$DK$2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2B2B2B"/>
                    </a:solidFill>
                  </a:defRPr>
                </a:pPr>
                <a:r>
                  <a:t/>
                </a:r>
                <a:endParaRPr sz="900">
                  <a:solidFill>
                    <a:srgbClr val="2B2B2B"/>
                  </a:solidFill>
                </a:endParaRPr>
              </a:p>
            </txPr>
            <dLblPos val="t"/>
            <showLegendKey val="0"/>
            <showVal val="0"/>
            <showCatName val="0"/>
            <showSerName val="1"/>
            <showPercent val="0"/>
          </dLbls>
          <xVal>
            <numRef>
              <f>'Geometry'!$DK$3</f>
            </numRef>
          </xVal>
          <yVal>
            <numRef>
              <f>'Geometry'!$DL$3</f>
            </numRef>
          </yVal>
          <smooth val="0"/>
        </ser>
        <ser>
          <idx val="39"/>
          <order val="39"/>
          <tx>
            <v>dim</v>
          </tx>
          <spPr>
            <a:ln xmlns:a="http://schemas.openxmlformats.org/drawingml/2006/main" w="9525">
              <a:solidFill>
                <a:srgbClr val="2B2B2B"/>
              </a:solidFill>
              <a:prstDash val="solid"/>
              <a:headEnd type="triangle" w="sm" len="sm"/>
              <a:tailEnd type="triangle" w="sm" len="sm"/>
            </a:ln>
          </spPr>
          <marker>
            <symbol val="none"/>
            <spPr>
              <a:ln xmlns:a="http://schemas.openxmlformats.org/drawingml/2006/main">
                <a:prstDash val="solid"/>
              </a:ln>
            </spPr>
          </marker>
          <xVal>
            <numRef>
              <f>'Geometry'!$DN$3:$DN$4</f>
            </numRef>
          </xVal>
          <yVal>
            <numRef>
              <f>'Geometry'!$DO$3:$DO$4</f>
            </numRef>
          </yVal>
          <smooth val="0"/>
        </ser>
        <ser>
          <idx val="40"/>
          <order val="40"/>
          <tx>
            <strRef>
              <f>'Geometry'!$DQ$2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2B2B2B"/>
                    </a:solidFill>
                  </a:defRPr>
                </a:pPr>
                <a:r>
                  <a:t/>
                </a:r>
                <a:endParaRPr sz="900">
                  <a:solidFill>
                    <a:srgbClr val="2B2B2B"/>
                  </a:solidFill>
                </a:endParaRPr>
              </a:p>
            </txPr>
            <dLblPos val="l"/>
            <showLegendKey val="0"/>
            <showVal val="0"/>
            <showCatName val="0"/>
            <showSerName val="1"/>
            <showPercent val="0"/>
          </dLbls>
          <xVal>
            <numRef>
              <f>'Geometry'!$DQ$3</f>
            </numRef>
          </xVal>
          <yVal>
            <numRef>
              <f>'Geometry'!$DR$3</f>
            </numRef>
          </yVal>
          <smooth val="0"/>
        </ser>
        <ser>
          <idx val="41"/>
          <order val="41"/>
          <tx>
            <v>dim</v>
          </tx>
          <spPr>
            <a:ln xmlns:a="http://schemas.openxmlformats.org/drawingml/2006/main" w="9525">
              <a:solidFill>
                <a:srgbClr val="2B2B2B"/>
              </a:solidFill>
              <a:prstDash val="solid"/>
              <a:headEnd type="triangle" w="sm" len="sm"/>
              <a:tailEnd type="triangle" w="sm" len="sm"/>
            </a:ln>
          </spPr>
          <marker>
            <symbol val="none"/>
            <spPr>
              <a:ln xmlns:a="http://schemas.openxmlformats.org/drawingml/2006/main">
                <a:prstDash val="solid"/>
              </a:ln>
            </spPr>
          </marker>
          <xVal>
            <numRef>
              <f>'Geometry'!$DT$3:$DT$4</f>
            </numRef>
          </xVal>
          <yVal>
            <numRef>
              <f>'Geometry'!$DU$3:$DU$4</f>
            </numRef>
          </yVal>
          <smooth val="0"/>
        </ser>
        <ser>
          <idx val="42"/>
          <order val="42"/>
          <tx>
            <strRef>
              <f>'Geometry'!$DW$2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2B2B2B"/>
                    </a:solidFill>
                  </a:defRPr>
                </a:pPr>
                <a:r>
                  <a:t/>
                </a:r>
                <a:endParaRPr sz="900">
                  <a:solidFill>
                    <a:srgbClr val="2B2B2B"/>
                  </a:solidFill>
                </a:endParaRPr>
              </a:p>
            </txPr>
            <dLblPos val="r"/>
            <showLegendKey val="0"/>
            <showVal val="0"/>
            <showCatName val="0"/>
            <showSerName val="1"/>
            <showPercent val="0"/>
          </dLbls>
          <xVal>
            <numRef>
              <f>'Geometry'!$DW$3</f>
            </numRef>
          </xVal>
          <yVal>
            <numRef>
              <f>'Geometry'!$DX$3</f>
            </numRef>
          </yVal>
          <smooth val="0"/>
        </ser>
        <ser>
          <idx val="43"/>
          <order val="43"/>
          <tx>
            <v>dim</v>
          </tx>
          <spPr>
            <a:ln xmlns:a="http://schemas.openxmlformats.org/drawingml/2006/main" w="9525">
              <a:solidFill>
                <a:srgbClr val="B3261E"/>
              </a:solidFill>
              <a:prstDash val="solid"/>
              <a:headEnd type="triangle" w="sm" len="sm"/>
              <a:tailEnd type="triangle" w="sm" len="sm"/>
            </a:ln>
          </spPr>
          <marker>
            <symbol val="none"/>
            <spPr>
              <a:ln xmlns:a="http://schemas.openxmlformats.org/drawingml/2006/main">
                <a:prstDash val="solid"/>
              </a:ln>
            </spPr>
          </marker>
          <xVal>
            <numRef>
              <f>'Geometry'!$DZ$3:$DZ$4</f>
            </numRef>
          </xVal>
          <yVal>
            <numRef>
              <f>'Geometry'!$EA$3:$EA$4</f>
            </numRef>
          </yVal>
          <smooth val="0"/>
        </ser>
        <ser>
          <idx val="44"/>
          <order val="44"/>
          <tx>
            <strRef>
              <f>'Geometry'!$EC$2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B3261E"/>
                    </a:solidFill>
                  </a:defRPr>
                </a:pPr>
                <a:r>
                  <a:t/>
                </a:r>
                <a:endParaRPr sz="900">
                  <a:solidFill>
                    <a:srgbClr val="B3261E"/>
                  </a:solidFill>
                </a:endParaRPr>
              </a:p>
            </txPr>
            <dLblPos val="r"/>
            <showLegendKey val="0"/>
            <showVal val="0"/>
            <showCatName val="0"/>
            <showSerName val="1"/>
            <showPercent val="0"/>
          </dLbls>
          <xVal>
            <numRef>
              <f>'Geometry'!$EC$3</f>
            </numRef>
          </xVal>
          <yVal>
            <numRef>
              <f>'Geometry'!$ED$3</f>
            </numRef>
          </yVal>
          <smooth val="0"/>
        </ser>
        <ser>
          <idx val="45"/>
          <order val="45"/>
          <tx>
            <strRef>
              <f>'Geometry'!$EF$2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2B2B2B"/>
                    </a:solidFill>
                  </a:defRPr>
                </a:pPr>
                <a:r>
                  <a:t/>
                </a:r>
                <a:endParaRPr sz="900">
                  <a:solidFill>
                    <a:srgbClr val="2B2B2B"/>
                  </a:solidFill>
                </a:endParaRPr>
              </a:p>
            </txPr>
            <dLblPos val="t"/>
            <showLegendKey val="0"/>
            <showVal val="0"/>
            <showCatName val="0"/>
            <showSerName val="1"/>
            <showPercent val="0"/>
          </dLbls>
          <xVal>
            <numRef>
              <f>'Geometry'!$EF$3</f>
            </numRef>
          </xVal>
          <yVal>
            <numRef>
              <f>'Geometry'!$EG$3</f>
            </numRef>
          </yVal>
          <smooth val="0"/>
        </ser>
        <ser>
          <idx val="46"/>
          <order val="46"/>
          <tx>
            <v>frame</v>
          </tx>
          <spPr>
            <a:ln xmlns:a="http://schemas.openxmlformats.org/drawingml/2006/main">
              <a:noFill/>
              <a:prstDash val="solid"/>
            </a:ln>
          </spPr>
          <marker>
            <symbol val="none"/>
            <spPr>
              <a:ln xmlns:a="http://schemas.openxmlformats.org/drawingml/2006/main">
                <a:prstDash val="solid"/>
              </a:ln>
            </spPr>
          </marker>
          <xVal>
            <numRef>
              <f>'Geometry'!$EI$3:$EI$4</f>
            </numRef>
          </xVal>
          <yVal>
            <numRef>
              <f>'Geometry'!$EJ$3:$EJ$4</f>
            </numRef>
          </yVal>
          <smooth val="0"/>
        </ser>
        <axId val="10"/>
        <axId val="20"/>
      </scatterChart>
      <valAx>
        <axId val="10"/>
        <scaling>
          <orientation val="minMax"/>
        </scaling>
        <delete val="1"/>
        <axPos val="l"/>
        <majorTickMark val="none"/>
        <minorTickMark val="none"/>
        <crossAx val="20"/>
      </valAx>
      <valAx>
        <axId val="20"/>
        <scaling>
          <orientation val="minMax"/>
        </scaling>
        <delete val="1"/>
        <axPos val="l"/>
        <majorTickMark val="none"/>
        <minorTickMark val="none"/>
        <crossAx val="10"/>
      </valAx>
    </plotArea>
    <plotVisOnly val="1"/>
    <dispBlanksAs val="gap"/>
  </chart>
  <spPr>
    <a:ln xmlns:a="http://schemas.openxmlformats.org/drawingml/2006/main">
      <a:noFill/>
      <a:prstDash val="solid"/>
    </a:ln>
  </spPr>
</chartSpace>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chart" Target="/xl/charts/chart1.xml" Id="rId1"/><Relationship Type="http://schemas.openxmlformats.org/officeDocument/2006/relationships/image" Target="/xl/media/image2.png" Id="rId2"/></Relationships>
</file>

<file path=xl/drawings/drawing1.xml><?xml version="1.0" encoding="utf-8"?>
<wsDr xmlns="http://schemas.openxmlformats.org/drawingml/2006/spreadsheetDrawing">
  <oneCellAnchor>
    <from>
      <col>1</col>
      <colOff>0</colOff>
      <row>1</row>
      <rowOff>0</rowOff>
    </from>
    <ext cx="2847975" cy="6096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2</col>
      <colOff>0</colOff>
      <row>26</row>
      <rowOff>0</rowOff>
    </from>
    <ext cx="4464000" cy="288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1</col>
      <colOff>0</colOff>
      <row>1</row>
      <rowOff>0</rowOff>
    </from>
    <ext cx="1514475" cy="32385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naengineering.uk" TargetMode="External" Id="rId1"/><Relationship Type="http://schemas.openxmlformats.org/officeDocument/2006/relationships/hyperlink" Target="mailto:adrian@naengineering.uk" TargetMode="External" Id="rId2"/><Relationship Type="http://schemas.openxmlformats.org/officeDocument/2006/relationships/hyperlink" Target="https://www.linkedin.com/company/naengineering" TargetMode="External" Id="rId3"/><Relationship Type="http://schemas.openxmlformats.org/officeDocument/2006/relationships/drawing" Target="/xl/drawings/drawing1.xml" Id="rId4"/></Relationships>
</file>

<file path=xl/worksheets/_rels/sheet2.xml.rels><Relationships xmlns="http://schemas.openxmlformats.org/package/2006/relationships"><Relationship Type="http://schemas.openxmlformats.org/officeDocument/2006/relationships/drawing" Target="/xl/drawings/drawing2.xml" Id="rId1"/></Relationships>
</file>

<file path=xl/worksheets/sheet1.xml><?xml version="1.0" encoding="utf-8"?>
<worksheet xmlns="http://schemas.openxmlformats.org/spreadsheetml/2006/main">
  <sheetPr>
    <outlinePr summaryBelow="1" summaryRight="1"/>
    <pageSetUpPr fitToPage="1"/>
  </sheetPr>
  <dimension ref="A1:D38"/>
  <sheetViews>
    <sheetView showGridLines="0" tabSelected="0" workbookViewId="0">
      <selection activeCell="A1" sqref="A1"/>
    </sheetView>
  </sheetViews>
  <sheetFormatPr baseColWidth="8" defaultRowHeight="15"/>
  <cols>
    <col width="4" customWidth="1" min="1" max="1"/>
    <col width="24" customWidth="1" min="2" max="2"/>
    <col width="78" customWidth="1" min="3" max="3"/>
    <col width="4" customWidth="1" min="4" max="4"/>
  </cols>
  <sheetData>
    <row r="1" ht="14" customHeight="1">
      <c r="A1" s="1" t="n"/>
      <c r="B1" s="1" t="n"/>
      <c r="C1" s="1" t="n"/>
      <c r="D1" s="1" t="n"/>
    </row>
    <row r="2" ht="50" customHeight="1">
      <c r="A2" s="1" t="n"/>
      <c r="B2" s="1" t="n"/>
      <c r="C2" s="1" t="n"/>
      <c r="D2" s="1" t="n"/>
    </row>
    <row r="3" ht="14" customHeight="1">
      <c r="A3" s="1" t="n"/>
      <c r="B3" s="1" t="n"/>
      <c r="C3" s="1" t="n"/>
      <c r="D3" s="1" t="n"/>
    </row>
    <row r="4" ht="18" customHeight="1">
      <c r="A4" s="1" t="n"/>
      <c r="B4" s="1" t="n"/>
      <c r="C4" s="2" t="inlineStr">
        <is>
          <t>Structural design  ·  RC modelling &amp; detailing  ·  Steel detailing</t>
        </is>
      </c>
      <c r="D4" s="1" t="n"/>
    </row>
    <row r="5" ht="10" customHeight="1">
      <c r="A5" s="1" t="n"/>
      <c r="B5" s="1" t="n"/>
      <c r="C5" s="1" t="n"/>
      <c r="D5" s="1" t="n"/>
    </row>
    <row r="7" ht="36" customHeight="1">
      <c r="B7" s="3" t="inlineStr">
        <is>
          <t>Crack width</t>
        </is>
      </c>
    </row>
    <row r="8" ht="20" customHeight="1">
      <c r="B8" s="4" t="inlineStr">
        <is>
          <t>Flexural cracking  ·  EN 1992-1-1 §7.3  ·  UK NA / PN-EN</t>
        </is>
      </c>
    </row>
    <row r="10">
      <c r="B10" s="5" t="inlineStr">
        <is>
          <t>Reference</t>
        </is>
      </c>
      <c r="C10" s="6" t="inlineStr">
        <is>
          <t>NAE-RC-003  ·  version 1.0</t>
        </is>
      </c>
    </row>
    <row r="11" ht="31" customHeight="1">
      <c r="B11" s="5" t="inlineStr">
        <is>
          <t>Standards</t>
        </is>
      </c>
      <c r="C11" s="7" t="inlineStr">
        <is>
          <t>BS EN 1992-1-1:2004 with UK NA  ·  PN-EN 1992-1-1:2008 with Polish NA (NDP sources listed on the NDP sheet)</t>
        </is>
      </c>
    </row>
    <row r="12">
      <c r="B12" s="5" t="inlineStr">
        <is>
          <t>National Annex</t>
        </is>
      </c>
      <c r="C12" s="6" t="inlineStr">
        <is>
          <t>Selectable: UK NA to BS EN 1992-1-1 or Polish NA to PN-EN 1992-1-1</t>
        </is>
      </c>
    </row>
    <row r="13">
      <c r="B13" s="5" t="inlineStr">
        <is>
          <t>Issued</t>
        </is>
      </c>
      <c r="C13" s="6" t="inlineStr">
        <is>
          <t>30 October 2026</t>
        </is>
      </c>
    </row>
    <row r="15" ht="20" customHeight="1">
      <c r="B15" s="8" t="inlineStr">
        <is>
          <t>What it does</t>
        </is>
      </c>
      <c r="C15" s="9" t="n"/>
    </row>
    <row r="16" ht="33" customHeight="1">
      <c r="B16" s="7" t="inlineStr">
        <is>
          <t>Calculated crack width wk of a rectangular reinforced concrete section in bending under the quasi-permanent moment, with the minimum reinforcement check for crack control and the steel stress limit of 7.2(5).</t>
        </is>
      </c>
    </row>
    <row r="18" ht="20" customHeight="1">
      <c r="B18" s="8" t="inlineStr">
        <is>
          <t>How to use</t>
        </is>
      </c>
      <c r="C18" s="9" t="n"/>
    </row>
    <row r="19" ht="47.5" customHeight="1">
      <c r="B19" s="7" t="inlineStr">
        <is>
          <t>1.  Open the Calculation sheet and select the National Annex.
2.  Fill in the shaded input cells. Everything else is calculated.
3.  Read the Results block; every step below it quotes its clause. Print or save as PDF for your calculation package.</t>
        </is>
      </c>
    </row>
    <row r="21" ht="20" customHeight="1">
      <c r="B21" s="8" t="inlineStr">
        <is>
          <t>Scope and limitations</t>
        </is>
      </c>
      <c r="C21" s="9" t="n"/>
    </row>
    <row r="22" ht="62" customHeight="1">
      <c r="B22" s="7" t="inlineStr">
        <is>
          <t>Rectangular section, one layer of tension bars of one size, pure bending (no axial force). Cracked elastic analysis with the effective modulus Ec,eff = Ecm / (1 + φ). Cracking from restrained early-age thermal and shrinkage strains is not covered; use CIRIA C766 for that. Concrete classes up to C50/60.
The second-generation EN 1992-1-1:2023 is not yet implemented.</t>
        </is>
      </c>
    </row>
    <row r="24" ht="20" customHeight="1">
      <c r="B24" s="8" t="inlineStr">
        <is>
          <t>Further reading and independent cross-check</t>
        </is>
      </c>
      <c r="C24" s="9" t="n"/>
    </row>
    <row r="25" ht="105.5" customHeight="1">
      <c r="B25" s="10" t="inlineStr">
        <is>
          <t>•  CIRIA C766, Control of cracking caused by restrained deformation in concrete (2018), for early-age and restraint cracking.
•  The Concrete Centre, How to design concrete structures using Eurocode 2: Serviceability.
•  The Concrete Centre, RC Spreadsheets v4, TCC14 Crack Width (licensed product) can be used as an independent cross-check.
NA Engineering is not affiliated with The Concrete Centre or CIRIA; their publications are referenced for information only.</t>
        </is>
      </c>
    </row>
    <row r="27" ht="20" customHeight="1">
      <c r="B27" s="8" t="inlineStr">
        <is>
          <t>About NA Engineering</t>
        </is>
      </c>
      <c r="C27" s="9" t="n"/>
    </row>
    <row r="28" ht="62" customHeight="1">
      <c r="B28" s="7" t="inlineStr">
        <is>
          <t>NA Engineering is a structural engineering consultancy delivering structural design, reinforced concrete modelling and detailing, and steel detailing for residential, commercial, infrastructure, energy and refurbishment projects. We share tools like this one because good engineering should be transparent: every formula here is visible and referenced. If you need a design, a check or a full detailing package, talk to us.</t>
        </is>
      </c>
    </row>
    <row r="29">
      <c r="B29" s="11" t="inlineStr">
        <is>
          <t>Website</t>
        </is>
      </c>
      <c r="C29" s="12" t="inlineStr">
        <is>
          <t>naengineering.uk</t>
        </is>
      </c>
    </row>
    <row r="30">
      <c r="B30" s="11" t="inlineStr">
        <is>
          <t>Email</t>
        </is>
      </c>
      <c r="C30" s="12" t="inlineStr">
        <is>
          <t>adrian@naengineering.uk</t>
        </is>
      </c>
    </row>
    <row r="31">
      <c r="B31" s="11" t="inlineStr">
        <is>
          <t>Phone</t>
        </is>
      </c>
      <c r="C31" s="6" t="inlineStr">
        <is>
          <t>+48 505 844 422</t>
        </is>
      </c>
    </row>
    <row r="32">
      <c r="B32" s="11" t="inlineStr">
        <is>
          <t>LinkedIn</t>
        </is>
      </c>
      <c r="C32" s="12" t="inlineStr">
        <is>
          <t>linkedin.com/company/naengineering</t>
        </is>
      </c>
    </row>
    <row r="34" ht="20" customHeight="1">
      <c r="B34" s="8" t="inlineStr">
        <is>
          <t>Disclaimer</t>
        </is>
      </c>
      <c r="C34" s="9" t="n"/>
    </row>
    <row r="35" ht="76.5" customHeight="1">
      <c r="B35" s="13" t="inlineStr">
        <is>
          <t>This spreadsheet is provided free of charge, as is, for use by competent engineers. It does not replace engineering judgement. The user is responsible for the input, for checking that the method suits the element being designed and for verifying the results. NA Engineering accepts no liability for any loss arising from its use. Sheets are password-protected and the workbook structure is locked so that the formulas and the NA Engineering details cannot be changed; only the shaded input cells can be edited.</t>
        </is>
      </c>
    </row>
    <row r="37" ht="20" customHeight="1">
      <c r="B37" s="8" t="inlineStr">
        <is>
          <t>Revision history</t>
        </is>
      </c>
      <c r="C37" s="9" t="n"/>
    </row>
    <row r="38">
      <c r="B38" s="5" t="inlineStr">
        <is>
          <t>v1.0</t>
        </is>
      </c>
      <c r="C38" s="6" t="inlineStr">
        <is>
          <t>30 Oct 2026  ·  First issue</t>
        </is>
      </c>
    </row>
  </sheetData>
  <sheetProtection selectLockedCells="0" selectUnlockedCells="0" sheet="1" objects="1" insertRows="1" insertHyperlinks="1" autoFilter="1" scenarios="0" formatColumns="1" deleteColumns="1" insertColumns="1" pivotTables="1" deleteRows="1" formatCells="1" formatRows="1" sort="1" password="AA0A"/>
  <mergeCells count="6">
    <mergeCell ref="B16:C16"/>
    <mergeCell ref="B25:C25"/>
    <mergeCell ref="B19:C19"/>
    <mergeCell ref="B28:C28"/>
    <mergeCell ref="B22:C22"/>
    <mergeCell ref="B35:C35"/>
  </mergeCells>
  <hyperlinks>
    <hyperlink xmlns:r="http://schemas.openxmlformats.org/officeDocument/2006/relationships" ref="C29" r:id="rId1"/>
    <hyperlink xmlns:r="http://schemas.openxmlformats.org/officeDocument/2006/relationships" ref="C30" r:id="rId2"/>
    <hyperlink xmlns:r="http://schemas.openxmlformats.org/officeDocument/2006/relationships" ref="C32" r:id="rId3"/>
  </hyperlinks>
  <printOptions horizontalCentered="1"/>
  <pageMargins left="0.4" right="0.4" top="0.4" bottom="0.6" header="0.5" footer="0.5"/>
  <pageSetup orientation="portrait" paperSize="9" fitToHeight="1" fitToWidth="1"/>
  <headerFooter>
    <oddHeader/>
    <oddFooter>&amp;L&amp;7 &amp;K8A8A8ANA Engineering sp. z o.o.  ·  naengineering.uk  ·  adrian@naengineering.uk  ·  +48 505 844 422&amp;C&amp;7 &amp;K8A8A8A&amp;P / &amp;N&amp;R&amp;7 &amp;K8A8A8ANAE-RC-003  v1.0</oddFooter>
    <evenHeader/>
    <evenFooter/>
    <firstHeader/>
    <firstFooter/>
  </headerFooter>
  <drawing xmlns:r="http://schemas.openxmlformats.org/officeDocument/2006/relationships" r:id="rId4"/>
</worksheet>
</file>

<file path=xl/worksheets/sheet2.xml><?xml version="1.0" encoding="utf-8"?>
<worksheet xmlns="http://schemas.openxmlformats.org/spreadsheetml/2006/main">
  <sheetPr>
    <outlinePr summaryBelow="1" summaryRight="1"/>
    <pageSetUpPr fitToPage="1"/>
  </sheetPr>
  <dimension ref="A1:H79"/>
  <sheetViews>
    <sheetView showGridLines="0" tabSelected="1" workbookViewId="0">
      <selection activeCell="A1" sqref="A1"/>
    </sheetView>
  </sheetViews>
  <sheetFormatPr baseColWidth="8" defaultRowHeight="15"/>
  <cols>
    <col width="2.5" customWidth="1" min="1" max="1"/>
    <col width="11" customWidth="1" min="2" max="2"/>
    <col width="46" customWidth="1" min="3" max="3"/>
    <col width="10" customWidth="1" min="4" max="4"/>
    <col width="13" customWidth="1" min="5" max="5"/>
    <col width="8" customWidth="1" min="6" max="6"/>
    <col width="22" customWidth="1" min="7" max="7"/>
    <col width="2.5" customWidth="1" min="8" max="8"/>
  </cols>
  <sheetData>
    <row r="1" ht="8" customHeight="1">
      <c r="A1" s="1" t="n"/>
      <c r="B1" s="1" t="n"/>
      <c r="C1" s="1" t="n"/>
      <c r="D1" s="1" t="n"/>
      <c r="E1" s="1" t="n"/>
      <c r="F1" s="1" t="n"/>
      <c r="G1" s="1" t="n"/>
      <c r="H1" s="1" t="n"/>
    </row>
    <row r="2" ht="30" customHeight="1">
      <c r="A2" s="1" t="n"/>
      <c r="B2" s="1" t="n"/>
      <c r="C2" s="1" t="n"/>
      <c r="D2" s="14" t="inlineStr">
        <is>
          <t>Crack width</t>
        </is>
      </c>
      <c r="H2" s="1" t="n"/>
    </row>
    <row r="3" ht="16" customHeight="1">
      <c r="A3" s="1" t="n"/>
      <c r="B3" s="1" t="n"/>
      <c r="C3" s="15" t="inlineStr">
        <is>
          <t>NAE-RC-003 v1.0  ·  naengineering.uk  ·  adrian@naengineering.uk  ·  +48 505 844 422</t>
        </is>
      </c>
      <c r="H3" s="1" t="n"/>
    </row>
    <row r="5">
      <c r="B5" s="16" t="inlineStr">
        <is>
          <t>Project</t>
        </is>
      </c>
      <c r="C5" s="17" t="n"/>
      <c r="D5" s="18" t="inlineStr">
        <is>
          <t>Job no.</t>
        </is>
      </c>
      <c r="E5" s="17" t="n"/>
    </row>
    <row r="6">
      <c r="B6" s="16" t="inlineStr">
        <is>
          <t>Element</t>
        </is>
      </c>
      <c r="C6" s="17" t="n"/>
      <c r="D6" s="18" t="inlineStr">
        <is>
          <t>Made by</t>
        </is>
      </c>
      <c r="E6" s="17" t="n"/>
    </row>
    <row r="7">
      <c r="B7" s="16" t="inlineStr">
        <is>
          <t>Date</t>
        </is>
      </c>
      <c r="C7" s="19" t="n"/>
      <c r="D7" s="18" t="inlineStr">
        <is>
          <t>Checked</t>
        </is>
      </c>
      <c r="E7" s="17" t="n"/>
    </row>
    <row r="10" ht="22" customHeight="1">
      <c r="B10" s="20" t="inlineStr">
        <is>
          <t>Inputs</t>
        </is>
      </c>
      <c r="C10" s="21" t="n"/>
      <c r="D10" s="21" t="n"/>
      <c r="E10" s="21" t="n"/>
      <c r="F10" s="21" t="n"/>
      <c r="G10" s="22" t="inlineStr">
        <is>
          <t>Shaded cells only</t>
        </is>
      </c>
    </row>
    <row r="11" ht="17" customHeight="1">
      <c r="B11" s="23" t="n"/>
      <c r="C11" s="24" t="inlineStr">
        <is>
          <t>National Annex</t>
        </is>
      </c>
      <c r="D11" s="23" t="n"/>
      <c r="E11" s="25" t="inlineStr">
        <is>
          <t>UK NA (BS EN)</t>
        </is>
      </c>
      <c r="F11" s="23" t="n"/>
      <c r="G11" s="23" t="n"/>
    </row>
    <row r="12" ht="17" customHeight="1">
      <c r="B12" s="26" t="inlineStr">
        <is>
          <t>Table 3.1</t>
        </is>
      </c>
      <c r="C12" s="24" t="inlineStr">
        <is>
          <t>Concrete strength class</t>
        </is>
      </c>
      <c r="D12" s="23" t="n"/>
      <c r="E12" s="25" t="inlineStr">
        <is>
          <t>C32/40</t>
        </is>
      </c>
      <c r="F12" s="23" t="n"/>
      <c r="G12" s="23" t="n"/>
    </row>
    <row r="13" ht="17" customHeight="1">
      <c r="B13" s="23" t="n"/>
      <c r="C13" s="24" t="inlineStr">
        <is>
          <t>Section width</t>
        </is>
      </c>
      <c r="D13" s="27" t="inlineStr">
        <is>
          <r>
            <rPr>
              <rFont val="Calibri"/>
              <i val="1"/>
              <color rgb="002B2B2B"/>
              <sz val="10"/>
            </rPr>
            <t>b</t>
          </r>
        </is>
      </c>
      <c r="E13" s="25" t="n">
        <v>1000</v>
      </c>
      <c r="F13" s="28" t="inlineStr">
        <is>
          <t>mm</t>
        </is>
      </c>
      <c r="G13" s="23" t="n"/>
    </row>
    <row r="14" ht="17" customHeight="1">
      <c r="B14" s="23" t="n"/>
      <c r="C14" s="24" t="inlineStr">
        <is>
          <t>Section depth</t>
        </is>
      </c>
      <c r="D14" s="27" t="inlineStr">
        <is>
          <r>
            <rPr>
              <rFont val="Calibri"/>
              <i val="1"/>
              <color rgb="002B2B2B"/>
              <sz val="10"/>
            </rPr>
            <t>h</t>
          </r>
        </is>
      </c>
      <c r="E14" s="25" t="n">
        <v>300</v>
      </c>
      <c r="F14" s="28" t="inlineStr">
        <is>
          <t>mm</t>
        </is>
      </c>
      <c r="G14" s="23" t="n"/>
    </row>
    <row r="15" ht="17" customHeight="1">
      <c r="B15" s="23" t="n"/>
      <c r="C15" s="24" t="inlineStr">
        <is>
          <t>Cover to the tension bars</t>
        </is>
      </c>
      <c r="D15" s="27" t="inlineStr">
        <is>
          <r>
            <rPr>
              <rFont val="Calibri"/>
              <i val="1"/>
              <color rgb="002B2B2B"/>
              <sz val="10"/>
            </rPr>
            <t>c</t>
          </r>
        </is>
      </c>
      <c r="E15" s="25" t="n">
        <v>40</v>
      </c>
      <c r="F15" s="28" t="inlineStr">
        <is>
          <t>mm</t>
        </is>
      </c>
      <c r="G15" s="23" t="n"/>
    </row>
    <row r="16" ht="17" customHeight="1">
      <c r="B16" s="23" t="n"/>
      <c r="C16" s="24" t="inlineStr">
        <is>
          <t>Bar diameter</t>
        </is>
      </c>
      <c r="D16" s="27" t="inlineStr">
        <is>
          <r>
            <rPr>
              <rFont val="Calibri"/>
              <i val="1"/>
              <color rgb="002B2B2B"/>
              <sz val="10"/>
            </rPr>
            <t>φ</t>
          </r>
        </is>
      </c>
      <c r="E16" s="25" t="n">
        <v>16</v>
      </c>
      <c r="F16" s="28" t="inlineStr">
        <is>
          <t>mm</t>
        </is>
      </c>
      <c r="G16" s="23" t="n"/>
    </row>
    <row r="17" ht="17" customHeight="1">
      <c r="B17" s="23" t="n"/>
      <c r="C17" s="24" t="inlineStr">
        <is>
          <t>Bar centres</t>
        </is>
      </c>
      <c r="D17" s="27" t="inlineStr">
        <is>
          <r>
            <rPr>
              <rFont val="Calibri"/>
              <i val="1"/>
              <color rgb="002B2B2B"/>
              <sz val="10"/>
            </rPr>
            <t>s</t>
          </r>
        </is>
      </c>
      <c r="E17" s="25" t="n">
        <v>150</v>
      </c>
      <c r="F17" s="28" t="inlineStr">
        <is>
          <t>mm</t>
        </is>
      </c>
      <c r="G17" s="23" t="n"/>
    </row>
    <row r="18" ht="17" customHeight="1">
      <c r="B18" s="23" t="n"/>
      <c r="C18" s="24" t="inlineStr">
        <is>
          <t>Quasi-permanent bending moment</t>
        </is>
      </c>
      <c r="D18" s="27" t="inlineStr">
        <is>
          <r>
            <rPr>
              <rFont val="Calibri"/>
              <i val="1"/>
              <color rgb="002B2B2B"/>
              <sz val="10"/>
            </rPr>
            <t>M</t>
          </r>
          <r>
            <rPr>
              <rFont val="Calibri"/>
              <i val="1"/>
              <color rgb="002B2B2B"/>
              <sz val="10"/>
              <vertAlign val="subscript"/>
            </rPr>
            <t>qp</t>
          </r>
        </is>
      </c>
      <c r="E18" s="29" t="n">
        <v>55</v>
      </c>
      <c r="F18" s="28" t="inlineStr">
        <is>
          <t>kNm</t>
        </is>
      </c>
      <c r="G18" s="26" t="inlineStr">
        <is>
          <t>For crack width</t>
        </is>
      </c>
    </row>
    <row r="19" ht="17" customHeight="1">
      <c r="B19" s="26" t="inlineStr">
        <is>
          <t>7.2(5)</t>
        </is>
      </c>
      <c r="C19" s="24" t="inlineStr">
        <is>
          <t>Characteristic bending moment</t>
        </is>
      </c>
      <c r="D19" s="27" t="inlineStr">
        <is>
          <r>
            <rPr>
              <rFont val="Calibri"/>
              <i val="1"/>
              <color rgb="002B2B2B"/>
              <sz val="10"/>
            </rPr>
            <t>M</t>
          </r>
          <r>
            <rPr>
              <rFont val="Calibri"/>
              <i val="1"/>
              <color rgb="002B2B2B"/>
              <sz val="10"/>
              <vertAlign val="subscript"/>
            </rPr>
            <t>k</t>
          </r>
        </is>
      </c>
      <c r="E19" s="29" t="n">
        <v>75</v>
      </c>
      <c r="F19" s="28" t="inlineStr">
        <is>
          <t>kNm</t>
        </is>
      </c>
      <c r="G19" s="26" t="inlineStr">
        <is>
          <t>For steel stress limit</t>
        </is>
      </c>
    </row>
    <row r="20" ht="17" customHeight="1">
      <c r="B20" s="26" t="inlineStr">
        <is>
          <t>Annex B</t>
        </is>
      </c>
      <c r="C20" s="24" t="inlineStr">
        <is>
          <t>Creep coefficient</t>
        </is>
      </c>
      <c r="D20" s="27" t="inlineStr">
        <is>
          <r>
            <rPr>
              <rFont val="Calibri"/>
              <i val="1"/>
              <color rgb="002B2B2B"/>
              <sz val="10"/>
            </rPr>
            <t>φ(∞,t0)</t>
          </r>
        </is>
      </c>
      <c r="E20" s="30" t="n">
        <v>2</v>
      </c>
      <c r="F20" s="23" t="n"/>
      <c r="G20" s="23" t="n"/>
    </row>
    <row r="21" ht="17" customHeight="1">
      <c r="B21" s="26" t="inlineStr">
        <is>
          <t>7.3.4(2)</t>
        </is>
      </c>
      <c r="C21" s="24" t="inlineStr">
        <is>
          <t>Load duration</t>
        </is>
      </c>
      <c r="D21" s="23" t="n"/>
      <c r="E21" s="25" t="inlineStr">
        <is>
          <t>Long-term</t>
        </is>
      </c>
      <c r="F21" s="23" t="n"/>
      <c r="G21" s="23" t="n"/>
    </row>
    <row r="22" ht="17" customHeight="1">
      <c r="B22" s="26" t="inlineStr">
        <is>
          <t>7.3.1(5)</t>
        </is>
      </c>
      <c r="C22" s="24" t="inlineStr">
        <is>
          <t>Limiting crack width (project requirement)</t>
        </is>
      </c>
      <c r="D22" s="27" t="inlineStr">
        <is>
          <r>
            <rPr>
              <rFont val="Calibri"/>
              <i val="1"/>
              <color rgb="002B2B2B"/>
              <sz val="10"/>
            </rPr>
            <t>w</t>
          </r>
          <r>
            <rPr>
              <rFont val="Calibri"/>
              <i val="1"/>
              <color rgb="002B2B2B"/>
              <sz val="10"/>
              <vertAlign val="subscript"/>
            </rPr>
            <t>max</t>
          </r>
        </is>
      </c>
      <c r="E22" s="30" t="n">
        <v>0.3</v>
      </c>
      <c r="F22" s="28" t="inlineStr">
        <is>
          <t>mm</t>
        </is>
      </c>
      <c r="G22" s="26" t="inlineStr">
        <is>
          <t>Table 7.1N / UK NA Table NA.4</t>
        </is>
      </c>
    </row>
    <row r="23" ht="17" customHeight="1">
      <c r="B23" s="23" t="n"/>
      <c r="C23" s="24" t="inlineStr">
        <is>
          <t>Reinforcement characteristic yield strength</t>
        </is>
      </c>
      <c r="D23" s="27" t="inlineStr">
        <is>
          <r>
            <rPr>
              <rFont val="Calibri"/>
              <i val="1"/>
              <color rgb="002B2B2B"/>
              <sz val="10"/>
            </rPr>
            <t>f</t>
          </r>
          <r>
            <rPr>
              <rFont val="Calibri"/>
              <i val="1"/>
              <color rgb="002B2B2B"/>
              <sz val="10"/>
              <vertAlign val="subscript"/>
            </rPr>
            <t>yk</t>
          </r>
        </is>
      </c>
      <c r="E23" s="25" t="n">
        <v>500</v>
      </c>
      <c r="F23" s="28" t="inlineStr">
        <is>
          <t>MPa</t>
        </is>
      </c>
      <c r="G23" s="23" t="n"/>
    </row>
    <row r="24" ht="17" customHeight="1">
      <c r="B24" s="23" t="n"/>
      <c r="C24" s="24" t="inlineStr">
        <is>
          <t>Inputs valid and consistent</t>
        </is>
      </c>
      <c r="D24" s="23" t="n"/>
      <c r="E24" s="9" t="n"/>
      <c r="F24" s="23" t="n"/>
      <c r="G24" s="31">
        <f>IF(inputs_ok,"OK","FAIL")</f>
        <v/>
      </c>
    </row>
    <row r="26">
      <c r="B26" s="32" t="inlineStr">
        <is>
          <t>Your section, to scale  ·  bars at spacing s  ·  neutral axis and hc,ef (dashed)</t>
        </is>
      </c>
    </row>
    <row r="44" ht="22" customHeight="1">
      <c r="B44" s="20" t="inlineStr">
        <is>
          <t>Results</t>
        </is>
      </c>
      <c r="C44" s="21" t="n"/>
      <c r="D44" s="21" t="n"/>
      <c r="E44" s="21" t="n"/>
      <c r="F44" s="21" t="n"/>
      <c r="G44" s="21" t="n"/>
    </row>
    <row r="45" ht="26" customHeight="1">
      <c r="B45" s="33" t="n"/>
      <c r="C45" s="34" t="inlineStr">
        <is>
          <t>Calculated crack width</t>
        </is>
      </c>
      <c r="D45" s="35" t="inlineStr">
        <is>
          <r>
            <rPr>
              <rFont val="Calibri"/>
              <i val="1"/>
              <color rgb="002B2B2B"/>
              <sz val="11"/>
            </rPr>
            <t>w</t>
          </r>
          <r>
            <rPr>
              <rFont val="Calibri"/>
              <i val="1"/>
              <color rgb="002B2B2B"/>
              <sz val="11"/>
              <vertAlign val="subscript"/>
            </rPr>
            <t>k</t>
          </r>
        </is>
      </c>
      <c r="E45" s="36">
        <f>w_k</f>
        <v/>
      </c>
      <c r="F45" s="37" t="inlineStr">
        <is>
          <t>mm</t>
        </is>
      </c>
      <c r="G45" s="38">
        <f>IF(NOT(inputs_ok),"FAIL",IF(NOT(inputs_ok),"FAIL",IF(w_k&lt;=w_max,"OK","FAIL")))</f>
        <v/>
      </c>
    </row>
    <row r="46" ht="26" customHeight="1">
      <c r="B46" s="33" t="n"/>
      <c r="C46" s="34" t="inlineStr">
        <is>
          <t>Steel stress, characteristic  ≤ 0.8 fyk</t>
        </is>
      </c>
      <c r="D46" s="35" t="inlineStr">
        <is>
          <r>
            <rPr>
              <rFont val="Calibri"/>
              <i val="1"/>
              <color rgb="002B2B2B"/>
              <sz val="11"/>
            </rPr>
            <t>σ</t>
          </r>
          <r>
            <rPr>
              <rFont val="Calibri"/>
              <i val="1"/>
              <color rgb="002B2B2B"/>
              <sz val="11"/>
              <vertAlign val="subscript"/>
            </rPr>
            <t>s,k</t>
          </r>
        </is>
      </c>
      <c r="E46" s="39">
        <f>sigma_sk</f>
        <v/>
      </c>
      <c r="F46" s="37" t="inlineStr">
        <is>
          <t>MPa</t>
        </is>
      </c>
      <c r="G46" s="38">
        <f>IF(NOT(inputs_ok),"FAIL",IF(NOT(inputs_ok),"FAIL",IF(sigma_sk&lt;=0.8*f_yk,"OK","FAIL")))</f>
        <v/>
      </c>
    </row>
    <row r="47" ht="26" customHeight="1">
      <c r="B47" s="33" t="n"/>
      <c r="C47" s="34" t="inlineStr">
        <is>
          <t>Minimum reinforcement  As / As,min</t>
        </is>
      </c>
      <c r="D47" s="33" t="n"/>
      <c r="E47" s="40">
        <f>A_s/As_min</f>
        <v/>
      </c>
      <c r="F47" s="37" t="inlineStr"/>
      <c r="G47" s="38">
        <f>IF(NOT(inputs_ok),"FAIL",IF(A_s&gt;=As_min,"OK","FAIL"))</f>
        <v/>
      </c>
    </row>
    <row r="49" ht="22" customHeight="1">
      <c r="B49" s="20" t="inlineStr">
        <is>
          <t>Calculation</t>
        </is>
      </c>
      <c r="C49" s="21" t="n"/>
      <c r="D49" s="21" t="n"/>
      <c r="E49" s="21" t="n"/>
      <c r="F49" s="21" t="n"/>
      <c r="G49" s="21" t="n"/>
    </row>
    <row r="50" ht="17" customHeight="1">
      <c r="B50" s="23" t="n"/>
      <c r="C50" s="24" t="inlineStr">
        <is>
          <t>Clear gap between bars  s − φ</t>
        </is>
      </c>
      <c r="D50" s="23" t="n"/>
      <c r="E50" s="41">
        <f>s_bar-phi</f>
        <v/>
      </c>
      <c r="F50" s="28" t="inlineStr">
        <is>
          <t>mm</t>
        </is>
      </c>
      <c r="G50" s="31">
        <f>IF(NOT(inputs_ok),"FAIL",IF(s_bar&gt;phi,"OK","FAIL"))</f>
        <v/>
      </c>
    </row>
    <row r="51" ht="17" customHeight="1">
      <c r="B51" s="23" t="n"/>
      <c r="C51" s="24" t="inlineStr">
        <is>
          <t>Bars inside the section  h − c − φ</t>
        </is>
      </c>
      <c r="D51" s="23" t="n"/>
      <c r="E51" s="41">
        <f>h_sec-c_nom-phi</f>
        <v/>
      </c>
      <c r="F51" s="28" t="inlineStr">
        <is>
          <t>mm</t>
        </is>
      </c>
      <c r="G51" s="31">
        <f>IF(NOT(inputs_ok),"FAIL",IF(h_sec&gt;c_nom+phi,"OK","FAIL"))</f>
        <v/>
      </c>
    </row>
    <row r="52" ht="17" customHeight="1">
      <c r="B52" s="26" t="inlineStr">
        <is>
          <t>7.3.4(3)</t>
        </is>
      </c>
      <c r="C52" s="24" t="inlineStr">
        <is>
          <t>Crack spacing coefficient</t>
        </is>
      </c>
      <c r="D52" s="27" t="inlineStr">
        <is>
          <r>
            <rPr>
              <rFont val="Calibri"/>
              <i val="1"/>
              <color rgb="002B2B2B"/>
              <sz val="10"/>
            </rPr>
            <t>k</t>
          </r>
          <r>
            <rPr>
              <rFont val="Calibri"/>
              <i val="1"/>
              <color rgb="002B2B2B"/>
              <sz val="10"/>
              <vertAlign val="subscript"/>
            </rPr>
            <t>3</t>
          </r>
        </is>
      </c>
      <c r="E52" s="42">
        <f>ndp_k3</f>
        <v/>
      </c>
      <c r="F52" s="23" t="n"/>
      <c r="G52" s="26" t="inlineStr">
        <is>
          <t>NDP sheet</t>
        </is>
      </c>
    </row>
    <row r="53" ht="17" customHeight="1">
      <c r="B53" s="26" t="inlineStr">
        <is>
          <t>7.3.4(3)</t>
        </is>
      </c>
      <c r="C53" s="24" t="inlineStr">
        <is>
          <t>Crack spacing coefficient</t>
        </is>
      </c>
      <c r="D53" s="27" t="inlineStr">
        <is>
          <r>
            <rPr>
              <rFont val="Calibri"/>
              <i val="1"/>
              <color rgb="002B2B2B"/>
              <sz val="10"/>
            </rPr>
            <t>k</t>
          </r>
          <r>
            <rPr>
              <rFont val="Calibri"/>
              <i val="1"/>
              <color rgb="002B2B2B"/>
              <sz val="10"/>
              <vertAlign val="subscript"/>
            </rPr>
            <t>4</t>
          </r>
        </is>
      </c>
      <c r="E53" s="43">
        <f>ndp_k4</f>
        <v/>
      </c>
      <c r="F53" s="23" t="n"/>
      <c r="G53" s="26" t="inlineStr">
        <is>
          <t>NDP sheet</t>
        </is>
      </c>
    </row>
    <row r="54" ht="17" customHeight="1">
      <c r="B54" s="26" t="inlineStr">
        <is>
          <t>Table 3.1</t>
        </is>
      </c>
      <c r="C54" s="24" t="inlineStr">
        <is>
          <t>Characteristic cylinder strength</t>
        </is>
      </c>
      <c r="D54" s="27" t="inlineStr">
        <is>
          <r>
            <rPr>
              <rFont val="Calibri"/>
              <i val="1"/>
              <color rgb="002B2B2B"/>
              <sz val="10"/>
            </rPr>
            <t>f</t>
          </r>
          <r>
            <rPr>
              <rFont val="Calibri"/>
              <i val="1"/>
              <color rgb="002B2B2B"/>
              <sz val="10"/>
              <vertAlign val="subscript"/>
            </rPr>
            <t>ck</t>
          </r>
        </is>
      </c>
      <c r="E54" s="41">
        <f>VALUE(MID(conc_class,2,FIND("/",conc_class)-2))</f>
        <v/>
      </c>
      <c r="F54" s="28" t="inlineStr">
        <is>
          <t>MPa</t>
        </is>
      </c>
      <c r="G54" s="23" t="n"/>
    </row>
    <row r="55" ht="17" customHeight="1">
      <c r="B55" s="26" t="inlineStr">
        <is>
          <t>Table 3.1</t>
        </is>
      </c>
      <c r="C55" s="24" t="inlineStr">
        <is>
          <t>Mean tensile strength</t>
        </is>
      </c>
      <c r="D55" s="27" t="inlineStr">
        <is>
          <r>
            <rPr>
              <rFont val="Calibri"/>
              <i val="1"/>
              <color rgb="002B2B2B"/>
              <sz val="10"/>
            </rPr>
            <t>f</t>
          </r>
          <r>
            <rPr>
              <rFont val="Calibri"/>
              <i val="1"/>
              <color rgb="002B2B2B"/>
              <sz val="10"/>
              <vertAlign val="subscript"/>
            </rPr>
            <t>ctm</t>
          </r>
        </is>
      </c>
      <c r="E55" s="42">
        <f>IF(f_ck&lt;=50,0.3*f_ck^(2/3),2.12*LN(1+(f_ck+8)/10))</f>
        <v/>
      </c>
      <c r="F55" s="28" t="inlineStr">
        <is>
          <t>MPa</t>
        </is>
      </c>
      <c r="G55" s="23" t="n"/>
    </row>
    <row r="56" ht="17" customHeight="1">
      <c r="B56" s="26" t="inlineStr">
        <is>
          <t>Table 3.1</t>
        </is>
      </c>
      <c r="C56" s="24" t="inlineStr">
        <is>
          <t>Secant modulus of elasticity</t>
        </is>
      </c>
      <c r="D56" s="27" t="inlineStr">
        <is>
          <r>
            <rPr>
              <rFont val="Calibri"/>
              <i val="1"/>
              <color rgb="002B2B2B"/>
              <sz val="10"/>
            </rPr>
            <t>E</t>
          </r>
          <r>
            <rPr>
              <rFont val="Calibri"/>
              <i val="1"/>
              <color rgb="002B2B2B"/>
              <sz val="10"/>
              <vertAlign val="subscript"/>
            </rPr>
            <t>cm</t>
          </r>
        </is>
      </c>
      <c r="E56" s="41">
        <f>22000*((f_ck+8)/10)^0.3</f>
        <v/>
      </c>
      <c r="F56" s="28" t="inlineStr">
        <is>
          <t>MPa</t>
        </is>
      </c>
      <c r="G56" s="23" t="n"/>
    </row>
    <row r="57" ht="17" customHeight="1">
      <c r="B57" s="26" t="inlineStr">
        <is>
          <t>3.2.7(4)</t>
        </is>
      </c>
      <c r="C57" s="24" t="inlineStr">
        <is>
          <t>Modulus of elasticity of reinforcement</t>
        </is>
      </c>
      <c r="D57" s="27" t="inlineStr">
        <is>
          <r>
            <rPr>
              <rFont val="Calibri"/>
              <i val="1"/>
              <color rgb="002B2B2B"/>
              <sz val="10"/>
            </rPr>
            <t>E</t>
          </r>
          <r>
            <rPr>
              <rFont val="Calibri"/>
              <i val="1"/>
              <color rgb="002B2B2B"/>
              <sz val="10"/>
              <vertAlign val="subscript"/>
            </rPr>
            <t>s</t>
          </r>
        </is>
      </c>
      <c r="E57" s="41" t="n">
        <v>200000</v>
      </c>
      <c r="F57" s="28" t="inlineStr">
        <is>
          <t>MPa</t>
        </is>
      </c>
      <c r="G57" s="23" t="n"/>
    </row>
    <row r="58" ht="17" customHeight="1">
      <c r="B58" s="23" t="n"/>
      <c r="C58" s="24" t="inlineStr">
        <is>
          <t>Effective depth  h − c − φ/2</t>
        </is>
      </c>
      <c r="D58" s="27" t="inlineStr">
        <is>
          <r>
            <rPr>
              <rFont val="Calibri"/>
              <i val="1"/>
              <color rgb="002B2B2B"/>
              <sz val="10"/>
            </rPr>
            <t>d</t>
          </r>
        </is>
      </c>
      <c r="E58" s="41">
        <f>h_sec-c_nom-phi/2</f>
        <v/>
      </c>
      <c r="F58" s="28" t="inlineStr">
        <is>
          <t>mm</t>
        </is>
      </c>
      <c r="G58" s="23" t="n"/>
    </row>
    <row r="59" ht="17" customHeight="1">
      <c r="B59" s="23" t="n"/>
      <c r="C59" s="24" t="inlineStr">
        <is>
          <t>Tension reinforcement  π φ² / 4 · b / s</t>
        </is>
      </c>
      <c r="D59" s="27" t="inlineStr">
        <is>
          <r>
            <rPr>
              <rFont val="Calibri"/>
              <i val="1"/>
              <color rgb="002B2B2B"/>
              <sz val="10"/>
            </rPr>
            <t>A</t>
          </r>
          <r>
            <rPr>
              <rFont val="Calibri"/>
              <i val="1"/>
              <color rgb="002B2B2B"/>
              <sz val="10"/>
              <vertAlign val="subscript"/>
            </rPr>
            <t>s</t>
          </r>
        </is>
      </c>
      <c r="E59" s="41">
        <f>PI()*phi^2/4*b_sec/s_bar</f>
        <v/>
      </c>
      <c r="F59" s="28" t="inlineStr">
        <is>
          <t>mm²</t>
        </is>
      </c>
      <c r="G59" s="23" t="n"/>
    </row>
    <row r="60" ht="17" customHeight="1">
      <c r="B60" s="23" t="n"/>
      <c r="C60" s="24" t="inlineStr">
        <is>
          <t>Reinforcement ratio</t>
        </is>
      </c>
      <c r="D60" s="27" t="inlineStr">
        <is>
          <r>
            <rPr>
              <rFont val="Calibri"/>
              <i val="1"/>
              <color rgb="002B2B2B"/>
              <sz val="10"/>
            </rPr>
            <t>ρ</t>
          </r>
        </is>
      </c>
      <c r="E60" s="44">
        <f>A_s/(b_sec*d_eff)</f>
        <v/>
      </c>
      <c r="F60" s="23" t="n"/>
      <c r="G60" s="23" t="n"/>
    </row>
    <row r="61" ht="17" customHeight="1">
      <c r="B61" s="26" t="inlineStr">
        <is>
          <t>7.4.3(5)</t>
        </is>
      </c>
      <c r="C61" s="24" t="inlineStr">
        <is>
          <t>Effective modulus  Ecm / (1 + φ)</t>
        </is>
      </c>
      <c r="D61" s="27" t="inlineStr">
        <is>
          <r>
            <rPr>
              <rFont val="Calibri"/>
              <i val="1"/>
              <color rgb="002B2B2B"/>
              <sz val="10"/>
            </rPr>
            <t>E</t>
          </r>
          <r>
            <rPr>
              <rFont val="Calibri"/>
              <i val="1"/>
              <color rgb="002B2B2B"/>
              <sz val="10"/>
              <vertAlign val="subscript"/>
            </rPr>
            <t>c,eff</t>
          </r>
        </is>
      </c>
      <c r="E61" s="41">
        <f>E_cm/(1+phi_creep)</f>
        <v/>
      </c>
      <c r="F61" s="28" t="inlineStr">
        <is>
          <t>MPa</t>
        </is>
      </c>
      <c r="G61" s="23" t="n"/>
    </row>
    <row r="62" ht="17" customHeight="1">
      <c r="B62" s="23" t="n"/>
      <c r="C62" s="24" t="inlineStr">
        <is>
          <t>Modular ratio (long-term)</t>
        </is>
      </c>
      <c r="D62" s="27" t="inlineStr">
        <is>
          <r>
            <rPr>
              <rFont val="Calibri"/>
              <i val="1"/>
              <color rgb="002B2B2B"/>
              <sz val="10"/>
            </rPr>
            <t>α</t>
          </r>
          <r>
            <rPr>
              <rFont val="Calibri"/>
              <i val="1"/>
              <color rgb="002B2B2B"/>
              <sz val="10"/>
              <vertAlign val="subscript"/>
            </rPr>
            <t>e,eff</t>
          </r>
        </is>
      </c>
      <c r="E62" s="42">
        <f>E_s/E_ceff</f>
        <v/>
      </c>
      <c r="F62" s="23" t="n"/>
      <c r="G62" s="23" t="n"/>
    </row>
    <row r="63" ht="17" customHeight="1">
      <c r="B63" s="23" t="n"/>
      <c r="C63" s="24" t="inlineStr">
        <is>
          <t>Neutral axis depth, cracked elastic section</t>
        </is>
      </c>
      <c r="D63" s="27" t="inlineStr">
        <is>
          <r>
            <rPr>
              <rFont val="Calibri"/>
              <i val="1"/>
              <color rgb="002B2B2B"/>
              <sz val="10"/>
            </rPr>
            <t>x</t>
          </r>
        </is>
      </c>
      <c r="E63" s="45">
        <f>d_eff*(SQRT((alpha_elt*rho)^2+2*alpha_elt*rho)-alpha_elt*rho)</f>
        <v/>
      </c>
      <c r="F63" s="28" t="inlineStr">
        <is>
          <t>mm</t>
        </is>
      </c>
      <c r="G63" s="23" t="n"/>
    </row>
    <row r="64" ht="17" customHeight="1">
      <c r="B64" s="23" t="n"/>
      <c r="C64" s="24" t="inlineStr">
        <is>
          <t>Steel stress  M / (As (d − x/3))</t>
        </is>
      </c>
      <c r="D64" s="27" t="inlineStr">
        <is>
          <r>
            <rPr>
              <rFont val="Calibri"/>
              <i val="1"/>
              <color rgb="002B2B2B"/>
              <sz val="10"/>
            </rPr>
            <t>σ</t>
          </r>
          <r>
            <rPr>
              <rFont val="Calibri"/>
              <i val="1"/>
              <color rgb="002B2B2B"/>
              <sz val="10"/>
              <vertAlign val="subscript"/>
            </rPr>
            <t>s</t>
          </r>
        </is>
      </c>
      <c r="E64" s="46">
        <f>M_qp*1000000/(A_s*(d_eff-x_na/3))</f>
        <v/>
      </c>
      <c r="F64" s="28" t="inlineStr">
        <is>
          <t>MPa</t>
        </is>
      </c>
      <c r="G64" s="23" t="n"/>
    </row>
    <row r="65" ht="17" customHeight="1">
      <c r="B65" s="26" t="inlineStr">
        <is>
          <t>7.3.2(3)</t>
        </is>
      </c>
      <c r="C65" s="24" t="inlineStr">
        <is>
          <t>Effective tension depth  min(2.5(h−d); (h−x)/3; h/2)</t>
        </is>
      </c>
      <c r="D65" s="27" t="inlineStr">
        <is>
          <r>
            <rPr>
              <rFont val="Calibri"/>
              <i val="1"/>
              <color rgb="002B2B2B"/>
              <sz val="10"/>
            </rPr>
            <t>h</t>
          </r>
          <r>
            <rPr>
              <rFont val="Calibri"/>
              <i val="1"/>
              <color rgb="002B2B2B"/>
              <sz val="10"/>
              <vertAlign val="subscript"/>
            </rPr>
            <t>c,ef</t>
          </r>
        </is>
      </c>
      <c r="E65" s="45">
        <f>MIN(2.5*(h_sec-d_eff),(h_sec-x_na)/3,h_sec/2)</f>
        <v/>
      </c>
      <c r="F65" s="28" t="inlineStr">
        <is>
          <t>mm</t>
        </is>
      </c>
      <c r="G65" s="23" t="n"/>
    </row>
    <row r="66" ht="17" customHeight="1">
      <c r="B66" s="26" t="inlineStr">
        <is>
          <t>(7.10)</t>
        </is>
      </c>
      <c r="C66" s="24" t="inlineStr">
        <is>
          <t>Effective reinforcement ratio</t>
        </is>
      </c>
      <c r="D66" s="27" t="inlineStr">
        <is>
          <r>
            <rPr>
              <rFont val="Calibri"/>
              <i val="1"/>
              <color rgb="002B2B2B"/>
              <sz val="10"/>
            </rPr>
            <t>ρ</t>
          </r>
          <r>
            <rPr>
              <rFont val="Calibri"/>
              <i val="1"/>
              <color rgb="002B2B2B"/>
              <sz val="10"/>
              <vertAlign val="subscript"/>
            </rPr>
            <t>p,eff</t>
          </r>
        </is>
      </c>
      <c r="E66" s="44">
        <f>A_s/(b_sec*h_ceff)</f>
        <v/>
      </c>
      <c r="F66" s="23" t="n"/>
      <c r="G66" s="23" t="n"/>
    </row>
    <row r="67" ht="17" customHeight="1">
      <c r="B67" s="26" t="inlineStr">
        <is>
          <t>7.3.4(2)</t>
        </is>
      </c>
      <c r="C67" s="24" t="inlineStr">
        <is>
          <t>Load duration factor</t>
        </is>
      </c>
      <c r="D67" s="27" t="inlineStr">
        <is>
          <r>
            <rPr>
              <rFont val="Calibri"/>
              <i val="1"/>
              <color rgb="002B2B2B"/>
              <sz val="10"/>
            </rPr>
            <t>k</t>
          </r>
          <r>
            <rPr>
              <rFont val="Calibri"/>
              <i val="1"/>
              <color rgb="002B2B2B"/>
              <sz val="10"/>
              <vertAlign val="subscript"/>
            </rPr>
            <t>t</t>
          </r>
        </is>
      </c>
      <c r="E67" s="45">
        <f>IF(duration="Long-term",0.4,0.6)</f>
        <v/>
      </c>
      <c r="F67" s="23" t="n"/>
      <c r="G67" s="23" t="n"/>
    </row>
    <row r="68" ht="17" customHeight="1">
      <c r="B68" s="26" t="inlineStr">
        <is>
          <t>7.3.4(2)</t>
        </is>
      </c>
      <c r="C68" s="24" t="inlineStr">
        <is>
          <t>Modular ratio  Es / Ecm</t>
        </is>
      </c>
      <c r="D68" s="27" t="inlineStr">
        <is>
          <r>
            <rPr>
              <rFont val="Calibri"/>
              <i val="1"/>
              <color rgb="002B2B2B"/>
              <sz val="10"/>
            </rPr>
            <t>α</t>
          </r>
          <r>
            <rPr>
              <rFont val="Calibri"/>
              <i val="1"/>
              <color rgb="002B2B2B"/>
              <sz val="10"/>
              <vertAlign val="subscript"/>
            </rPr>
            <t>e</t>
          </r>
        </is>
      </c>
      <c r="E68" s="42">
        <f>E_s/E_cm</f>
        <v/>
      </c>
      <c r="F68" s="23" t="n"/>
      <c r="G68" s="23" t="n"/>
    </row>
    <row r="69" ht="17" customHeight="1">
      <c r="B69" s="26" t="inlineStr">
        <is>
          <t>(7.9)</t>
        </is>
      </c>
      <c r="C69" s="24" t="inlineStr">
        <is>
          <t>Mean strain difference</t>
        </is>
      </c>
      <c r="D69" s="27" t="inlineStr">
        <is>
          <r>
            <rPr>
              <rFont val="Calibri"/>
              <i val="1"/>
              <color rgb="002B2B2B"/>
              <sz val="10"/>
            </rPr>
            <t>ε</t>
          </r>
          <r>
            <rPr>
              <rFont val="Calibri"/>
              <i val="1"/>
              <color rgb="002B2B2B"/>
              <sz val="10"/>
              <vertAlign val="subscript"/>
            </rPr>
            <t>sm − ε_cm</t>
          </r>
        </is>
      </c>
      <c r="E69" s="47">
        <f>MAX((sigma_s-k_t*f_ctm/rho_peff*(1+alpha_e*rho_peff))/E_s,0.6*sigma_s/E_s)</f>
        <v/>
      </c>
      <c r="F69" s="23" t="n"/>
      <c r="G69" s="23" t="n"/>
    </row>
    <row r="70" ht="17" customHeight="1">
      <c r="B70" s="26" t="inlineStr">
        <is>
          <t>7.3.4(3)</t>
        </is>
      </c>
      <c r="C70" s="24" t="inlineStr">
        <is>
          <t>Spacing limit for (7.11)  5(c + φ/2)</t>
        </is>
      </c>
      <c r="D70" s="23" t="n"/>
      <c r="E70" s="41">
        <f>5*(c_nom+phi/2)</f>
        <v/>
      </c>
      <c r="F70" s="28" t="inlineStr">
        <is>
          <t>mm</t>
        </is>
      </c>
      <c r="G70" s="23" t="n"/>
    </row>
    <row r="71" ht="17" customHeight="1">
      <c r="B71" s="26" t="inlineStr">
        <is>
          <t>(7.11), (7.14)</t>
        </is>
      </c>
      <c r="C71" s="24" t="inlineStr">
        <is>
          <t>Maximum crack spacing (k1 = 0.8, k2 = 0.5)</t>
        </is>
      </c>
      <c r="D71" s="27" t="inlineStr">
        <is>
          <r>
            <rPr>
              <rFont val="Calibri"/>
              <i val="1"/>
              <color rgb="002B2B2B"/>
              <sz val="10"/>
            </rPr>
            <t>s</t>
          </r>
          <r>
            <rPr>
              <rFont val="Calibri"/>
              <i val="1"/>
              <color rgb="002B2B2B"/>
              <sz val="10"/>
              <vertAlign val="subscript"/>
            </rPr>
            <t>r,max</t>
          </r>
        </is>
      </c>
      <c r="E71" s="41">
        <f>IF(s_bar&lt;=s_lim,k_3*c_nom+0.8*0.5*k_4*phi/rho_peff,1.3*(h_sec-x_na))</f>
        <v/>
      </c>
      <c r="F71" s="28" t="inlineStr">
        <is>
          <t>mm</t>
        </is>
      </c>
      <c r="G71" s="23" t="n"/>
    </row>
    <row r="72" ht="17" customHeight="1">
      <c r="B72" s="26" t="inlineStr">
        <is>
          <t>(7.8)</t>
        </is>
      </c>
      <c r="C72" s="24" t="inlineStr">
        <is>
          <t>Crack width</t>
        </is>
      </c>
      <c r="D72" s="27" t="inlineStr">
        <is>
          <r>
            <rPr>
              <rFont val="Calibri"/>
              <i val="1"/>
              <color rgb="002B2B2B"/>
              <sz val="10"/>
            </rPr>
            <t>w</t>
          </r>
          <r>
            <rPr>
              <rFont val="Calibri"/>
              <i val="1"/>
              <color rgb="002B2B2B"/>
              <sz val="10"/>
              <vertAlign val="subscript"/>
            </rPr>
            <t>k</t>
          </r>
        </is>
      </c>
      <c r="E72" s="43">
        <f>sr_max*eps_diff</f>
        <v/>
      </c>
      <c r="F72" s="28" t="inlineStr">
        <is>
          <t>mm</t>
        </is>
      </c>
      <c r="G72" s="31">
        <f>IF(NOT(inputs_ok),"FAIL",IF(w_k&lt;=w_max,"OK","FAIL"))</f>
        <v/>
      </c>
    </row>
    <row r="73" ht="17" customHeight="1">
      <c r="B73" s="26" t="inlineStr">
        <is>
          <t>7.3.2(2)</t>
        </is>
      </c>
      <c r="C73" s="24" t="inlineStr">
        <is>
          <t>Size coefficient (1.0 at h ≤ 300, 0.65 at h ≥ 800)</t>
        </is>
      </c>
      <c r="D73" s="27" t="inlineStr">
        <is>
          <r>
            <rPr>
              <rFont val="Calibri"/>
              <i val="1"/>
              <color rgb="002B2B2B"/>
              <sz val="10"/>
            </rPr>
            <t>k</t>
          </r>
        </is>
      </c>
      <c r="E73" s="43">
        <f>IF(h_sec&lt;=300,1,IF(h_sec&gt;=800,0.65,1-0.35*(h_sec-300)/500))</f>
        <v/>
      </c>
      <c r="F73" s="23" t="n"/>
      <c r="G73" s="23" t="n"/>
    </row>
    <row r="74" ht="17" customHeight="1">
      <c r="B74" s="26" t="inlineStr">
        <is>
          <t>(7.1)</t>
        </is>
      </c>
      <c r="C74" s="24" t="inlineStr">
        <is>
          <t>Minimum reinforcement  kc k fct,eff Act / fyk  (kc = 0.4)</t>
        </is>
      </c>
      <c r="D74" s="27" t="inlineStr">
        <is>
          <r>
            <rPr>
              <rFont val="Calibri"/>
              <i val="1"/>
              <color rgb="002B2B2B"/>
              <sz val="10"/>
            </rPr>
            <t>A</t>
          </r>
          <r>
            <rPr>
              <rFont val="Calibri"/>
              <i val="1"/>
              <color rgb="002B2B2B"/>
              <sz val="10"/>
              <vertAlign val="subscript"/>
            </rPr>
            <t>s,min</t>
          </r>
        </is>
      </c>
      <c r="E74" s="41">
        <f>0.4*k_h*f_ctm*(b_sec*h_sec/2)/f_yk</f>
        <v/>
      </c>
      <c r="F74" s="28" t="inlineStr">
        <is>
          <t>mm²</t>
        </is>
      </c>
      <c r="G74" s="23" t="n"/>
    </row>
    <row r="75" ht="17" customHeight="1">
      <c r="B75" s="26" t="inlineStr">
        <is>
          <t>7.2(5)</t>
        </is>
      </c>
      <c r="C75" s="24" t="inlineStr">
        <is>
          <t>Steel stress, characteristic  Mk / (As (d − x/3))</t>
        </is>
      </c>
      <c r="D75" s="27" t="inlineStr">
        <is>
          <r>
            <rPr>
              <rFont val="Calibri"/>
              <i val="1"/>
              <color rgb="002B2B2B"/>
              <sz val="10"/>
            </rPr>
            <t>σ</t>
          </r>
          <r>
            <rPr>
              <rFont val="Calibri"/>
              <i val="1"/>
              <color rgb="002B2B2B"/>
              <sz val="10"/>
              <vertAlign val="subscript"/>
            </rPr>
            <t>s,k</t>
          </r>
        </is>
      </c>
      <c r="E75" s="45">
        <f>M_k*1000000/(A_s*(d_eff-x_na/3))</f>
        <v/>
      </c>
      <c r="F75" s="28" t="inlineStr">
        <is>
          <t>MPa</t>
        </is>
      </c>
      <c r="G75" s="26" t="inlineStr">
        <is>
          <t>Long-term x: conservative</t>
        </is>
      </c>
    </row>
    <row r="76" ht="17" customHeight="1">
      <c r="B76" s="26" t="inlineStr">
        <is>
          <t>7.2(5)</t>
        </is>
      </c>
      <c r="C76" s="24" t="inlineStr">
        <is>
          <t>Steel stress limit  0.8 fyk</t>
        </is>
      </c>
      <c r="D76" s="27" t="inlineStr">
        <is>
          <r>
            <rPr>
              <rFont val="Calibri"/>
              <i val="1"/>
              <color rgb="002B2B2B"/>
              <sz val="10"/>
            </rPr>
            <t>σ</t>
          </r>
          <r>
            <rPr>
              <rFont val="Calibri"/>
              <i val="1"/>
              <color rgb="002B2B2B"/>
              <sz val="10"/>
              <vertAlign val="subscript"/>
            </rPr>
            <t>s,k</t>
          </r>
        </is>
      </c>
      <c r="E76" s="41">
        <f>0.8*f_yk</f>
        <v/>
      </c>
      <c r="F76" s="28" t="inlineStr">
        <is>
          <t>MPa</t>
        </is>
      </c>
      <c r="G76" s="31">
        <f>IF(NOT(inputs_ok),"FAIL",IF(sigma_sk&lt;=0.8*f_yk,"OK","FAIL"))</f>
        <v/>
      </c>
    </row>
    <row r="77" ht="16.5" customHeight="1">
      <c r="B77" s="48" t="inlineStr">
        <is>
          <t>fct,eff is taken as fctm (cracking expected after 28 days). For early-age cracking use a lower fct,eff and see CIRIA C766.</t>
        </is>
      </c>
    </row>
    <row r="79" ht="29" customHeight="1">
      <c r="B79" s="48" t="inlineStr">
        <is>
          <t>Prepared with NA Engineering calculation tools  ·  naengineering.uk  ·  adrian@naengineering.uk. Free for use by competent engineers; see the About sheet for scope and disclaimer.</t>
        </is>
      </c>
    </row>
  </sheetData>
  <sheetProtection selectLockedCells="0" selectUnlockedCells="0" sheet="1" objects="1" insertRows="1" insertHyperlinks="1" autoFilter="1" scenarios="0" formatColumns="0" deleteColumns="1" insertColumns="1" pivotTables="1" deleteRows="1" formatCells="1" formatRows="0" sort="1" password="AA0A"/>
  <mergeCells count="7">
    <mergeCell ref="B77:G77"/>
    <mergeCell ref="E5:G5"/>
    <mergeCell ref="B79:G79"/>
    <mergeCell ref="D2:G2"/>
    <mergeCell ref="E7:G7"/>
    <mergeCell ref="E6:G6"/>
    <mergeCell ref="C3:G3"/>
  </mergeCells>
  <conditionalFormatting sqref="G9:G80">
    <cfRule type="expression" priority="1" dxfId="0">
      <formula>G9="OK"</formula>
    </cfRule>
    <cfRule type="expression" priority="2" dxfId="1">
      <formula>G9="FAIL"</formula>
    </cfRule>
    <cfRule type="expression" priority="3" dxfId="2">
      <formula>LEFT(G9,1)="!"</formula>
    </cfRule>
  </conditionalFormatting>
  <dataValidations count="13">
    <dataValidation sqref="E11" showDropDown="0" showInputMessage="0" showErrorMessage="1" allowBlank="0" errorTitle="NA Engineering" error="Pick a value from the list." type="list" errorStyle="stop">
      <formula1>"UK NA (BS EN),PL NA (PN-EN)"</formula1>
    </dataValidation>
    <dataValidation sqref="E12" showDropDown="0" showInputMessage="0" showErrorMessage="1" allowBlank="0" errorTitle="NA Engineering" error="Pick a value from the list." type="list" errorStyle="stop">
      <formula1>"C20/25,C25/30,C28/35,C30/37,C32/40,C35/45,C40/50,C45/55,C50/60"</formula1>
    </dataValidation>
    <dataValidation sqref="E13" showDropDown="0" showInputMessage="0" showErrorMessage="1" allowBlank="0" errorTitle="NA Engineering" error="Enter a number greater than 0." type="decimal" errorStyle="stop" operator="greaterThan">
      <formula1>0</formula1>
    </dataValidation>
    <dataValidation sqref="E14" showDropDown="0" showInputMessage="0" showErrorMessage="1" allowBlank="0" errorTitle="NA Engineering" error="Enter a number greater than 0." type="decimal" errorStyle="stop" operator="greaterThan">
      <formula1>0</formula1>
    </dataValidation>
    <dataValidation sqref="E15" showDropDown="0" showInputMessage="0" showErrorMessage="1" allowBlank="0" errorTitle="NA Engineering" error="Enter a number greater than 0." type="decimal" errorStyle="stop" operator="greaterThan">
      <formula1>0</formula1>
    </dataValidation>
    <dataValidation sqref="E16" showDropDown="0" showInputMessage="0" showErrorMessage="1" allowBlank="0" errorTitle="NA Engineering" error="Pick a value from the list." type="list" errorStyle="stop">
      <formula1>"8,10,12,16,20,25,32,40"</formula1>
    </dataValidation>
    <dataValidation sqref="E17" showDropDown="0" showInputMessage="0" showErrorMessage="1" allowBlank="0" errorTitle="NA Engineering" error="Enter a number greater than 0." type="decimal" errorStyle="stop" operator="greaterThan">
      <formula1>0</formula1>
    </dataValidation>
    <dataValidation sqref="E18" showDropDown="0" showInputMessage="0" showErrorMessage="1" allowBlank="0" errorTitle="NA Engineering" error="Enter a number ≥ 0." type="decimal" errorStyle="stop" operator="greaterThanOrEqual">
      <formula1>0</formula1>
    </dataValidation>
    <dataValidation sqref="E19" showDropDown="0" showInputMessage="0" showErrorMessage="1" allowBlank="0" errorTitle="NA Engineering" error="Enter a number ≥ 0." type="decimal" errorStyle="stop" operator="greaterThanOrEqual">
      <formula1>0</formula1>
    </dataValidation>
    <dataValidation sqref="E20" showDropDown="0" showInputMessage="0" showErrorMessage="1" allowBlank="0" errorTitle="NA Engineering" error="Enter a number ≥ 0." type="decimal" errorStyle="stop" operator="greaterThanOrEqual">
      <formula1>0</formula1>
    </dataValidation>
    <dataValidation sqref="E21" showDropDown="0" showInputMessage="0" showErrorMessage="1" allowBlank="0" errorTitle="NA Engineering" error="Pick a value from the list." type="list" errorStyle="stop">
      <formula1>"Long-term,Short-term"</formula1>
    </dataValidation>
    <dataValidation sqref="E22" showDropDown="0" showInputMessage="0" showErrorMessage="1" allowBlank="0" errorTitle="NA Engineering" error="Enter a number greater than 0." type="decimal" errorStyle="stop" operator="greaterThan">
      <formula1>0</formula1>
    </dataValidation>
    <dataValidation sqref="E23" showDropDown="0" showInputMessage="0" showErrorMessage="1" allowBlank="0" errorTitle="NA Engineering" error="Enter a number greater than 0." type="decimal" errorStyle="stop" operator="greaterThan">
      <formula1>0</formula1>
    </dataValidation>
  </dataValidations>
  <printOptions horizontalCentered="1"/>
  <pageMargins left="0.4" right="0.4" top="0.4" bottom="0.6" header="0.5" footer="0.5"/>
  <pageSetup orientation="portrait" paperSize="9" fitToHeight="0" fitToWidth="1"/>
  <headerFooter>
    <oddHeader/>
    <oddFooter>&amp;L&amp;7 &amp;K8A8A8ANA Engineering sp. z o.o.  ·  naengineering.uk  ·  adrian@naengineering.uk  ·  +48 505 844 422&amp;C&amp;7 &amp;K8A8A8A&amp;P / &amp;N&amp;R&amp;7 &amp;K8A8A8ANAE-RC-003  v1.0</oddFooter>
    <evenHeader/>
    <evenFooter/>
    <firstHeader/>
    <firstFooter/>
  </headerFooter>
  <drawing xmlns:r="http://schemas.openxmlformats.org/officeDocument/2006/relationships" r:id="rId1"/>
</worksheet>
</file>

<file path=xl/worksheets/sheet3.xml><?xml version="1.0" encoding="utf-8"?>
<worksheet xmlns="http://schemas.openxmlformats.org/spreadsheetml/2006/main">
  <sheetPr>
    <outlinePr summaryBelow="1" summaryRight="1"/>
    <pageSetUpPr/>
  </sheetPr>
  <dimension ref="A1:EJ15"/>
  <sheetViews>
    <sheetView tabSelected="0" workbookViewId="0">
      <selection activeCell="A1" sqref="A1"/>
    </sheetView>
  </sheetViews>
  <sheetFormatPr baseColWidth="8" defaultRowHeight="15"/>
  <sheetData>
    <row r="1">
      <c r="A1" t="inlineStr">
        <is>
          <t>Coordinates for the live drawings (mm). Generated - do not edit.</t>
        </is>
      </c>
    </row>
    <row r="2">
      <c r="A2" t="inlineStr">
        <is>
          <t>section</t>
        </is>
      </c>
      <c r="D2" t="inlineStr">
        <is>
          <t>bar 0</t>
        </is>
      </c>
      <c r="G2" t="inlineStr">
        <is>
          <t>bar 1</t>
        </is>
      </c>
      <c r="J2" t="inlineStr">
        <is>
          <t>bar 2</t>
        </is>
      </c>
      <c r="M2" t="inlineStr">
        <is>
          <t>bar 3</t>
        </is>
      </c>
      <c r="P2" t="inlineStr">
        <is>
          <t>bar 4</t>
        </is>
      </c>
      <c r="S2" t="inlineStr">
        <is>
          <t>bar 5</t>
        </is>
      </c>
      <c r="V2" t="inlineStr">
        <is>
          <t>bar 6</t>
        </is>
      </c>
      <c r="Y2" t="inlineStr">
        <is>
          <t>bar 7</t>
        </is>
      </c>
      <c r="AB2" t="inlineStr">
        <is>
          <t>bar 8</t>
        </is>
      </c>
      <c r="AE2" t="inlineStr">
        <is>
          <t>bar 9</t>
        </is>
      </c>
      <c r="AH2" t="inlineStr">
        <is>
          <t>bar 10</t>
        </is>
      </c>
      <c r="AK2" t="inlineStr">
        <is>
          <t>bar 11</t>
        </is>
      </c>
      <c r="AN2" t="inlineStr">
        <is>
          <t>bar 12</t>
        </is>
      </c>
      <c r="AQ2" t="inlineStr">
        <is>
          <t>bar 13</t>
        </is>
      </c>
      <c r="AT2" t="inlineStr">
        <is>
          <t>bar 14</t>
        </is>
      </c>
      <c r="AW2" t="inlineStr">
        <is>
          <t>bar 15</t>
        </is>
      </c>
      <c r="AZ2" t="inlineStr">
        <is>
          <t>bar 16</t>
        </is>
      </c>
      <c r="BC2" t="inlineStr">
        <is>
          <t>bar 17</t>
        </is>
      </c>
      <c r="BF2" t="inlineStr">
        <is>
          <t>bar 18</t>
        </is>
      </c>
      <c r="BI2" t="inlineStr">
        <is>
          <t>bar 19</t>
        </is>
      </c>
      <c r="BL2" t="inlineStr">
        <is>
          <t>bar 20</t>
        </is>
      </c>
      <c r="BO2" t="inlineStr">
        <is>
          <t>bar 21</t>
        </is>
      </c>
      <c r="BR2" t="inlineStr">
        <is>
          <t>bar 22</t>
        </is>
      </c>
      <c r="BU2" t="inlineStr">
        <is>
          <t>bar 23</t>
        </is>
      </c>
      <c r="BX2" t="inlineStr">
        <is>
          <t>bar 24</t>
        </is>
      </c>
      <c r="CA2" t="inlineStr">
        <is>
          <t>bar 25</t>
        </is>
      </c>
      <c r="CD2" t="inlineStr">
        <is>
          <t>bar 26</t>
        </is>
      </c>
      <c r="CG2" t="inlineStr">
        <is>
          <t>bar 27</t>
        </is>
      </c>
      <c r="CJ2" t="inlineStr">
        <is>
          <t>bar 28</t>
        </is>
      </c>
      <c r="CM2" t="inlineStr">
        <is>
          <t>bar 29</t>
        </is>
      </c>
      <c r="CP2" t="inlineStr">
        <is>
          <t>neutral axis</t>
        </is>
      </c>
      <c r="CS2" t="inlineStr">
        <is>
          <t>hc,ef</t>
        </is>
      </c>
      <c r="CV2" t="inlineStr">
        <is>
          <t>dim</t>
        </is>
      </c>
      <c r="CY2">
        <f>"b = "&amp;TEXT(b_sec,"0")</f>
        <v/>
      </c>
      <c r="DB2" t="inlineStr">
        <is>
          <t>dim</t>
        </is>
      </c>
      <c r="DE2">
        <f>"h = "&amp;TEXT(h_sec,"0")</f>
        <v/>
      </c>
      <c r="DH2" t="inlineStr">
        <is>
          <t>dim</t>
        </is>
      </c>
      <c r="DK2">
        <f>"s = "&amp;TEXT(s_bar,"0")</f>
        <v/>
      </c>
      <c r="DN2" t="inlineStr">
        <is>
          <t>dim</t>
        </is>
      </c>
      <c r="DQ2">
        <f>"c = "&amp;TEXT(c_nom,"0")</f>
        <v/>
      </c>
      <c r="DT2" t="inlineStr">
        <is>
          <t>dim</t>
        </is>
      </c>
      <c r="DW2">
        <f>"x = "&amp;TEXT(x_na,"0")</f>
        <v/>
      </c>
      <c r="DZ2" t="inlineStr">
        <is>
          <t>dim</t>
        </is>
      </c>
      <c r="EC2">
        <f>"hc,ef = "&amp;TEXT(h_ceff,"0")</f>
        <v/>
      </c>
      <c r="EF2">
        <f>"φ"&amp;phi&amp;" @ "&amp;s_bar</f>
        <v/>
      </c>
      <c r="EI2" t="inlineStr">
        <is>
          <t>frame</t>
        </is>
      </c>
    </row>
    <row r="3">
      <c r="A3">
        <f>0</f>
        <v/>
      </c>
      <c r="B3">
        <f>0</f>
        <v/>
      </c>
      <c r="D3">
        <f>IF(s_bar/2+0*s_bar&lt;b_sec,(s_bar/2+0*s_bar)+(phi/2)*1.000000,NA())</f>
        <v/>
      </c>
      <c r="E3">
        <f>IF(s_bar/2+0*s_bar&lt;b_sec,(c_nom+phi/2)+(phi/2)*0.000000,NA())</f>
        <v/>
      </c>
      <c r="G3">
        <f>IF(s_bar/2+1*s_bar&lt;b_sec,(s_bar/2+1*s_bar)+(phi/2)*1.000000,NA())</f>
        <v/>
      </c>
      <c r="H3">
        <f>IF(s_bar/2+1*s_bar&lt;b_sec,(c_nom+phi/2)+(phi/2)*0.000000,NA())</f>
        <v/>
      </c>
      <c r="J3">
        <f>IF(s_bar/2+2*s_bar&lt;b_sec,(s_bar/2+2*s_bar)+(phi/2)*1.000000,NA())</f>
        <v/>
      </c>
      <c r="K3">
        <f>IF(s_bar/2+2*s_bar&lt;b_sec,(c_nom+phi/2)+(phi/2)*0.000000,NA())</f>
        <v/>
      </c>
      <c r="M3">
        <f>IF(s_bar/2+3*s_bar&lt;b_sec,(s_bar/2+3*s_bar)+(phi/2)*1.000000,NA())</f>
        <v/>
      </c>
      <c r="N3">
        <f>IF(s_bar/2+3*s_bar&lt;b_sec,(c_nom+phi/2)+(phi/2)*0.000000,NA())</f>
        <v/>
      </c>
      <c r="P3">
        <f>IF(s_bar/2+4*s_bar&lt;b_sec,(s_bar/2+4*s_bar)+(phi/2)*1.000000,NA())</f>
        <v/>
      </c>
      <c r="Q3">
        <f>IF(s_bar/2+4*s_bar&lt;b_sec,(c_nom+phi/2)+(phi/2)*0.000000,NA())</f>
        <v/>
      </c>
      <c r="S3">
        <f>IF(s_bar/2+5*s_bar&lt;b_sec,(s_bar/2+5*s_bar)+(phi/2)*1.000000,NA())</f>
        <v/>
      </c>
      <c r="T3">
        <f>IF(s_bar/2+5*s_bar&lt;b_sec,(c_nom+phi/2)+(phi/2)*0.000000,NA())</f>
        <v/>
      </c>
      <c r="V3">
        <f>IF(s_bar/2+6*s_bar&lt;b_sec,(s_bar/2+6*s_bar)+(phi/2)*1.000000,NA())</f>
        <v/>
      </c>
      <c r="W3">
        <f>IF(s_bar/2+6*s_bar&lt;b_sec,(c_nom+phi/2)+(phi/2)*0.000000,NA())</f>
        <v/>
      </c>
      <c r="Y3">
        <f>IF(s_bar/2+7*s_bar&lt;b_sec,(s_bar/2+7*s_bar)+(phi/2)*1.000000,NA())</f>
        <v/>
      </c>
      <c r="Z3">
        <f>IF(s_bar/2+7*s_bar&lt;b_sec,(c_nom+phi/2)+(phi/2)*0.000000,NA())</f>
        <v/>
      </c>
      <c r="AB3">
        <f>IF(s_bar/2+8*s_bar&lt;b_sec,(s_bar/2+8*s_bar)+(phi/2)*1.000000,NA())</f>
        <v/>
      </c>
      <c r="AC3">
        <f>IF(s_bar/2+8*s_bar&lt;b_sec,(c_nom+phi/2)+(phi/2)*0.000000,NA())</f>
        <v/>
      </c>
      <c r="AE3">
        <f>IF(s_bar/2+9*s_bar&lt;b_sec,(s_bar/2+9*s_bar)+(phi/2)*1.000000,NA())</f>
        <v/>
      </c>
      <c r="AF3">
        <f>IF(s_bar/2+9*s_bar&lt;b_sec,(c_nom+phi/2)+(phi/2)*0.000000,NA())</f>
        <v/>
      </c>
      <c r="AH3">
        <f>IF(s_bar/2+10*s_bar&lt;b_sec,(s_bar/2+10*s_bar)+(phi/2)*1.000000,NA())</f>
        <v/>
      </c>
      <c r="AI3">
        <f>IF(s_bar/2+10*s_bar&lt;b_sec,(c_nom+phi/2)+(phi/2)*0.000000,NA())</f>
        <v/>
      </c>
      <c r="AK3">
        <f>IF(s_bar/2+11*s_bar&lt;b_sec,(s_bar/2+11*s_bar)+(phi/2)*1.000000,NA())</f>
        <v/>
      </c>
      <c r="AL3">
        <f>IF(s_bar/2+11*s_bar&lt;b_sec,(c_nom+phi/2)+(phi/2)*0.000000,NA())</f>
        <v/>
      </c>
      <c r="AN3">
        <f>IF(s_bar/2+12*s_bar&lt;b_sec,(s_bar/2+12*s_bar)+(phi/2)*1.000000,NA())</f>
        <v/>
      </c>
      <c r="AO3">
        <f>IF(s_bar/2+12*s_bar&lt;b_sec,(c_nom+phi/2)+(phi/2)*0.000000,NA())</f>
        <v/>
      </c>
      <c r="AQ3">
        <f>IF(s_bar/2+13*s_bar&lt;b_sec,(s_bar/2+13*s_bar)+(phi/2)*1.000000,NA())</f>
        <v/>
      </c>
      <c r="AR3">
        <f>IF(s_bar/2+13*s_bar&lt;b_sec,(c_nom+phi/2)+(phi/2)*0.000000,NA())</f>
        <v/>
      </c>
      <c r="AT3">
        <f>IF(s_bar/2+14*s_bar&lt;b_sec,(s_bar/2+14*s_bar)+(phi/2)*1.000000,NA())</f>
        <v/>
      </c>
      <c r="AU3">
        <f>IF(s_bar/2+14*s_bar&lt;b_sec,(c_nom+phi/2)+(phi/2)*0.000000,NA())</f>
        <v/>
      </c>
      <c r="AW3">
        <f>IF(s_bar/2+15*s_bar&lt;b_sec,(s_bar/2+15*s_bar)+(phi/2)*1.000000,NA())</f>
        <v/>
      </c>
      <c r="AX3">
        <f>IF(s_bar/2+15*s_bar&lt;b_sec,(c_nom+phi/2)+(phi/2)*0.000000,NA())</f>
        <v/>
      </c>
      <c r="AZ3">
        <f>IF(s_bar/2+16*s_bar&lt;b_sec,(s_bar/2+16*s_bar)+(phi/2)*1.000000,NA())</f>
        <v/>
      </c>
      <c r="BA3">
        <f>IF(s_bar/2+16*s_bar&lt;b_sec,(c_nom+phi/2)+(phi/2)*0.000000,NA())</f>
        <v/>
      </c>
      <c r="BC3">
        <f>IF(s_bar/2+17*s_bar&lt;b_sec,(s_bar/2+17*s_bar)+(phi/2)*1.000000,NA())</f>
        <v/>
      </c>
      <c r="BD3">
        <f>IF(s_bar/2+17*s_bar&lt;b_sec,(c_nom+phi/2)+(phi/2)*0.000000,NA())</f>
        <v/>
      </c>
      <c r="BF3">
        <f>IF(s_bar/2+18*s_bar&lt;b_sec,(s_bar/2+18*s_bar)+(phi/2)*1.000000,NA())</f>
        <v/>
      </c>
      <c r="BG3">
        <f>IF(s_bar/2+18*s_bar&lt;b_sec,(c_nom+phi/2)+(phi/2)*0.000000,NA())</f>
        <v/>
      </c>
      <c r="BI3">
        <f>IF(s_bar/2+19*s_bar&lt;b_sec,(s_bar/2+19*s_bar)+(phi/2)*1.000000,NA())</f>
        <v/>
      </c>
      <c r="BJ3">
        <f>IF(s_bar/2+19*s_bar&lt;b_sec,(c_nom+phi/2)+(phi/2)*0.000000,NA())</f>
        <v/>
      </c>
      <c r="BL3">
        <f>IF(s_bar/2+20*s_bar&lt;b_sec,(s_bar/2+20*s_bar)+(phi/2)*1.000000,NA())</f>
        <v/>
      </c>
      <c r="BM3">
        <f>IF(s_bar/2+20*s_bar&lt;b_sec,(c_nom+phi/2)+(phi/2)*0.000000,NA())</f>
        <v/>
      </c>
      <c r="BO3">
        <f>IF(s_bar/2+21*s_bar&lt;b_sec,(s_bar/2+21*s_bar)+(phi/2)*1.000000,NA())</f>
        <v/>
      </c>
      <c r="BP3">
        <f>IF(s_bar/2+21*s_bar&lt;b_sec,(c_nom+phi/2)+(phi/2)*0.000000,NA())</f>
        <v/>
      </c>
      <c r="BR3">
        <f>IF(s_bar/2+22*s_bar&lt;b_sec,(s_bar/2+22*s_bar)+(phi/2)*1.000000,NA())</f>
        <v/>
      </c>
      <c r="BS3">
        <f>IF(s_bar/2+22*s_bar&lt;b_sec,(c_nom+phi/2)+(phi/2)*0.000000,NA())</f>
        <v/>
      </c>
      <c r="BU3">
        <f>IF(s_bar/2+23*s_bar&lt;b_sec,(s_bar/2+23*s_bar)+(phi/2)*1.000000,NA())</f>
        <v/>
      </c>
      <c r="BV3">
        <f>IF(s_bar/2+23*s_bar&lt;b_sec,(c_nom+phi/2)+(phi/2)*0.000000,NA())</f>
        <v/>
      </c>
      <c r="BX3">
        <f>IF(s_bar/2+24*s_bar&lt;b_sec,(s_bar/2+24*s_bar)+(phi/2)*1.000000,NA())</f>
        <v/>
      </c>
      <c r="BY3">
        <f>IF(s_bar/2+24*s_bar&lt;b_sec,(c_nom+phi/2)+(phi/2)*0.000000,NA())</f>
        <v/>
      </c>
      <c r="CA3">
        <f>IF(s_bar/2+25*s_bar&lt;b_sec,(s_bar/2+25*s_bar)+(phi/2)*1.000000,NA())</f>
        <v/>
      </c>
      <c r="CB3">
        <f>IF(s_bar/2+25*s_bar&lt;b_sec,(c_nom+phi/2)+(phi/2)*0.000000,NA())</f>
        <v/>
      </c>
      <c r="CD3">
        <f>IF(s_bar/2+26*s_bar&lt;b_sec,(s_bar/2+26*s_bar)+(phi/2)*1.000000,NA())</f>
        <v/>
      </c>
      <c r="CE3">
        <f>IF(s_bar/2+26*s_bar&lt;b_sec,(c_nom+phi/2)+(phi/2)*0.000000,NA())</f>
        <v/>
      </c>
      <c r="CG3">
        <f>IF(s_bar/2+27*s_bar&lt;b_sec,(s_bar/2+27*s_bar)+(phi/2)*1.000000,NA())</f>
        <v/>
      </c>
      <c r="CH3">
        <f>IF(s_bar/2+27*s_bar&lt;b_sec,(c_nom+phi/2)+(phi/2)*0.000000,NA())</f>
        <v/>
      </c>
      <c r="CJ3">
        <f>IF(s_bar/2+28*s_bar&lt;b_sec,(s_bar/2+28*s_bar)+(phi/2)*1.000000,NA())</f>
        <v/>
      </c>
      <c r="CK3">
        <f>IF(s_bar/2+28*s_bar&lt;b_sec,(c_nom+phi/2)+(phi/2)*0.000000,NA())</f>
        <v/>
      </c>
      <c r="CM3">
        <f>IF(s_bar/2+29*s_bar&lt;b_sec,(s_bar/2+29*s_bar)+(phi/2)*1.000000,NA())</f>
        <v/>
      </c>
      <c r="CN3">
        <f>IF(s_bar/2+29*s_bar&lt;b_sec,(c_nom+phi/2)+(phi/2)*0.000000,NA())</f>
        <v/>
      </c>
      <c r="CP3">
        <f>-0.03*b_sec</f>
        <v/>
      </c>
      <c r="CQ3">
        <f>h_sec-x_na</f>
        <v/>
      </c>
      <c r="CS3">
        <f>0</f>
        <v/>
      </c>
      <c r="CT3">
        <f>h_ceff</f>
        <v/>
      </c>
      <c r="CV3">
        <f>IF(TRUE,0,NA())</f>
        <v/>
      </c>
      <c r="CW3">
        <f>IF(TRUE,-0.025*MAX(b_sec,h_sec),NA())</f>
        <v/>
      </c>
      <c r="CY3">
        <f>IF(TRUE,((0)+(b_sec))/2,NA())</f>
        <v/>
      </c>
      <c r="CZ3">
        <f>IF(TRUE,((-0.025*MAX(b_sec,h_sec))+(-0.025*MAX(b_sec,h_sec)))/2,NA())</f>
        <v/>
      </c>
      <c r="DB3">
        <f>IF(TRUE,-0.025*MAX(b_sec,h_sec),NA())</f>
        <v/>
      </c>
      <c r="DC3">
        <f>IF(TRUE,0,NA())</f>
        <v/>
      </c>
      <c r="DE3">
        <f>IF(TRUE,((-0.025*MAX(b_sec,h_sec))+(-0.025*MAX(b_sec,h_sec)))/2,NA())</f>
        <v/>
      </c>
      <c r="DF3">
        <f>IF(TRUE,((0)+(h_sec))/2,NA())</f>
        <v/>
      </c>
      <c r="DH3">
        <f>IF(1.5*s_bar&lt;b_sec,s_bar/2,NA())</f>
        <v/>
      </c>
      <c r="DI3">
        <f>IF(1.5*s_bar&lt;b_sec,c_nom+phi+0.5*0.025*MAX(b_sec,h_sec),NA())</f>
        <v/>
      </c>
      <c r="DK3">
        <f>IF(1.5*s_bar&lt;b_sec,((s_bar/2)+(1.5*s_bar))/2,NA())</f>
        <v/>
      </c>
      <c r="DL3">
        <f>IF(1.5*s_bar&lt;b_sec,((c_nom+phi+0.5*0.025*MAX(b_sec,h_sec))+(c_nom+phi+0.5*0.025*MAX(b_sec,h_sec)))/2,NA())</f>
        <v/>
      </c>
      <c r="DN3">
        <f>IF(TRUE,b_sec-0.3*s_bar,NA())</f>
        <v/>
      </c>
      <c r="DO3">
        <f>IF(TRUE,0,NA())</f>
        <v/>
      </c>
      <c r="DQ3">
        <f>IF(TRUE,((b_sec-0.3*s_bar)+(b_sec-0.3*s_bar))/2,NA())</f>
        <v/>
      </c>
      <c r="DR3">
        <f>IF(TRUE,((0)+(c_nom))/2,NA())</f>
        <v/>
      </c>
      <c r="DT3">
        <f>IF(TRUE,b_sec+0.025*MAX(b_sec,h_sec),NA())</f>
        <v/>
      </c>
      <c r="DU3">
        <f>IF(TRUE,h_sec-x_na,NA())</f>
        <v/>
      </c>
      <c r="DW3">
        <f>IF(TRUE,((b_sec+0.025*MAX(b_sec,h_sec))+(b_sec+0.025*MAX(b_sec,h_sec)))/2,NA())</f>
        <v/>
      </c>
      <c r="DX3">
        <f>IF(TRUE,((h_sec-x_na)+(h_sec))/2,NA())</f>
        <v/>
      </c>
      <c r="DZ3">
        <f>IF(TRUE,b_sec+0.025*MAX(b_sec,h_sec),NA())</f>
        <v/>
      </c>
      <c r="EA3">
        <f>IF(TRUE,0,NA())</f>
        <v/>
      </c>
      <c r="EC3">
        <f>IF(TRUE,((b_sec+0.025*MAX(b_sec,h_sec))+(b_sec+0.025*MAX(b_sec,h_sec)))/2,NA())</f>
        <v/>
      </c>
      <c r="ED3">
        <f>IF(TRUE,((0)+(h_ceff))/2,NA())</f>
        <v/>
      </c>
      <c r="EF3">
        <f>b_sec/2</f>
        <v/>
      </c>
      <c r="EG3">
        <f>c_nom+phi+3*0.025*MAX(b_sec,h_sec)</f>
        <v/>
      </c>
      <c r="EI3">
        <f>((-2*0.025*MAX(b_sec,h_sec))+(b_sec+5*0.025*MAX(b_sec,h_sec)))/2-MAX((h_sec)-(-2*0.025*MAX(b_sec,h_sec)),((b_sec+5*0.025*MAX(b_sec,h_sec))-(-2*0.025*MAX(b_sec,h_sec)))/1.55)*0.58*1.55</f>
        <v/>
      </c>
      <c r="EJ3">
        <f>((-2*0.025*MAX(b_sec,h_sec))+(h_sec))/2-MAX((h_sec)-(-2*0.025*MAX(b_sec,h_sec)),((b_sec+5*0.025*MAX(b_sec,h_sec))-(-2*0.025*MAX(b_sec,h_sec)))/1.55)*0.58</f>
        <v/>
      </c>
    </row>
    <row r="4">
      <c r="A4">
        <f>b_sec</f>
        <v/>
      </c>
      <c r="B4">
        <f>0</f>
        <v/>
      </c>
      <c r="D4">
        <f>IF(s_bar/2+0*s_bar&lt;b_sec,(s_bar/2+0*s_bar)+(phi/2)*0.866025,NA())</f>
        <v/>
      </c>
      <c r="E4">
        <f>IF(s_bar/2+0*s_bar&lt;b_sec,(c_nom+phi/2)+(phi/2)*0.500000,NA())</f>
        <v/>
      </c>
      <c r="G4">
        <f>IF(s_bar/2+1*s_bar&lt;b_sec,(s_bar/2+1*s_bar)+(phi/2)*0.866025,NA())</f>
        <v/>
      </c>
      <c r="H4">
        <f>IF(s_bar/2+1*s_bar&lt;b_sec,(c_nom+phi/2)+(phi/2)*0.500000,NA())</f>
        <v/>
      </c>
      <c r="J4">
        <f>IF(s_bar/2+2*s_bar&lt;b_sec,(s_bar/2+2*s_bar)+(phi/2)*0.866025,NA())</f>
        <v/>
      </c>
      <c r="K4">
        <f>IF(s_bar/2+2*s_bar&lt;b_sec,(c_nom+phi/2)+(phi/2)*0.500000,NA())</f>
        <v/>
      </c>
      <c r="M4">
        <f>IF(s_bar/2+3*s_bar&lt;b_sec,(s_bar/2+3*s_bar)+(phi/2)*0.866025,NA())</f>
        <v/>
      </c>
      <c r="N4">
        <f>IF(s_bar/2+3*s_bar&lt;b_sec,(c_nom+phi/2)+(phi/2)*0.500000,NA())</f>
        <v/>
      </c>
      <c r="P4">
        <f>IF(s_bar/2+4*s_bar&lt;b_sec,(s_bar/2+4*s_bar)+(phi/2)*0.866025,NA())</f>
        <v/>
      </c>
      <c r="Q4">
        <f>IF(s_bar/2+4*s_bar&lt;b_sec,(c_nom+phi/2)+(phi/2)*0.500000,NA())</f>
        <v/>
      </c>
      <c r="S4">
        <f>IF(s_bar/2+5*s_bar&lt;b_sec,(s_bar/2+5*s_bar)+(phi/2)*0.866025,NA())</f>
        <v/>
      </c>
      <c r="T4">
        <f>IF(s_bar/2+5*s_bar&lt;b_sec,(c_nom+phi/2)+(phi/2)*0.500000,NA())</f>
        <v/>
      </c>
      <c r="V4">
        <f>IF(s_bar/2+6*s_bar&lt;b_sec,(s_bar/2+6*s_bar)+(phi/2)*0.866025,NA())</f>
        <v/>
      </c>
      <c r="W4">
        <f>IF(s_bar/2+6*s_bar&lt;b_sec,(c_nom+phi/2)+(phi/2)*0.500000,NA())</f>
        <v/>
      </c>
      <c r="Y4">
        <f>IF(s_bar/2+7*s_bar&lt;b_sec,(s_bar/2+7*s_bar)+(phi/2)*0.866025,NA())</f>
        <v/>
      </c>
      <c r="Z4">
        <f>IF(s_bar/2+7*s_bar&lt;b_sec,(c_nom+phi/2)+(phi/2)*0.500000,NA())</f>
        <v/>
      </c>
      <c r="AB4">
        <f>IF(s_bar/2+8*s_bar&lt;b_sec,(s_bar/2+8*s_bar)+(phi/2)*0.866025,NA())</f>
        <v/>
      </c>
      <c r="AC4">
        <f>IF(s_bar/2+8*s_bar&lt;b_sec,(c_nom+phi/2)+(phi/2)*0.500000,NA())</f>
        <v/>
      </c>
      <c r="AE4">
        <f>IF(s_bar/2+9*s_bar&lt;b_sec,(s_bar/2+9*s_bar)+(phi/2)*0.866025,NA())</f>
        <v/>
      </c>
      <c r="AF4">
        <f>IF(s_bar/2+9*s_bar&lt;b_sec,(c_nom+phi/2)+(phi/2)*0.500000,NA())</f>
        <v/>
      </c>
      <c r="AH4">
        <f>IF(s_bar/2+10*s_bar&lt;b_sec,(s_bar/2+10*s_bar)+(phi/2)*0.866025,NA())</f>
        <v/>
      </c>
      <c r="AI4">
        <f>IF(s_bar/2+10*s_bar&lt;b_sec,(c_nom+phi/2)+(phi/2)*0.500000,NA())</f>
        <v/>
      </c>
      <c r="AK4">
        <f>IF(s_bar/2+11*s_bar&lt;b_sec,(s_bar/2+11*s_bar)+(phi/2)*0.866025,NA())</f>
        <v/>
      </c>
      <c r="AL4">
        <f>IF(s_bar/2+11*s_bar&lt;b_sec,(c_nom+phi/2)+(phi/2)*0.500000,NA())</f>
        <v/>
      </c>
      <c r="AN4">
        <f>IF(s_bar/2+12*s_bar&lt;b_sec,(s_bar/2+12*s_bar)+(phi/2)*0.866025,NA())</f>
        <v/>
      </c>
      <c r="AO4">
        <f>IF(s_bar/2+12*s_bar&lt;b_sec,(c_nom+phi/2)+(phi/2)*0.500000,NA())</f>
        <v/>
      </c>
      <c r="AQ4">
        <f>IF(s_bar/2+13*s_bar&lt;b_sec,(s_bar/2+13*s_bar)+(phi/2)*0.866025,NA())</f>
        <v/>
      </c>
      <c r="AR4">
        <f>IF(s_bar/2+13*s_bar&lt;b_sec,(c_nom+phi/2)+(phi/2)*0.500000,NA())</f>
        <v/>
      </c>
      <c r="AT4">
        <f>IF(s_bar/2+14*s_bar&lt;b_sec,(s_bar/2+14*s_bar)+(phi/2)*0.866025,NA())</f>
        <v/>
      </c>
      <c r="AU4">
        <f>IF(s_bar/2+14*s_bar&lt;b_sec,(c_nom+phi/2)+(phi/2)*0.500000,NA())</f>
        <v/>
      </c>
      <c r="AW4">
        <f>IF(s_bar/2+15*s_bar&lt;b_sec,(s_bar/2+15*s_bar)+(phi/2)*0.866025,NA())</f>
        <v/>
      </c>
      <c r="AX4">
        <f>IF(s_bar/2+15*s_bar&lt;b_sec,(c_nom+phi/2)+(phi/2)*0.500000,NA())</f>
        <v/>
      </c>
      <c r="AZ4">
        <f>IF(s_bar/2+16*s_bar&lt;b_sec,(s_bar/2+16*s_bar)+(phi/2)*0.866025,NA())</f>
        <v/>
      </c>
      <c r="BA4">
        <f>IF(s_bar/2+16*s_bar&lt;b_sec,(c_nom+phi/2)+(phi/2)*0.500000,NA())</f>
        <v/>
      </c>
      <c r="BC4">
        <f>IF(s_bar/2+17*s_bar&lt;b_sec,(s_bar/2+17*s_bar)+(phi/2)*0.866025,NA())</f>
        <v/>
      </c>
      <c r="BD4">
        <f>IF(s_bar/2+17*s_bar&lt;b_sec,(c_nom+phi/2)+(phi/2)*0.500000,NA())</f>
        <v/>
      </c>
      <c r="BF4">
        <f>IF(s_bar/2+18*s_bar&lt;b_sec,(s_bar/2+18*s_bar)+(phi/2)*0.866025,NA())</f>
        <v/>
      </c>
      <c r="BG4">
        <f>IF(s_bar/2+18*s_bar&lt;b_sec,(c_nom+phi/2)+(phi/2)*0.500000,NA())</f>
        <v/>
      </c>
      <c r="BI4">
        <f>IF(s_bar/2+19*s_bar&lt;b_sec,(s_bar/2+19*s_bar)+(phi/2)*0.866025,NA())</f>
        <v/>
      </c>
      <c r="BJ4">
        <f>IF(s_bar/2+19*s_bar&lt;b_sec,(c_nom+phi/2)+(phi/2)*0.500000,NA())</f>
        <v/>
      </c>
      <c r="BL4">
        <f>IF(s_bar/2+20*s_bar&lt;b_sec,(s_bar/2+20*s_bar)+(phi/2)*0.866025,NA())</f>
        <v/>
      </c>
      <c r="BM4">
        <f>IF(s_bar/2+20*s_bar&lt;b_sec,(c_nom+phi/2)+(phi/2)*0.500000,NA())</f>
        <v/>
      </c>
      <c r="BO4">
        <f>IF(s_bar/2+21*s_bar&lt;b_sec,(s_bar/2+21*s_bar)+(phi/2)*0.866025,NA())</f>
        <v/>
      </c>
      <c r="BP4">
        <f>IF(s_bar/2+21*s_bar&lt;b_sec,(c_nom+phi/2)+(phi/2)*0.500000,NA())</f>
        <v/>
      </c>
      <c r="BR4">
        <f>IF(s_bar/2+22*s_bar&lt;b_sec,(s_bar/2+22*s_bar)+(phi/2)*0.866025,NA())</f>
        <v/>
      </c>
      <c r="BS4">
        <f>IF(s_bar/2+22*s_bar&lt;b_sec,(c_nom+phi/2)+(phi/2)*0.500000,NA())</f>
        <v/>
      </c>
      <c r="BU4">
        <f>IF(s_bar/2+23*s_bar&lt;b_sec,(s_bar/2+23*s_bar)+(phi/2)*0.866025,NA())</f>
        <v/>
      </c>
      <c r="BV4">
        <f>IF(s_bar/2+23*s_bar&lt;b_sec,(c_nom+phi/2)+(phi/2)*0.500000,NA())</f>
        <v/>
      </c>
      <c r="BX4">
        <f>IF(s_bar/2+24*s_bar&lt;b_sec,(s_bar/2+24*s_bar)+(phi/2)*0.866025,NA())</f>
        <v/>
      </c>
      <c r="BY4">
        <f>IF(s_bar/2+24*s_bar&lt;b_sec,(c_nom+phi/2)+(phi/2)*0.500000,NA())</f>
        <v/>
      </c>
      <c r="CA4">
        <f>IF(s_bar/2+25*s_bar&lt;b_sec,(s_bar/2+25*s_bar)+(phi/2)*0.866025,NA())</f>
        <v/>
      </c>
      <c r="CB4">
        <f>IF(s_bar/2+25*s_bar&lt;b_sec,(c_nom+phi/2)+(phi/2)*0.500000,NA())</f>
        <v/>
      </c>
      <c r="CD4">
        <f>IF(s_bar/2+26*s_bar&lt;b_sec,(s_bar/2+26*s_bar)+(phi/2)*0.866025,NA())</f>
        <v/>
      </c>
      <c r="CE4">
        <f>IF(s_bar/2+26*s_bar&lt;b_sec,(c_nom+phi/2)+(phi/2)*0.500000,NA())</f>
        <v/>
      </c>
      <c r="CG4">
        <f>IF(s_bar/2+27*s_bar&lt;b_sec,(s_bar/2+27*s_bar)+(phi/2)*0.866025,NA())</f>
        <v/>
      </c>
      <c r="CH4">
        <f>IF(s_bar/2+27*s_bar&lt;b_sec,(c_nom+phi/2)+(phi/2)*0.500000,NA())</f>
        <v/>
      </c>
      <c r="CJ4">
        <f>IF(s_bar/2+28*s_bar&lt;b_sec,(s_bar/2+28*s_bar)+(phi/2)*0.866025,NA())</f>
        <v/>
      </c>
      <c r="CK4">
        <f>IF(s_bar/2+28*s_bar&lt;b_sec,(c_nom+phi/2)+(phi/2)*0.500000,NA())</f>
        <v/>
      </c>
      <c r="CM4">
        <f>IF(s_bar/2+29*s_bar&lt;b_sec,(s_bar/2+29*s_bar)+(phi/2)*0.866025,NA())</f>
        <v/>
      </c>
      <c r="CN4">
        <f>IF(s_bar/2+29*s_bar&lt;b_sec,(c_nom+phi/2)+(phi/2)*0.500000,NA())</f>
        <v/>
      </c>
      <c r="CP4">
        <f>1.03*b_sec</f>
        <v/>
      </c>
      <c r="CQ4">
        <f>h_sec-x_na</f>
        <v/>
      </c>
      <c r="CS4">
        <f>b_sec</f>
        <v/>
      </c>
      <c r="CT4">
        <f>h_ceff</f>
        <v/>
      </c>
      <c r="CV4">
        <f>IF(TRUE,b_sec,NA())</f>
        <v/>
      </c>
      <c r="CW4">
        <f>IF(TRUE,-0.025*MAX(b_sec,h_sec),NA())</f>
        <v/>
      </c>
      <c r="DB4">
        <f>IF(TRUE,-0.025*MAX(b_sec,h_sec),NA())</f>
        <v/>
      </c>
      <c r="DC4">
        <f>IF(TRUE,h_sec,NA())</f>
        <v/>
      </c>
      <c r="DH4">
        <f>IF(1.5*s_bar&lt;b_sec,1.5*s_bar,NA())</f>
        <v/>
      </c>
      <c r="DI4">
        <f>IF(1.5*s_bar&lt;b_sec,c_nom+phi+0.5*0.025*MAX(b_sec,h_sec),NA())</f>
        <v/>
      </c>
      <c r="DN4">
        <f>IF(TRUE,b_sec-0.3*s_bar,NA())</f>
        <v/>
      </c>
      <c r="DO4">
        <f>IF(TRUE,c_nom,NA())</f>
        <v/>
      </c>
      <c r="DT4">
        <f>IF(TRUE,b_sec+0.025*MAX(b_sec,h_sec),NA())</f>
        <v/>
      </c>
      <c r="DU4">
        <f>IF(TRUE,h_sec,NA())</f>
        <v/>
      </c>
      <c r="DZ4">
        <f>IF(TRUE,b_sec+0.025*MAX(b_sec,h_sec),NA())</f>
        <v/>
      </c>
      <c r="EA4">
        <f>IF(TRUE,h_ceff,NA())</f>
        <v/>
      </c>
      <c r="EI4">
        <f>((-2*0.025*MAX(b_sec,h_sec))+(b_sec+5*0.025*MAX(b_sec,h_sec)))/2+MAX((h_sec)-(-2*0.025*MAX(b_sec,h_sec)),((b_sec+5*0.025*MAX(b_sec,h_sec))-(-2*0.025*MAX(b_sec,h_sec)))/1.55)*0.58*1.55</f>
        <v/>
      </c>
      <c r="EJ4">
        <f>((-2*0.025*MAX(b_sec,h_sec))+(h_sec))/2+MAX((h_sec)-(-2*0.025*MAX(b_sec,h_sec)),((b_sec+5*0.025*MAX(b_sec,h_sec))-(-2*0.025*MAX(b_sec,h_sec)))/1.55)*0.58</f>
        <v/>
      </c>
    </row>
    <row r="5">
      <c r="A5">
        <f>b_sec</f>
        <v/>
      </c>
      <c r="B5">
        <f>h_sec</f>
        <v/>
      </c>
      <c r="D5">
        <f>IF(s_bar/2+0*s_bar&lt;b_sec,(s_bar/2+0*s_bar)+(phi/2)*0.500000,NA())</f>
        <v/>
      </c>
      <c r="E5">
        <f>IF(s_bar/2+0*s_bar&lt;b_sec,(c_nom+phi/2)+(phi/2)*0.866025,NA())</f>
        <v/>
      </c>
      <c r="G5">
        <f>IF(s_bar/2+1*s_bar&lt;b_sec,(s_bar/2+1*s_bar)+(phi/2)*0.500000,NA())</f>
        <v/>
      </c>
      <c r="H5">
        <f>IF(s_bar/2+1*s_bar&lt;b_sec,(c_nom+phi/2)+(phi/2)*0.866025,NA())</f>
        <v/>
      </c>
      <c r="J5">
        <f>IF(s_bar/2+2*s_bar&lt;b_sec,(s_bar/2+2*s_bar)+(phi/2)*0.500000,NA())</f>
        <v/>
      </c>
      <c r="K5">
        <f>IF(s_bar/2+2*s_bar&lt;b_sec,(c_nom+phi/2)+(phi/2)*0.866025,NA())</f>
        <v/>
      </c>
      <c r="M5">
        <f>IF(s_bar/2+3*s_bar&lt;b_sec,(s_bar/2+3*s_bar)+(phi/2)*0.500000,NA())</f>
        <v/>
      </c>
      <c r="N5">
        <f>IF(s_bar/2+3*s_bar&lt;b_sec,(c_nom+phi/2)+(phi/2)*0.866025,NA())</f>
        <v/>
      </c>
      <c r="P5">
        <f>IF(s_bar/2+4*s_bar&lt;b_sec,(s_bar/2+4*s_bar)+(phi/2)*0.500000,NA())</f>
        <v/>
      </c>
      <c r="Q5">
        <f>IF(s_bar/2+4*s_bar&lt;b_sec,(c_nom+phi/2)+(phi/2)*0.866025,NA())</f>
        <v/>
      </c>
      <c r="S5">
        <f>IF(s_bar/2+5*s_bar&lt;b_sec,(s_bar/2+5*s_bar)+(phi/2)*0.500000,NA())</f>
        <v/>
      </c>
      <c r="T5">
        <f>IF(s_bar/2+5*s_bar&lt;b_sec,(c_nom+phi/2)+(phi/2)*0.866025,NA())</f>
        <v/>
      </c>
      <c r="V5">
        <f>IF(s_bar/2+6*s_bar&lt;b_sec,(s_bar/2+6*s_bar)+(phi/2)*0.500000,NA())</f>
        <v/>
      </c>
      <c r="W5">
        <f>IF(s_bar/2+6*s_bar&lt;b_sec,(c_nom+phi/2)+(phi/2)*0.866025,NA())</f>
        <v/>
      </c>
      <c r="Y5">
        <f>IF(s_bar/2+7*s_bar&lt;b_sec,(s_bar/2+7*s_bar)+(phi/2)*0.500000,NA())</f>
        <v/>
      </c>
      <c r="Z5">
        <f>IF(s_bar/2+7*s_bar&lt;b_sec,(c_nom+phi/2)+(phi/2)*0.866025,NA())</f>
        <v/>
      </c>
      <c r="AB5">
        <f>IF(s_bar/2+8*s_bar&lt;b_sec,(s_bar/2+8*s_bar)+(phi/2)*0.500000,NA())</f>
        <v/>
      </c>
      <c r="AC5">
        <f>IF(s_bar/2+8*s_bar&lt;b_sec,(c_nom+phi/2)+(phi/2)*0.866025,NA())</f>
        <v/>
      </c>
      <c r="AE5">
        <f>IF(s_bar/2+9*s_bar&lt;b_sec,(s_bar/2+9*s_bar)+(phi/2)*0.500000,NA())</f>
        <v/>
      </c>
      <c r="AF5">
        <f>IF(s_bar/2+9*s_bar&lt;b_sec,(c_nom+phi/2)+(phi/2)*0.866025,NA())</f>
        <v/>
      </c>
      <c r="AH5">
        <f>IF(s_bar/2+10*s_bar&lt;b_sec,(s_bar/2+10*s_bar)+(phi/2)*0.500000,NA())</f>
        <v/>
      </c>
      <c r="AI5">
        <f>IF(s_bar/2+10*s_bar&lt;b_sec,(c_nom+phi/2)+(phi/2)*0.866025,NA())</f>
        <v/>
      </c>
      <c r="AK5">
        <f>IF(s_bar/2+11*s_bar&lt;b_sec,(s_bar/2+11*s_bar)+(phi/2)*0.500000,NA())</f>
        <v/>
      </c>
      <c r="AL5">
        <f>IF(s_bar/2+11*s_bar&lt;b_sec,(c_nom+phi/2)+(phi/2)*0.866025,NA())</f>
        <v/>
      </c>
      <c r="AN5">
        <f>IF(s_bar/2+12*s_bar&lt;b_sec,(s_bar/2+12*s_bar)+(phi/2)*0.500000,NA())</f>
        <v/>
      </c>
      <c r="AO5">
        <f>IF(s_bar/2+12*s_bar&lt;b_sec,(c_nom+phi/2)+(phi/2)*0.866025,NA())</f>
        <v/>
      </c>
      <c r="AQ5">
        <f>IF(s_bar/2+13*s_bar&lt;b_sec,(s_bar/2+13*s_bar)+(phi/2)*0.500000,NA())</f>
        <v/>
      </c>
      <c r="AR5">
        <f>IF(s_bar/2+13*s_bar&lt;b_sec,(c_nom+phi/2)+(phi/2)*0.866025,NA())</f>
        <v/>
      </c>
      <c r="AT5">
        <f>IF(s_bar/2+14*s_bar&lt;b_sec,(s_bar/2+14*s_bar)+(phi/2)*0.500000,NA())</f>
        <v/>
      </c>
      <c r="AU5">
        <f>IF(s_bar/2+14*s_bar&lt;b_sec,(c_nom+phi/2)+(phi/2)*0.866025,NA())</f>
        <v/>
      </c>
      <c r="AW5">
        <f>IF(s_bar/2+15*s_bar&lt;b_sec,(s_bar/2+15*s_bar)+(phi/2)*0.500000,NA())</f>
        <v/>
      </c>
      <c r="AX5">
        <f>IF(s_bar/2+15*s_bar&lt;b_sec,(c_nom+phi/2)+(phi/2)*0.866025,NA())</f>
        <v/>
      </c>
      <c r="AZ5">
        <f>IF(s_bar/2+16*s_bar&lt;b_sec,(s_bar/2+16*s_bar)+(phi/2)*0.500000,NA())</f>
        <v/>
      </c>
      <c r="BA5">
        <f>IF(s_bar/2+16*s_bar&lt;b_sec,(c_nom+phi/2)+(phi/2)*0.866025,NA())</f>
        <v/>
      </c>
      <c r="BC5">
        <f>IF(s_bar/2+17*s_bar&lt;b_sec,(s_bar/2+17*s_bar)+(phi/2)*0.500000,NA())</f>
        <v/>
      </c>
      <c r="BD5">
        <f>IF(s_bar/2+17*s_bar&lt;b_sec,(c_nom+phi/2)+(phi/2)*0.866025,NA())</f>
        <v/>
      </c>
      <c r="BF5">
        <f>IF(s_bar/2+18*s_bar&lt;b_sec,(s_bar/2+18*s_bar)+(phi/2)*0.500000,NA())</f>
        <v/>
      </c>
      <c r="BG5">
        <f>IF(s_bar/2+18*s_bar&lt;b_sec,(c_nom+phi/2)+(phi/2)*0.866025,NA())</f>
        <v/>
      </c>
      <c r="BI5">
        <f>IF(s_bar/2+19*s_bar&lt;b_sec,(s_bar/2+19*s_bar)+(phi/2)*0.500000,NA())</f>
        <v/>
      </c>
      <c r="BJ5">
        <f>IF(s_bar/2+19*s_bar&lt;b_sec,(c_nom+phi/2)+(phi/2)*0.866025,NA())</f>
        <v/>
      </c>
      <c r="BL5">
        <f>IF(s_bar/2+20*s_bar&lt;b_sec,(s_bar/2+20*s_bar)+(phi/2)*0.500000,NA())</f>
        <v/>
      </c>
      <c r="BM5">
        <f>IF(s_bar/2+20*s_bar&lt;b_sec,(c_nom+phi/2)+(phi/2)*0.866025,NA())</f>
        <v/>
      </c>
      <c r="BO5">
        <f>IF(s_bar/2+21*s_bar&lt;b_sec,(s_bar/2+21*s_bar)+(phi/2)*0.500000,NA())</f>
        <v/>
      </c>
      <c r="BP5">
        <f>IF(s_bar/2+21*s_bar&lt;b_sec,(c_nom+phi/2)+(phi/2)*0.866025,NA())</f>
        <v/>
      </c>
      <c r="BR5">
        <f>IF(s_bar/2+22*s_bar&lt;b_sec,(s_bar/2+22*s_bar)+(phi/2)*0.500000,NA())</f>
        <v/>
      </c>
      <c r="BS5">
        <f>IF(s_bar/2+22*s_bar&lt;b_sec,(c_nom+phi/2)+(phi/2)*0.866025,NA())</f>
        <v/>
      </c>
      <c r="BU5">
        <f>IF(s_bar/2+23*s_bar&lt;b_sec,(s_bar/2+23*s_bar)+(phi/2)*0.500000,NA())</f>
        <v/>
      </c>
      <c r="BV5">
        <f>IF(s_bar/2+23*s_bar&lt;b_sec,(c_nom+phi/2)+(phi/2)*0.866025,NA())</f>
        <v/>
      </c>
      <c r="BX5">
        <f>IF(s_bar/2+24*s_bar&lt;b_sec,(s_bar/2+24*s_bar)+(phi/2)*0.500000,NA())</f>
        <v/>
      </c>
      <c r="BY5">
        <f>IF(s_bar/2+24*s_bar&lt;b_sec,(c_nom+phi/2)+(phi/2)*0.866025,NA())</f>
        <v/>
      </c>
      <c r="CA5">
        <f>IF(s_bar/2+25*s_bar&lt;b_sec,(s_bar/2+25*s_bar)+(phi/2)*0.500000,NA())</f>
        <v/>
      </c>
      <c r="CB5">
        <f>IF(s_bar/2+25*s_bar&lt;b_sec,(c_nom+phi/2)+(phi/2)*0.866025,NA())</f>
        <v/>
      </c>
      <c r="CD5">
        <f>IF(s_bar/2+26*s_bar&lt;b_sec,(s_bar/2+26*s_bar)+(phi/2)*0.500000,NA())</f>
        <v/>
      </c>
      <c r="CE5">
        <f>IF(s_bar/2+26*s_bar&lt;b_sec,(c_nom+phi/2)+(phi/2)*0.866025,NA())</f>
        <v/>
      </c>
      <c r="CG5">
        <f>IF(s_bar/2+27*s_bar&lt;b_sec,(s_bar/2+27*s_bar)+(phi/2)*0.500000,NA())</f>
        <v/>
      </c>
      <c r="CH5">
        <f>IF(s_bar/2+27*s_bar&lt;b_sec,(c_nom+phi/2)+(phi/2)*0.866025,NA())</f>
        <v/>
      </c>
      <c r="CJ5">
        <f>IF(s_bar/2+28*s_bar&lt;b_sec,(s_bar/2+28*s_bar)+(phi/2)*0.500000,NA())</f>
        <v/>
      </c>
      <c r="CK5">
        <f>IF(s_bar/2+28*s_bar&lt;b_sec,(c_nom+phi/2)+(phi/2)*0.866025,NA())</f>
        <v/>
      </c>
      <c r="CM5">
        <f>IF(s_bar/2+29*s_bar&lt;b_sec,(s_bar/2+29*s_bar)+(phi/2)*0.500000,NA())</f>
        <v/>
      </c>
      <c r="CN5">
        <f>IF(s_bar/2+29*s_bar&lt;b_sec,(c_nom+phi/2)+(phi/2)*0.866025,NA())</f>
        <v/>
      </c>
    </row>
    <row r="6">
      <c r="A6">
        <f>0</f>
        <v/>
      </c>
      <c r="B6">
        <f>h_sec</f>
        <v/>
      </c>
      <c r="D6">
        <f>IF(s_bar/2+0*s_bar&lt;b_sec,(s_bar/2+0*s_bar)+(phi/2)*0.000000,NA())</f>
        <v/>
      </c>
      <c r="E6">
        <f>IF(s_bar/2+0*s_bar&lt;b_sec,(c_nom+phi/2)+(phi/2)*1.000000,NA())</f>
        <v/>
      </c>
      <c r="G6">
        <f>IF(s_bar/2+1*s_bar&lt;b_sec,(s_bar/2+1*s_bar)+(phi/2)*0.000000,NA())</f>
        <v/>
      </c>
      <c r="H6">
        <f>IF(s_bar/2+1*s_bar&lt;b_sec,(c_nom+phi/2)+(phi/2)*1.000000,NA())</f>
        <v/>
      </c>
      <c r="J6">
        <f>IF(s_bar/2+2*s_bar&lt;b_sec,(s_bar/2+2*s_bar)+(phi/2)*0.000000,NA())</f>
        <v/>
      </c>
      <c r="K6">
        <f>IF(s_bar/2+2*s_bar&lt;b_sec,(c_nom+phi/2)+(phi/2)*1.000000,NA())</f>
        <v/>
      </c>
      <c r="M6">
        <f>IF(s_bar/2+3*s_bar&lt;b_sec,(s_bar/2+3*s_bar)+(phi/2)*0.000000,NA())</f>
        <v/>
      </c>
      <c r="N6">
        <f>IF(s_bar/2+3*s_bar&lt;b_sec,(c_nom+phi/2)+(phi/2)*1.000000,NA())</f>
        <v/>
      </c>
      <c r="P6">
        <f>IF(s_bar/2+4*s_bar&lt;b_sec,(s_bar/2+4*s_bar)+(phi/2)*0.000000,NA())</f>
        <v/>
      </c>
      <c r="Q6">
        <f>IF(s_bar/2+4*s_bar&lt;b_sec,(c_nom+phi/2)+(phi/2)*1.000000,NA())</f>
        <v/>
      </c>
      <c r="S6">
        <f>IF(s_bar/2+5*s_bar&lt;b_sec,(s_bar/2+5*s_bar)+(phi/2)*0.000000,NA())</f>
        <v/>
      </c>
      <c r="T6">
        <f>IF(s_bar/2+5*s_bar&lt;b_sec,(c_nom+phi/2)+(phi/2)*1.000000,NA())</f>
        <v/>
      </c>
      <c r="V6">
        <f>IF(s_bar/2+6*s_bar&lt;b_sec,(s_bar/2+6*s_bar)+(phi/2)*0.000000,NA())</f>
        <v/>
      </c>
      <c r="W6">
        <f>IF(s_bar/2+6*s_bar&lt;b_sec,(c_nom+phi/2)+(phi/2)*1.000000,NA())</f>
        <v/>
      </c>
      <c r="Y6">
        <f>IF(s_bar/2+7*s_bar&lt;b_sec,(s_bar/2+7*s_bar)+(phi/2)*0.000000,NA())</f>
        <v/>
      </c>
      <c r="Z6">
        <f>IF(s_bar/2+7*s_bar&lt;b_sec,(c_nom+phi/2)+(phi/2)*1.000000,NA())</f>
        <v/>
      </c>
      <c r="AB6">
        <f>IF(s_bar/2+8*s_bar&lt;b_sec,(s_bar/2+8*s_bar)+(phi/2)*0.000000,NA())</f>
        <v/>
      </c>
      <c r="AC6">
        <f>IF(s_bar/2+8*s_bar&lt;b_sec,(c_nom+phi/2)+(phi/2)*1.000000,NA())</f>
        <v/>
      </c>
      <c r="AE6">
        <f>IF(s_bar/2+9*s_bar&lt;b_sec,(s_bar/2+9*s_bar)+(phi/2)*0.000000,NA())</f>
        <v/>
      </c>
      <c r="AF6">
        <f>IF(s_bar/2+9*s_bar&lt;b_sec,(c_nom+phi/2)+(phi/2)*1.000000,NA())</f>
        <v/>
      </c>
      <c r="AH6">
        <f>IF(s_bar/2+10*s_bar&lt;b_sec,(s_bar/2+10*s_bar)+(phi/2)*0.000000,NA())</f>
        <v/>
      </c>
      <c r="AI6">
        <f>IF(s_bar/2+10*s_bar&lt;b_sec,(c_nom+phi/2)+(phi/2)*1.000000,NA())</f>
        <v/>
      </c>
      <c r="AK6">
        <f>IF(s_bar/2+11*s_bar&lt;b_sec,(s_bar/2+11*s_bar)+(phi/2)*0.000000,NA())</f>
        <v/>
      </c>
      <c r="AL6">
        <f>IF(s_bar/2+11*s_bar&lt;b_sec,(c_nom+phi/2)+(phi/2)*1.000000,NA())</f>
        <v/>
      </c>
      <c r="AN6">
        <f>IF(s_bar/2+12*s_bar&lt;b_sec,(s_bar/2+12*s_bar)+(phi/2)*0.000000,NA())</f>
        <v/>
      </c>
      <c r="AO6">
        <f>IF(s_bar/2+12*s_bar&lt;b_sec,(c_nom+phi/2)+(phi/2)*1.000000,NA())</f>
        <v/>
      </c>
      <c r="AQ6">
        <f>IF(s_bar/2+13*s_bar&lt;b_sec,(s_bar/2+13*s_bar)+(phi/2)*0.000000,NA())</f>
        <v/>
      </c>
      <c r="AR6">
        <f>IF(s_bar/2+13*s_bar&lt;b_sec,(c_nom+phi/2)+(phi/2)*1.000000,NA())</f>
        <v/>
      </c>
      <c r="AT6">
        <f>IF(s_bar/2+14*s_bar&lt;b_sec,(s_bar/2+14*s_bar)+(phi/2)*0.000000,NA())</f>
        <v/>
      </c>
      <c r="AU6">
        <f>IF(s_bar/2+14*s_bar&lt;b_sec,(c_nom+phi/2)+(phi/2)*1.000000,NA())</f>
        <v/>
      </c>
      <c r="AW6">
        <f>IF(s_bar/2+15*s_bar&lt;b_sec,(s_bar/2+15*s_bar)+(phi/2)*0.000000,NA())</f>
        <v/>
      </c>
      <c r="AX6">
        <f>IF(s_bar/2+15*s_bar&lt;b_sec,(c_nom+phi/2)+(phi/2)*1.000000,NA())</f>
        <v/>
      </c>
      <c r="AZ6">
        <f>IF(s_bar/2+16*s_bar&lt;b_sec,(s_bar/2+16*s_bar)+(phi/2)*0.000000,NA())</f>
        <v/>
      </c>
      <c r="BA6">
        <f>IF(s_bar/2+16*s_bar&lt;b_sec,(c_nom+phi/2)+(phi/2)*1.000000,NA())</f>
        <v/>
      </c>
      <c r="BC6">
        <f>IF(s_bar/2+17*s_bar&lt;b_sec,(s_bar/2+17*s_bar)+(phi/2)*0.000000,NA())</f>
        <v/>
      </c>
      <c r="BD6">
        <f>IF(s_bar/2+17*s_bar&lt;b_sec,(c_nom+phi/2)+(phi/2)*1.000000,NA())</f>
        <v/>
      </c>
      <c r="BF6">
        <f>IF(s_bar/2+18*s_bar&lt;b_sec,(s_bar/2+18*s_bar)+(phi/2)*0.000000,NA())</f>
        <v/>
      </c>
      <c r="BG6">
        <f>IF(s_bar/2+18*s_bar&lt;b_sec,(c_nom+phi/2)+(phi/2)*1.000000,NA())</f>
        <v/>
      </c>
      <c r="BI6">
        <f>IF(s_bar/2+19*s_bar&lt;b_sec,(s_bar/2+19*s_bar)+(phi/2)*0.000000,NA())</f>
        <v/>
      </c>
      <c r="BJ6">
        <f>IF(s_bar/2+19*s_bar&lt;b_sec,(c_nom+phi/2)+(phi/2)*1.000000,NA())</f>
        <v/>
      </c>
      <c r="BL6">
        <f>IF(s_bar/2+20*s_bar&lt;b_sec,(s_bar/2+20*s_bar)+(phi/2)*0.000000,NA())</f>
        <v/>
      </c>
      <c r="BM6">
        <f>IF(s_bar/2+20*s_bar&lt;b_sec,(c_nom+phi/2)+(phi/2)*1.000000,NA())</f>
        <v/>
      </c>
      <c r="BO6">
        <f>IF(s_bar/2+21*s_bar&lt;b_sec,(s_bar/2+21*s_bar)+(phi/2)*0.000000,NA())</f>
        <v/>
      </c>
      <c r="BP6">
        <f>IF(s_bar/2+21*s_bar&lt;b_sec,(c_nom+phi/2)+(phi/2)*1.000000,NA())</f>
        <v/>
      </c>
      <c r="BR6">
        <f>IF(s_bar/2+22*s_bar&lt;b_sec,(s_bar/2+22*s_bar)+(phi/2)*0.000000,NA())</f>
        <v/>
      </c>
      <c r="BS6">
        <f>IF(s_bar/2+22*s_bar&lt;b_sec,(c_nom+phi/2)+(phi/2)*1.000000,NA())</f>
        <v/>
      </c>
      <c r="BU6">
        <f>IF(s_bar/2+23*s_bar&lt;b_sec,(s_bar/2+23*s_bar)+(phi/2)*0.000000,NA())</f>
        <v/>
      </c>
      <c r="BV6">
        <f>IF(s_bar/2+23*s_bar&lt;b_sec,(c_nom+phi/2)+(phi/2)*1.000000,NA())</f>
        <v/>
      </c>
      <c r="BX6">
        <f>IF(s_bar/2+24*s_bar&lt;b_sec,(s_bar/2+24*s_bar)+(phi/2)*0.000000,NA())</f>
        <v/>
      </c>
      <c r="BY6">
        <f>IF(s_bar/2+24*s_bar&lt;b_sec,(c_nom+phi/2)+(phi/2)*1.000000,NA())</f>
        <v/>
      </c>
      <c r="CA6">
        <f>IF(s_bar/2+25*s_bar&lt;b_sec,(s_bar/2+25*s_bar)+(phi/2)*0.000000,NA())</f>
        <v/>
      </c>
      <c r="CB6">
        <f>IF(s_bar/2+25*s_bar&lt;b_sec,(c_nom+phi/2)+(phi/2)*1.000000,NA())</f>
        <v/>
      </c>
      <c r="CD6">
        <f>IF(s_bar/2+26*s_bar&lt;b_sec,(s_bar/2+26*s_bar)+(phi/2)*0.000000,NA())</f>
        <v/>
      </c>
      <c r="CE6">
        <f>IF(s_bar/2+26*s_bar&lt;b_sec,(c_nom+phi/2)+(phi/2)*1.000000,NA())</f>
        <v/>
      </c>
      <c r="CG6">
        <f>IF(s_bar/2+27*s_bar&lt;b_sec,(s_bar/2+27*s_bar)+(phi/2)*0.000000,NA())</f>
        <v/>
      </c>
      <c r="CH6">
        <f>IF(s_bar/2+27*s_bar&lt;b_sec,(c_nom+phi/2)+(phi/2)*1.000000,NA())</f>
        <v/>
      </c>
      <c r="CJ6">
        <f>IF(s_bar/2+28*s_bar&lt;b_sec,(s_bar/2+28*s_bar)+(phi/2)*0.000000,NA())</f>
        <v/>
      </c>
      <c r="CK6">
        <f>IF(s_bar/2+28*s_bar&lt;b_sec,(c_nom+phi/2)+(phi/2)*1.000000,NA())</f>
        <v/>
      </c>
      <c r="CM6">
        <f>IF(s_bar/2+29*s_bar&lt;b_sec,(s_bar/2+29*s_bar)+(phi/2)*0.000000,NA())</f>
        <v/>
      </c>
      <c r="CN6">
        <f>IF(s_bar/2+29*s_bar&lt;b_sec,(c_nom+phi/2)+(phi/2)*1.000000,NA())</f>
        <v/>
      </c>
    </row>
    <row r="7">
      <c r="A7">
        <f>0</f>
        <v/>
      </c>
      <c r="B7">
        <f>0</f>
        <v/>
      </c>
      <c r="D7">
        <f>IF(s_bar/2+0*s_bar&lt;b_sec,(s_bar/2+0*s_bar)+(phi/2)*-0.500000,NA())</f>
        <v/>
      </c>
      <c r="E7">
        <f>IF(s_bar/2+0*s_bar&lt;b_sec,(c_nom+phi/2)+(phi/2)*0.866025,NA())</f>
        <v/>
      </c>
      <c r="G7">
        <f>IF(s_bar/2+1*s_bar&lt;b_sec,(s_bar/2+1*s_bar)+(phi/2)*-0.500000,NA())</f>
        <v/>
      </c>
      <c r="H7">
        <f>IF(s_bar/2+1*s_bar&lt;b_sec,(c_nom+phi/2)+(phi/2)*0.866025,NA())</f>
        <v/>
      </c>
      <c r="J7">
        <f>IF(s_bar/2+2*s_bar&lt;b_sec,(s_bar/2+2*s_bar)+(phi/2)*-0.500000,NA())</f>
        <v/>
      </c>
      <c r="K7">
        <f>IF(s_bar/2+2*s_bar&lt;b_sec,(c_nom+phi/2)+(phi/2)*0.866025,NA())</f>
        <v/>
      </c>
      <c r="M7">
        <f>IF(s_bar/2+3*s_bar&lt;b_sec,(s_bar/2+3*s_bar)+(phi/2)*-0.500000,NA())</f>
        <v/>
      </c>
      <c r="N7">
        <f>IF(s_bar/2+3*s_bar&lt;b_sec,(c_nom+phi/2)+(phi/2)*0.866025,NA())</f>
        <v/>
      </c>
      <c r="P7">
        <f>IF(s_bar/2+4*s_bar&lt;b_sec,(s_bar/2+4*s_bar)+(phi/2)*-0.500000,NA())</f>
        <v/>
      </c>
      <c r="Q7">
        <f>IF(s_bar/2+4*s_bar&lt;b_sec,(c_nom+phi/2)+(phi/2)*0.866025,NA())</f>
        <v/>
      </c>
      <c r="S7">
        <f>IF(s_bar/2+5*s_bar&lt;b_sec,(s_bar/2+5*s_bar)+(phi/2)*-0.500000,NA())</f>
        <v/>
      </c>
      <c r="T7">
        <f>IF(s_bar/2+5*s_bar&lt;b_sec,(c_nom+phi/2)+(phi/2)*0.866025,NA())</f>
        <v/>
      </c>
      <c r="V7">
        <f>IF(s_bar/2+6*s_bar&lt;b_sec,(s_bar/2+6*s_bar)+(phi/2)*-0.500000,NA())</f>
        <v/>
      </c>
      <c r="W7">
        <f>IF(s_bar/2+6*s_bar&lt;b_sec,(c_nom+phi/2)+(phi/2)*0.866025,NA())</f>
        <v/>
      </c>
      <c r="Y7">
        <f>IF(s_bar/2+7*s_bar&lt;b_sec,(s_bar/2+7*s_bar)+(phi/2)*-0.500000,NA())</f>
        <v/>
      </c>
      <c r="Z7">
        <f>IF(s_bar/2+7*s_bar&lt;b_sec,(c_nom+phi/2)+(phi/2)*0.866025,NA())</f>
        <v/>
      </c>
      <c r="AB7">
        <f>IF(s_bar/2+8*s_bar&lt;b_sec,(s_bar/2+8*s_bar)+(phi/2)*-0.500000,NA())</f>
        <v/>
      </c>
      <c r="AC7">
        <f>IF(s_bar/2+8*s_bar&lt;b_sec,(c_nom+phi/2)+(phi/2)*0.866025,NA())</f>
        <v/>
      </c>
      <c r="AE7">
        <f>IF(s_bar/2+9*s_bar&lt;b_sec,(s_bar/2+9*s_bar)+(phi/2)*-0.500000,NA())</f>
        <v/>
      </c>
      <c r="AF7">
        <f>IF(s_bar/2+9*s_bar&lt;b_sec,(c_nom+phi/2)+(phi/2)*0.866025,NA())</f>
        <v/>
      </c>
      <c r="AH7">
        <f>IF(s_bar/2+10*s_bar&lt;b_sec,(s_bar/2+10*s_bar)+(phi/2)*-0.500000,NA())</f>
        <v/>
      </c>
      <c r="AI7">
        <f>IF(s_bar/2+10*s_bar&lt;b_sec,(c_nom+phi/2)+(phi/2)*0.866025,NA())</f>
        <v/>
      </c>
      <c r="AK7">
        <f>IF(s_bar/2+11*s_bar&lt;b_sec,(s_bar/2+11*s_bar)+(phi/2)*-0.500000,NA())</f>
        <v/>
      </c>
      <c r="AL7">
        <f>IF(s_bar/2+11*s_bar&lt;b_sec,(c_nom+phi/2)+(phi/2)*0.866025,NA())</f>
        <v/>
      </c>
      <c r="AN7">
        <f>IF(s_bar/2+12*s_bar&lt;b_sec,(s_bar/2+12*s_bar)+(phi/2)*-0.500000,NA())</f>
        <v/>
      </c>
      <c r="AO7">
        <f>IF(s_bar/2+12*s_bar&lt;b_sec,(c_nom+phi/2)+(phi/2)*0.866025,NA())</f>
        <v/>
      </c>
      <c r="AQ7">
        <f>IF(s_bar/2+13*s_bar&lt;b_sec,(s_bar/2+13*s_bar)+(phi/2)*-0.500000,NA())</f>
        <v/>
      </c>
      <c r="AR7">
        <f>IF(s_bar/2+13*s_bar&lt;b_sec,(c_nom+phi/2)+(phi/2)*0.866025,NA())</f>
        <v/>
      </c>
      <c r="AT7">
        <f>IF(s_bar/2+14*s_bar&lt;b_sec,(s_bar/2+14*s_bar)+(phi/2)*-0.500000,NA())</f>
        <v/>
      </c>
      <c r="AU7">
        <f>IF(s_bar/2+14*s_bar&lt;b_sec,(c_nom+phi/2)+(phi/2)*0.866025,NA())</f>
        <v/>
      </c>
      <c r="AW7">
        <f>IF(s_bar/2+15*s_bar&lt;b_sec,(s_bar/2+15*s_bar)+(phi/2)*-0.500000,NA())</f>
        <v/>
      </c>
      <c r="AX7">
        <f>IF(s_bar/2+15*s_bar&lt;b_sec,(c_nom+phi/2)+(phi/2)*0.866025,NA())</f>
        <v/>
      </c>
      <c r="AZ7">
        <f>IF(s_bar/2+16*s_bar&lt;b_sec,(s_bar/2+16*s_bar)+(phi/2)*-0.500000,NA())</f>
        <v/>
      </c>
      <c r="BA7">
        <f>IF(s_bar/2+16*s_bar&lt;b_sec,(c_nom+phi/2)+(phi/2)*0.866025,NA())</f>
        <v/>
      </c>
      <c r="BC7">
        <f>IF(s_bar/2+17*s_bar&lt;b_sec,(s_bar/2+17*s_bar)+(phi/2)*-0.500000,NA())</f>
        <v/>
      </c>
      <c r="BD7">
        <f>IF(s_bar/2+17*s_bar&lt;b_sec,(c_nom+phi/2)+(phi/2)*0.866025,NA())</f>
        <v/>
      </c>
      <c r="BF7">
        <f>IF(s_bar/2+18*s_bar&lt;b_sec,(s_bar/2+18*s_bar)+(phi/2)*-0.500000,NA())</f>
        <v/>
      </c>
      <c r="BG7">
        <f>IF(s_bar/2+18*s_bar&lt;b_sec,(c_nom+phi/2)+(phi/2)*0.866025,NA())</f>
        <v/>
      </c>
      <c r="BI7">
        <f>IF(s_bar/2+19*s_bar&lt;b_sec,(s_bar/2+19*s_bar)+(phi/2)*-0.500000,NA())</f>
        <v/>
      </c>
      <c r="BJ7">
        <f>IF(s_bar/2+19*s_bar&lt;b_sec,(c_nom+phi/2)+(phi/2)*0.866025,NA())</f>
        <v/>
      </c>
      <c r="BL7">
        <f>IF(s_bar/2+20*s_bar&lt;b_sec,(s_bar/2+20*s_bar)+(phi/2)*-0.500000,NA())</f>
        <v/>
      </c>
      <c r="BM7">
        <f>IF(s_bar/2+20*s_bar&lt;b_sec,(c_nom+phi/2)+(phi/2)*0.866025,NA())</f>
        <v/>
      </c>
      <c r="BO7">
        <f>IF(s_bar/2+21*s_bar&lt;b_sec,(s_bar/2+21*s_bar)+(phi/2)*-0.500000,NA())</f>
        <v/>
      </c>
      <c r="BP7">
        <f>IF(s_bar/2+21*s_bar&lt;b_sec,(c_nom+phi/2)+(phi/2)*0.866025,NA())</f>
        <v/>
      </c>
      <c r="BR7">
        <f>IF(s_bar/2+22*s_bar&lt;b_sec,(s_bar/2+22*s_bar)+(phi/2)*-0.500000,NA())</f>
        <v/>
      </c>
      <c r="BS7">
        <f>IF(s_bar/2+22*s_bar&lt;b_sec,(c_nom+phi/2)+(phi/2)*0.866025,NA())</f>
        <v/>
      </c>
      <c r="BU7">
        <f>IF(s_bar/2+23*s_bar&lt;b_sec,(s_bar/2+23*s_bar)+(phi/2)*-0.500000,NA())</f>
        <v/>
      </c>
      <c r="BV7">
        <f>IF(s_bar/2+23*s_bar&lt;b_sec,(c_nom+phi/2)+(phi/2)*0.866025,NA())</f>
        <v/>
      </c>
      <c r="BX7">
        <f>IF(s_bar/2+24*s_bar&lt;b_sec,(s_bar/2+24*s_bar)+(phi/2)*-0.500000,NA())</f>
        <v/>
      </c>
      <c r="BY7">
        <f>IF(s_bar/2+24*s_bar&lt;b_sec,(c_nom+phi/2)+(phi/2)*0.866025,NA())</f>
        <v/>
      </c>
      <c r="CA7">
        <f>IF(s_bar/2+25*s_bar&lt;b_sec,(s_bar/2+25*s_bar)+(phi/2)*-0.500000,NA())</f>
        <v/>
      </c>
      <c r="CB7">
        <f>IF(s_bar/2+25*s_bar&lt;b_sec,(c_nom+phi/2)+(phi/2)*0.866025,NA())</f>
        <v/>
      </c>
      <c r="CD7">
        <f>IF(s_bar/2+26*s_bar&lt;b_sec,(s_bar/2+26*s_bar)+(phi/2)*-0.500000,NA())</f>
        <v/>
      </c>
      <c r="CE7">
        <f>IF(s_bar/2+26*s_bar&lt;b_sec,(c_nom+phi/2)+(phi/2)*0.866025,NA())</f>
        <v/>
      </c>
      <c r="CG7">
        <f>IF(s_bar/2+27*s_bar&lt;b_sec,(s_bar/2+27*s_bar)+(phi/2)*-0.500000,NA())</f>
        <v/>
      </c>
      <c r="CH7">
        <f>IF(s_bar/2+27*s_bar&lt;b_sec,(c_nom+phi/2)+(phi/2)*0.866025,NA())</f>
        <v/>
      </c>
      <c r="CJ7">
        <f>IF(s_bar/2+28*s_bar&lt;b_sec,(s_bar/2+28*s_bar)+(phi/2)*-0.500000,NA())</f>
        <v/>
      </c>
      <c r="CK7">
        <f>IF(s_bar/2+28*s_bar&lt;b_sec,(c_nom+phi/2)+(phi/2)*0.866025,NA())</f>
        <v/>
      </c>
      <c r="CM7">
        <f>IF(s_bar/2+29*s_bar&lt;b_sec,(s_bar/2+29*s_bar)+(phi/2)*-0.500000,NA())</f>
        <v/>
      </c>
      <c r="CN7">
        <f>IF(s_bar/2+29*s_bar&lt;b_sec,(c_nom+phi/2)+(phi/2)*0.866025,NA())</f>
        <v/>
      </c>
    </row>
    <row r="8">
      <c r="D8">
        <f>IF(s_bar/2+0*s_bar&lt;b_sec,(s_bar/2+0*s_bar)+(phi/2)*-0.866025,NA())</f>
        <v/>
      </c>
      <c r="E8">
        <f>IF(s_bar/2+0*s_bar&lt;b_sec,(c_nom+phi/2)+(phi/2)*0.500000,NA())</f>
        <v/>
      </c>
      <c r="G8">
        <f>IF(s_bar/2+1*s_bar&lt;b_sec,(s_bar/2+1*s_bar)+(phi/2)*-0.866025,NA())</f>
        <v/>
      </c>
      <c r="H8">
        <f>IF(s_bar/2+1*s_bar&lt;b_sec,(c_nom+phi/2)+(phi/2)*0.500000,NA())</f>
        <v/>
      </c>
      <c r="J8">
        <f>IF(s_bar/2+2*s_bar&lt;b_sec,(s_bar/2+2*s_bar)+(phi/2)*-0.866025,NA())</f>
        <v/>
      </c>
      <c r="K8">
        <f>IF(s_bar/2+2*s_bar&lt;b_sec,(c_nom+phi/2)+(phi/2)*0.500000,NA())</f>
        <v/>
      </c>
      <c r="M8">
        <f>IF(s_bar/2+3*s_bar&lt;b_sec,(s_bar/2+3*s_bar)+(phi/2)*-0.866025,NA())</f>
        <v/>
      </c>
      <c r="N8">
        <f>IF(s_bar/2+3*s_bar&lt;b_sec,(c_nom+phi/2)+(phi/2)*0.500000,NA())</f>
        <v/>
      </c>
      <c r="P8">
        <f>IF(s_bar/2+4*s_bar&lt;b_sec,(s_bar/2+4*s_bar)+(phi/2)*-0.866025,NA())</f>
        <v/>
      </c>
      <c r="Q8">
        <f>IF(s_bar/2+4*s_bar&lt;b_sec,(c_nom+phi/2)+(phi/2)*0.500000,NA())</f>
        <v/>
      </c>
      <c r="S8">
        <f>IF(s_bar/2+5*s_bar&lt;b_sec,(s_bar/2+5*s_bar)+(phi/2)*-0.866025,NA())</f>
        <v/>
      </c>
      <c r="T8">
        <f>IF(s_bar/2+5*s_bar&lt;b_sec,(c_nom+phi/2)+(phi/2)*0.500000,NA())</f>
        <v/>
      </c>
      <c r="V8">
        <f>IF(s_bar/2+6*s_bar&lt;b_sec,(s_bar/2+6*s_bar)+(phi/2)*-0.866025,NA())</f>
        <v/>
      </c>
      <c r="W8">
        <f>IF(s_bar/2+6*s_bar&lt;b_sec,(c_nom+phi/2)+(phi/2)*0.500000,NA())</f>
        <v/>
      </c>
      <c r="Y8">
        <f>IF(s_bar/2+7*s_bar&lt;b_sec,(s_bar/2+7*s_bar)+(phi/2)*-0.866025,NA())</f>
        <v/>
      </c>
      <c r="Z8">
        <f>IF(s_bar/2+7*s_bar&lt;b_sec,(c_nom+phi/2)+(phi/2)*0.500000,NA())</f>
        <v/>
      </c>
      <c r="AB8">
        <f>IF(s_bar/2+8*s_bar&lt;b_sec,(s_bar/2+8*s_bar)+(phi/2)*-0.866025,NA())</f>
        <v/>
      </c>
      <c r="AC8">
        <f>IF(s_bar/2+8*s_bar&lt;b_sec,(c_nom+phi/2)+(phi/2)*0.500000,NA())</f>
        <v/>
      </c>
      <c r="AE8">
        <f>IF(s_bar/2+9*s_bar&lt;b_sec,(s_bar/2+9*s_bar)+(phi/2)*-0.866025,NA())</f>
        <v/>
      </c>
      <c r="AF8">
        <f>IF(s_bar/2+9*s_bar&lt;b_sec,(c_nom+phi/2)+(phi/2)*0.500000,NA())</f>
        <v/>
      </c>
      <c r="AH8">
        <f>IF(s_bar/2+10*s_bar&lt;b_sec,(s_bar/2+10*s_bar)+(phi/2)*-0.866025,NA())</f>
        <v/>
      </c>
      <c r="AI8">
        <f>IF(s_bar/2+10*s_bar&lt;b_sec,(c_nom+phi/2)+(phi/2)*0.500000,NA())</f>
        <v/>
      </c>
      <c r="AK8">
        <f>IF(s_bar/2+11*s_bar&lt;b_sec,(s_bar/2+11*s_bar)+(phi/2)*-0.866025,NA())</f>
        <v/>
      </c>
      <c r="AL8">
        <f>IF(s_bar/2+11*s_bar&lt;b_sec,(c_nom+phi/2)+(phi/2)*0.500000,NA())</f>
        <v/>
      </c>
      <c r="AN8">
        <f>IF(s_bar/2+12*s_bar&lt;b_sec,(s_bar/2+12*s_bar)+(phi/2)*-0.866025,NA())</f>
        <v/>
      </c>
      <c r="AO8">
        <f>IF(s_bar/2+12*s_bar&lt;b_sec,(c_nom+phi/2)+(phi/2)*0.500000,NA())</f>
        <v/>
      </c>
      <c r="AQ8">
        <f>IF(s_bar/2+13*s_bar&lt;b_sec,(s_bar/2+13*s_bar)+(phi/2)*-0.866025,NA())</f>
        <v/>
      </c>
      <c r="AR8">
        <f>IF(s_bar/2+13*s_bar&lt;b_sec,(c_nom+phi/2)+(phi/2)*0.500000,NA())</f>
        <v/>
      </c>
      <c r="AT8">
        <f>IF(s_bar/2+14*s_bar&lt;b_sec,(s_bar/2+14*s_bar)+(phi/2)*-0.866025,NA())</f>
        <v/>
      </c>
      <c r="AU8">
        <f>IF(s_bar/2+14*s_bar&lt;b_sec,(c_nom+phi/2)+(phi/2)*0.500000,NA())</f>
        <v/>
      </c>
      <c r="AW8">
        <f>IF(s_bar/2+15*s_bar&lt;b_sec,(s_bar/2+15*s_bar)+(phi/2)*-0.866025,NA())</f>
        <v/>
      </c>
      <c r="AX8">
        <f>IF(s_bar/2+15*s_bar&lt;b_sec,(c_nom+phi/2)+(phi/2)*0.500000,NA())</f>
        <v/>
      </c>
      <c r="AZ8">
        <f>IF(s_bar/2+16*s_bar&lt;b_sec,(s_bar/2+16*s_bar)+(phi/2)*-0.866025,NA())</f>
        <v/>
      </c>
      <c r="BA8">
        <f>IF(s_bar/2+16*s_bar&lt;b_sec,(c_nom+phi/2)+(phi/2)*0.500000,NA())</f>
        <v/>
      </c>
      <c r="BC8">
        <f>IF(s_bar/2+17*s_bar&lt;b_sec,(s_bar/2+17*s_bar)+(phi/2)*-0.866025,NA())</f>
        <v/>
      </c>
      <c r="BD8">
        <f>IF(s_bar/2+17*s_bar&lt;b_sec,(c_nom+phi/2)+(phi/2)*0.500000,NA())</f>
        <v/>
      </c>
      <c r="BF8">
        <f>IF(s_bar/2+18*s_bar&lt;b_sec,(s_bar/2+18*s_bar)+(phi/2)*-0.866025,NA())</f>
        <v/>
      </c>
      <c r="BG8">
        <f>IF(s_bar/2+18*s_bar&lt;b_sec,(c_nom+phi/2)+(phi/2)*0.500000,NA())</f>
        <v/>
      </c>
      <c r="BI8">
        <f>IF(s_bar/2+19*s_bar&lt;b_sec,(s_bar/2+19*s_bar)+(phi/2)*-0.866025,NA())</f>
        <v/>
      </c>
      <c r="BJ8">
        <f>IF(s_bar/2+19*s_bar&lt;b_sec,(c_nom+phi/2)+(phi/2)*0.500000,NA())</f>
        <v/>
      </c>
      <c r="BL8">
        <f>IF(s_bar/2+20*s_bar&lt;b_sec,(s_bar/2+20*s_bar)+(phi/2)*-0.866025,NA())</f>
        <v/>
      </c>
      <c r="BM8">
        <f>IF(s_bar/2+20*s_bar&lt;b_sec,(c_nom+phi/2)+(phi/2)*0.500000,NA())</f>
        <v/>
      </c>
      <c r="BO8">
        <f>IF(s_bar/2+21*s_bar&lt;b_sec,(s_bar/2+21*s_bar)+(phi/2)*-0.866025,NA())</f>
        <v/>
      </c>
      <c r="BP8">
        <f>IF(s_bar/2+21*s_bar&lt;b_sec,(c_nom+phi/2)+(phi/2)*0.500000,NA())</f>
        <v/>
      </c>
      <c r="BR8">
        <f>IF(s_bar/2+22*s_bar&lt;b_sec,(s_bar/2+22*s_bar)+(phi/2)*-0.866025,NA())</f>
        <v/>
      </c>
      <c r="BS8">
        <f>IF(s_bar/2+22*s_bar&lt;b_sec,(c_nom+phi/2)+(phi/2)*0.500000,NA())</f>
        <v/>
      </c>
      <c r="BU8">
        <f>IF(s_bar/2+23*s_bar&lt;b_sec,(s_bar/2+23*s_bar)+(phi/2)*-0.866025,NA())</f>
        <v/>
      </c>
      <c r="BV8">
        <f>IF(s_bar/2+23*s_bar&lt;b_sec,(c_nom+phi/2)+(phi/2)*0.500000,NA())</f>
        <v/>
      </c>
      <c r="BX8">
        <f>IF(s_bar/2+24*s_bar&lt;b_sec,(s_bar/2+24*s_bar)+(phi/2)*-0.866025,NA())</f>
        <v/>
      </c>
      <c r="BY8">
        <f>IF(s_bar/2+24*s_bar&lt;b_sec,(c_nom+phi/2)+(phi/2)*0.500000,NA())</f>
        <v/>
      </c>
      <c r="CA8">
        <f>IF(s_bar/2+25*s_bar&lt;b_sec,(s_bar/2+25*s_bar)+(phi/2)*-0.866025,NA())</f>
        <v/>
      </c>
      <c r="CB8">
        <f>IF(s_bar/2+25*s_bar&lt;b_sec,(c_nom+phi/2)+(phi/2)*0.500000,NA())</f>
        <v/>
      </c>
      <c r="CD8">
        <f>IF(s_bar/2+26*s_bar&lt;b_sec,(s_bar/2+26*s_bar)+(phi/2)*-0.866025,NA())</f>
        <v/>
      </c>
      <c r="CE8">
        <f>IF(s_bar/2+26*s_bar&lt;b_sec,(c_nom+phi/2)+(phi/2)*0.500000,NA())</f>
        <v/>
      </c>
      <c r="CG8">
        <f>IF(s_bar/2+27*s_bar&lt;b_sec,(s_bar/2+27*s_bar)+(phi/2)*-0.866025,NA())</f>
        <v/>
      </c>
      <c r="CH8">
        <f>IF(s_bar/2+27*s_bar&lt;b_sec,(c_nom+phi/2)+(phi/2)*0.500000,NA())</f>
        <v/>
      </c>
      <c r="CJ8">
        <f>IF(s_bar/2+28*s_bar&lt;b_sec,(s_bar/2+28*s_bar)+(phi/2)*-0.866025,NA())</f>
        <v/>
      </c>
      <c r="CK8">
        <f>IF(s_bar/2+28*s_bar&lt;b_sec,(c_nom+phi/2)+(phi/2)*0.500000,NA())</f>
        <v/>
      </c>
      <c r="CM8">
        <f>IF(s_bar/2+29*s_bar&lt;b_sec,(s_bar/2+29*s_bar)+(phi/2)*-0.866025,NA())</f>
        <v/>
      </c>
      <c r="CN8">
        <f>IF(s_bar/2+29*s_bar&lt;b_sec,(c_nom+phi/2)+(phi/2)*0.500000,NA())</f>
        <v/>
      </c>
    </row>
    <row r="9">
      <c r="D9">
        <f>IF(s_bar/2+0*s_bar&lt;b_sec,(s_bar/2+0*s_bar)+(phi/2)*-1.000000,NA())</f>
        <v/>
      </c>
      <c r="E9">
        <f>IF(s_bar/2+0*s_bar&lt;b_sec,(c_nom+phi/2)+(phi/2)*0.000000,NA())</f>
        <v/>
      </c>
      <c r="G9">
        <f>IF(s_bar/2+1*s_bar&lt;b_sec,(s_bar/2+1*s_bar)+(phi/2)*-1.000000,NA())</f>
        <v/>
      </c>
      <c r="H9">
        <f>IF(s_bar/2+1*s_bar&lt;b_sec,(c_nom+phi/2)+(phi/2)*0.000000,NA())</f>
        <v/>
      </c>
      <c r="J9">
        <f>IF(s_bar/2+2*s_bar&lt;b_sec,(s_bar/2+2*s_bar)+(phi/2)*-1.000000,NA())</f>
        <v/>
      </c>
      <c r="K9">
        <f>IF(s_bar/2+2*s_bar&lt;b_sec,(c_nom+phi/2)+(phi/2)*0.000000,NA())</f>
        <v/>
      </c>
      <c r="M9">
        <f>IF(s_bar/2+3*s_bar&lt;b_sec,(s_bar/2+3*s_bar)+(phi/2)*-1.000000,NA())</f>
        <v/>
      </c>
      <c r="N9">
        <f>IF(s_bar/2+3*s_bar&lt;b_sec,(c_nom+phi/2)+(phi/2)*0.000000,NA())</f>
        <v/>
      </c>
      <c r="P9">
        <f>IF(s_bar/2+4*s_bar&lt;b_sec,(s_bar/2+4*s_bar)+(phi/2)*-1.000000,NA())</f>
        <v/>
      </c>
      <c r="Q9">
        <f>IF(s_bar/2+4*s_bar&lt;b_sec,(c_nom+phi/2)+(phi/2)*0.000000,NA())</f>
        <v/>
      </c>
      <c r="S9">
        <f>IF(s_bar/2+5*s_bar&lt;b_sec,(s_bar/2+5*s_bar)+(phi/2)*-1.000000,NA())</f>
        <v/>
      </c>
      <c r="T9">
        <f>IF(s_bar/2+5*s_bar&lt;b_sec,(c_nom+phi/2)+(phi/2)*0.000000,NA())</f>
        <v/>
      </c>
      <c r="V9">
        <f>IF(s_bar/2+6*s_bar&lt;b_sec,(s_bar/2+6*s_bar)+(phi/2)*-1.000000,NA())</f>
        <v/>
      </c>
      <c r="W9">
        <f>IF(s_bar/2+6*s_bar&lt;b_sec,(c_nom+phi/2)+(phi/2)*0.000000,NA())</f>
        <v/>
      </c>
      <c r="Y9">
        <f>IF(s_bar/2+7*s_bar&lt;b_sec,(s_bar/2+7*s_bar)+(phi/2)*-1.000000,NA())</f>
        <v/>
      </c>
      <c r="Z9">
        <f>IF(s_bar/2+7*s_bar&lt;b_sec,(c_nom+phi/2)+(phi/2)*0.000000,NA())</f>
        <v/>
      </c>
      <c r="AB9">
        <f>IF(s_bar/2+8*s_bar&lt;b_sec,(s_bar/2+8*s_bar)+(phi/2)*-1.000000,NA())</f>
        <v/>
      </c>
      <c r="AC9">
        <f>IF(s_bar/2+8*s_bar&lt;b_sec,(c_nom+phi/2)+(phi/2)*0.000000,NA())</f>
        <v/>
      </c>
      <c r="AE9">
        <f>IF(s_bar/2+9*s_bar&lt;b_sec,(s_bar/2+9*s_bar)+(phi/2)*-1.000000,NA())</f>
        <v/>
      </c>
      <c r="AF9">
        <f>IF(s_bar/2+9*s_bar&lt;b_sec,(c_nom+phi/2)+(phi/2)*0.000000,NA())</f>
        <v/>
      </c>
      <c r="AH9">
        <f>IF(s_bar/2+10*s_bar&lt;b_sec,(s_bar/2+10*s_bar)+(phi/2)*-1.000000,NA())</f>
        <v/>
      </c>
      <c r="AI9">
        <f>IF(s_bar/2+10*s_bar&lt;b_sec,(c_nom+phi/2)+(phi/2)*0.000000,NA())</f>
        <v/>
      </c>
      <c r="AK9">
        <f>IF(s_bar/2+11*s_bar&lt;b_sec,(s_bar/2+11*s_bar)+(phi/2)*-1.000000,NA())</f>
        <v/>
      </c>
      <c r="AL9">
        <f>IF(s_bar/2+11*s_bar&lt;b_sec,(c_nom+phi/2)+(phi/2)*0.000000,NA())</f>
        <v/>
      </c>
      <c r="AN9">
        <f>IF(s_bar/2+12*s_bar&lt;b_sec,(s_bar/2+12*s_bar)+(phi/2)*-1.000000,NA())</f>
        <v/>
      </c>
      <c r="AO9">
        <f>IF(s_bar/2+12*s_bar&lt;b_sec,(c_nom+phi/2)+(phi/2)*0.000000,NA())</f>
        <v/>
      </c>
      <c r="AQ9">
        <f>IF(s_bar/2+13*s_bar&lt;b_sec,(s_bar/2+13*s_bar)+(phi/2)*-1.000000,NA())</f>
        <v/>
      </c>
      <c r="AR9">
        <f>IF(s_bar/2+13*s_bar&lt;b_sec,(c_nom+phi/2)+(phi/2)*0.000000,NA())</f>
        <v/>
      </c>
      <c r="AT9">
        <f>IF(s_bar/2+14*s_bar&lt;b_sec,(s_bar/2+14*s_bar)+(phi/2)*-1.000000,NA())</f>
        <v/>
      </c>
      <c r="AU9">
        <f>IF(s_bar/2+14*s_bar&lt;b_sec,(c_nom+phi/2)+(phi/2)*0.000000,NA())</f>
        <v/>
      </c>
      <c r="AW9">
        <f>IF(s_bar/2+15*s_bar&lt;b_sec,(s_bar/2+15*s_bar)+(phi/2)*-1.000000,NA())</f>
        <v/>
      </c>
      <c r="AX9">
        <f>IF(s_bar/2+15*s_bar&lt;b_sec,(c_nom+phi/2)+(phi/2)*0.000000,NA())</f>
        <v/>
      </c>
      <c r="AZ9">
        <f>IF(s_bar/2+16*s_bar&lt;b_sec,(s_bar/2+16*s_bar)+(phi/2)*-1.000000,NA())</f>
        <v/>
      </c>
      <c r="BA9">
        <f>IF(s_bar/2+16*s_bar&lt;b_sec,(c_nom+phi/2)+(phi/2)*0.000000,NA())</f>
        <v/>
      </c>
      <c r="BC9">
        <f>IF(s_bar/2+17*s_bar&lt;b_sec,(s_bar/2+17*s_bar)+(phi/2)*-1.000000,NA())</f>
        <v/>
      </c>
      <c r="BD9">
        <f>IF(s_bar/2+17*s_bar&lt;b_sec,(c_nom+phi/2)+(phi/2)*0.000000,NA())</f>
        <v/>
      </c>
      <c r="BF9">
        <f>IF(s_bar/2+18*s_bar&lt;b_sec,(s_bar/2+18*s_bar)+(phi/2)*-1.000000,NA())</f>
        <v/>
      </c>
      <c r="BG9">
        <f>IF(s_bar/2+18*s_bar&lt;b_sec,(c_nom+phi/2)+(phi/2)*0.000000,NA())</f>
        <v/>
      </c>
      <c r="BI9">
        <f>IF(s_bar/2+19*s_bar&lt;b_sec,(s_bar/2+19*s_bar)+(phi/2)*-1.000000,NA())</f>
        <v/>
      </c>
      <c r="BJ9">
        <f>IF(s_bar/2+19*s_bar&lt;b_sec,(c_nom+phi/2)+(phi/2)*0.000000,NA())</f>
        <v/>
      </c>
      <c r="BL9">
        <f>IF(s_bar/2+20*s_bar&lt;b_sec,(s_bar/2+20*s_bar)+(phi/2)*-1.000000,NA())</f>
        <v/>
      </c>
      <c r="BM9">
        <f>IF(s_bar/2+20*s_bar&lt;b_sec,(c_nom+phi/2)+(phi/2)*0.000000,NA())</f>
        <v/>
      </c>
      <c r="BO9">
        <f>IF(s_bar/2+21*s_bar&lt;b_sec,(s_bar/2+21*s_bar)+(phi/2)*-1.000000,NA())</f>
        <v/>
      </c>
      <c r="BP9">
        <f>IF(s_bar/2+21*s_bar&lt;b_sec,(c_nom+phi/2)+(phi/2)*0.000000,NA())</f>
        <v/>
      </c>
      <c r="BR9">
        <f>IF(s_bar/2+22*s_bar&lt;b_sec,(s_bar/2+22*s_bar)+(phi/2)*-1.000000,NA())</f>
        <v/>
      </c>
      <c r="BS9">
        <f>IF(s_bar/2+22*s_bar&lt;b_sec,(c_nom+phi/2)+(phi/2)*0.000000,NA())</f>
        <v/>
      </c>
      <c r="BU9">
        <f>IF(s_bar/2+23*s_bar&lt;b_sec,(s_bar/2+23*s_bar)+(phi/2)*-1.000000,NA())</f>
        <v/>
      </c>
      <c r="BV9">
        <f>IF(s_bar/2+23*s_bar&lt;b_sec,(c_nom+phi/2)+(phi/2)*0.000000,NA())</f>
        <v/>
      </c>
      <c r="BX9">
        <f>IF(s_bar/2+24*s_bar&lt;b_sec,(s_bar/2+24*s_bar)+(phi/2)*-1.000000,NA())</f>
        <v/>
      </c>
      <c r="BY9">
        <f>IF(s_bar/2+24*s_bar&lt;b_sec,(c_nom+phi/2)+(phi/2)*0.000000,NA())</f>
        <v/>
      </c>
      <c r="CA9">
        <f>IF(s_bar/2+25*s_bar&lt;b_sec,(s_bar/2+25*s_bar)+(phi/2)*-1.000000,NA())</f>
        <v/>
      </c>
      <c r="CB9">
        <f>IF(s_bar/2+25*s_bar&lt;b_sec,(c_nom+phi/2)+(phi/2)*0.000000,NA())</f>
        <v/>
      </c>
      <c r="CD9">
        <f>IF(s_bar/2+26*s_bar&lt;b_sec,(s_bar/2+26*s_bar)+(phi/2)*-1.000000,NA())</f>
        <v/>
      </c>
      <c r="CE9">
        <f>IF(s_bar/2+26*s_bar&lt;b_sec,(c_nom+phi/2)+(phi/2)*0.000000,NA())</f>
        <v/>
      </c>
      <c r="CG9">
        <f>IF(s_bar/2+27*s_bar&lt;b_sec,(s_bar/2+27*s_bar)+(phi/2)*-1.000000,NA())</f>
        <v/>
      </c>
      <c r="CH9">
        <f>IF(s_bar/2+27*s_bar&lt;b_sec,(c_nom+phi/2)+(phi/2)*0.000000,NA())</f>
        <v/>
      </c>
      <c r="CJ9">
        <f>IF(s_bar/2+28*s_bar&lt;b_sec,(s_bar/2+28*s_bar)+(phi/2)*-1.000000,NA())</f>
        <v/>
      </c>
      <c r="CK9">
        <f>IF(s_bar/2+28*s_bar&lt;b_sec,(c_nom+phi/2)+(phi/2)*0.000000,NA())</f>
        <v/>
      </c>
      <c r="CM9">
        <f>IF(s_bar/2+29*s_bar&lt;b_sec,(s_bar/2+29*s_bar)+(phi/2)*-1.000000,NA())</f>
        <v/>
      </c>
      <c r="CN9">
        <f>IF(s_bar/2+29*s_bar&lt;b_sec,(c_nom+phi/2)+(phi/2)*0.000000,NA())</f>
        <v/>
      </c>
    </row>
    <row r="10">
      <c r="D10">
        <f>IF(s_bar/2+0*s_bar&lt;b_sec,(s_bar/2+0*s_bar)+(phi/2)*-0.866025,NA())</f>
        <v/>
      </c>
      <c r="E10">
        <f>IF(s_bar/2+0*s_bar&lt;b_sec,(c_nom+phi/2)+(phi/2)*-0.500000,NA())</f>
        <v/>
      </c>
      <c r="G10">
        <f>IF(s_bar/2+1*s_bar&lt;b_sec,(s_bar/2+1*s_bar)+(phi/2)*-0.866025,NA())</f>
        <v/>
      </c>
      <c r="H10">
        <f>IF(s_bar/2+1*s_bar&lt;b_sec,(c_nom+phi/2)+(phi/2)*-0.500000,NA())</f>
        <v/>
      </c>
      <c r="J10">
        <f>IF(s_bar/2+2*s_bar&lt;b_sec,(s_bar/2+2*s_bar)+(phi/2)*-0.866025,NA())</f>
        <v/>
      </c>
      <c r="K10">
        <f>IF(s_bar/2+2*s_bar&lt;b_sec,(c_nom+phi/2)+(phi/2)*-0.500000,NA())</f>
        <v/>
      </c>
      <c r="M10">
        <f>IF(s_bar/2+3*s_bar&lt;b_sec,(s_bar/2+3*s_bar)+(phi/2)*-0.866025,NA())</f>
        <v/>
      </c>
      <c r="N10">
        <f>IF(s_bar/2+3*s_bar&lt;b_sec,(c_nom+phi/2)+(phi/2)*-0.500000,NA())</f>
        <v/>
      </c>
      <c r="P10">
        <f>IF(s_bar/2+4*s_bar&lt;b_sec,(s_bar/2+4*s_bar)+(phi/2)*-0.866025,NA())</f>
        <v/>
      </c>
      <c r="Q10">
        <f>IF(s_bar/2+4*s_bar&lt;b_sec,(c_nom+phi/2)+(phi/2)*-0.500000,NA())</f>
        <v/>
      </c>
      <c r="S10">
        <f>IF(s_bar/2+5*s_bar&lt;b_sec,(s_bar/2+5*s_bar)+(phi/2)*-0.866025,NA())</f>
        <v/>
      </c>
      <c r="T10">
        <f>IF(s_bar/2+5*s_bar&lt;b_sec,(c_nom+phi/2)+(phi/2)*-0.500000,NA())</f>
        <v/>
      </c>
      <c r="V10">
        <f>IF(s_bar/2+6*s_bar&lt;b_sec,(s_bar/2+6*s_bar)+(phi/2)*-0.866025,NA())</f>
        <v/>
      </c>
      <c r="W10">
        <f>IF(s_bar/2+6*s_bar&lt;b_sec,(c_nom+phi/2)+(phi/2)*-0.500000,NA())</f>
        <v/>
      </c>
      <c r="Y10">
        <f>IF(s_bar/2+7*s_bar&lt;b_sec,(s_bar/2+7*s_bar)+(phi/2)*-0.866025,NA())</f>
        <v/>
      </c>
      <c r="Z10">
        <f>IF(s_bar/2+7*s_bar&lt;b_sec,(c_nom+phi/2)+(phi/2)*-0.500000,NA())</f>
        <v/>
      </c>
      <c r="AB10">
        <f>IF(s_bar/2+8*s_bar&lt;b_sec,(s_bar/2+8*s_bar)+(phi/2)*-0.866025,NA())</f>
        <v/>
      </c>
      <c r="AC10">
        <f>IF(s_bar/2+8*s_bar&lt;b_sec,(c_nom+phi/2)+(phi/2)*-0.500000,NA())</f>
        <v/>
      </c>
      <c r="AE10">
        <f>IF(s_bar/2+9*s_bar&lt;b_sec,(s_bar/2+9*s_bar)+(phi/2)*-0.866025,NA())</f>
        <v/>
      </c>
      <c r="AF10">
        <f>IF(s_bar/2+9*s_bar&lt;b_sec,(c_nom+phi/2)+(phi/2)*-0.500000,NA())</f>
        <v/>
      </c>
      <c r="AH10">
        <f>IF(s_bar/2+10*s_bar&lt;b_sec,(s_bar/2+10*s_bar)+(phi/2)*-0.866025,NA())</f>
        <v/>
      </c>
      <c r="AI10">
        <f>IF(s_bar/2+10*s_bar&lt;b_sec,(c_nom+phi/2)+(phi/2)*-0.500000,NA())</f>
        <v/>
      </c>
      <c r="AK10">
        <f>IF(s_bar/2+11*s_bar&lt;b_sec,(s_bar/2+11*s_bar)+(phi/2)*-0.866025,NA())</f>
        <v/>
      </c>
      <c r="AL10">
        <f>IF(s_bar/2+11*s_bar&lt;b_sec,(c_nom+phi/2)+(phi/2)*-0.500000,NA())</f>
        <v/>
      </c>
      <c r="AN10">
        <f>IF(s_bar/2+12*s_bar&lt;b_sec,(s_bar/2+12*s_bar)+(phi/2)*-0.866025,NA())</f>
        <v/>
      </c>
      <c r="AO10">
        <f>IF(s_bar/2+12*s_bar&lt;b_sec,(c_nom+phi/2)+(phi/2)*-0.500000,NA())</f>
        <v/>
      </c>
      <c r="AQ10">
        <f>IF(s_bar/2+13*s_bar&lt;b_sec,(s_bar/2+13*s_bar)+(phi/2)*-0.866025,NA())</f>
        <v/>
      </c>
      <c r="AR10">
        <f>IF(s_bar/2+13*s_bar&lt;b_sec,(c_nom+phi/2)+(phi/2)*-0.500000,NA())</f>
        <v/>
      </c>
      <c r="AT10">
        <f>IF(s_bar/2+14*s_bar&lt;b_sec,(s_bar/2+14*s_bar)+(phi/2)*-0.866025,NA())</f>
        <v/>
      </c>
      <c r="AU10">
        <f>IF(s_bar/2+14*s_bar&lt;b_sec,(c_nom+phi/2)+(phi/2)*-0.500000,NA())</f>
        <v/>
      </c>
      <c r="AW10">
        <f>IF(s_bar/2+15*s_bar&lt;b_sec,(s_bar/2+15*s_bar)+(phi/2)*-0.866025,NA())</f>
        <v/>
      </c>
      <c r="AX10">
        <f>IF(s_bar/2+15*s_bar&lt;b_sec,(c_nom+phi/2)+(phi/2)*-0.500000,NA())</f>
        <v/>
      </c>
      <c r="AZ10">
        <f>IF(s_bar/2+16*s_bar&lt;b_sec,(s_bar/2+16*s_bar)+(phi/2)*-0.866025,NA())</f>
        <v/>
      </c>
      <c r="BA10">
        <f>IF(s_bar/2+16*s_bar&lt;b_sec,(c_nom+phi/2)+(phi/2)*-0.500000,NA())</f>
        <v/>
      </c>
      <c r="BC10">
        <f>IF(s_bar/2+17*s_bar&lt;b_sec,(s_bar/2+17*s_bar)+(phi/2)*-0.866025,NA())</f>
        <v/>
      </c>
      <c r="BD10">
        <f>IF(s_bar/2+17*s_bar&lt;b_sec,(c_nom+phi/2)+(phi/2)*-0.500000,NA())</f>
        <v/>
      </c>
      <c r="BF10">
        <f>IF(s_bar/2+18*s_bar&lt;b_sec,(s_bar/2+18*s_bar)+(phi/2)*-0.866025,NA())</f>
        <v/>
      </c>
      <c r="BG10">
        <f>IF(s_bar/2+18*s_bar&lt;b_sec,(c_nom+phi/2)+(phi/2)*-0.500000,NA())</f>
        <v/>
      </c>
      <c r="BI10">
        <f>IF(s_bar/2+19*s_bar&lt;b_sec,(s_bar/2+19*s_bar)+(phi/2)*-0.866025,NA())</f>
        <v/>
      </c>
      <c r="BJ10">
        <f>IF(s_bar/2+19*s_bar&lt;b_sec,(c_nom+phi/2)+(phi/2)*-0.500000,NA())</f>
        <v/>
      </c>
      <c r="BL10">
        <f>IF(s_bar/2+20*s_bar&lt;b_sec,(s_bar/2+20*s_bar)+(phi/2)*-0.866025,NA())</f>
        <v/>
      </c>
      <c r="BM10">
        <f>IF(s_bar/2+20*s_bar&lt;b_sec,(c_nom+phi/2)+(phi/2)*-0.500000,NA())</f>
        <v/>
      </c>
      <c r="BO10">
        <f>IF(s_bar/2+21*s_bar&lt;b_sec,(s_bar/2+21*s_bar)+(phi/2)*-0.866025,NA())</f>
        <v/>
      </c>
      <c r="BP10">
        <f>IF(s_bar/2+21*s_bar&lt;b_sec,(c_nom+phi/2)+(phi/2)*-0.500000,NA())</f>
        <v/>
      </c>
      <c r="BR10">
        <f>IF(s_bar/2+22*s_bar&lt;b_sec,(s_bar/2+22*s_bar)+(phi/2)*-0.866025,NA())</f>
        <v/>
      </c>
      <c r="BS10">
        <f>IF(s_bar/2+22*s_bar&lt;b_sec,(c_nom+phi/2)+(phi/2)*-0.500000,NA())</f>
        <v/>
      </c>
      <c r="BU10">
        <f>IF(s_bar/2+23*s_bar&lt;b_sec,(s_bar/2+23*s_bar)+(phi/2)*-0.866025,NA())</f>
        <v/>
      </c>
      <c r="BV10">
        <f>IF(s_bar/2+23*s_bar&lt;b_sec,(c_nom+phi/2)+(phi/2)*-0.500000,NA())</f>
        <v/>
      </c>
      <c r="BX10">
        <f>IF(s_bar/2+24*s_bar&lt;b_sec,(s_bar/2+24*s_bar)+(phi/2)*-0.866025,NA())</f>
        <v/>
      </c>
      <c r="BY10">
        <f>IF(s_bar/2+24*s_bar&lt;b_sec,(c_nom+phi/2)+(phi/2)*-0.500000,NA())</f>
        <v/>
      </c>
      <c r="CA10">
        <f>IF(s_bar/2+25*s_bar&lt;b_sec,(s_bar/2+25*s_bar)+(phi/2)*-0.866025,NA())</f>
        <v/>
      </c>
      <c r="CB10">
        <f>IF(s_bar/2+25*s_bar&lt;b_sec,(c_nom+phi/2)+(phi/2)*-0.500000,NA())</f>
        <v/>
      </c>
      <c r="CD10">
        <f>IF(s_bar/2+26*s_bar&lt;b_sec,(s_bar/2+26*s_bar)+(phi/2)*-0.866025,NA())</f>
        <v/>
      </c>
      <c r="CE10">
        <f>IF(s_bar/2+26*s_bar&lt;b_sec,(c_nom+phi/2)+(phi/2)*-0.500000,NA())</f>
        <v/>
      </c>
      <c r="CG10">
        <f>IF(s_bar/2+27*s_bar&lt;b_sec,(s_bar/2+27*s_bar)+(phi/2)*-0.866025,NA())</f>
        <v/>
      </c>
      <c r="CH10">
        <f>IF(s_bar/2+27*s_bar&lt;b_sec,(c_nom+phi/2)+(phi/2)*-0.500000,NA())</f>
        <v/>
      </c>
      <c r="CJ10">
        <f>IF(s_bar/2+28*s_bar&lt;b_sec,(s_bar/2+28*s_bar)+(phi/2)*-0.866025,NA())</f>
        <v/>
      </c>
      <c r="CK10">
        <f>IF(s_bar/2+28*s_bar&lt;b_sec,(c_nom+phi/2)+(phi/2)*-0.500000,NA())</f>
        <v/>
      </c>
      <c r="CM10">
        <f>IF(s_bar/2+29*s_bar&lt;b_sec,(s_bar/2+29*s_bar)+(phi/2)*-0.866025,NA())</f>
        <v/>
      </c>
      <c r="CN10">
        <f>IF(s_bar/2+29*s_bar&lt;b_sec,(c_nom+phi/2)+(phi/2)*-0.500000,NA())</f>
        <v/>
      </c>
    </row>
    <row r="11">
      <c r="D11">
        <f>IF(s_bar/2+0*s_bar&lt;b_sec,(s_bar/2+0*s_bar)+(phi/2)*-0.500000,NA())</f>
        <v/>
      </c>
      <c r="E11">
        <f>IF(s_bar/2+0*s_bar&lt;b_sec,(c_nom+phi/2)+(phi/2)*-0.866025,NA())</f>
        <v/>
      </c>
      <c r="G11">
        <f>IF(s_bar/2+1*s_bar&lt;b_sec,(s_bar/2+1*s_bar)+(phi/2)*-0.500000,NA())</f>
        <v/>
      </c>
      <c r="H11">
        <f>IF(s_bar/2+1*s_bar&lt;b_sec,(c_nom+phi/2)+(phi/2)*-0.866025,NA())</f>
        <v/>
      </c>
      <c r="J11">
        <f>IF(s_bar/2+2*s_bar&lt;b_sec,(s_bar/2+2*s_bar)+(phi/2)*-0.500000,NA())</f>
        <v/>
      </c>
      <c r="K11">
        <f>IF(s_bar/2+2*s_bar&lt;b_sec,(c_nom+phi/2)+(phi/2)*-0.866025,NA())</f>
        <v/>
      </c>
      <c r="M11">
        <f>IF(s_bar/2+3*s_bar&lt;b_sec,(s_bar/2+3*s_bar)+(phi/2)*-0.500000,NA())</f>
        <v/>
      </c>
      <c r="N11">
        <f>IF(s_bar/2+3*s_bar&lt;b_sec,(c_nom+phi/2)+(phi/2)*-0.866025,NA())</f>
        <v/>
      </c>
      <c r="P11">
        <f>IF(s_bar/2+4*s_bar&lt;b_sec,(s_bar/2+4*s_bar)+(phi/2)*-0.500000,NA())</f>
        <v/>
      </c>
      <c r="Q11">
        <f>IF(s_bar/2+4*s_bar&lt;b_sec,(c_nom+phi/2)+(phi/2)*-0.866025,NA())</f>
        <v/>
      </c>
      <c r="S11">
        <f>IF(s_bar/2+5*s_bar&lt;b_sec,(s_bar/2+5*s_bar)+(phi/2)*-0.500000,NA())</f>
        <v/>
      </c>
      <c r="T11">
        <f>IF(s_bar/2+5*s_bar&lt;b_sec,(c_nom+phi/2)+(phi/2)*-0.866025,NA())</f>
        <v/>
      </c>
      <c r="V11">
        <f>IF(s_bar/2+6*s_bar&lt;b_sec,(s_bar/2+6*s_bar)+(phi/2)*-0.500000,NA())</f>
        <v/>
      </c>
      <c r="W11">
        <f>IF(s_bar/2+6*s_bar&lt;b_sec,(c_nom+phi/2)+(phi/2)*-0.866025,NA())</f>
        <v/>
      </c>
      <c r="Y11">
        <f>IF(s_bar/2+7*s_bar&lt;b_sec,(s_bar/2+7*s_bar)+(phi/2)*-0.500000,NA())</f>
        <v/>
      </c>
      <c r="Z11">
        <f>IF(s_bar/2+7*s_bar&lt;b_sec,(c_nom+phi/2)+(phi/2)*-0.866025,NA())</f>
        <v/>
      </c>
      <c r="AB11">
        <f>IF(s_bar/2+8*s_bar&lt;b_sec,(s_bar/2+8*s_bar)+(phi/2)*-0.500000,NA())</f>
        <v/>
      </c>
      <c r="AC11">
        <f>IF(s_bar/2+8*s_bar&lt;b_sec,(c_nom+phi/2)+(phi/2)*-0.866025,NA())</f>
        <v/>
      </c>
      <c r="AE11">
        <f>IF(s_bar/2+9*s_bar&lt;b_sec,(s_bar/2+9*s_bar)+(phi/2)*-0.500000,NA())</f>
        <v/>
      </c>
      <c r="AF11">
        <f>IF(s_bar/2+9*s_bar&lt;b_sec,(c_nom+phi/2)+(phi/2)*-0.866025,NA())</f>
        <v/>
      </c>
      <c r="AH11">
        <f>IF(s_bar/2+10*s_bar&lt;b_sec,(s_bar/2+10*s_bar)+(phi/2)*-0.500000,NA())</f>
        <v/>
      </c>
      <c r="AI11">
        <f>IF(s_bar/2+10*s_bar&lt;b_sec,(c_nom+phi/2)+(phi/2)*-0.866025,NA())</f>
        <v/>
      </c>
      <c r="AK11">
        <f>IF(s_bar/2+11*s_bar&lt;b_sec,(s_bar/2+11*s_bar)+(phi/2)*-0.500000,NA())</f>
        <v/>
      </c>
      <c r="AL11">
        <f>IF(s_bar/2+11*s_bar&lt;b_sec,(c_nom+phi/2)+(phi/2)*-0.866025,NA())</f>
        <v/>
      </c>
      <c r="AN11">
        <f>IF(s_bar/2+12*s_bar&lt;b_sec,(s_bar/2+12*s_bar)+(phi/2)*-0.500000,NA())</f>
        <v/>
      </c>
      <c r="AO11">
        <f>IF(s_bar/2+12*s_bar&lt;b_sec,(c_nom+phi/2)+(phi/2)*-0.866025,NA())</f>
        <v/>
      </c>
      <c r="AQ11">
        <f>IF(s_bar/2+13*s_bar&lt;b_sec,(s_bar/2+13*s_bar)+(phi/2)*-0.500000,NA())</f>
        <v/>
      </c>
      <c r="AR11">
        <f>IF(s_bar/2+13*s_bar&lt;b_sec,(c_nom+phi/2)+(phi/2)*-0.866025,NA())</f>
        <v/>
      </c>
      <c r="AT11">
        <f>IF(s_bar/2+14*s_bar&lt;b_sec,(s_bar/2+14*s_bar)+(phi/2)*-0.500000,NA())</f>
        <v/>
      </c>
      <c r="AU11">
        <f>IF(s_bar/2+14*s_bar&lt;b_sec,(c_nom+phi/2)+(phi/2)*-0.866025,NA())</f>
        <v/>
      </c>
      <c r="AW11">
        <f>IF(s_bar/2+15*s_bar&lt;b_sec,(s_bar/2+15*s_bar)+(phi/2)*-0.500000,NA())</f>
        <v/>
      </c>
      <c r="AX11">
        <f>IF(s_bar/2+15*s_bar&lt;b_sec,(c_nom+phi/2)+(phi/2)*-0.866025,NA())</f>
        <v/>
      </c>
      <c r="AZ11">
        <f>IF(s_bar/2+16*s_bar&lt;b_sec,(s_bar/2+16*s_bar)+(phi/2)*-0.500000,NA())</f>
        <v/>
      </c>
      <c r="BA11">
        <f>IF(s_bar/2+16*s_bar&lt;b_sec,(c_nom+phi/2)+(phi/2)*-0.866025,NA())</f>
        <v/>
      </c>
      <c r="BC11">
        <f>IF(s_bar/2+17*s_bar&lt;b_sec,(s_bar/2+17*s_bar)+(phi/2)*-0.500000,NA())</f>
        <v/>
      </c>
      <c r="BD11">
        <f>IF(s_bar/2+17*s_bar&lt;b_sec,(c_nom+phi/2)+(phi/2)*-0.866025,NA())</f>
        <v/>
      </c>
      <c r="BF11">
        <f>IF(s_bar/2+18*s_bar&lt;b_sec,(s_bar/2+18*s_bar)+(phi/2)*-0.500000,NA())</f>
        <v/>
      </c>
      <c r="BG11">
        <f>IF(s_bar/2+18*s_bar&lt;b_sec,(c_nom+phi/2)+(phi/2)*-0.866025,NA())</f>
        <v/>
      </c>
      <c r="BI11">
        <f>IF(s_bar/2+19*s_bar&lt;b_sec,(s_bar/2+19*s_bar)+(phi/2)*-0.500000,NA())</f>
        <v/>
      </c>
      <c r="BJ11">
        <f>IF(s_bar/2+19*s_bar&lt;b_sec,(c_nom+phi/2)+(phi/2)*-0.866025,NA())</f>
        <v/>
      </c>
      <c r="BL11">
        <f>IF(s_bar/2+20*s_bar&lt;b_sec,(s_bar/2+20*s_bar)+(phi/2)*-0.500000,NA())</f>
        <v/>
      </c>
      <c r="BM11">
        <f>IF(s_bar/2+20*s_bar&lt;b_sec,(c_nom+phi/2)+(phi/2)*-0.866025,NA())</f>
        <v/>
      </c>
      <c r="BO11">
        <f>IF(s_bar/2+21*s_bar&lt;b_sec,(s_bar/2+21*s_bar)+(phi/2)*-0.500000,NA())</f>
        <v/>
      </c>
      <c r="BP11">
        <f>IF(s_bar/2+21*s_bar&lt;b_sec,(c_nom+phi/2)+(phi/2)*-0.866025,NA())</f>
        <v/>
      </c>
      <c r="BR11">
        <f>IF(s_bar/2+22*s_bar&lt;b_sec,(s_bar/2+22*s_bar)+(phi/2)*-0.500000,NA())</f>
        <v/>
      </c>
      <c r="BS11">
        <f>IF(s_bar/2+22*s_bar&lt;b_sec,(c_nom+phi/2)+(phi/2)*-0.866025,NA())</f>
        <v/>
      </c>
      <c r="BU11">
        <f>IF(s_bar/2+23*s_bar&lt;b_sec,(s_bar/2+23*s_bar)+(phi/2)*-0.500000,NA())</f>
        <v/>
      </c>
      <c r="BV11">
        <f>IF(s_bar/2+23*s_bar&lt;b_sec,(c_nom+phi/2)+(phi/2)*-0.866025,NA())</f>
        <v/>
      </c>
      <c r="BX11">
        <f>IF(s_bar/2+24*s_bar&lt;b_sec,(s_bar/2+24*s_bar)+(phi/2)*-0.500000,NA())</f>
        <v/>
      </c>
      <c r="BY11">
        <f>IF(s_bar/2+24*s_bar&lt;b_sec,(c_nom+phi/2)+(phi/2)*-0.866025,NA())</f>
        <v/>
      </c>
      <c r="CA11">
        <f>IF(s_bar/2+25*s_bar&lt;b_sec,(s_bar/2+25*s_bar)+(phi/2)*-0.500000,NA())</f>
        <v/>
      </c>
      <c r="CB11">
        <f>IF(s_bar/2+25*s_bar&lt;b_sec,(c_nom+phi/2)+(phi/2)*-0.866025,NA())</f>
        <v/>
      </c>
      <c r="CD11">
        <f>IF(s_bar/2+26*s_bar&lt;b_sec,(s_bar/2+26*s_bar)+(phi/2)*-0.500000,NA())</f>
        <v/>
      </c>
      <c r="CE11">
        <f>IF(s_bar/2+26*s_bar&lt;b_sec,(c_nom+phi/2)+(phi/2)*-0.866025,NA())</f>
        <v/>
      </c>
      <c r="CG11">
        <f>IF(s_bar/2+27*s_bar&lt;b_sec,(s_bar/2+27*s_bar)+(phi/2)*-0.500000,NA())</f>
        <v/>
      </c>
      <c r="CH11">
        <f>IF(s_bar/2+27*s_bar&lt;b_sec,(c_nom+phi/2)+(phi/2)*-0.866025,NA())</f>
        <v/>
      </c>
      <c r="CJ11">
        <f>IF(s_bar/2+28*s_bar&lt;b_sec,(s_bar/2+28*s_bar)+(phi/2)*-0.500000,NA())</f>
        <v/>
      </c>
      <c r="CK11">
        <f>IF(s_bar/2+28*s_bar&lt;b_sec,(c_nom+phi/2)+(phi/2)*-0.866025,NA())</f>
        <v/>
      </c>
      <c r="CM11">
        <f>IF(s_bar/2+29*s_bar&lt;b_sec,(s_bar/2+29*s_bar)+(phi/2)*-0.500000,NA())</f>
        <v/>
      </c>
      <c r="CN11">
        <f>IF(s_bar/2+29*s_bar&lt;b_sec,(c_nom+phi/2)+(phi/2)*-0.866025,NA())</f>
        <v/>
      </c>
    </row>
    <row r="12">
      <c r="D12">
        <f>IF(s_bar/2+0*s_bar&lt;b_sec,(s_bar/2+0*s_bar)+(phi/2)*-0.000000,NA())</f>
        <v/>
      </c>
      <c r="E12">
        <f>IF(s_bar/2+0*s_bar&lt;b_sec,(c_nom+phi/2)+(phi/2)*-1.000000,NA())</f>
        <v/>
      </c>
      <c r="G12">
        <f>IF(s_bar/2+1*s_bar&lt;b_sec,(s_bar/2+1*s_bar)+(phi/2)*-0.000000,NA())</f>
        <v/>
      </c>
      <c r="H12">
        <f>IF(s_bar/2+1*s_bar&lt;b_sec,(c_nom+phi/2)+(phi/2)*-1.000000,NA())</f>
        <v/>
      </c>
      <c r="J12">
        <f>IF(s_bar/2+2*s_bar&lt;b_sec,(s_bar/2+2*s_bar)+(phi/2)*-0.000000,NA())</f>
        <v/>
      </c>
      <c r="K12">
        <f>IF(s_bar/2+2*s_bar&lt;b_sec,(c_nom+phi/2)+(phi/2)*-1.000000,NA())</f>
        <v/>
      </c>
      <c r="M12">
        <f>IF(s_bar/2+3*s_bar&lt;b_sec,(s_bar/2+3*s_bar)+(phi/2)*-0.000000,NA())</f>
        <v/>
      </c>
      <c r="N12">
        <f>IF(s_bar/2+3*s_bar&lt;b_sec,(c_nom+phi/2)+(phi/2)*-1.000000,NA())</f>
        <v/>
      </c>
      <c r="P12">
        <f>IF(s_bar/2+4*s_bar&lt;b_sec,(s_bar/2+4*s_bar)+(phi/2)*-0.000000,NA())</f>
        <v/>
      </c>
      <c r="Q12">
        <f>IF(s_bar/2+4*s_bar&lt;b_sec,(c_nom+phi/2)+(phi/2)*-1.000000,NA())</f>
        <v/>
      </c>
      <c r="S12">
        <f>IF(s_bar/2+5*s_bar&lt;b_sec,(s_bar/2+5*s_bar)+(phi/2)*-0.000000,NA())</f>
        <v/>
      </c>
      <c r="T12">
        <f>IF(s_bar/2+5*s_bar&lt;b_sec,(c_nom+phi/2)+(phi/2)*-1.000000,NA())</f>
        <v/>
      </c>
      <c r="V12">
        <f>IF(s_bar/2+6*s_bar&lt;b_sec,(s_bar/2+6*s_bar)+(phi/2)*-0.000000,NA())</f>
        <v/>
      </c>
      <c r="W12">
        <f>IF(s_bar/2+6*s_bar&lt;b_sec,(c_nom+phi/2)+(phi/2)*-1.000000,NA())</f>
        <v/>
      </c>
      <c r="Y12">
        <f>IF(s_bar/2+7*s_bar&lt;b_sec,(s_bar/2+7*s_bar)+(phi/2)*-0.000000,NA())</f>
        <v/>
      </c>
      <c r="Z12">
        <f>IF(s_bar/2+7*s_bar&lt;b_sec,(c_nom+phi/2)+(phi/2)*-1.000000,NA())</f>
        <v/>
      </c>
      <c r="AB12">
        <f>IF(s_bar/2+8*s_bar&lt;b_sec,(s_bar/2+8*s_bar)+(phi/2)*-0.000000,NA())</f>
        <v/>
      </c>
      <c r="AC12">
        <f>IF(s_bar/2+8*s_bar&lt;b_sec,(c_nom+phi/2)+(phi/2)*-1.000000,NA())</f>
        <v/>
      </c>
      <c r="AE12">
        <f>IF(s_bar/2+9*s_bar&lt;b_sec,(s_bar/2+9*s_bar)+(phi/2)*-0.000000,NA())</f>
        <v/>
      </c>
      <c r="AF12">
        <f>IF(s_bar/2+9*s_bar&lt;b_sec,(c_nom+phi/2)+(phi/2)*-1.000000,NA())</f>
        <v/>
      </c>
      <c r="AH12">
        <f>IF(s_bar/2+10*s_bar&lt;b_sec,(s_bar/2+10*s_bar)+(phi/2)*-0.000000,NA())</f>
        <v/>
      </c>
      <c r="AI12">
        <f>IF(s_bar/2+10*s_bar&lt;b_sec,(c_nom+phi/2)+(phi/2)*-1.000000,NA())</f>
        <v/>
      </c>
      <c r="AK12">
        <f>IF(s_bar/2+11*s_bar&lt;b_sec,(s_bar/2+11*s_bar)+(phi/2)*-0.000000,NA())</f>
        <v/>
      </c>
      <c r="AL12">
        <f>IF(s_bar/2+11*s_bar&lt;b_sec,(c_nom+phi/2)+(phi/2)*-1.000000,NA())</f>
        <v/>
      </c>
      <c r="AN12">
        <f>IF(s_bar/2+12*s_bar&lt;b_sec,(s_bar/2+12*s_bar)+(phi/2)*-0.000000,NA())</f>
        <v/>
      </c>
      <c r="AO12">
        <f>IF(s_bar/2+12*s_bar&lt;b_sec,(c_nom+phi/2)+(phi/2)*-1.000000,NA())</f>
        <v/>
      </c>
      <c r="AQ12">
        <f>IF(s_bar/2+13*s_bar&lt;b_sec,(s_bar/2+13*s_bar)+(phi/2)*-0.000000,NA())</f>
        <v/>
      </c>
      <c r="AR12">
        <f>IF(s_bar/2+13*s_bar&lt;b_sec,(c_nom+phi/2)+(phi/2)*-1.000000,NA())</f>
        <v/>
      </c>
      <c r="AT12">
        <f>IF(s_bar/2+14*s_bar&lt;b_sec,(s_bar/2+14*s_bar)+(phi/2)*-0.000000,NA())</f>
        <v/>
      </c>
      <c r="AU12">
        <f>IF(s_bar/2+14*s_bar&lt;b_sec,(c_nom+phi/2)+(phi/2)*-1.000000,NA())</f>
        <v/>
      </c>
      <c r="AW12">
        <f>IF(s_bar/2+15*s_bar&lt;b_sec,(s_bar/2+15*s_bar)+(phi/2)*-0.000000,NA())</f>
        <v/>
      </c>
      <c r="AX12">
        <f>IF(s_bar/2+15*s_bar&lt;b_sec,(c_nom+phi/2)+(phi/2)*-1.000000,NA())</f>
        <v/>
      </c>
      <c r="AZ12">
        <f>IF(s_bar/2+16*s_bar&lt;b_sec,(s_bar/2+16*s_bar)+(phi/2)*-0.000000,NA())</f>
        <v/>
      </c>
      <c r="BA12">
        <f>IF(s_bar/2+16*s_bar&lt;b_sec,(c_nom+phi/2)+(phi/2)*-1.000000,NA())</f>
        <v/>
      </c>
      <c r="BC12">
        <f>IF(s_bar/2+17*s_bar&lt;b_sec,(s_bar/2+17*s_bar)+(phi/2)*-0.000000,NA())</f>
        <v/>
      </c>
      <c r="BD12">
        <f>IF(s_bar/2+17*s_bar&lt;b_sec,(c_nom+phi/2)+(phi/2)*-1.000000,NA())</f>
        <v/>
      </c>
      <c r="BF12">
        <f>IF(s_bar/2+18*s_bar&lt;b_sec,(s_bar/2+18*s_bar)+(phi/2)*-0.000000,NA())</f>
        <v/>
      </c>
      <c r="BG12">
        <f>IF(s_bar/2+18*s_bar&lt;b_sec,(c_nom+phi/2)+(phi/2)*-1.000000,NA())</f>
        <v/>
      </c>
      <c r="BI12">
        <f>IF(s_bar/2+19*s_bar&lt;b_sec,(s_bar/2+19*s_bar)+(phi/2)*-0.000000,NA())</f>
        <v/>
      </c>
      <c r="BJ12">
        <f>IF(s_bar/2+19*s_bar&lt;b_sec,(c_nom+phi/2)+(phi/2)*-1.000000,NA())</f>
        <v/>
      </c>
      <c r="BL12">
        <f>IF(s_bar/2+20*s_bar&lt;b_sec,(s_bar/2+20*s_bar)+(phi/2)*-0.000000,NA())</f>
        <v/>
      </c>
      <c r="BM12">
        <f>IF(s_bar/2+20*s_bar&lt;b_sec,(c_nom+phi/2)+(phi/2)*-1.000000,NA())</f>
        <v/>
      </c>
      <c r="BO12">
        <f>IF(s_bar/2+21*s_bar&lt;b_sec,(s_bar/2+21*s_bar)+(phi/2)*-0.000000,NA())</f>
        <v/>
      </c>
      <c r="BP12">
        <f>IF(s_bar/2+21*s_bar&lt;b_sec,(c_nom+phi/2)+(phi/2)*-1.000000,NA())</f>
        <v/>
      </c>
      <c r="BR12">
        <f>IF(s_bar/2+22*s_bar&lt;b_sec,(s_bar/2+22*s_bar)+(phi/2)*-0.000000,NA())</f>
        <v/>
      </c>
      <c r="BS12">
        <f>IF(s_bar/2+22*s_bar&lt;b_sec,(c_nom+phi/2)+(phi/2)*-1.000000,NA())</f>
        <v/>
      </c>
      <c r="BU12">
        <f>IF(s_bar/2+23*s_bar&lt;b_sec,(s_bar/2+23*s_bar)+(phi/2)*-0.000000,NA())</f>
        <v/>
      </c>
      <c r="BV12">
        <f>IF(s_bar/2+23*s_bar&lt;b_sec,(c_nom+phi/2)+(phi/2)*-1.000000,NA())</f>
        <v/>
      </c>
      <c r="BX12">
        <f>IF(s_bar/2+24*s_bar&lt;b_sec,(s_bar/2+24*s_bar)+(phi/2)*-0.000000,NA())</f>
        <v/>
      </c>
      <c r="BY12">
        <f>IF(s_bar/2+24*s_bar&lt;b_sec,(c_nom+phi/2)+(phi/2)*-1.000000,NA())</f>
        <v/>
      </c>
      <c r="CA12">
        <f>IF(s_bar/2+25*s_bar&lt;b_sec,(s_bar/2+25*s_bar)+(phi/2)*-0.000000,NA())</f>
        <v/>
      </c>
      <c r="CB12">
        <f>IF(s_bar/2+25*s_bar&lt;b_sec,(c_nom+phi/2)+(phi/2)*-1.000000,NA())</f>
        <v/>
      </c>
      <c r="CD12">
        <f>IF(s_bar/2+26*s_bar&lt;b_sec,(s_bar/2+26*s_bar)+(phi/2)*-0.000000,NA())</f>
        <v/>
      </c>
      <c r="CE12">
        <f>IF(s_bar/2+26*s_bar&lt;b_sec,(c_nom+phi/2)+(phi/2)*-1.000000,NA())</f>
        <v/>
      </c>
      <c r="CG12">
        <f>IF(s_bar/2+27*s_bar&lt;b_sec,(s_bar/2+27*s_bar)+(phi/2)*-0.000000,NA())</f>
        <v/>
      </c>
      <c r="CH12">
        <f>IF(s_bar/2+27*s_bar&lt;b_sec,(c_nom+phi/2)+(phi/2)*-1.000000,NA())</f>
        <v/>
      </c>
      <c r="CJ12">
        <f>IF(s_bar/2+28*s_bar&lt;b_sec,(s_bar/2+28*s_bar)+(phi/2)*-0.000000,NA())</f>
        <v/>
      </c>
      <c r="CK12">
        <f>IF(s_bar/2+28*s_bar&lt;b_sec,(c_nom+phi/2)+(phi/2)*-1.000000,NA())</f>
        <v/>
      </c>
      <c r="CM12">
        <f>IF(s_bar/2+29*s_bar&lt;b_sec,(s_bar/2+29*s_bar)+(phi/2)*-0.000000,NA())</f>
        <v/>
      </c>
      <c r="CN12">
        <f>IF(s_bar/2+29*s_bar&lt;b_sec,(c_nom+phi/2)+(phi/2)*-1.000000,NA())</f>
        <v/>
      </c>
    </row>
    <row r="13">
      <c r="D13">
        <f>IF(s_bar/2+0*s_bar&lt;b_sec,(s_bar/2+0*s_bar)+(phi/2)*0.500000,NA())</f>
        <v/>
      </c>
      <c r="E13">
        <f>IF(s_bar/2+0*s_bar&lt;b_sec,(c_nom+phi/2)+(phi/2)*-0.866025,NA())</f>
        <v/>
      </c>
      <c r="G13">
        <f>IF(s_bar/2+1*s_bar&lt;b_sec,(s_bar/2+1*s_bar)+(phi/2)*0.500000,NA())</f>
        <v/>
      </c>
      <c r="H13">
        <f>IF(s_bar/2+1*s_bar&lt;b_sec,(c_nom+phi/2)+(phi/2)*-0.866025,NA())</f>
        <v/>
      </c>
      <c r="J13">
        <f>IF(s_bar/2+2*s_bar&lt;b_sec,(s_bar/2+2*s_bar)+(phi/2)*0.500000,NA())</f>
        <v/>
      </c>
      <c r="K13">
        <f>IF(s_bar/2+2*s_bar&lt;b_sec,(c_nom+phi/2)+(phi/2)*-0.866025,NA())</f>
        <v/>
      </c>
      <c r="M13">
        <f>IF(s_bar/2+3*s_bar&lt;b_sec,(s_bar/2+3*s_bar)+(phi/2)*0.500000,NA())</f>
        <v/>
      </c>
      <c r="N13">
        <f>IF(s_bar/2+3*s_bar&lt;b_sec,(c_nom+phi/2)+(phi/2)*-0.866025,NA())</f>
        <v/>
      </c>
      <c r="P13">
        <f>IF(s_bar/2+4*s_bar&lt;b_sec,(s_bar/2+4*s_bar)+(phi/2)*0.500000,NA())</f>
        <v/>
      </c>
      <c r="Q13">
        <f>IF(s_bar/2+4*s_bar&lt;b_sec,(c_nom+phi/2)+(phi/2)*-0.866025,NA())</f>
        <v/>
      </c>
      <c r="S13">
        <f>IF(s_bar/2+5*s_bar&lt;b_sec,(s_bar/2+5*s_bar)+(phi/2)*0.500000,NA())</f>
        <v/>
      </c>
      <c r="T13">
        <f>IF(s_bar/2+5*s_bar&lt;b_sec,(c_nom+phi/2)+(phi/2)*-0.866025,NA())</f>
        <v/>
      </c>
      <c r="V13">
        <f>IF(s_bar/2+6*s_bar&lt;b_sec,(s_bar/2+6*s_bar)+(phi/2)*0.500000,NA())</f>
        <v/>
      </c>
      <c r="W13">
        <f>IF(s_bar/2+6*s_bar&lt;b_sec,(c_nom+phi/2)+(phi/2)*-0.866025,NA())</f>
        <v/>
      </c>
      <c r="Y13">
        <f>IF(s_bar/2+7*s_bar&lt;b_sec,(s_bar/2+7*s_bar)+(phi/2)*0.500000,NA())</f>
        <v/>
      </c>
      <c r="Z13">
        <f>IF(s_bar/2+7*s_bar&lt;b_sec,(c_nom+phi/2)+(phi/2)*-0.866025,NA())</f>
        <v/>
      </c>
      <c r="AB13">
        <f>IF(s_bar/2+8*s_bar&lt;b_sec,(s_bar/2+8*s_bar)+(phi/2)*0.500000,NA())</f>
        <v/>
      </c>
      <c r="AC13">
        <f>IF(s_bar/2+8*s_bar&lt;b_sec,(c_nom+phi/2)+(phi/2)*-0.866025,NA())</f>
        <v/>
      </c>
      <c r="AE13">
        <f>IF(s_bar/2+9*s_bar&lt;b_sec,(s_bar/2+9*s_bar)+(phi/2)*0.500000,NA())</f>
        <v/>
      </c>
      <c r="AF13">
        <f>IF(s_bar/2+9*s_bar&lt;b_sec,(c_nom+phi/2)+(phi/2)*-0.866025,NA())</f>
        <v/>
      </c>
      <c r="AH13">
        <f>IF(s_bar/2+10*s_bar&lt;b_sec,(s_bar/2+10*s_bar)+(phi/2)*0.500000,NA())</f>
        <v/>
      </c>
      <c r="AI13">
        <f>IF(s_bar/2+10*s_bar&lt;b_sec,(c_nom+phi/2)+(phi/2)*-0.866025,NA())</f>
        <v/>
      </c>
      <c r="AK13">
        <f>IF(s_bar/2+11*s_bar&lt;b_sec,(s_bar/2+11*s_bar)+(phi/2)*0.500000,NA())</f>
        <v/>
      </c>
      <c r="AL13">
        <f>IF(s_bar/2+11*s_bar&lt;b_sec,(c_nom+phi/2)+(phi/2)*-0.866025,NA())</f>
        <v/>
      </c>
      <c r="AN13">
        <f>IF(s_bar/2+12*s_bar&lt;b_sec,(s_bar/2+12*s_bar)+(phi/2)*0.500000,NA())</f>
        <v/>
      </c>
      <c r="AO13">
        <f>IF(s_bar/2+12*s_bar&lt;b_sec,(c_nom+phi/2)+(phi/2)*-0.866025,NA())</f>
        <v/>
      </c>
      <c r="AQ13">
        <f>IF(s_bar/2+13*s_bar&lt;b_sec,(s_bar/2+13*s_bar)+(phi/2)*0.500000,NA())</f>
        <v/>
      </c>
      <c r="AR13">
        <f>IF(s_bar/2+13*s_bar&lt;b_sec,(c_nom+phi/2)+(phi/2)*-0.866025,NA())</f>
        <v/>
      </c>
      <c r="AT13">
        <f>IF(s_bar/2+14*s_bar&lt;b_sec,(s_bar/2+14*s_bar)+(phi/2)*0.500000,NA())</f>
        <v/>
      </c>
      <c r="AU13">
        <f>IF(s_bar/2+14*s_bar&lt;b_sec,(c_nom+phi/2)+(phi/2)*-0.866025,NA())</f>
        <v/>
      </c>
      <c r="AW13">
        <f>IF(s_bar/2+15*s_bar&lt;b_sec,(s_bar/2+15*s_bar)+(phi/2)*0.500000,NA())</f>
        <v/>
      </c>
      <c r="AX13">
        <f>IF(s_bar/2+15*s_bar&lt;b_sec,(c_nom+phi/2)+(phi/2)*-0.866025,NA())</f>
        <v/>
      </c>
      <c r="AZ13">
        <f>IF(s_bar/2+16*s_bar&lt;b_sec,(s_bar/2+16*s_bar)+(phi/2)*0.500000,NA())</f>
        <v/>
      </c>
      <c r="BA13">
        <f>IF(s_bar/2+16*s_bar&lt;b_sec,(c_nom+phi/2)+(phi/2)*-0.866025,NA())</f>
        <v/>
      </c>
      <c r="BC13">
        <f>IF(s_bar/2+17*s_bar&lt;b_sec,(s_bar/2+17*s_bar)+(phi/2)*0.500000,NA())</f>
        <v/>
      </c>
      <c r="BD13">
        <f>IF(s_bar/2+17*s_bar&lt;b_sec,(c_nom+phi/2)+(phi/2)*-0.866025,NA())</f>
        <v/>
      </c>
      <c r="BF13">
        <f>IF(s_bar/2+18*s_bar&lt;b_sec,(s_bar/2+18*s_bar)+(phi/2)*0.500000,NA())</f>
        <v/>
      </c>
      <c r="BG13">
        <f>IF(s_bar/2+18*s_bar&lt;b_sec,(c_nom+phi/2)+(phi/2)*-0.866025,NA())</f>
        <v/>
      </c>
      <c r="BI13">
        <f>IF(s_bar/2+19*s_bar&lt;b_sec,(s_bar/2+19*s_bar)+(phi/2)*0.500000,NA())</f>
        <v/>
      </c>
      <c r="BJ13">
        <f>IF(s_bar/2+19*s_bar&lt;b_sec,(c_nom+phi/2)+(phi/2)*-0.866025,NA())</f>
        <v/>
      </c>
      <c r="BL13">
        <f>IF(s_bar/2+20*s_bar&lt;b_sec,(s_bar/2+20*s_bar)+(phi/2)*0.500000,NA())</f>
        <v/>
      </c>
      <c r="BM13">
        <f>IF(s_bar/2+20*s_bar&lt;b_sec,(c_nom+phi/2)+(phi/2)*-0.866025,NA())</f>
        <v/>
      </c>
      <c r="BO13">
        <f>IF(s_bar/2+21*s_bar&lt;b_sec,(s_bar/2+21*s_bar)+(phi/2)*0.500000,NA())</f>
        <v/>
      </c>
      <c r="BP13">
        <f>IF(s_bar/2+21*s_bar&lt;b_sec,(c_nom+phi/2)+(phi/2)*-0.866025,NA())</f>
        <v/>
      </c>
      <c r="BR13">
        <f>IF(s_bar/2+22*s_bar&lt;b_sec,(s_bar/2+22*s_bar)+(phi/2)*0.500000,NA())</f>
        <v/>
      </c>
      <c r="BS13">
        <f>IF(s_bar/2+22*s_bar&lt;b_sec,(c_nom+phi/2)+(phi/2)*-0.866025,NA())</f>
        <v/>
      </c>
      <c r="BU13">
        <f>IF(s_bar/2+23*s_bar&lt;b_sec,(s_bar/2+23*s_bar)+(phi/2)*0.500000,NA())</f>
        <v/>
      </c>
      <c r="BV13">
        <f>IF(s_bar/2+23*s_bar&lt;b_sec,(c_nom+phi/2)+(phi/2)*-0.866025,NA())</f>
        <v/>
      </c>
      <c r="BX13">
        <f>IF(s_bar/2+24*s_bar&lt;b_sec,(s_bar/2+24*s_bar)+(phi/2)*0.500000,NA())</f>
        <v/>
      </c>
      <c r="BY13">
        <f>IF(s_bar/2+24*s_bar&lt;b_sec,(c_nom+phi/2)+(phi/2)*-0.866025,NA())</f>
        <v/>
      </c>
      <c r="CA13">
        <f>IF(s_bar/2+25*s_bar&lt;b_sec,(s_bar/2+25*s_bar)+(phi/2)*0.500000,NA())</f>
        <v/>
      </c>
      <c r="CB13">
        <f>IF(s_bar/2+25*s_bar&lt;b_sec,(c_nom+phi/2)+(phi/2)*-0.866025,NA())</f>
        <v/>
      </c>
      <c r="CD13">
        <f>IF(s_bar/2+26*s_bar&lt;b_sec,(s_bar/2+26*s_bar)+(phi/2)*0.500000,NA())</f>
        <v/>
      </c>
      <c r="CE13">
        <f>IF(s_bar/2+26*s_bar&lt;b_sec,(c_nom+phi/2)+(phi/2)*-0.866025,NA())</f>
        <v/>
      </c>
      <c r="CG13">
        <f>IF(s_bar/2+27*s_bar&lt;b_sec,(s_bar/2+27*s_bar)+(phi/2)*0.500000,NA())</f>
        <v/>
      </c>
      <c r="CH13">
        <f>IF(s_bar/2+27*s_bar&lt;b_sec,(c_nom+phi/2)+(phi/2)*-0.866025,NA())</f>
        <v/>
      </c>
      <c r="CJ13">
        <f>IF(s_bar/2+28*s_bar&lt;b_sec,(s_bar/2+28*s_bar)+(phi/2)*0.500000,NA())</f>
        <v/>
      </c>
      <c r="CK13">
        <f>IF(s_bar/2+28*s_bar&lt;b_sec,(c_nom+phi/2)+(phi/2)*-0.866025,NA())</f>
        <v/>
      </c>
      <c r="CM13">
        <f>IF(s_bar/2+29*s_bar&lt;b_sec,(s_bar/2+29*s_bar)+(phi/2)*0.500000,NA())</f>
        <v/>
      </c>
      <c r="CN13">
        <f>IF(s_bar/2+29*s_bar&lt;b_sec,(c_nom+phi/2)+(phi/2)*-0.866025,NA())</f>
        <v/>
      </c>
    </row>
    <row r="14">
      <c r="D14">
        <f>IF(s_bar/2+0*s_bar&lt;b_sec,(s_bar/2+0*s_bar)+(phi/2)*0.866025,NA())</f>
        <v/>
      </c>
      <c r="E14">
        <f>IF(s_bar/2+0*s_bar&lt;b_sec,(c_nom+phi/2)+(phi/2)*-0.500000,NA())</f>
        <v/>
      </c>
      <c r="G14">
        <f>IF(s_bar/2+1*s_bar&lt;b_sec,(s_bar/2+1*s_bar)+(phi/2)*0.866025,NA())</f>
        <v/>
      </c>
      <c r="H14">
        <f>IF(s_bar/2+1*s_bar&lt;b_sec,(c_nom+phi/2)+(phi/2)*-0.500000,NA())</f>
        <v/>
      </c>
      <c r="J14">
        <f>IF(s_bar/2+2*s_bar&lt;b_sec,(s_bar/2+2*s_bar)+(phi/2)*0.866025,NA())</f>
        <v/>
      </c>
      <c r="K14">
        <f>IF(s_bar/2+2*s_bar&lt;b_sec,(c_nom+phi/2)+(phi/2)*-0.500000,NA())</f>
        <v/>
      </c>
      <c r="M14">
        <f>IF(s_bar/2+3*s_bar&lt;b_sec,(s_bar/2+3*s_bar)+(phi/2)*0.866025,NA())</f>
        <v/>
      </c>
      <c r="N14">
        <f>IF(s_bar/2+3*s_bar&lt;b_sec,(c_nom+phi/2)+(phi/2)*-0.500000,NA())</f>
        <v/>
      </c>
      <c r="P14">
        <f>IF(s_bar/2+4*s_bar&lt;b_sec,(s_bar/2+4*s_bar)+(phi/2)*0.866025,NA())</f>
        <v/>
      </c>
      <c r="Q14">
        <f>IF(s_bar/2+4*s_bar&lt;b_sec,(c_nom+phi/2)+(phi/2)*-0.500000,NA())</f>
        <v/>
      </c>
      <c r="S14">
        <f>IF(s_bar/2+5*s_bar&lt;b_sec,(s_bar/2+5*s_bar)+(phi/2)*0.866025,NA())</f>
        <v/>
      </c>
      <c r="T14">
        <f>IF(s_bar/2+5*s_bar&lt;b_sec,(c_nom+phi/2)+(phi/2)*-0.500000,NA())</f>
        <v/>
      </c>
      <c r="V14">
        <f>IF(s_bar/2+6*s_bar&lt;b_sec,(s_bar/2+6*s_bar)+(phi/2)*0.866025,NA())</f>
        <v/>
      </c>
      <c r="W14">
        <f>IF(s_bar/2+6*s_bar&lt;b_sec,(c_nom+phi/2)+(phi/2)*-0.500000,NA())</f>
        <v/>
      </c>
      <c r="Y14">
        <f>IF(s_bar/2+7*s_bar&lt;b_sec,(s_bar/2+7*s_bar)+(phi/2)*0.866025,NA())</f>
        <v/>
      </c>
      <c r="Z14">
        <f>IF(s_bar/2+7*s_bar&lt;b_sec,(c_nom+phi/2)+(phi/2)*-0.500000,NA())</f>
        <v/>
      </c>
      <c r="AB14">
        <f>IF(s_bar/2+8*s_bar&lt;b_sec,(s_bar/2+8*s_bar)+(phi/2)*0.866025,NA())</f>
        <v/>
      </c>
      <c r="AC14">
        <f>IF(s_bar/2+8*s_bar&lt;b_sec,(c_nom+phi/2)+(phi/2)*-0.500000,NA())</f>
        <v/>
      </c>
      <c r="AE14">
        <f>IF(s_bar/2+9*s_bar&lt;b_sec,(s_bar/2+9*s_bar)+(phi/2)*0.866025,NA())</f>
        <v/>
      </c>
      <c r="AF14">
        <f>IF(s_bar/2+9*s_bar&lt;b_sec,(c_nom+phi/2)+(phi/2)*-0.500000,NA())</f>
        <v/>
      </c>
      <c r="AH14">
        <f>IF(s_bar/2+10*s_bar&lt;b_sec,(s_bar/2+10*s_bar)+(phi/2)*0.866025,NA())</f>
        <v/>
      </c>
      <c r="AI14">
        <f>IF(s_bar/2+10*s_bar&lt;b_sec,(c_nom+phi/2)+(phi/2)*-0.500000,NA())</f>
        <v/>
      </c>
      <c r="AK14">
        <f>IF(s_bar/2+11*s_bar&lt;b_sec,(s_bar/2+11*s_bar)+(phi/2)*0.866025,NA())</f>
        <v/>
      </c>
      <c r="AL14">
        <f>IF(s_bar/2+11*s_bar&lt;b_sec,(c_nom+phi/2)+(phi/2)*-0.500000,NA())</f>
        <v/>
      </c>
      <c r="AN14">
        <f>IF(s_bar/2+12*s_bar&lt;b_sec,(s_bar/2+12*s_bar)+(phi/2)*0.866025,NA())</f>
        <v/>
      </c>
      <c r="AO14">
        <f>IF(s_bar/2+12*s_bar&lt;b_sec,(c_nom+phi/2)+(phi/2)*-0.500000,NA())</f>
        <v/>
      </c>
      <c r="AQ14">
        <f>IF(s_bar/2+13*s_bar&lt;b_sec,(s_bar/2+13*s_bar)+(phi/2)*0.866025,NA())</f>
        <v/>
      </c>
      <c r="AR14">
        <f>IF(s_bar/2+13*s_bar&lt;b_sec,(c_nom+phi/2)+(phi/2)*-0.500000,NA())</f>
        <v/>
      </c>
      <c r="AT14">
        <f>IF(s_bar/2+14*s_bar&lt;b_sec,(s_bar/2+14*s_bar)+(phi/2)*0.866025,NA())</f>
        <v/>
      </c>
      <c r="AU14">
        <f>IF(s_bar/2+14*s_bar&lt;b_sec,(c_nom+phi/2)+(phi/2)*-0.500000,NA())</f>
        <v/>
      </c>
      <c r="AW14">
        <f>IF(s_bar/2+15*s_bar&lt;b_sec,(s_bar/2+15*s_bar)+(phi/2)*0.866025,NA())</f>
        <v/>
      </c>
      <c r="AX14">
        <f>IF(s_bar/2+15*s_bar&lt;b_sec,(c_nom+phi/2)+(phi/2)*-0.500000,NA())</f>
        <v/>
      </c>
      <c r="AZ14">
        <f>IF(s_bar/2+16*s_bar&lt;b_sec,(s_bar/2+16*s_bar)+(phi/2)*0.866025,NA())</f>
        <v/>
      </c>
      <c r="BA14">
        <f>IF(s_bar/2+16*s_bar&lt;b_sec,(c_nom+phi/2)+(phi/2)*-0.500000,NA())</f>
        <v/>
      </c>
      <c r="BC14">
        <f>IF(s_bar/2+17*s_bar&lt;b_sec,(s_bar/2+17*s_bar)+(phi/2)*0.866025,NA())</f>
        <v/>
      </c>
      <c r="BD14">
        <f>IF(s_bar/2+17*s_bar&lt;b_sec,(c_nom+phi/2)+(phi/2)*-0.500000,NA())</f>
        <v/>
      </c>
      <c r="BF14">
        <f>IF(s_bar/2+18*s_bar&lt;b_sec,(s_bar/2+18*s_bar)+(phi/2)*0.866025,NA())</f>
        <v/>
      </c>
      <c r="BG14">
        <f>IF(s_bar/2+18*s_bar&lt;b_sec,(c_nom+phi/2)+(phi/2)*-0.500000,NA())</f>
        <v/>
      </c>
      <c r="BI14">
        <f>IF(s_bar/2+19*s_bar&lt;b_sec,(s_bar/2+19*s_bar)+(phi/2)*0.866025,NA())</f>
        <v/>
      </c>
      <c r="BJ14">
        <f>IF(s_bar/2+19*s_bar&lt;b_sec,(c_nom+phi/2)+(phi/2)*-0.500000,NA())</f>
        <v/>
      </c>
      <c r="BL14">
        <f>IF(s_bar/2+20*s_bar&lt;b_sec,(s_bar/2+20*s_bar)+(phi/2)*0.866025,NA())</f>
        <v/>
      </c>
      <c r="BM14">
        <f>IF(s_bar/2+20*s_bar&lt;b_sec,(c_nom+phi/2)+(phi/2)*-0.500000,NA())</f>
        <v/>
      </c>
      <c r="BO14">
        <f>IF(s_bar/2+21*s_bar&lt;b_sec,(s_bar/2+21*s_bar)+(phi/2)*0.866025,NA())</f>
        <v/>
      </c>
      <c r="BP14">
        <f>IF(s_bar/2+21*s_bar&lt;b_sec,(c_nom+phi/2)+(phi/2)*-0.500000,NA())</f>
        <v/>
      </c>
      <c r="BR14">
        <f>IF(s_bar/2+22*s_bar&lt;b_sec,(s_bar/2+22*s_bar)+(phi/2)*0.866025,NA())</f>
        <v/>
      </c>
      <c r="BS14">
        <f>IF(s_bar/2+22*s_bar&lt;b_sec,(c_nom+phi/2)+(phi/2)*-0.500000,NA())</f>
        <v/>
      </c>
      <c r="BU14">
        <f>IF(s_bar/2+23*s_bar&lt;b_sec,(s_bar/2+23*s_bar)+(phi/2)*0.866025,NA())</f>
        <v/>
      </c>
      <c r="BV14">
        <f>IF(s_bar/2+23*s_bar&lt;b_sec,(c_nom+phi/2)+(phi/2)*-0.500000,NA())</f>
        <v/>
      </c>
      <c r="BX14">
        <f>IF(s_bar/2+24*s_bar&lt;b_sec,(s_bar/2+24*s_bar)+(phi/2)*0.866025,NA())</f>
        <v/>
      </c>
      <c r="BY14">
        <f>IF(s_bar/2+24*s_bar&lt;b_sec,(c_nom+phi/2)+(phi/2)*-0.500000,NA())</f>
        <v/>
      </c>
      <c r="CA14">
        <f>IF(s_bar/2+25*s_bar&lt;b_sec,(s_bar/2+25*s_bar)+(phi/2)*0.866025,NA())</f>
        <v/>
      </c>
      <c r="CB14">
        <f>IF(s_bar/2+25*s_bar&lt;b_sec,(c_nom+phi/2)+(phi/2)*-0.500000,NA())</f>
        <v/>
      </c>
      <c r="CD14">
        <f>IF(s_bar/2+26*s_bar&lt;b_sec,(s_bar/2+26*s_bar)+(phi/2)*0.866025,NA())</f>
        <v/>
      </c>
      <c r="CE14">
        <f>IF(s_bar/2+26*s_bar&lt;b_sec,(c_nom+phi/2)+(phi/2)*-0.500000,NA())</f>
        <v/>
      </c>
      <c r="CG14">
        <f>IF(s_bar/2+27*s_bar&lt;b_sec,(s_bar/2+27*s_bar)+(phi/2)*0.866025,NA())</f>
        <v/>
      </c>
      <c r="CH14">
        <f>IF(s_bar/2+27*s_bar&lt;b_sec,(c_nom+phi/2)+(phi/2)*-0.500000,NA())</f>
        <v/>
      </c>
      <c r="CJ14">
        <f>IF(s_bar/2+28*s_bar&lt;b_sec,(s_bar/2+28*s_bar)+(phi/2)*0.866025,NA())</f>
        <v/>
      </c>
      <c r="CK14">
        <f>IF(s_bar/2+28*s_bar&lt;b_sec,(c_nom+phi/2)+(phi/2)*-0.500000,NA())</f>
        <v/>
      </c>
      <c r="CM14">
        <f>IF(s_bar/2+29*s_bar&lt;b_sec,(s_bar/2+29*s_bar)+(phi/2)*0.866025,NA())</f>
        <v/>
      </c>
      <c r="CN14">
        <f>IF(s_bar/2+29*s_bar&lt;b_sec,(c_nom+phi/2)+(phi/2)*-0.500000,NA())</f>
        <v/>
      </c>
    </row>
    <row r="15">
      <c r="D15">
        <f>IF(s_bar/2+0*s_bar&lt;b_sec,(s_bar/2+0*s_bar)+(phi/2)*1.000000,NA())</f>
        <v/>
      </c>
      <c r="E15">
        <f>IF(s_bar/2+0*s_bar&lt;b_sec,(c_nom+phi/2)+(phi/2)*-0.000000,NA())</f>
        <v/>
      </c>
      <c r="G15">
        <f>IF(s_bar/2+1*s_bar&lt;b_sec,(s_bar/2+1*s_bar)+(phi/2)*1.000000,NA())</f>
        <v/>
      </c>
      <c r="H15">
        <f>IF(s_bar/2+1*s_bar&lt;b_sec,(c_nom+phi/2)+(phi/2)*-0.000000,NA())</f>
        <v/>
      </c>
      <c r="J15">
        <f>IF(s_bar/2+2*s_bar&lt;b_sec,(s_bar/2+2*s_bar)+(phi/2)*1.000000,NA())</f>
        <v/>
      </c>
      <c r="K15">
        <f>IF(s_bar/2+2*s_bar&lt;b_sec,(c_nom+phi/2)+(phi/2)*-0.000000,NA())</f>
        <v/>
      </c>
      <c r="M15">
        <f>IF(s_bar/2+3*s_bar&lt;b_sec,(s_bar/2+3*s_bar)+(phi/2)*1.000000,NA())</f>
        <v/>
      </c>
      <c r="N15">
        <f>IF(s_bar/2+3*s_bar&lt;b_sec,(c_nom+phi/2)+(phi/2)*-0.000000,NA())</f>
        <v/>
      </c>
      <c r="P15">
        <f>IF(s_bar/2+4*s_bar&lt;b_sec,(s_bar/2+4*s_bar)+(phi/2)*1.000000,NA())</f>
        <v/>
      </c>
      <c r="Q15">
        <f>IF(s_bar/2+4*s_bar&lt;b_sec,(c_nom+phi/2)+(phi/2)*-0.000000,NA())</f>
        <v/>
      </c>
      <c r="S15">
        <f>IF(s_bar/2+5*s_bar&lt;b_sec,(s_bar/2+5*s_bar)+(phi/2)*1.000000,NA())</f>
        <v/>
      </c>
      <c r="T15">
        <f>IF(s_bar/2+5*s_bar&lt;b_sec,(c_nom+phi/2)+(phi/2)*-0.000000,NA())</f>
        <v/>
      </c>
      <c r="V15">
        <f>IF(s_bar/2+6*s_bar&lt;b_sec,(s_bar/2+6*s_bar)+(phi/2)*1.000000,NA())</f>
        <v/>
      </c>
      <c r="W15">
        <f>IF(s_bar/2+6*s_bar&lt;b_sec,(c_nom+phi/2)+(phi/2)*-0.000000,NA())</f>
        <v/>
      </c>
      <c r="Y15">
        <f>IF(s_bar/2+7*s_bar&lt;b_sec,(s_bar/2+7*s_bar)+(phi/2)*1.000000,NA())</f>
        <v/>
      </c>
      <c r="Z15">
        <f>IF(s_bar/2+7*s_bar&lt;b_sec,(c_nom+phi/2)+(phi/2)*-0.000000,NA())</f>
        <v/>
      </c>
      <c r="AB15">
        <f>IF(s_bar/2+8*s_bar&lt;b_sec,(s_bar/2+8*s_bar)+(phi/2)*1.000000,NA())</f>
        <v/>
      </c>
      <c r="AC15">
        <f>IF(s_bar/2+8*s_bar&lt;b_sec,(c_nom+phi/2)+(phi/2)*-0.000000,NA())</f>
        <v/>
      </c>
      <c r="AE15">
        <f>IF(s_bar/2+9*s_bar&lt;b_sec,(s_bar/2+9*s_bar)+(phi/2)*1.000000,NA())</f>
        <v/>
      </c>
      <c r="AF15">
        <f>IF(s_bar/2+9*s_bar&lt;b_sec,(c_nom+phi/2)+(phi/2)*-0.000000,NA())</f>
        <v/>
      </c>
      <c r="AH15">
        <f>IF(s_bar/2+10*s_bar&lt;b_sec,(s_bar/2+10*s_bar)+(phi/2)*1.000000,NA())</f>
        <v/>
      </c>
      <c r="AI15">
        <f>IF(s_bar/2+10*s_bar&lt;b_sec,(c_nom+phi/2)+(phi/2)*-0.000000,NA())</f>
        <v/>
      </c>
      <c r="AK15">
        <f>IF(s_bar/2+11*s_bar&lt;b_sec,(s_bar/2+11*s_bar)+(phi/2)*1.000000,NA())</f>
        <v/>
      </c>
      <c r="AL15">
        <f>IF(s_bar/2+11*s_bar&lt;b_sec,(c_nom+phi/2)+(phi/2)*-0.000000,NA())</f>
        <v/>
      </c>
      <c r="AN15">
        <f>IF(s_bar/2+12*s_bar&lt;b_sec,(s_bar/2+12*s_bar)+(phi/2)*1.000000,NA())</f>
        <v/>
      </c>
      <c r="AO15">
        <f>IF(s_bar/2+12*s_bar&lt;b_sec,(c_nom+phi/2)+(phi/2)*-0.000000,NA())</f>
        <v/>
      </c>
      <c r="AQ15">
        <f>IF(s_bar/2+13*s_bar&lt;b_sec,(s_bar/2+13*s_bar)+(phi/2)*1.000000,NA())</f>
        <v/>
      </c>
      <c r="AR15">
        <f>IF(s_bar/2+13*s_bar&lt;b_sec,(c_nom+phi/2)+(phi/2)*-0.000000,NA())</f>
        <v/>
      </c>
      <c r="AT15">
        <f>IF(s_bar/2+14*s_bar&lt;b_sec,(s_bar/2+14*s_bar)+(phi/2)*1.000000,NA())</f>
        <v/>
      </c>
      <c r="AU15">
        <f>IF(s_bar/2+14*s_bar&lt;b_sec,(c_nom+phi/2)+(phi/2)*-0.000000,NA())</f>
        <v/>
      </c>
      <c r="AW15">
        <f>IF(s_bar/2+15*s_bar&lt;b_sec,(s_bar/2+15*s_bar)+(phi/2)*1.000000,NA())</f>
        <v/>
      </c>
      <c r="AX15">
        <f>IF(s_bar/2+15*s_bar&lt;b_sec,(c_nom+phi/2)+(phi/2)*-0.000000,NA())</f>
        <v/>
      </c>
      <c r="AZ15">
        <f>IF(s_bar/2+16*s_bar&lt;b_sec,(s_bar/2+16*s_bar)+(phi/2)*1.000000,NA())</f>
        <v/>
      </c>
      <c r="BA15">
        <f>IF(s_bar/2+16*s_bar&lt;b_sec,(c_nom+phi/2)+(phi/2)*-0.000000,NA())</f>
        <v/>
      </c>
      <c r="BC15">
        <f>IF(s_bar/2+17*s_bar&lt;b_sec,(s_bar/2+17*s_bar)+(phi/2)*1.000000,NA())</f>
        <v/>
      </c>
      <c r="BD15">
        <f>IF(s_bar/2+17*s_bar&lt;b_sec,(c_nom+phi/2)+(phi/2)*-0.000000,NA())</f>
        <v/>
      </c>
      <c r="BF15">
        <f>IF(s_bar/2+18*s_bar&lt;b_sec,(s_bar/2+18*s_bar)+(phi/2)*1.000000,NA())</f>
        <v/>
      </c>
      <c r="BG15">
        <f>IF(s_bar/2+18*s_bar&lt;b_sec,(c_nom+phi/2)+(phi/2)*-0.000000,NA())</f>
        <v/>
      </c>
      <c r="BI15">
        <f>IF(s_bar/2+19*s_bar&lt;b_sec,(s_bar/2+19*s_bar)+(phi/2)*1.000000,NA())</f>
        <v/>
      </c>
      <c r="BJ15">
        <f>IF(s_bar/2+19*s_bar&lt;b_sec,(c_nom+phi/2)+(phi/2)*-0.000000,NA())</f>
        <v/>
      </c>
      <c r="BL15">
        <f>IF(s_bar/2+20*s_bar&lt;b_sec,(s_bar/2+20*s_bar)+(phi/2)*1.000000,NA())</f>
        <v/>
      </c>
      <c r="BM15">
        <f>IF(s_bar/2+20*s_bar&lt;b_sec,(c_nom+phi/2)+(phi/2)*-0.000000,NA())</f>
        <v/>
      </c>
      <c r="BO15">
        <f>IF(s_bar/2+21*s_bar&lt;b_sec,(s_bar/2+21*s_bar)+(phi/2)*1.000000,NA())</f>
        <v/>
      </c>
      <c r="BP15">
        <f>IF(s_bar/2+21*s_bar&lt;b_sec,(c_nom+phi/2)+(phi/2)*-0.000000,NA())</f>
        <v/>
      </c>
      <c r="BR15">
        <f>IF(s_bar/2+22*s_bar&lt;b_sec,(s_bar/2+22*s_bar)+(phi/2)*1.000000,NA())</f>
        <v/>
      </c>
      <c r="BS15">
        <f>IF(s_bar/2+22*s_bar&lt;b_sec,(c_nom+phi/2)+(phi/2)*-0.000000,NA())</f>
        <v/>
      </c>
      <c r="BU15">
        <f>IF(s_bar/2+23*s_bar&lt;b_sec,(s_bar/2+23*s_bar)+(phi/2)*1.000000,NA())</f>
        <v/>
      </c>
      <c r="BV15">
        <f>IF(s_bar/2+23*s_bar&lt;b_sec,(c_nom+phi/2)+(phi/2)*-0.000000,NA())</f>
        <v/>
      </c>
      <c r="BX15">
        <f>IF(s_bar/2+24*s_bar&lt;b_sec,(s_bar/2+24*s_bar)+(phi/2)*1.000000,NA())</f>
        <v/>
      </c>
      <c r="BY15">
        <f>IF(s_bar/2+24*s_bar&lt;b_sec,(c_nom+phi/2)+(phi/2)*-0.000000,NA())</f>
        <v/>
      </c>
      <c r="CA15">
        <f>IF(s_bar/2+25*s_bar&lt;b_sec,(s_bar/2+25*s_bar)+(phi/2)*1.000000,NA())</f>
        <v/>
      </c>
      <c r="CB15">
        <f>IF(s_bar/2+25*s_bar&lt;b_sec,(c_nom+phi/2)+(phi/2)*-0.000000,NA())</f>
        <v/>
      </c>
      <c r="CD15">
        <f>IF(s_bar/2+26*s_bar&lt;b_sec,(s_bar/2+26*s_bar)+(phi/2)*1.000000,NA())</f>
        <v/>
      </c>
      <c r="CE15">
        <f>IF(s_bar/2+26*s_bar&lt;b_sec,(c_nom+phi/2)+(phi/2)*-0.000000,NA())</f>
        <v/>
      </c>
      <c r="CG15">
        <f>IF(s_bar/2+27*s_bar&lt;b_sec,(s_bar/2+27*s_bar)+(phi/2)*1.000000,NA())</f>
        <v/>
      </c>
      <c r="CH15">
        <f>IF(s_bar/2+27*s_bar&lt;b_sec,(c_nom+phi/2)+(phi/2)*-0.000000,NA())</f>
        <v/>
      </c>
      <c r="CJ15">
        <f>IF(s_bar/2+28*s_bar&lt;b_sec,(s_bar/2+28*s_bar)+(phi/2)*1.000000,NA())</f>
        <v/>
      </c>
      <c r="CK15">
        <f>IF(s_bar/2+28*s_bar&lt;b_sec,(c_nom+phi/2)+(phi/2)*-0.000000,NA())</f>
        <v/>
      </c>
      <c r="CM15">
        <f>IF(s_bar/2+29*s_bar&lt;b_sec,(s_bar/2+29*s_bar)+(phi/2)*1.000000,NA())</f>
        <v/>
      </c>
      <c r="CN15">
        <f>IF(s_bar/2+29*s_bar&lt;b_sec,(c_nom+phi/2)+(phi/2)*-0.000000,NA())</f>
        <v/>
      </c>
    </row>
  </sheetData>
  <sheetProtection selectLockedCells="0" selectUnlockedCells="0" sheet="1" objects="1" insertRows="1" insertHyperlinks="1" autoFilter="1" scenarios="0" formatColumns="1" deleteColumns="1" insertColumns="1" pivotTables="1" deleteRows="1" formatCells="1" formatRows="1" sort="1" password="AA0A"/>
  <pageMargins left="0.75" right="0.75" top="1" bottom="1" header="0.5" footer="0.5"/>
</worksheet>
</file>

<file path=xl/worksheets/sheet4.xml><?xml version="1.0" encoding="utf-8"?>
<worksheet xmlns="http://schemas.openxmlformats.org/spreadsheetml/2006/main">
  <sheetPr>
    <outlinePr summaryBelow="1" summaryRight="1"/>
    <pageSetUpPr fitToPage="1"/>
  </sheetPr>
  <dimension ref="B2:F28"/>
  <sheetViews>
    <sheetView showGridLines="0" tabSelected="0" workbookViewId="0">
      <selection activeCell="A1" sqref="A1"/>
    </sheetView>
  </sheetViews>
  <sheetFormatPr baseColWidth="8" defaultRowHeight="15"/>
  <cols>
    <col width="2.5" customWidth="1" min="1" max="1"/>
    <col width="34" customWidth="1" min="2" max="2"/>
    <col width="16" customWidth="1" min="3" max="3"/>
    <col width="12" customWidth="1" min="4" max="4"/>
    <col width="12" customWidth="1" min="5" max="5"/>
    <col width="60" customWidth="1" min="6" max="6"/>
  </cols>
  <sheetData>
    <row r="2">
      <c r="B2" s="49" t="inlineStr">
        <is>
          <t>Nationally Determined Parameters</t>
        </is>
      </c>
    </row>
    <row r="3">
      <c r="B3" s="16" t="inlineStr">
        <is>
          <t>Values used by the Calculation sheet for the selected National Annex. Sources: UK NA to BS EN 1992-1-1:2004, Table NA.1; PN-EN 1992-1-1:2008, Załącznik krajowy NA. Edit only if your project specifies different values.</t>
        </is>
      </c>
    </row>
    <row r="5">
      <c r="B5" s="50" t="inlineStr">
        <is>
          <t>Parameter</t>
        </is>
      </c>
      <c r="C5" s="50" t="inlineStr">
        <is>
          <t>Clause</t>
        </is>
      </c>
      <c r="D5" s="50" t="inlineStr">
        <is>
          <t>UK NA</t>
        </is>
      </c>
      <c r="E5" s="50" t="inlineStr">
        <is>
          <t>PL NA</t>
        </is>
      </c>
      <c r="F5" s="50" t="inlineStr">
        <is>
          <t>Notes</t>
        </is>
      </c>
    </row>
    <row r="6">
      <c r="B6" s="51" t="inlineStr">
        <is>
          <t>Partial factor, concrete  γc</t>
        </is>
      </c>
      <c r="C6" s="52" t="inlineStr">
        <is>
          <t>2.4.2.4(1)</t>
        </is>
      </c>
      <c r="D6" s="53" t="n">
        <v>1.5</v>
      </c>
      <c r="E6" s="53" t="n">
        <v>1.4</v>
      </c>
      <c r="F6" s="52" t="inlineStr">
        <is>
          <t>Persistent &amp; transient. UK NA: recommended; PL: NA.2, Table NA.2</t>
        </is>
      </c>
    </row>
    <row r="7">
      <c r="B7" s="51" t="inlineStr">
        <is>
          <t>Partial factor, reinforcement  γs</t>
        </is>
      </c>
      <c r="C7" s="52" t="inlineStr">
        <is>
          <t>2.4.2.4(1)</t>
        </is>
      </c>
      <c r="D7" s="53" t="n">
        <v>1.15</v>
      </c>
      <c r="E7" s="53" t="n">
        <v>1.15</v>
      </c>
      <c r="F7" s="52" t="inlineStr">
        <is>
          <t>UK NA: recommended; PL: NA.2, Table NA.2</t>
        </is>
      </c>
    </row>
    <row r="8">
      <c r="B8" s="51" t="inlineStr">
        <is>
          <t>αcc  (compression in flexure / axial)</t>
        </is>
      </c>
      <c r="C8" s="52" t="inlineStr">
        <is>
          <t>3.1.6(1)</t>
        </is>
      </c>
      <c r="D8" s="53" t="n">
        <v>0.85</v>
      </c>
      <c r="E8" s="53" t="n">
        <v>1</v>
      </c>
      <c r="F8" s="52" t="inlineStr">
        <is>
          <t>UK NA: 0.85; PL: recommended (NA.9)</t>
        </is>
      </c>
    </row>
    <row r="9">
      <c r="B9" s="51" t="inlineStr">
        <is>
          <t>αcc,pl  (plain concrete, compression)</t>
        </is>
      </c>
      <c r="C9" s="52" t="inlineStr">
        <is>
          <t>12.3.1(1)</t>
        </is>
      </c>
      <c r="D9" s="53" t="n">
        <v>0.6</v>
      </c>
      <c r="E9" s="53" t="n">
        <v>0.8</v>
      </c>
      <c r="F9" s="52" t="inlineStr">
        <is>
          <t>UK NA Table NA.1: 0.6; PL: recommended (NA.9)</t>
        </is>
      </c>
    </row>
    <row r="10">
      <c r="B10" s="51" t="inlineStr">
        <is>
          <t>αcc  (shear and punching)</t>
        </is>
      </c>
      <c r="C10" s="52" t="inlineStr">
        <is>
          <t>3.1.6(1)</t>
        </is>
      </c>
      <c r="D10" s="53" t="n">
        <v>1</v>
      </c>
      <c r="E10" s="53" t="n">
        <v>1</v>
      </c>
      <c r="F10" s="52" t="inlineStr">
        <is>
          <t>UK NA: 1.0 for other phenomena; PL: recommended (NA.9)</t>
        </is>
      </c>
    </row>
    <row r="11">
      <c r="B11" s="51" t="inlineStr">
        <is>
          <t>αct  (design tensile strength)</t>
        </is>
      </c>
      <c r="C11" s="52" t="inlineStr">
        <is>
          <t>3.1.6(2)</t>
        </is>
      </c>
      <c r="D11" s="53" t="n">
        <v>1</v>
      </c>
      <c r="E11" s="53" t="n">
        <v>1</v>
      </c>
      <c r="F11" s="52" t="inlineStr">
        <is>
          <t>Recommended value in both annexes</t>
        </is>
      </c>
    </row>
    <row r="12">
      <c r="B12" s="51" t="inlineStr">
        <is>
          <t>CRd,c numerator  (CRd,c = value / γc)</t>
        </is>
      </c>
      <c r="C12" s="52" t="inlineStr">
        <is>
          <t>6.2.2(1), 6.4.4(1)</t>
        </is>
      </c>
      <c r="D12" s="53" t="n">
        <v>0.18</v>
      </c>
      <c r="E12" s="53" t="n">
        <v>0.18</v>
      </c>
      <c r="F12" s="52" t="inlineStr">
        <is>
          <t>Recommended value in both annexes</t>
        </is>
      </c>
    </row>
    <row r="13">
      <c r="B13" s="51" t="inlineStr">
        <is>
          <t>k1  (axial stress term, punching)</t>
        </is>
      </c>
      <c r="C13" s="52" t="inlineStr">
        <is>
          <t>6.4.4(1)</t>
        </is>
      </c>
      <c r="D13" s="53" t="n">
        <v>0.1</v>
      </c>
      <c r="E13" s="53" t="n">
        <v>0.1</v>
      </c>
      <c r="F13" s="52" t="inlineStr">
        <is>
          <t>Recommended value in both annexes</t>
        </is>
      </c>
    </row>
    <row r="14">
      <c r="B14" s="51" t="inlineStr">
        <is>
          <t>vRd,max factor  (vRd,max = factor · ν · fcd)</t>
        </is>
      </c>
      <c r="C14" s="52" t="inlineStr">
        <is>
          <t>6.4.5(3)</t>
        </is>
      </c>
      <c r="D14" s="53" t="n">
        <v>0.5</v>
      </c>
      <c r="E14" s="53" t="n">
        <v>0.4</v>
      </c>
      <c r="F14" s="52" t="inlineStr">
        <is>
          <t>UK NA: 0.5 ν fcd; PL: recommended value (NA.9), 0.4 ν fcd since EN 1992-1-1 AC:2010 (PN-EN 1992-1-1:2008/AC:2011)</t>
        </is>
      </c>
    </row>
    <row r="15">
      <c r="B15" s="51" t="inlineStr">
        <is>
          <t>kmax  (vEd ≤ kmax · vRd,c at u1)</t>
        </is>
      </c>
      <c r="C15" s="52" t="inlineStr">
        <is>
          <t>6.4.5</t>
        </is>
      </c>
      <c r="D15" s="53" t="n">
        <v>2</v>
      </c>
      <c r="E15" s="53" t="n">
        <v>1.5</v>
      </c>
      <c r="F15" s="52" t="inlineStr">
        <is>
          <t>UK NA 6.4.5(3): 2 vRd,c. PL: no limit in PN-EN 1992-1-1:2008; 1.5 (A1:2014 recommendation) applied conservatively</t>
        </is>
      </c>
    </row>
    <row r="16">
      <c r="B16" s="51" t="inlineStr">
        <is>
          <t>φlarge  (large bar threshold, mm)</t>
        </is>
      </c>
      <c r="C16" s="52" t="inlineStr">
        <is>
          <t>8.8(1)</t>
        </is>
      </c>
      <c r="D16" s="53" t="n">
        <v>40</v>
      </c>
      <c r="E16" s="53" t="n">
        <v>32</v>
      </c>
      <c r="F16" s="52" t="inlineStr">
        <is>
          <t>UK NA: 40 mm; PL: 32 mm recommended (NA.9)</t>
        </is>
      </c>
    </row>
    <row r="17">
      <c r="B17" s="51" t="inlineStr">
        <is>
          <t>cot θ upper limit  (variable strut)</t>
        </is>
      </c>
      <c r="C17" s="52" t="inlineStr">
        <is>
          <t>6.2.3(2)</t>
        </is>
      </c>
      <c r="D17" s="53" t="n">
        <v>2.5</v>
      </c>
      <c r="E17" s="53" t="n">
        <v>2</v>
      </c>
      <c r="F17" s="52" t="inlineStr">
        <is>
          <t>UK NA: 2.5 (1.25 with axial tension); PL: NA.4, 1 ≤ cot θ ≤ 2.0</t>
        </is>
      </c>
    </row>
    <row r="18">
      <c r="B18" s="51" t="inlineStr">
        <is>
          <t>k1  (x/d limit, δ ≥ k1 + k2 xu/d)</t>
        </is>
      </c>
      <c r="C18" s="52" t="inlineStr">
        <is>
          <t>5.5(4)</t>
        </is>
      </c>
      <c r="D18" s="53" t="n">
        <v>0.4</v>
      </c>
      <c r="E18" s="53" t="n">
        <v>0.44</v>
      </c>
      <c r="F18" s="52" t="inlineStr">
        <is>
          <t>UK NA for fyk ≤ 500 MPa; PL: recommended (NA.9)</t>
        </is>
      </c>
    </row>
    <row r="19">
      <c r="B19" s="51" t="inlineStr">
        <is>
          <t>k2  (x/d limit, εcu2 = 0.0035)</t>
        </is>
      </c>
      <c r="C19" s="52" t="inlineStr">
        <is>
          <t>5.5(4)</t>
        </is>
      </c>
      <c r="D19" s="53" t="n">
        <v>1</v>
      </c>
      <c r="E19" s="53" t="n">
        <v>1.25</v>
      </c>
      <c r="F19" s="52" t="inlineStr">
        <is>
          <t>UK NA: 0.6 + 0.0014/εcu2; PL: 1.25(0.6 + 0.0014/εcu2)</t>
        </is>
      </c>
    </row>
    <row r="20">
      <c r="B20" s="51" t="inlineStr">
        <is>
          <t>Upper limit on the (310/σs) factor  (0 = none)</t>
        </is>
      </c>
      <c r="C20" s="52" t="inlineStr">
        <is>
          <t>7.4.2(2)</t>
        </is>
      </c>
      <c r="D20" s="53" t="n">
        <v>1.5</v>
      </c>
      <c r="E20" s="53" t="n">
        <v>0</v>
      </c>
      <c r="F20" s="52" t="inlineStr">
        <is>
          <t>UK NA Table NA.5 Note 5: (310/σs) or (500/fyk)(As,prov/As,req) ≤ 1.5; PL: none</t>
        </is>
      </c>
    </row>
    <row r="21">
      <c r="B21" s="51" t="inlineStr">
        <is>
          <t>L/d not to exceed 40 K  (1 = applies)</t>
        </is>
      </c>
      <c r="C21" s="52" t="inlineStr">
        <is>
          <t>7.4.2(2)</t>
        </is>
      </c>
      <c r="D21" s="53" t="n">
        <v>1</v>
      </c>
      <c r="E21" s="53" t="n">
        <v>0</v>
      </c>
      <c r="F21" s="52" t="inlineStr">
        <is>
          <t>UK NA Table NA.5 Note 6; not in EN text</t>
        </is>
      </c>
    </row>
    <row r="22">
      <c r="B22" s="51" t="inlineStr">
        <is>
          <t>φmin  (longitudinal bars in columns, mm)</t>
        </is>
      </c>
      <c r="C22" s="52" t="inlineStr">
        <is>
          <t>9.5.2(1)</t>
        </is>
      </c>
      <c r="D22" s="53" t="n">
        <v>12</v>
      </c>
      <c r="E22" s="53" t="n">
        <v>6</v>
      </c>
      <c r="F22" s="52" t="inlineStr">
        <is>
          <t>UK NA: 12 mm; PL: NA.6, 6 mm</t>
        </is>
      </c>
    </row>
    <row r="23">
      <c r="B23" s="51" t="inlineStr">
        <is>
          <t>k3  (crack spacing)</t>
        </is>
      </c>
      <c r="C23" s="52" t="inlineStr">
        <is>
          <t>7.3.4(3)</t>
        </is>
      </c>
      <c r="D23" s="53" t="n">
        <v>3.4</v>
      </c>
      <c r="E23" s="53" t="n">
        <v>3.4</v>
      </c>
      <c r="F23" s="52" t="inlineStr">
        <is>
          <t>Recommended value in both annexes</t>
        </is>
      </c>
    </row>
    <row r="24">
      <c r="B24" s="51" t="inlineStr">
        <is>
          <t>k4  (crack spacing)</t>
        </is>
      </c>
      <c r="C24" s="52" t="inlineStr">
        <is>
          <t>7.3.4(3)</t>
        </is>
      </c>
      <c r="D24" s="53" t="n">
        <v>0.425</v>
      </c>
      <c r="E24" s="53" t="n">
        <v>0.425</v>
      </c>
      <c r="F24" s="52" t="inlineStr">
        <is>
          <t>Recommended value in both annexes</t>
        </is>
      </c>
    </row>
    <row r="25">
      <c r="B25" s="51" t="inlineStr">
        <is>
          <t>k1  (concrete stress, characteristic; XD, XF, XS)</t>
        </is>
      </c>
      <c r="C25" s="52" t="inlineStr">
        <is>
          <t>7.2(2)</t>
        </is>
      </c>
      <c r="D25" s="53" t="n">
        <v>0.6</v>
      </c>
      <c r="E25" s="53" t="n">
        <v>1</v>
      </c>
      <c r="F25" s="52" t="inlineStr">
        <is>
          <t>UK NA: recommended; PL: NA.5, k1 = 1.0</t>
        </is>
      </c>
    </row>
    <row r="26">
      <c r="B26" s="51" t="inlineStr">
        <is>
          <t>k2  (concrete stress, quasi-permanent; linear creep)</t>
        </is>
      </c>
      <c r="C26" s="52" t="inlineStr">
        <is>
          <t>7.2(3)</t>
        </is>
      </c>
      <c r="D26" s="53" t="n">
        <v>0.45</v>
      </c>
      <c r="E26" s="53" t="n">
        <v>0.45</v>
      </c>
      <c r="F26" s="52" t="inlineStr">
        <is>
          <t>Recommended value in both annexes (UK NA; PL NA.9)</t>
        </is>
      </c>
    </row>
    <row r="27">
      <c r="B27" s="51" t="inlineStr">
        <is>
          <t>k3  (steel stress, characteristic)</t>
        </is>
      </c>
      <c r="C27" s="52" t="inlineStr">
        <is>
          <t>7.2(5)</t>
        </is>
      </c>
      <c r="D27" s="53" t="n">
        <v>0.8</v>
      </c>
      <c r="E27" s="53" t="n">
        <v>0.8</v>
      </c>
      <c r="F27" s="52" t="inlineStr">
        <is>
          <t>Recommended value in both annexes (UK NA; PL NA.9)</t>
        </is>
      </c>
    </row>
    <row r="28">
      <c r="B28" s="51" t="inlineStr">
        <is>
          <t>k4  (steel stress, imposed deformation)</t>
        </is>
      </c>
      <c r="C28" s="52" t="inlineStr">
        <is>
          <t>7.2(5)</t>
        </is>
      </c>
      <c r="D28" s="53" t="n">
        <v>1</v>
      </c>
      <c r="E28" s="53" t="n">
        <v>1</v>
      </c>
      <c r="F28" s="52" t="inlineStr">
        <is>
          <t>Recommended value in both annexes (UK NA; PL NA.9)</t>
        </is>
      </c>
    </row>
  </sheetData>
  <sheetProtection selectLockedCells="0" selectUnlockedCells="0" sheet="1" objects="1" insertRows="1" insertHyperlinks="1" autoFilter="1" scenarios="0" formatColumns="1" deleteColumns="1" insertColumns="1" pivotTables="1" deleteRows="1" formatCells="1" formatRows="1" sort="1" password="AA0A"/>
  <printOptions horizontalCentered="1"/>
  <pageMargins left="0.4" right="0.4" top="0.4" bottom="0.6" header="0.5" footer="0.5"/>
  <pageSetup orientation="landscape" paperSize="9" fitToHeight="0" fitToWidth="1"/>
  <headerFooter>
    <oddHeader/>
    <oddFooter>&amp;L&amp;7 &amp;K8A8A8ANA Engineering sp. z o.o.  ·  naengineering.uk  ·  adrian@naengineering.uk  ·  +48 505 844 422&amp;C&amp;7 &amp;K8A8A8A&amp;P / &amp;N&amp;R&amp;7 &amp;K8A8A8ANAE-RC-003  v1.0</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NA Engineering sp. z o.o.</dc:creator>
  <dc:title xmlns:dc="http://purl.org/dc/elements/1.1/">NAE-RC-003 Crack width</dc:title>
  <dc:subject xmlns:dc="http://purl.org/dc/elements/1.1/">Flexural cracking  ·  EN 1992-1-1 §7.3  ·  UK NA / PN-EN</dc:subject>
  <dcterms:created xmlns:dcterms="http://purl.org/dc/terms/" xmlns:xsi="http://www.w3.org/2001/XMLSchema-instance" xsi:type="dcterms:W3CDTF">2026-10-30T10:58:35Z</dcterms:created>
  <dcterms:modified xmlns:dcterms="http://purl.org/dc/terms/" xmlns:xsi="http://www.w3.org/2001/XMLSchema-instance" xsi:type="dcterms:W3CDTF">2026-10-30T10:58:35Z</dcterms:modified>
  <cp:lastModifiedBy>NA Engineering sp. z o.o.</cp:lastModifiedBy>
  <cp:keywords>NA Engineering; Eurocode 2; EN 1992-1-1</cp:keywords>
</cp:coreProperties>
</file>