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position">'Calculation'!$E$13</definedName>
    <definedName name="shape">'Calculation'!$E$14</definedName>
    <definedName name="c_1">'Calculation'!$E$15</definedName>
    <definedName name="c_2">'Calculation'!$E$16</definedName>
    <definedName name="a_1">'Calculation'!$E$17</definedName>
    <definedName name="a_2">'Calculation'!$E$18</definedName>
    <definedName name="d_y">'Calculation'!$E$19</definedName>
    <definedName name="d_z">'Calculation'!$E$20</definedName>
    <definedName name="A_sy">'Calculation'!$E$21</definedName>
    <definedName name="A_sz">'Calculation'!$E$22</definedName>
    <definedName name="sigma_cp">'Calculation'!$E$23</definedName>
    <definedName name="g_rmax">MAX(2*d_eff,IF(AND(inputs_ok,punch_ok,A_sw&gt;0),r_out,0))</definedName>
    <definedName name="g_ox">IF(pos_idx=1,0,eq_a1+eq_c1/2)</definedName>
    <definedName name="g_oy">IF(pos_idx=3,eq_a2+eq_c2/2,0)</definedName>
    <definedName name="G_k">'Calculation'!$E$47</definedName>
    <definedName name="Q_k">'Calculation'!$E$48</definedName>
    <definedName name="gamma_G">'Calculation'!$E$49</definedName>
    <definedName name="gamma_Q">'Calculation'!$E$50</definedName>
    <definedName name="deduct">'Calculation'!$E$51</definedName>
    <definedName name="dG_k">'Calculation'!$E$52</definedName>
    <definedName name="dQ_k">'Calculation'!$E$53</definedName>
    <definedName name="beta_method">'Calculation'!$E$72</definedName>
    <definedName name="M_1">'Calculation'!$E$73</definedName>
    <definedName name="M_2">'Calculation'!$E$74</definedName>
    <definedName name="beta_user">'Calculation'!$E$75</definedName>
    <definedName name="f_ywk">'Calculation'!$E$78</definedName>
    <definedName name="phi_sw">'Calculation'!$E$79</definedName>
    <definedName name="s_0">'Calculation'!$E$80</definedName>
    <definedName name="s_r">'Calculation'!$E$81</definedName>
    <definedName name="inputs_ok">IFERROR(AND(OR(NA_sel="UK NA (BS EN)",NA_sel="PL NA (PN-EN)"),OR(conc_class="C20/25",conc_class="C25/30",conc_class="C28/35",conc_class="C30/37",conc_class="C32/40",conc_class="C35/45",conc_class="C40/50",conc_class="C45/55",conc_class="C50/60"),OR(position="Internal",position="Edge",position="Corner"),OR(shape="Rectangular",shape="Circular"),ISNUMBER(c_1),c_1&gt;0,ISNUMBER(c_2),c_2&gt;0,ISNUMBER(a_1),a_1&gt;=0,ISNUMBER(a_2),a_2&gt;=0,ISNUMBER(d_y),d_y&gt;0,ISNUMBER(d_z),d_z&gt;0,ISNUMBER(A_sy),A_sy&gt;0,ISNUMBER(A_sz),A_sz&gt;0,ISNUMBER(sigma_cp),sigma_cp&gt;=0,ISNUMBER(G_k),G_k&gt;=0,ISNUMBER(Q_k),Q_k&gt;=0,ISNUMBER(gamma_G),gamma_G&gt;0,ISNUMBER(gamma_Q),gamma_Q&gt;0,OR(deduct="No",deduct="Yes"),ISNUMBER(dG_k),dG_k&gt;=0,ISNUMBER(dQ_k),dQ_k&gt;=0,OR(beta_method="Simplified",beta_method="Calculated",beta_method="User value"),ISNUMBER(M_1),M_1&gt;=0,ISNUMBER(M_2),M_2&gt;=0,ISNUMBER(beta_user),beta_user&gt;=1.0,ISNUMBER(f_ywk),f_ywk&gt;0,OR(AND(ISNUMBER(phi_sw),phi_sw=6),AND(ISNUMBER(phi_sw),phi_sw=8),AND(ISNUMBER(phi_sw),phi_sw=10),AND(ISNUMBER(phi_sw),phi_sw=12),AND(ISNUMBER(phi_sw),phi_sw=16)),ISNUMBER(s_0),s_0&gt;0,ISNUMBER(s_r),s_r&gt;0,V_Edred&gt;0),FALSE)</definedName>
    <definedName name="input_status">'Calculation'!$G$82</definedName>
    <definedName name="punch_ok">AND(v_Ed0&lt;=v_Rdmax,v_Ed1&lt;=k_max*v_Rdc)</definedName>
    <definedName name="punch_status">'Calculation'!$G$90</definedName>
    <definedName name="zone_text">'Calculation'!$E$91</definedName>
    <definedName name="links_on">AND(inputs_ok,punch_ok,A_sw&gt;0)</definedName>
    <definedName name="links_ok">AND(s_0&gt;=0.3*d_eff,s_0&lt;=0.5*d_eff,s_r&lt;=0.75*d_eff,A_leg&gt;=A_swmin,n_per&lt;=12)</definedName>
    <definedName name="links_status">'Calculation'!$G$92</definedName>
    <definedName name="gamma_c">'Calculation'!$E$96</definedName>
    <definedName name="gamma_s">'Calculation'!$E$97</definedName>
    <definedName name="alpha_cc_shear">'Calculation'!$E$98</definedName>
    <definedName name="C_Rdc">'Calculation'!$E$99</definedName>
    <definedName name="k1_p">'Calculation'!$E$100</definedName>
    <definedName name="vmax">'Calculation'!$E$101</definedName>
    <definedName name="k_max">'Calculation'!$E$102</definedName>
    <definedName name="f_ck">'Calculation'!$E$103</definedName>
    <definedName name="f_ctm">'Calculation'!$E$104</definedName>
    <definedName name="d_eff">'Calculation'!$E$105</definedName>
    <definedName name="circ_int">AND(shape="Circular",position="Internal")</definedName>
    <definedName name="eq_c1">'Calculation'!$E$106</definedName>
    <definedName name="eq_c2">'Calculation'!$E$107</definedName>
    <definedName name="eq_a1">'Calculation'!$E$108</definedName>
    <definedName name="eq_a2">'Calculation'!$E$109</definedName>
    <definedName name="pos_idx">'Calculation'!$E$111</definedName>
    <definedName name="u_0">'Calculation'!$E$112</definedName>
    <definedName name="u1_int">'Calculation'!$E$113</definedName>
    <definedName name="u1_edge">'Calculation'!$E$114</definedName>
    <definedName name="geo_idx">'Calculation'!$E$115</definedName>
    <definedName name="u_1">'Calculation'!$E$117</definedName>
    <definedName name="A_u1">'Calculation'!$E$118</definedName>
    <definedName name="V_Ed">'Calculation'!$E$119</definedName>
    <definedName name="dV_Ed">'Calculation'!$E$120</definedName>
    <definedName name="V_Edred">'Calculation'!$E$121</definedName>
    <definedName name="e_1">'Calculation'!$E$122</definedName>
    <definedName name="e_2">'Calculation'!$E$123</definedName>
    <definedName name="k_e1">'Calculation'!$E$124</definedName>
    <definedName name="k_e2">'Calculation'!$E$125</definedName>
    <definedName name="W_11">'Calculation'!$E$126</definedName>
    <definedName name="W_12">'Calculation'!$E$127</definedName>
    <definedName name="b_y">'Calculation'!$E$128</definedName>
    <definedName name="b_z">'Calculation'!$E$129</definedName>
    <definedName name="u_1s">'Calculation'!$E$130</definedName>
    <definedName name="k_edge">'Calculation'!$E$131</definedName>
    <definedName name="W_1e">'Calculation'!$E$132</definedName>
    <definedName name="beta_calc">'Calculation'!$E$133</definedName>
    <definedName name="beta_p">'Calculation'!$E$135</definedName>
    <definedName name="beta_0">'Calculation'!$E$136</definedName>
    <definedName name="k_size">'Calculation'!$E$137</definedName>
    <definedName name="rho_ly">'Calculation'!$E$138</definedName>
    <definedName name="rho_lz">'Calculation'!$E$139</definedName>
    <definedName name="rho_l">'Calculation'!$E$140</definedName>
    <definedName name="v_min">'Calculation'!$E$141</definedName>
    <definedName name="v_Rdc">'Calculation'!$E$142</definedName>
    <definedName name="nu_v">'Calculation'!$E$143</definedName>
    <definedName name="f_cd">'Calculation'!$E$144</definedName>
    <definedName name="v_Rdmax">'Calculation'!$E$145</definedName>
    <definedName name="v_Ed0">'Calculation'!$E$146</definedName>
    <definedName name="v_Ed1">'Calculation'!$E$147</definedName>
    <definedName name="f_ywd">'Calculation'!$E$149</definedName>
    <definedName name="f_ywdef">'Calculation'!$E$150</definedName>
    <definedName name="A_sw">'Calculation'!$E$151</definedName>
    <definedName name="u_outef">'Calculation'!$E$152</definedName>
    <definedName name="r_out">'Calculation'!$E$153</definedName>
    <definedName name="kind_out">'Calculation'!$E$154</definedName>
    <definedName name="r_last">'Calculation'!$E$155</definedName>
    <definedName name="A_leg">'Calculation'!$E$157</definedName>
    <definedName name="n_legA">'Calculation'!$E$158</definedName>
    <definedName name="n_per">'Calculation'!$E$159</definedName>
    <definedName name="lk_kind">'Calculation'!$L$161:$L$172</definedName>
    <definedName name="lk_legs">'Calculation'!$I$161:$I$172</definedName>
    <definedName name="legs_tot">IF(n_per&gt;12,NA(),SUM('Calculation'!$I$161:$I$172))</definedName>
    <definedName name="st_max">MAX('Calculation'!$K$161:$K$172)</definedName>
    <definedName name="A_swmin">'Calculation'!$E$174</definedName>
    <definedName name="chk_leg">'Calculation'!$G$175</definedName>
    <definedName name="chk_s0">'Calculation'!$G$176</definedName>
    <definedName name="chk_sr">'Calculation'!$G$177</definedName>
    <definedName name="chk_nper">'Calculation'!$G$178</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'Calculation'!$A$1:$H$182</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
    <numFmt numFmtId="166" formatCode="0.000"/>
    <numFmt numFmtId="167" formatCode="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family val="2"/>
      <i val="1"/>
      <color rgb="008A8A8A"/>
      <sz val="9"/>
      <scheme val="minor"/>
    </font>
    <font>
      <name val="Calibri"/>
      <b val="1"/>
      <color rgb="002B2B2B"/>
      <sz val="9"/>
    </font>
    <font>
      <name val="Calibri"/>
      <color rgb="002B2B2B"/>
      <sz val="11"/>
    </font>
    <font>
      <name val="Calibri"/>
      <b val="1"/>
      <color rgb="002B2B2B"/>
      <sz val="15"/>
    </font>
    <font>
      <name val="Calibri"/>
      <i val="1"/>
      <color rgb="008A8A8A"/>
      <sz val="8.5"/>
    </font>
    <font>
      <name val="Calibri"/>
      <b val="1"/>
      <color rgb="008A8A8A"/>
      <sz val="9"/>
    </font>
    <font>
      <name val="Calibri"/>
      <b val="1"/>
      <color rgb="002B2B2B"/>
      <sz val="16"/>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9">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0" pivotButton="0" quotePrefix="0" xfId="0"/>
    <xf numFmtId="165" fontId="12" fillId="3" borderId="1" applyAlignment="1" applyProtection="1" pivotButton="0" quotePrefix="0" xfId="0">
      <alignment horizontal="center" vertical="center"/>
      <protection locked="0" hidden="0"/>
    </xf>
    <xf numFmtId="0" fontId="15" fillId="0" borderId="1" applyAlignment="1" pivotButton="0" quotePrefix="0" xfId="0">
      <alignment horizontal="center" vertical="center"/>
    </xf>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1" fontId="17" fillId="4" borderId="0" applyAlignment="1" pivotButton="0" quotePrefix="0" xfId="0">
      <alignment horizontal="center" vertical="center"/>
    </xf>
    <xf numFmtId="0" fontId="4" fillId="4" borderId="0" applyAlignment="1" pivotButton="0" quotePrefix="0" xfId="0">
      <alignment vertical="center"/>
    </xf>
    <xf numFmtId="2" fontId="17" fillId="4" borderId="0" applyAlignment="1" pivotButton="0" quotePrefix="0" xfId="0">
      <alignment horizontal="center" vertical="center"/>
    </xf>
    <xf numFmtId="0" fontId="12" fillId="4" borderId="0" applyAlignment="1" pivotButton="0" quotePrefix="0" xfId="0">
      <alignment horizontal="center" vertical="center"/>
    </xf>
    <xf numFmtId="49" fontId="17" fillId="4" borderId="0" applyAlignment="1" pivotButton="0" quotePrefix="0" xfId="0">
      <alignment horizontal="center" vertical="center"/>
    </xf>
    <xf numFmtId="0" fontId="18" fillId="0" borderId="0" applyAlignment="1" pivotButton="0" quotePrefix="0" xfId="0">
      <alignment vertical="top" wrapText="1"/>
    </xf>
    <xf numFmtId="2" fontId="5" fillId="0" borderId="1" applyAlignment="1" pivotButton="0" quotePrefix="0" xfId="0">
      <alignment horizontal="center" vertical="center"/>
    </xf>
    <xf numFmtId="166" fontId="5" fillId="0" borderId="1" applyAlignment="1" pivotButton="0" quotePrefix="0" xfId="0">
      <alignment horizontal="center" vertical="center"/>
    </xf>
    <xf numFmtId="1" fontId="5" fillId="0" borderId="1" applyAlignment="1" pivotButton="0" quotePrefix="0" xfId="0">
      <alignment horizontal="center" vertical="center"/>
    </xf>
    <xf numFmtId="1" fontId="12" fillId="0" borderId="1" applyAlignment="1" pivotButton="0" quotePrefix="0" xfId="0">
      <alignment horizontal="center" vertical="center"/>
    </xf>
    <xf numFmtId="165" fontId="5" fillId="0" borderId="1" applyAlignment="1" pivotButton="0" quotePrefix="0" xfId="0">
      <alignment horizontal="center" vertical="center"/>
    </xf>
    <xf numFmtId="165" fontId="12" fillId="0" borderId="1" applyAlignment="1" pivotButton="0" quotePrefix="0" xfId="0">
      <alignment horizontal="center" vertical="center"/>
    </xf>
    <xf numFmtId="166" fontId="12" fillId="0" borderId="1" applyAlignment="1" pivotButton="0" quotePrefix="0" xfId="0">
      <alignment horizontal="center" vertical="center"/>
    </xf>
    <xf numFmtId="167" fontId="5" fillId="0" borderId="1" applyAlignment="1" pivotButton="0" quotePrefix="0" xfId="0">
      <alignment horizontal="center" vertical="center"/>
    </xf>
    <xf numFmtId="0" fontId="19" fillId="0" borderId="0" applyAlignment="1" pivotButton="0" quotePrefix="0" xfId="0">
      <alignment horizontal="center"/>
    </xf>
    <xf numFmtId="1" fontId="5" fillId="0" borderId="1" applyAlignment="1" pivotButton="0" quotePrefix="0" xfId="0">
      <alignment horizontal="center"/>
    </xf>
    <xf numFmtId="1" fontId="12" fillId="0" borderId="1" applyAlignment="1" pivotButton="0" quotePrefix="0" xfId="0">
      <alignment horizontal="center"/>
    </xf>
    <xf numFmtId="0" fontId="20" fillId="0" borderId="0" pivotButton="0" quotePrefix="0" xfId="0"/>
    <xf numFmtId="0" fontId="19"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column</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'Geometry'!$A$3:$A$55</f>
            </numRef>
          </xVal>
          <yVal>
            <numRef>
              <f>'Geometry'!$B$3:$B$55</f>
            </numRef>
          </yVal>
          <smooth val="0"/>
        </ser>
        <ser>
          <idx val="1"/>
          <order val="1"/>
          <tx>
            <v>u1</v>
          </tx>
          <spPr>
            <a:ln xmlns:a="http://schemas.openxmlformats.org/drawingml/2006/main" w="22225">
              <a:solidFill>
                <a:srgbClr val="5B7F8A"/>
              </a:solidFill>
              <a:prstDash val="solid"/>
            </a:ln>
          </spPr>
          <marker>
            <symbol val="none"/>
            <spPr>
              <a:ln xmlns:a="http://schemas.openxmlformats.org/drawingml/2006/main">
                <a:prstDash val="solid"/>
              </a:ln>
            </spPr>
          </marker>
          <xVal>
            <numRef>
              <f>'Geometry'!$D$3:$D$55</f>
            </numRef>
          </xVal>
          <yVal>
            <numRef>
              <f>'Geometry'!$E$3:$E$55</f>
            </numRef>
          </yVal>
          <smooth val="0"/>
        </ser>
        <ser>
          <idx val="2"/>
          <order val="2"/>
          <tx>
            <v>uout</v>
          </tx>
          <spPr>
            <a:ln xmlns:a="http://schemas.openxmlformats.org/drawingml/2006/main" w="15875">
              <a:solidFill>
                <a:srgbClr val="B3261E"/>
              </a:solidFill>
              <a:prstDash val="dash"/>
            </a:ln>
          </spPr>
          <marker>
            <symbol val="none"/>
            <spPr>
              <a:ln xmlns:a="http://schemas.openxmlformats.org/drawingml/2006/main">
                <a:prstDash val="solid"/>
              </a:ln>
            </spPr>
          </marker>
          <xVal>
            <numRef>
              <f>'Geometry'!$G$3:$G$55</f>
            </numRef>
          </xVal>
          <yVal>
            <numRef>
              <f>'Geometry'!$H$3:$H$55</f>
            </numRef>
          </yVal>
          <smooth val="0"/>
        </ser>
        <ser>
          <idx val="3"/>
          <order val="3"/>
          <tx>
            <v>slab edge</v>
          </tx>
          <spPr>
            <a:ln xmlns:a="http://schemas.openxmlformats.org/drawingml/2006/main" w="31750">
              <a:solidFill>
                <a:srgbClr val="9A9A9A"/>
              </a:solidFill>
              <a:prstDash val="solid"/>
            </a:ln>
          </spPr>
          <marker>
            <symbol val="none"/>
            <spPr>
              <a:ln xmlns:a="http://schemas.openxmlformats.org/drawingml/2006/main">
                <a:prstDash val="solid"/>
              </a:ln>
            </spPr>
          </marker>
          <xVal>
            <numRef>
              <f>'Geometry'!$J$3:$J$5</f>
            </numRef>
          </xVal>
          <yVal>
            <numRef>
              <f>'Geometry'!$K$3:$K$5</f>
            </numRef>
          </yVal>
          <smooth val="0"/>
        </ser>
        <ser>
          <idx val="4"/>
          <order val="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'Geometry'!$M$3:$M$4</f>
            </numRef>
          </xVal>
          <yVal>
            <numRef>
              <f>'Geometry'!$N$3:$N$4</f>
            </numRef>
          </yVal>
          <smooth val="0"/>
        </ser>
        <ser>
          <idx val="5"/>
          <order val="5"/>
          <tx>
            <v>c₁</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'Geometry'!$P$3</f>
            </numRef>
          </xVal>
          <yVal>
            <numRef>
              <f>'Geometry'!$Q$3</f>
            </numRef>
          </yVal>
          <smooth val="0"/>
        </ser>
        <ser>
          <idx val="6"/>
          <order val="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'Geometry'!$S$3:$S$4</f>
            </numRef>
          </xVal>
          <yVal>
            <numRef>
              <f>'Geometry'!$T$3:$T$4</f>
            </numRef>
          </yVal>
          <smooth val="0"/>
        </ser>
        <ser>
          <idx val="7"/>
          <order val="7"/>
          <tx>
            <v>c₂</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'Geometry'!$V$3</f>
            </numRef>
          </xVal>
          <yVal>
            <numRef>
              <f>'Geometry'!$W$3</f>
            </numRef>
          </yVal>
          <smooth val="0"/>
        </ser>
        <ser>
          <idx val="8"/>
          <order val="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'Geometry'!$Y$3:$Y$4</f>
            </numRef>
          </xVal>
          <yVal>
            <numRef>
              <f>'Geometry'!$Z$3:$Z$4</f>
            </numRef>
          </yVal>
          <smooth val="0"/>
        </ser>
        <ser>
          <idx val="9"/>
          <order val="9"/>
          <tx>
            <v>D</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'Geometry'!$AB$3</f>
            </numRef>
          </xVal>
          <yVal>
            <numRef>
              <f>'Geometry'!$AC$3</f>
            </numRef>
          </yVal>
          <smooth val="0"/>
        </ser>
        <ser>
          <idx val="10"/>
          <order val="1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'Geometry'!$AE$3:$AE$4</f>
            </numRef>
          </xVal>
          <yVal>
            <numRef>
              <f>'Geometry'!$AF$3:$AF$4</f>
            </numRef>
          </yVal>
          <smooth val="0"/>
        </ser>
        <ser>
          <idx val="11"/>
          <order val="11"/>
          <tx>
            <v>2d</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'Geometry'!$AH$3</f>
            </numRef>
          </xVal>
          <yVal>
            <numRef>
              <f>'Geometry'!$AI$3</f>
            </numRef>
          </yVal>
          <smooth val="0"/>
        </ser>
        <ser>
          <idx val="12"/>
          <order val="1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'Geometry'!$AK$3:$AK$4</f>
            </numRef>
          </xVal>
          <yVal>
            <numRef>
              <f>'Geometry'!$AL$3:$AL$4</f>
            </numRef>
          </yVal>
          <smooth val="0"/>
        </ser>
        <ser>
          <idx val="13"/>
          <order val="13"/>
          <tx>
            <v>a₁</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'Geometry'!$AN$3</f>
            </numRef>
          </xVal>
          <yVal>
            <numRef>
              <f>'Geometry'!$AO$3</f>
            </numRef>
          </yVal>
          <smooth val="0"/>
        </ser>
        <ser>
          <idx val="14"/>
          <order val="1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'Geometry'!$AQ$3:$AQ$4</f>
            </numRef>
          </xVal>
          <yVal>
            <numRef>
              <f>'Geometry'!$AR$3:$AR$4</f>
            </numRef>
          </yVal>
          <smooth val="0"/>
        </ser>
        <ser>
          <idx val="15"/>
          <order val="15"/>
          <tx>
            <v>a₂</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'Geometry'!$AT$3</f>
            </numRef>
          </xVal>
          <yVal>
            <numRef>
              <f>'Geometry'!$AU$3</f>
            </numRef>
          </yVal>
          <smooth val="0"/>
        </ser>
        <ser>
          <idx val="16"/>
          <order val="16"/>
          <tx>
            <v>link perimeter 1</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'Geometry'!$AW$3:$AW$55</f>
            </numRef>
          </xVal>
          <yVal>
            <numRef>
              <f>'Geometry'!$AX$3:$AX$55</f>
            </numRef>
          </yVal>
          <smooth val="0"/>
        </ser>
        <ser>
          <idx val="17"/>
          <order val="17"/>
          <tx>
            <v>legs 1</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'Geometry'!$AZ$3:$AZ$66</f>
            </numRef>
          </xVal>
          <yVal>
            <numRef>
              <f>'Geometry'!$BA$3:$BA$66</f>
            </numRef>
          </yVal>
          <smooth val="0"/>
        </ser>
        <ser>
          <idx val="18"/>
          <order val="18"/>
          <tx>
            <v>link perimeter 2</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'Geometry'!$BC$3:$BC$55</f>
            </numRef>
          </xVal>
          <yVal>
            <numRef>
              <f>'Geometry'!$BD$3:$BD$55</f>
            </numRef>
          </yVal>
          <smooth val="0"/>
        </ser>
        <ser>
          <idx val="19"/>
          <order val="19"/>
          <tx>
            <v>legs 2</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'Geometry'!$BF$3:$BF$66</f>
            </numRef>
          </xVal>
          <yVal>
            <numRef>
              <f>'Geometry'!$BG$3:$BG$66</f>
            </numRef>
          </yVal>
          <smooth val="0"/>
        </ser>
        <ser>
          <idx val="20"/>
          <order val="20"/>
          <tx>
            <v>link perimeter 3</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'Geometry'!$BI$3:$BI$55</f>
            </numRef>
          </xVal>
          <yVal>
            <numRef>
              <f>'Geometry'!$BJ$3:$BJ$55</f>
            </numRef>
          </yVal>
          <smooth val="0"/>
        </ser>
        <ser>
          <idx val="21"/>
          <order val="21"/>
          <tx>
            <v>legs 3</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'Geometry'!$BL$3:$BL$66</f>
            </numRef>
          </xVal>
          <yVal>
            <numRef>
              <f>'Geometry'!$BM$3:$BM$66</f>
            </numRef>
          </yVal>
          <smooth val="0"/>
        </ser>
        <ser>
          <idx val="22"/>
          <order val="22"/>
          <tx>
            <v>link perimeter 4</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'Geometry'!$BO$3:$BO$55</f>
            </numRef>
          </xVal>
          <yVal>
            <numRef>
              <f>'Geometry'!$BP$3:$BP$55</f>
            </numRef>
          </yVal>
          <smooth val="0"/>
        </ser>
        <ser>
          <idx val="23"/>
          <order val="23"/>
          <tx>
            <v>legs 4</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'Geometry'!$BR$3:$BR$66</f>
            </numRef>
          </xVal>
          <yVal>
            <numRef>
              <f>'Geometry'!$BS$3:$BS$66</f>
            </numRef>
          </yVal>
          <smooth val="0"/>
        </ser>
        <ser>
          <idx val="24"/>
          <order val="24"/>
          <tx>
            <v>link perimeter 5</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'Geometry'!$BU$3:$BU$55</f>
            </numRef>
          </xVal>
          <yVal>
            <numRef>
              <f>'Geometry'!$BV$3:$BV$55</f>
            </numRef>
          </yVal>
          <smooth val="0"/>
        </ser>
        <ser>
          <idx val="25"/>
          <order val="25"/>
          <tx>
            <v>legs 5</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'Geometry'!$BX$3:$BX$66</f>
            </numRef>
          </xVal>
          <yVal>
            <numRef>
              <f>'Geometry'!$BY$3:$BY$66</f>
            </numRef>
          </yVal>
          <smooth val="0"/>
        </ser>
        <ser>
          <idx val="26"/>
          <order val="26"/>
          <tx>
            <v>link perimeter 6</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'Geometry'!$CA$3:$CA$55</f>
            </numRef>
          </xVal>
          <yVal>
            <numRef>
              <f>'Geometry'!$CB$3:$CB$55</f>
            </numRef>
          </yVal>
          <smooth val="0"/>
        </ser>
        <ser>
          <idx val="27"/>
          <order val="27"/>
          <tx>
            <v>legs 6</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'Geometry'!$CD$3:$CD$66</f>
            </numRef>
          </xVal>
          <yVal>
            <numRef>
              <f>'Geometry'!$CE$3:$CE$66</f>
            </numRef>
          </yVal>
          <smooth val="0"/>
        </ser>
        <ser>
          <idx val="28"/>
          <order val="28"/>
          <tx>
            <v>link perimeter 7</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'Geometry'!$CG$3:$CG$55</f>
            </numRef>
          </xVal>
          <yVal>
            <numRef>
              <f>'Geometry'!$CH$3:$CH$55</f>
            </numRef>
          </yVal>
          <smooth val="0"/>
        </ser>
        <ser>
          <idx val="29"/>
          <order val="29"/>
          <tx>
            <v>legs 7</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'Geometry'!$CJ$3:$CJ$66</f>
            </numRef>
          </xVal>
          <yVal>
            <numRef>
              <f>'Geometry'!$CK$3:$CK$66</f>
            </numRef>
          </yVal>
          <smooth val="0"/>
        </ser>
        <ser>
          <idx val="30"/>
          <order val="30"/>
          <tx>
            <v>link perimeter 8</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'Geometry'!$CM$3:$CM$55</f>
            </numRef>
          </xVal>
          <yVal>
            <numRef>
              <f>'Geometry'!$CN$3:$CN$55</f>
            </numRef>
          </yVal>
          <smooth val="0"/>
        </ser>
        <ser>
          <idx val="31"/>
          <order val="31"/>
          <tx>
            <v>legs 8</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'Geometry'!$CP$3:$CP$66</f>
            </numRef>
          </xVal>
          <yVal>
            <numRef>
              <f>'Geometry'!$CQ$3:$CQ$66</f>
            </numRef>
          </yVal>
          <smooth val="0"/>
        </ser>
        <ser>
          <idx val="32"/>
          <order val="32"/>
          <tx>
            <v>link perimeter 9</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'Geometry'!$CS$3:$CS$55</f>
            </numRef>
          </xVal>
          <yVal>
            <numRef>
              <f>'Geometry'!$CT$3:$CT$55</f>
            </numRef>
          </yVal>
          <smooth val="0"/>
        </ser>
        <ser>
          <idx val="33"/>
          <order val="33"/>
          <tx>
            <v>legs 9</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'Geometry'!$CV$3:$CV$66</f>
            </numRef>
          </xVal>
          <yVal>
            <numRef>
              <f>'Geometry'!$CW$3:$CW$66</f>
            </numRef>
          </yVal>
          <smooth val="0"/>
        </ser>
        <ser>
          <idx val="34"/>
          <order val="34"/>
          <tx>
            <v>link perimeter 10</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'Geometry'!$CY$3:$CY$55</f>
            </numRef>
          </xVal>
          <yVal>
            <numRef>
              <f>'Geometry'!$CZ$3:$CZ$55</f>
            </numRef>
          </yVal>
          <smooth val="0"/>
        </ser>
        <ser>
          <idx val="35"/>
          <order val="35"/>
          <tx>
            <v>legs 10</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'Geometry'!$DB$3:$DB$66</f>
            </numRef>
          </xVal>
          <yVal>
            <numRef>
              <f>'Geometry'!$DC$3:$DC$66</f>
            </numRef>
          </yVal>
          <smooth val="0"/>
        </ser>
        <ser>
          <idx val="36"/>
          <order val="36"/>
          <tx>
            <v>link perimeter 11</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'Geometry'!$DE$3:$DE$55</f>
            </numRef>
          </xVal>
          <yVal>
            <numRef>
              <f>'Geometry'!$DF$3:$DF$55</f>
            </numRef>
          </yVal>
          <smooth val="0"/>
        </ser>
        <ser>
          <idx val="37"/>
          <order val="37"/>
          <tx>
            <v>legs 11</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'Geometry'!$DH$3:$DH$66</f>
            </numRef>
          </xVal>
          <yVal>
            <numRef>
              <f>'Geometry'!$DI$3:$DI$66</f>
            </numRef>
          </yVal>
          <smooth val="0"/>
        </ser>
        <ser>
          <idx val="38"/>
          <order val="38"/>
          <tx>
            <v>link perimeter 12</v>
          </tx>
          <spPr>
            <a:ln xmlns:a="http://schemas.openxmlformats.org/drawingml/2006/main" w="9525">
              <a:solidFill>
                <a:srgbClr val="2B2B2B"/>
              </a:solidFill>
              <a:prstDash val="sysDot"/>
            </a:ln>
          </spPr>
          <marker>
            <symbol val="none"/>
            <spPr>
              <a:ln xmlns:a="http://schemas.openxmlformats.org/drawingml/2006/main">
                <a:prstDash val="solid"/>
              </a:ln>
            </spPr>
          </marker>
          <xVal>
            <numRef>
              <f>'Geometry'!$DK$3:$DK$55</f>
            </numRef>
          </xVal>
          <yVal>
            <numRef>
              <f>'Geometry'!$DL$3:$DL$55</f>
            </numRef>
          </yVal>
          <smooth val="0"/>
        </ser>
        <ser>
          <idx val="39"/>
          <order val="39"/>
          <tx>
            <v>legs 12</v>
          </tx>
          <spPr>
            <a:ln xmlns:a="http://schemas.openxmlformats.org/drawingml/2006/main">
              <a:noFill/>
              <a:prstDash val="solid"/>
            </a:ln>
          </spPr>
          <marker>
            <symbol val="circle"/>
            <size val="4"/>
            <spPr>
              <a:solidFill xmlns:a="http://schemas.openxmlformats.org/drawingml/2006/main">
                <a:srgbClr val="2B2B2B"/>
              </a:solidFill>
              <a:ln xmlns:a="http://schemas.openxmlformats.org/drawingml/2006/main">
                <a:solidFill>
                  <a:srgbClr val="2B2B2B"/>
                </a:solidFill>
                <a:prstDash val="solid"/>
              </a:ln>
            </spPr>
          </marker>
          <xVal>
            <numRef>
              <f>'Geometry'!$DN$3:$DN$66</f>
            </numRef>
          </xVal>
          <yVal>
            <numRef>
              <f>'Geometry'!$DO$3:$DO$66</f>
            </numRef>
          </yVal>
          <smooth val="0"/>
        </ser>
        <ser>
          <idx val="40"/>
          <order val="40"/>
          <tx>
            <strRef>
              <f>'Geometry'!$DQ$2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ctr"/>
            <showLegendKey val="0"/>
            <showVal val="0"/>
            <showCatName val="0"/>
            <showSerName val="1"/>
            <showPercent val="0"/>
          </dLbls>
          <xVal>
            <numRef>
              <f>'Geometry'!$DQ$3</f>
            </numRef>
          </xVal>
          <yVal>
            <numRef>
              <f>'Geometry'!$DR$3</f>
            </numRef>
          </yVal>
          <smooth val="0"/>
        </ser>
        <ser>
          <idx val="41"/>
          <order val="41"/>
          <tx>
            <v>u₁</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5B7F8A"/>
                    </a:solidFill>
                  </a:defRPr>
                </a:pPr>
                <a:r>
                  <a:t/>
                </a:r>
                <a:endParaRPr sz="900">
                  <a:solidFill>
                    <a:srgbClr val="5B7F8A"/>
                  </a:solidFill>
                </a:endParaRPr>
              </a:p>
            </txPr>
            <dLblPos val="r"/>
            <showLegendKey val="0"/>
            <showVal val="0"/>
            <showCatName val="0"/>
            <showSerName val="1"/>
            <showPercent val="0"/>
          </dLbls>
          <xVal>
            <numRef>
              <f>'Geometry'!$DT$3</f>
            </numRef>
          </xVal>
          <yVal>
            <numRef>
              <f>'Geometry'!$DU$3</f>
            </numRef>
          </yVal>
          <smooth val="0"/>
        </ser>
        <ser>
          <idx val="42"/>
          <order val="42"/>
          <tx>
            <v>uout,ef</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'Geometry'!$DW$3</f>
            </numRef>
          </xVal>
          <yVal>
            <numRef>
              <f>'Geometry'!$DX$3</f>
            </numRef>
          </yVal>
          <smooth val="0"/>
        </ser>
        <ser>
          <idx val="43"/>
          <order val="43"/>
          <tx>
            <v>slab edge</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9A9A9A"/>
                    </a:solidFill>
                  </a:defRPr>
                </a:pPr>
                <a:r>
                  <a:t/>
                </a:r>
                <a:endParaRPr sz="900">
                  <a:solidFill>
                    <a:srgbClr val="9A9A9A"/>
                  </a:solidFill>
                </a:endParaRPr>
              </a:p>
            </txPr>
            <dLblPos val="r"/>
            <showLegendKey val="0"/>
            <showVal val="0"/>
            <showCatName val="0"/>
            <showSerName val="1"/>
            <showPercent val="0"/>
          </dLbls>
          <xVal>
            <numRef>
              <f>'Geometry'!$DZ$3</f>
            </numRef>
          </xVal>
          <yVal>
            <numRef>
              <f>'Geometry'!$EA$3</f>
            </numRef>
          </yVal>
          <smooth val="0"/>
        </ser>
        <ser>
          <idx val="44"/>
          <order val="44"/>
          <tx>
            <v>frame</v>
          </tx>
          <spPr>
            <a:ln xmlns:a="http://schemas.openxmlformats.org/drawingml/2006/main">
              <a:noFill/>
              <a:prstDash val="solid"/>
            </a:ln>
          </spPr>
          <marker>
            <symbol val="none"/>
            <spPr>
              <a:ln xmlns:a="http://schemas.openxmlformats.org/drawingml/2006/main">
                <a:prstDash val="solid"/>
              </a:ln>
            </spPr>
          </marker>
          <xVal>
            <numRef>
              <f>'Geometry'!$EC$3:$EC$4</f>
            </numRef>
          </xVal>
          <yVal>
            <numRef>
              <f>'Geometry'!$ED$3:$ED$4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 Type="http://schemas.openxmlformats.org/officeDocument/2006/relationships/image" Target="/xl/media/image3.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25</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1</col>
      <colOff>0</colOff>
      <row>54</row>
      <rowOff>0</rowOff>
    </from>
    <ext cx="6667500" cy="25336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Punching shear</t>
        </is>
      </c>
    </row>
    <row r="8" ht="20" customHeight="1">
      <c r="B8" s="4" t="inlineStr">
        <is>
          <t>Flat slabs  ·  EN 1992-1-1 §6.4  ·  UK NA / PN-EN</t>
        </is>
      </c>
    </row>
    <row r="10">
      <c r="B10" s="5" t="inlineStr">
        <is>
          <t>Reference</t>
        </is>
      </c>
      <c r="C10" s="6" t="inlineStr">
        <is>
          <t>NAE-RC-002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Punching shear check of a flat slab at a rectangular column: maximum shear at the column face, resistance without shear reinforcement at the basic control perimeter u1 (2d), required punching reinforcement per perimeter and the extent of the reinforced zone (uout,ef).</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21.5" customHeight="1">
      <c r="B22" s="7" t="inlineStr">
        <is>
          <t>Rectangular internal, edge and corner columns away from openings. β from the simplified values of 6.4.3(6) (braced structures, adjacent spans within 25 %), calculated from the unbalanced moments (6.39, 6.43, 6.44, 6.46; edge and corner eccentricity towards the slab interior) or entered by the user. The load inside u1 may be deducted (6.4.1(5), 6.48); EC2 gives this for footings and special cases, so for suspended slabs it is the designer's decision (default: no). Only the basic control perimeter at 2d is checked, so this is not a complete check of column bases or footings, which need perimeters within 2d (6.4.4(2)). Control perimeters assume the slab edge is flush with the column face. Vertical links or studs (α = 90°). Column heads, drops, openings and prestress beyond σcp are outside the scope. Concrete classes up to C50/60.
Shear links: Asw per perimeter from (6.52); the sheet lays out perimeters at s0 and then every sr out to rout − 1.5d (at least two; UK NA: within 0.3d–1.5d where rout &lt; 3d) and on each the number of legs of the chosen size that gives Asw and keeps the tangential spacing within 1.5d inside 2d and 2d outside (9.4.3(1)); the minimum leg area (9.11) uses the largest tangential spacing. The legs are drawn for internal columns; at edges and corners only the perimeters are drawn. The tension reinforcement must be averaged over the column width plus 3d each side (6.4.4(1)); at edge and corner columns the averaging width stops at the slab edge.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Flat slabs.
•  The Concrete Centre, Worked Examples to Eurocode 2: Volume 1.
•  The Concrete Centre, RC Spreadsheets v4, TCC13 Slab Punching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&amp;K8A8A8ANAE-RC-002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L181"/>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 hidden="1" width="13" customWidth="1" min="9" max="9"/>
    <col hidden="1" width="13" customWidth="1" min="10" max="10"/>
    <col hidden="1" width="13" customWidth="1" min="11" max="11"/>
    <col hidden="1" width="13" customWidth="1" min="12" max="12"/>
  </cols>
  <sheetData>
    <row r="1" ht="8" customHeight="1">
      <c r="A1" s="1" t="n"/>
      <c r="B1" s="1" t="n"/>
      <c r="C1" s="1" t="n"/>
      <c r="D1" s="1" t="n"/>
      <c r="E1" s="1" t="n"/>
      <c r="F1" s="1" t="n"/>
      <c r="G1" s="1" t="n"/>
      <c r="H1" s="1" t="n"/>
    </row>
    <row r="2" ht="30" customHeight="1">
      <c r="A2" s="1" t="n"/>
      <c r="B2" s="1" t="n"/>
      <c r="C2" s="1" t="n"/>
      <c r="D2" s="14" t="inlineStr">
        <is>
          <t>Punching shear</t>
        </is>
      </c>
      <c r="H2" s="1" t="n"/>
    </row>
    <row r="3" ht="16" customHeight="1">
      <c r="A3" s="1" t="n"/>
      <c r="B3" s="1" t="n"/>
      <c r="C3" s="15" t="inlineStr">
        <is>
          <t>NAE-RC-002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geometry</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3" t="n"/>
      <c r="C13" s="24" t="inlineStr">
        <is>
          <t>Column position</t>
        </is>
      </c>
      <c r="D13" s="23" t="n"/>
      <c r="E13" s="25" t="inlineStr">
        <is>
          <t>Internal</t>
        </is>
      </c>
      <c r="F13" s="23" t="n"/>
      <c r="G13" s="23" t="n"/>
    </row>
    <row r="14" ht="17" customHeight="1">
      <c r="B14" s="23" t="n"/>
      <c r="C14" s="24" t="inlineStr">
        <is>
          <t>Column shape</t>
        </is>
      </c>
      <c r="D14" s="23" t="n"/>
      <c r="E14" s="25" t="inlineStr">
        <is>
          <t>Rectangular</t>
        </is>
      </c>
      <c r="F14" s="23" t="n"/>
      <c r="G14" s="26" t="inlineStr">
        <is>
          <t>Edge, corner: as square πD/4</t>
        </is>
      </c>
    </row>
    <row r="15" ht="17" customHeight="1">
      <c r="B15" s="23" t="n"/>
      <c r="C15" s="24" t="inlineStr">
        <is>
          <t>Column dimension c1 (y), or diameter D if circular</t>
        </is>
      </c>
      <c r="D15" s="27" t="inlineStr">
        <is>
          <r>
            <rPr>
              <rFont val="Calibri"/>
              <i val="1"/>
              <color rgb="002B2B2B"/>
              <sz val="10"/>
            </rPr>
            <t>c</t>
          </r>
          <r>
            <rPr>
              <rFont val="Calibri"/>
              <i val="1"/>
              <color rgb="002B2B2B"/>
              <sz val="10"/>
              <vertAlign val="subscript"/>
            </rPr>
            <t>1</t>
          </r>
        </is>
      </c>
      <c r="E15" s="25" t="n">
        <v>400</v>
      </c>
      <c r="F15" s="28" t="inlineStr">
        <is>
          <t>mm</t>
        </is>
      </c>
      <c r="G15" s="26" t="inlineStr">
        <is>
          <t>Perpendicular to slab edge</t>
        </is>
      </c>
    </row>
    <row r="16" ht="17" customHeight="1">
      <c r="B16" s="23" t="n"/>
      <c r="C16" s="24" t="inlineStr">
        <is>
          <t>Column dimension c2 (z), parallel to slab edge</t>
        </is>
      </c>
      <c r="D16" s="27" t="inlineStr">
        <is>
          <r>
            <rPr>
              <rFont val="Calibri"/>
              <i val="1"/>
              <color rgb="002B2B2B"/>
              <sz val="10"/>
            </rPr>
            <t>c</t>
          </r>
          <r>
            <rPr>
              <rFont val="Calibri"/>
              <i val="1"/>
              <color rgb="002B2B2B"/>
              <sz val="10"/>
              <vertAlign val="subscript"/>
            </rPr>
            <t>2</t>
          </r>
        </is>
      </c>
      <c r="E16" s="25" t="n">
        <v>400</v>
      </c>
      <c r="F16" s="28" t="inlineStr">
        <is>
          <t>mm</t>
        </is>
      </c>
      <c r="G16" s="26" t="inlineStr">
        <is>
          <t>Not used if circular</t>
        </is>
      </c>
    </row>
    <row r="17" ht="17" customHeight="1">
      <c r="B17" s="26" t="inlineStr">
        <is>
          <t>Fig. 6.15</t>
        </is>
      </c>
      <c r="C17" s="24" t="inlineStr">
        <is>
          <t>Column face to slab edge, y direction (edge, corner)</t>
        </is>
      </c>
      <c r="D17" s="27" t="inlineStr">
        <is>
          <r>
            <rPr>
              <rFont val="Calibri"/>
              <i val="1"/>
              <color rgb="002B2B2B"/>
              <sz val="10"/>
            </rPr>
            <t>a</t>
          </r>
          <r>
            <rPr>
              <rFont val="Calibri"/>
              <i val="1"/>
              <color rgb="002B2B2B"/>
              <sz val="10"/>
              <vertAlign val="subscript"/>
            </rPr>
            <t>1</t>
          </r>
        </is>
      </c>
      <c r="E17" s="25" t="n">
        <v>0</v>
      </c>
      <c r="F17" s="28" t="inlineStr">
        <is>
          <t>mm</t>
        </is>
      </c>
      <c r="G17" s="26" t="inlineStr">
        <is>
          <t>0 = flush with the edge</t>
        </is>
      </c>
    </row>
    <row r="18" ht="17" customHeight="1">
      <c r="B18" s="26" t="inlineStr">
        <is>
          <t>Fig. 6.15</t>
        </is>
      </c>
      <c r="C18" s="24" t="inlineStr">
        <is>
          <t>Column face to slab edge, z direction (corner)</t>
        </is>
      </c>
      <c r="D18" s="27" t="inlineStr">
        <is>
          <r>
            <rPr>
              <rFont val="Calibri"/>
              <i val="1"/>
              <color rgb="002B2B2B"/>
              <sz val="10"/>
            </rPr>
            <t>a</t>
          </r>
          <r>
            <rPr>
              <rFont val="Calibri"/>
              <i val="1"/>
              <color rgb="002B2B2B"/>
              <sz val="10"/>
              <vertAlign val="subscript"/>
            </rPr>
            <t>2</t>
          </r>
        </is>
      </c>
      <c r="E18" s="25" t="n">
        <v>0</v>
      </c>
      <c r="F18" s="28" t="inlineStr">
        <is>
          <t>mm</t>
        </is>
      </c>
      <c r="G18" s="26" t="inlineStr">
        <is>
          <t>0 = flush with the edge</t>
        </is>
      </c>
    </row>
    <row r="19" ht="17" customHeight="1">
      <c r="B19" s="23" t="n"/>
      <c r="C19" s="24" t="inlineStr">
        <is>
          <t>Effective depth, y-direction bars</t>
        </is>
      </c>
      <c r="D19" s="27" t="inlineStr">
        <is>
          <r>
            <rPr>
              <rFont val="Calibri"/>
              <i val="1"/>
              <color rgb="002B2B2B"/>
              <sz val="10"/>
            </rPr>
            <t>d</t>
          </r>
          <r>
            <rPr>
              <rFont val="Calibri"/>
              <i val="1"/>
              <color rgb="002B2B2B"/>
              <sz val="10"/>
              <vertAlign val="subscript"/>
            </rPr>
            <t>y</t>
          </r>
        </is>
      </c>
      <c r="E19" s="25" t="n">
        <v>230</v>
      </c>
      <c r="F19" s="28" t="inlineStr">
        <is>
          <t>mm</t>
        </is>
      </c>
      <c r="G19" s="23" t="n"/>
    </row>
    <row r="20" ht="17" customHeight="1">
      <c r="B20" s="23" t="n"/>
      <c r="C20" s="24" t="inlineStr">
        <is>
          <t>Effective depth, z-direction bars</t>
        </is>
      </c>
      <c r="D20" s="27" t="inlineStr">
        <is>
          <r>
            <rPr>
              <rFont val="Calibri"/>
              <i val="1"/>
              <color rgb="002B2B2B"/>
              <sz val="10"/>
            </rPr>
            <t>d</t>
          </r>
          <r>
            <rPr>
              <rFont val="Calibri"/>
              <i val="1"/>
              <color rgb="002B2B2B"/>
              <sz val="10"/>
              <vertAlign val="subscript"/>
            </rPr>
            <t>z</t>
          </r>
        </is>
      </c>
      <c r="E20" s="25" t="n">
        <v>214</v>
      </c>
      <c r="F20" s="28" t="inlineStr">
        <is>
          <t>mm</t>
        </is>
      </c>
      <c r="G20" s="23" t="n"/>
    </row>
    <row r="21" ht="17" customHeight="1">
      <c r="B21" s="26" t="inlineStr">
        <is>
          <t>6.4.4(1)</t>
        </is>
      </c>
      <c r="C21" s="24" t="inlineStr">
        <is>
          <t>Bonded tension reinforcement, y direction</t>
        </is>
      </c>
      <c r="D21" s="27" t="inlineStr">
        <is>
          <r>
            <rPr>
              <rFont val="Calibri"/>
              <i val="1"/>
              <color rgb="002B2B2B"/>
              <sz val="10"/>
            </rPr>
            <t>A</t>
          </r>
          <r>
            <rPr>
              <rFont val="Calibri"/>
              <i val="1"/>
              <color rgb="002B2B2B"/>
              <sz val="10"/>
              <vertAlign val="subscript"/>
            </rPr>
            <t>s,y</t>
          </r>
        </is>
      </c>
      <c r="E21" s="29" t="n">
        <v>1340</v>
      </c>
      <c r="F21" s="28" t="inlineStr">
        <is>
          <t>mm²/m</t>
        </is>
      </c>
      <c r="G21" s="26" t="inlineStr">
        <is>
          <t>Average over c + 3d each side</t>
        </is>
      </c>
    </row>
    <row r="22" ht="17" customHeight="1">
      <c r="B22" s="26" t="inlineStr">
        <is>
          <t>6.4.4(1)</t>
        </is>
      </c>
      <c r="C22" s="24" t="inlineStr">
        <is>
          <t>Bonded tension reinforcement, z direction</t>
        </is>
      </c>
      <c r="D22" s="27" t="inlineStr">
        <is>
          <r>
            <rPr>
              <rFont val="Calibri"/>
              <i val="1"/>
              <color rgb="002B2B2B"/>
              <sz val="10"/>
            </rPr>
            <t>A</t>
          </r>
          <r>
            <rPr>
              <rFont val="Calibri"/>
              <i val="1"/>
              <color rgb="002B2B2B"/>
              <sz val="10"/>
              <vertAlign val="subscript"/>
            </rPr>
            <t>s,z</t>
          </r>
        </is>
      </c>
      <c r="E22" s="29" t="n">
        <v>1340</v>
      </c>
      <c r="F22" s="28" t="inlineStr">
        <is>
          <t>mm²/m</t>
        </is>
      </c>
      <c r="G22" s="26" t="inlineStr">
        <is>
          <t>Average over c + 3d each side</t>
        </is>
      </c>
    </row>
    <row r="23" ht="17" customHeight="1">
      <c r="B23" s="26" t="inlineStr">
        <is>
          <t>6.4.4(1)</t>
        </is>
      </c>
      <c r="C23" s="24" t="inlineStr">
        <is>
          <t>Mean normal stress in slab (compression +)</t>
        </is>
      </c>
      <c r="D23" s="27" t="inlineStr">
        <is>
          <r>
            <rPr>
              <rFont val="Calibri"/>
              <i val="1"/>
              <color rgb="002B2B2B"/>
              <sz val="10"/>
            </rPr>
            <t>σ</t>
          </r>
          <r>
            <rPr>
              <rFont val="Calibri"/>
              <i val="1"/>
              <color rgb="002B2B2B"/>
              <sz val="10"/>
              <vertAlign val="subscript"/>
            </rPr>
            <t>cp</t>
          </r>
        </is>
      </c>
      <c r="E23" s="30" t="n">
        <v>0</v>
      </c>
      <c r="F23" s="28" t="inlineStr">
        <is>
          <t>MPa</t>
        </is>
      </c>
      <c r="G23" s="23" t="n"/>
    </row>
    <row r="25">
      <c r="B25" s="31" t="inlineStr">
        <is>
          <t>Your column, to scale  ·  u1 at 2d (blue)  ·  uout,ef (red, dashed)  ·  link perimeters and legs (dotted, dots)  ·  slab edge (grey)</t>
        </is>
      </c>
    </row>
    <row r="46" ht="22" customHeight="1">
      <c r="B46" s="20" t="inlineStr">
        <is>
          <t>Inputs  ·  loads</t>
        </is>
      </c>
      <c r="C46" s="21" t="n"/>
      <c r="D46" s="21" t="n"/>
      <c r="E46" s="21" t="n"/>
      <c r="F46" s="21" t="n"/>
      <c r="G46" s="22" t="inlineStr">
        <is>
          <t>Characteristic column reactions</t>
        </is>
      </c>
    </row>
    <row r="47" ht="17" customHeight="1">
      <c r="B47" s="23" t="n"/>
      <c r="C47" s="24" t="inlineStr">
        <is>
          <t>Column reaction, permanent</t>
        </is>
      </c>
      <c r="D47" s="27" t="inlineStr">
        <is>
          <r>
            <rPr>
              <rFont val="Calibri"/>
              <i val="1"/>
              <color rgb="002B2B2B"/>
              <sz val="10"/>
            </rPr>
            <t>G</t>
          </r>
          <r>
            <rPr>
              <rFont val="Calibri"/>
              <i val="1"/>
              <color rgb="002B2B2B"/>
              <sz val="10"/>
              <vertAlign val="subscript"/>
            </rPr>
            <t>k</t>
          </r>
        </is>
      </c>
      <c r="E47" s="29" t="n">
        <v>320</v>
      </c>
      <c r="F47" s="28" t="inlineStr">
        <is>
          <t>kN</t>
        </is>
      </c>
      <c r="G47" s="23" t="n"/>
    </row>
    <row r="48" ht="17" customHeight="1">
      <c r="B48" s="23" t="n"/>
      <c r="C48" s="24" t="inlineStr">
        <is>
          <t>Column reaction, variable</t>
        </is>
      </c>
      <c r="D48" s="27" t="inlineStr">
        <is>
          <r>
            <rPr>
              <rFont val="Calibri"/>
              <i val="1"/>
              <color rgb="002B2B2B"/>
              <sz val="10"/>
            </rPr>
            <t>Q</t>
          </r>
          <r>
            <rPr>
              <rFont val="Calibri"/>
              <i val="1"/>
              <color rgb="002B2B2B"/>
              <sz val="10"/>
              <vertAlign val="subscript"/>
            </rPr>
            <t>k</t>
          </r>
        </is>
      </c>
      <c r="E48" s="29" t="n">
        <v>145</v>
      </c>
      <c r="F48" s="28" t="inlineStr">
        <is>
          <t>kN</t>
        </is>
      </c>
      <c r="G48" s="23" t="n"/>
    </row>
    <row r="49" ht="17" customHeight="1">
      <c r="B49" s="26" t="inlineStr">
        <is>
          <t>EN 1990 A1.2(B)</t>
        </is>
      </c>
      <c r="C49" s="24" t="inlineStr">
        <is>
          <t>Partial factor, permanent</t>
        </is>
      </c>
      <c r="D49" s="27" t="inlineStr">
        <is>
          <r>
            <rPr>
              <rFont val="Calibri"/>
              <i val="1"/>
              <color rgb="002B2B2B"/>
              <sz val="10"/>
            </rPr>
            <t>γ</t>
          </r>
          <r>
            <rPr>
              <rFont val="Calibri"/>
              <i val="1"/>
              <color rgb="002B2B2B"/>
              <sz val="10"/>
              <vertAlign val="subscript"/>
            </rPr>
            <t>G</t>
          </r>
        </is>
      </c>
      <c r="E49" s="30" t="n">
        <v>1.35</v>
      </c>
      <c r="F49" s="23" t="n"/>
      <c r="G49" s="23" t="n"/>
    </row>
    <row r="50" ht="17" customHeight="1">
      <c r="B50" s="26" t="inlineStr">
        <is>
          <t>EN 1990 A1.2(B)</t>
        </is>
      </c>
      <c r="C50" s="24" t="inlineStr">
        <is>
          <t>Partial factor, variable</t>
        </is>
      </c>
      <c r="D50" s="27" t="inlineStr">
        <is>
          <r>
            <rPr>
              <rFont val="Calibri"/>
              <i val="1"/>
              <color rgb="002B2B2B"/>
              <sz val="10"/>
            </rPr>
            <t>γ</t>
          </r>
          <r>
            <rPr>
              <rFont val="Calibri"/>
              <i val="1"/>
              <color rgb="002B2B2B"/>
              <sz val="10"/>
              <vertAlign val="subscript"/>
            </rPr>
            <t>Q</t>
          </r>
        </is>
      </c>
      <c r="E50" s="30" t="n">
        <v>1.5</v>
      </c>
      <c r="F50" s="23" t="n"/>
      <c r="G50" s="23" t="n"/>
    </row>
    <row r="51" ht="17" customHeight="1">
      <c r="B51" s="26" t="inlineStr">
        <is>
          <t>6.4.1(5)</t>
        </is>
      </c>
      <c r="C51" s="24" t="inlineStr">
        <is>
          <t>Deduct the load applied inside u1?</t>
        </is>
      </c>
      <c r="D51" s="23" t="n"/>
      <c r="E51" s="25" t="inlineStr">
        <is>
          <t>No</t>
        </is>
      </c>
      <c r="F51" s="23" t="n"/>
      <c r="G51" s="26" t="inlineStr">
        <is>
          <t>Special cases only, see About</t>
        </is>
      </c>
    </row>
    <row r="52" ht="17" customHeight="1">
      <c r="B52" s="23" t="n"/>
      <c r="C52" s="24" t="inlineStr">
        <is>
          <t>Permanent load inside u1</t>
        </is>
      </c>
      <c r="D52" s="27" t="inlineStr">
        <is>
          <r>
            <rPr>
              <rFont val="Calibri"/>
              <i val="1"/>
              <color rgb="002B2B2B"/>
              <sz val="10"/>
            </rPr>
            <t>ΔG</t>
          </r>
          <r>
            <rPr>
              <rFont val="Calibri"/>
              <i val="1"/>
              <color rgb="002B2B2B"/>
              <sz val="10"/>
              <vertAlign val="subscript"/>
            </rPr>
            <t>k</t>
          </r>
        </is>
      </c>
      <c r="E52" s="32" t="n">
        <v>0</v>
      </c>
      <c r="F52" s="28" t="inlineStr">
        <is>
          <t>kN</t>
        </is>
      </c>
      <c r="G52" s="26" t="inlineStr">
        <is>
          <t>Used only if deduct = Yes</t>
        </is>
      </c>
    </row>
    <row r="53" ht="17" customHeight="1">
      <c r="B53" s="23" t="n"/>
      <c r="C53" s="24" t="inlineStr">
        <is>
          <t>Variable load inside u1</t>
        </is>
      </c>
      <c r="D53" s="27" t="inlineStr">
        <is>
          <r>
            <rPr>
              <rFont val="Calibri"/>
              <i val="1"/>
              <color rgb="002B2B2B"/>
              <sz val="10"/>
            </rPr>
            <t>ΔQ</t>
          </r>
          <r>
            <rPr>
              <rFont val="Calibri"/>
              <i val="1"/>
              <color rgb="002B2B2B"/>
              <sz val="10"/>
              <vertAlign val="subscript"/>
            </rPr>
            <t>k</t>
          </r>
        </is>
      </c>
      <c r="E53" s="32" t="n">
        <v>0</v>
      </c>
      <c r="F53" s="28" t="inlineStr">
        <is>
          <t>kN</t>
        </is>
      </c>
      <c r="G53" s="26" t="inlineStr">
        <is>
          <t>Used only if deduct = Yes</t>
        </is>
      </c>
    </row>
    <row r="71" ht="22" customHeight="1">
      <c r="B71" s="20" t="inlineStr">
        <is>
          <t>Inputs  ·  eccentricity β</t>
        </is>
      </c>
      <c r="C71" s="21" t="n"/>
      <c r="D71" s="21" t="n"/>
      <c r="E71" s="21" t="n"/>
      <c r="F71" s="21" t="n"/>
      <c r="G71" s="22" t="inlineStr">
        <is>
          <t>6.4.3</t>
        </is>
      </c>
    </row>
    <row r="72" ht="17" customHeight="1">
      <c r="B72" s="23" t="n"/>
      <c r="C72" s="24" t="inlineStr">
        <is>
          <t>Method for β</t>
        </is>
      </c>
      <c r="D72" s="23" t="n"/>
      <c r="E72" s="25" t="inlineStr">
        <is>
          <t>Simplified</t>
        </is>
      </c>
      <c r="F72" s="23" t="n"/>
      <c r="G72" s="26" t="inlineStr">
        <is>
          <t>Simplified: Fig. 6.21N</t>
        </is>
      </c>
    </row>
    <row r="73" ht="17" customHeight="1">
      <c r="B73" s="23" t="n"/>
      <c r="C73" s="24" t="inlineStr">
        <is>
          <t>Unbalanced moment, eccentricity along c1 (y)</t>
        </is>
      </c>
      <c r="D73" s="27" t="inlineStr">
        <is>
          <r>
            <rPr>
              <rFont val="Calibri"/>
              <i val="1"/>
              <color rgb="002B2B2B"/>
              <sz val="10"/>
            </rPr>
            <t>M</t>
          </r>
          <r>
            <rPr>
              <rFont val="Calibri"/>
              <i val="1"/>
              <color rgb="002B2B2B"/>
              <sz val="10"/>
              <vertAlign val="subscript"/>
            </rPr>
            <t>Ed,1</t>
          </r>
        </is>
      </c>
      <c r="E73" s="32" t="n">
        <v>0</v>
      </c>
      <c r="F73" s="28" t="inlineStr">
        <is>
          <t>kNm</t>
        </is>
      </c>
      <c r="G73" s="26" t="inlineStr">
        <is>
          <t>Calculated method only</t>
        </is>
      </c>
    </row>
    <row r="74" ht="17" customHeight="1">
      <c r="B74" s="23" t="n"/>
      <c r="C74" s="24" t="inlineStr">
        <is>
          <t>Unbalanced moment, eccentricity along c2 (z)</t>
        </is>
      </c>
      <c r="D74" s="27" t="inlineStr">
        <is>
          <r>
            <rPr>
              <rFont val="Calibri"/>
              <i val="1"/>
              <color rgb="002B2B2B"/>
              <sz val="10"/>
            </rPr>
            <t>M</t>
          </r>
          <r>
            <rPr>
              <rFont val="Calibri"/>
              <i val="1"/>
              <color rgb="002B2B2B"/>
              <sz val="10"/>
              <vertAlign val="subscript"/>
            </rPr>
            <t>Ed,2</t>
          </r>
        </is>
      </c>
      <c r="E74" s="32" t="n">
        <v>0</v>
      </c>
      <c r="F74" s="28" t="inlineStr">
        <is>
          <t>kNm</t>
        </is>
      </c>
      <c r="G74" s="26" t="inlineStr">
        <is>
          <t>Edge: parallel to the edge</t>
        </is>
      </c>
    </row>
    <row r="75" ht="17" customHeight="1">
      <c r="B75" s="23" t="n"/>
      <c r="C75" s="24" t="inlineStr">
        <is>
          <t>β, user value  (≥ 1.0)</t>
        </is>
      </c>
      <c r="D75" s="27" t="inlineStr">
        <is>
          <r>
            <rPr>
              <rFont val="Calibri"/>
              <i val="1"/>
              <color rgb="002B2B2B"/>
              <sz val="10"/>
            </rPr>
            <t>β</t>
          </r>
        </is>
      </c>
      <c r="E75" s="30" t="n">
        <v>1.15</v>
      </c>
      <c r="F75" s="23" t="n"/>
      <c r="G75" s="26" t="inlineStr">
        <is>
          <t>User value method only</t>
        </is>
      </c>
    </row>
    <row r="77" ht="22" customHeight="1">
      <c r="B77" s="20" t="inlineStr">
        <is>
          <t>Inputs  ·  shear reinforcement</t>
        </is>
      </c>
      <c r="C77" s="21" t="n"/>
      <c r="D77" s="21" t="n"/>
      <c r="E77" s="21" t="n"/>
      <c r="F77" s="21" t="n"/>
      <c r="G77" s="22" t="inlineStr">
        <is>
          <t>Used if required</t>
        </is>
      </c>
    </row>
    <row r="78" ht="17" customHeight="1">
      <c r="B78" s="23" t="n"/>
      <c r="C78" s="24" t="inlineStr">
        <is>
          <t>Shear reinforcement yield strength</t>
        </is>
      </c>
      <c r="D78" s="27" t="inlineStr">
        <is>
          <r>
            <rPr>
              <rFont val="Calibri"/>
              <i val="1"/>
              <color rgb="002B2B2B"/>
              <sz val="10"/>
            </rPr>
            <t>f</t>
          </r>
          <r>
            <rPr>
              <rFont val="Calibri"/>
              <i val="1"/>
              <color rgb="002B2B2B"/>
              <sz val="10"/>
              <vertAlign val="subscript"/>
            </rPr>
            <t>ywk</t>
          </r>
        </is>
      </c>
      <c r="E78" s="25" t="n">
        <v>500</v>
      </c>
      <c r="F78" s="28" t="inlineStr">
        <is>
          <t>MPa</t>
        </is>
      </c>
      <c r="G78" s="23" t="n"/>
    </row>
    <row r="79" ht="17" customHeight="1">
      <c r="B79" s="23" t="n"/>
      <c r="C79" s="24" t="inlineStr">
        <is>
          <t>Link (or stud) diameter</t>
        </is>
      </c>
      <c r="D79" s="27" t="inlineStr">
        <is>
          <r>
            <rPr>
              <rFont val="Calibri"/>
              <i val="1"/>
              <color rgb="002B2B2B"/>
              <sz val="10"/>
            </rPr>
            <t>φ</t>
          </r>
          <r>
            <rPr>
              <rFont val="Calibri"/>
              <i val="1"/>
              <color rgb="002B2B2B"/>
              <sz val="10"/>
              <vertAlign val="subscript"/>
            </rPr>
            <t>sw</t>
          </r>
        </is>
      </c>
      <c r="E79" s="25" t="n">
        <v>10</v>
      </c>
      <c r="F79" s="28" t="inlineStr">
        <is>
          <t>mm</t>
        </is>
      </c>
      <c r="G79" s="23" t="n"/>
    </row>
    <row r="80" ht="17" customHeight="1">
      <c r="B80" s="26" t="inlineStr">
        <is>
          <t>9.4.3(1)</t>
        </is>
      </c>
      <c r="C80" s="24" t="inlineStr">
        <is>
          <t>First perimeter from the column face  (0.3d – 0.5d)</t>
        </is>
      </c>
      <c r="D80" s="27" t="inlineStr">
        <is>
          <r>
            <rPr>
              <rFont val="Calibri"/>
              <i val="1"/>
              <color rgb="002B2B2B"/>
              <sz val="10"/>
            </rPr>
            <t>s</t>
          </r>
          <r>
            <rPr>
              <rFont val="Calibri"/>
              <i val="1"/>
              <color rgb="002B2B2B"/>
              <sz val="10"/>
              <vertAlign val="subscript"/>
            </rPr>
            <t>0</t>
          </r>
        </is>
      </c>
      <c r="E80" s="25" t="n">
        <v>100</v>
      </c>
      <c r="F80" s="28" t="inlineStr">
        <is>
          <t>mm</t>
        </is>
      </c>
      <c r="G80" s="23" t="n"/>
    </row>
    <row r="81" ht="17" customHeight="1">
      <c r="B81" s="26" t="inlineStr">
        <is>
          <t>9.4.3(1)</t>
        </is>
      </c>
      <c r="C81" s="24" t="inlineStr">
        <is>
          <t>Radial spacing of reinforcement perimeters  (≤ 0.75d)</t>
        </is>
      </c>
      <c r="D81" s="27" t="inlineStr">
        <is>
          <r>
            <rPr>
              <rFont val="Calibri"/>
              <i val="1"/>
              <color rgb="002B2B2B"/>
              <sz val="10"/>
            </rPr>
            <t>s</t>
          </r>
          <r>
            <rPr>
              <rFont val="Calibri"/>
              <i val="1"/>
              <color rgb="002B2B2B"/>
              <sz val="10"/>
              <vertAlign val="subscript"/>
            </rPr>
            <t>r</t>
          </r>
        </is>
      </c>
      <c r="E81" s="25" t="n">
        <v>150</v>
      </c>
      <c r="F81" s="28" t="inlineStr">
        <is>
          <t>mm</t>
        </is>
      </c>
      <c r="G81" s="23" t="n"/>
    </row>
    <row r="82" ht="17" customHeight="1">
      <c r="B82" s="23" t="n"/>
      <c r="C82" s="24" t="inlineStr">
        <is>
          <t>Inputs valid and consistent</t>
        </is>
      </c>
      <c r="D82" s="23" t="n"/>
      <c r="E82" s="9" t="n"/>
      <c r="F82" s="23" t="n"/>
      <c r="G82" s="33">
        <f>IF(inputs_ok,"OK","FAIL")</f>
        <v/>
      </c>
    </row>
    <row r="84" ht="22" customHeight="1">
      <c r="B84" s="20" t="inlineStr">
        <is>
          <t>Results</t>
        </is>
      </c>
      <c r="C84" s="21" t="n"/>
      <c r="D84" s="21" t="n"/>
      <c r="E84" s="21" t="n"/>
      <c r="F84" s="21" t="n"/>
      <c r="G84" s="21" t="n"/>
    </row>
    <row r="85" ht="26" customHeight="1">
      <c r="B85" s="34" t="n"/>
      <c r="C85" s="35" t="inlineStr">
        <is>
          <t>Design punching force at u1</t>
        </is>
      </c>
      <c r="D85" s="36" t="inlineStr">
        <is>
          <r>
            <rPr>
              <rFont val="Calibri"/>
              <i val="1"/>
              <color rgb="002B2B2B"/>
              <sz val="11"/>
            </rPr>
            <t>V</t>
          </r>
          <r>
            <rPr>
              <rFont val="Calibri"/>
              <i val="1"/>
              <color rgb="002B2B2B"/>
              <sz val="11"/>
              <vertAlign val="subscript"/>
            </rPr>
            <t>Ed,red</t>
          </r>
        </is>
      </c>
      <c r="E85" s="37">
        <f>V_Edred</f>
        <v/>
      </c>
      <c r="F85" s="38" t="inlineStr">
        <is>
          <t>kN</t>
        </is>
      </c>
      <c r="G85" s="34" t="n"/>
    </row>
    <row r="86" ht="26" customHeight="1">
      <c r="B86" s="34" t="n"/>
      <c r="C86" s="35" t="inlineStr">
        <is>
          <t>Load enhancement factor</t>
        </is>
      </c>
      <c r="D86" s="36" t="inlineStr">
        <is>
          <r>
            <rPr>
              <rFont val="Calibri"/>
              <i val="1"/>
              <color rgb="002B2B2B"/>
              <sz val="11"/>
            </rPr>
            <t>β</t>
          </r>
        </is>
      </c>
      <c r="E86" s="39">
        <f>beta_p</f>
        <v/>
      </c>
      <c r="F86" s="38" t="inlineStr"/>
      <c r="G86" s="40">
        <f>IF(NOT(inputs_ok),"FAIL",beta_method)</f>
        <v/>
      </c>
    </row>
    <row r="87" ht="26" customHeight="1">
      <c r="B87" s="34" t="n"/>
      <c r="C87" s="35" t="inlineStr">
        <is>
          <t>Utilisation at column face  vEd,0 / vRd,max</t>
        </is>
      </c>
      <c r="D87" s="34" t="n"/>
      <c r="E87" s="39">
        <f>v_Ed0/v_Rdmax</f>
        <v/>
      </c>
      <c r="F87" s="38" t="inlineStr"/>
      <c r="G87" s="40">
        <f>IF(NOT(inputs_ok),"FAIL",IF(v_Ed0&lt;=v_Rdmax,"OK","FAIL"))</f>
        <v/>
      </c>
    </row>
    <row r="88" ht="26" customHeight="1">
      <c r="B88" s="34" t="n"/>
      <c r="C88" s="35" t="inlineStr">
        <is>
          <t>Utilisation at u1 without reinforcement  vEd / vRd,c</t>
        </is>
      </c>
      <c r="D88" s="34" t="n"/>
      <c r="E88" s="39">
        <f>v_Ed1/v_Rdc</f>
        <v/>
      </c>
      <c r="F88" s="38" t="inlineStr"/>
      <c r="G88" s="40">
        <f>IF(NOT(inputs_ok),"FAIL",IF(v_Ed1&lt;=v_Rdc,"OK","! Reinf. required"))</f>
        <v/>
      </c>
    </row>
    <row r="89" ht="26" customHeight="1">
      <c r="B89" s="34" t="n"/>
      <c r="C89" s="35" t="inlineStr">
        <is>
          <t>Utilisation at u1 with reinforcement  vEd / (kmax vRd,c)</t>
        </is>
      </c>
      <c r="D89" s="34" t="n"/>
      <c r="E89" s="39">
        <f>v_Ed1/(k_max*v_Rdc)</f>
        <v/>
      </c>
      <c r="F89" s="38" t="inlineStr"/>
      <c r="G89" s="40">
        <f>IF(NOT(inputs_ok),"FAIL",IF(v_Ed1&lt;=k_max*v_Rdc,"OK","FAIL"))</f>
        <v/>
      </c>
    </row>
    <row r="90" ht="26" customHeight="1">
      <c r="B90" s="34" t="n"/>
      <c r="C90" s="35" t="inlineStr">
        <is>
          <t>Area per perimeter from (6.52)</t>
        </is>
      </c>
      <c r="D90" s="36" t="inlineStr">
        <is>
          <r>
            <rPr>
              <rFont val="Calibri"/>
              <i val="1"/>
              <color rgb="002B2B2B"/>
              <sz val="11"/>
            </rPr>
            <t>A</t>
          </r>
          <r>
            <rPr>
              <rFont val="Calibri"/>
              <i val="1"/>
              <color rgb="002B2B2B"/>
              <sz val="11"/>
              <vertAlign val="subscript"/>
            </rPr>
            <t>sw</t>
          </r>
        </is>
      </c>
      <c r="E90" s="37">
        <f>IF(NOT(inputs_ok),"–",IF(punch_ok,CEILING(A_sw,1),"–"))</f>
        <v/>
      </c>
      <c r="F90" s="38" t="inlineStr">
        <is>
          <t>mm²</t>
        </is>
      </c>
      <c r="G90" s="40">
        <f>IF(NOT(inputs_ok),"FAIL",IF(NOT(inputs_ok),"FAIL",IF(punch_ok,IF(A_sw&gt;0,"! Detail to 9.4.3","OK"),"FAIL")))</f>
        <v/>
      </c>
    </row>
    <row r="91" ht="26" customHeight="1">
      <c r="B91" s="34" t="n"/>
      <c r="C91" s="35" t="inlineStr">
        <is>
          <t>Reinforced zone, distance from column face</t>
        </is>
      </c>
      <c r="D91" s="34" t="n"/>
      <c r="E91" s="37">
        <f>IF(NOT(inputs_ok),"–",IF(NOT(punch_ok),"–",IF(A_sw=0,"–",IF(AND(na_idx=1,r_out&lt;3*d_eff),TEXT(0.3*d_eff,"0")&amp;" – "&amp;TEXT(1.5*d_eff,"0"),"≥ "&amp;TEXT(CEILING(r_last,5),"0")))))</f>
        <v/>
      </c>
      <c r="F91" s="38" t="inlineStr">
        <is>
          <t>mm</t>
        </is>
      </c>
      <c r="G91" s="34" t="n"/>
    </row>
    <row r="92" ht="26" customHeight="1">
      <c r="B92" s="34" t="n"/>
      <c r="C92" s="35" t="inlineStr">
        <is>
          <t>Shear links  (perimeters × legs, see the table)</t>
        </is>
      </c>
      <c r="D92" s="34" t="n"/>
      <c r="E92" s="41">
        <f>IF(links_on,IF(n_per&gt;12,"over 12 perimeters: increase sr",n_per&amp;" × "&amp;INDEX(lk_legs,1)&amp;IF(INDEX(lk_legs,n_per)&lt;&gt;INDEX(lk_legs,1),"–"&amp;INDEX(lk_legs,n_per),"")&amp;" legs φ"&amp;phi_sw&amp;" @ "&amp;s_r&amp;"  ("&amp;legs_tot&amp;" legs)"),"–")</f>
        <v/>
      </c>
      <c r="F92" s="38" t="inlineStr"/>
      <c r="G92" s="40">
        <f>IF(NOT(inputs_ok),"FAIL",IF(NOT(inputs_ok),"FAIL",IF(NOT(punch_ok),"FAIL",IF(A_sw=0,"Not needed",IF(links_ok,"OK","FAIL")))))</f>
        <v/>
      </c>
    </row>
    <row r="93" ht="29" customHeight="1">
      <c r="B93" s="42" t="inlineStr">
        <is>
          <t>The link layout follows from the chosen diameter, first perimeter s0 and radial spacing sr: change them to see the number of perimeters and legs update in the table and the drawing. Check the slab outside the reinforced zone at uout,ef.</t>
        </is>
      </c>
    </row>
    <row r="95" ht="22" customHeight="1">
      <c r="B95" s="20" t="inlineStr">
        <is>
          <t>Calculation</t>
        </is>
      </c>
      <c r="C95" s="21" t="n"/>
      <c r="D95" s="21" t="n"/>
      <c r="E95" s="21" t="n"/>
      <c r="F95" s="21" t="n"/>
      <c r="G95" s="21" t="n"/>
    </row>
    <row r="96" ht="17" customHeight="1">
      <c r="B96" s="26" t="inlineStr">
        <is>
          <t>2.4.2.4(1)</t>
        </is>
      </c>
      <c r="C96" s="24" t="inlineStr">
        <is>
          <t>Partial factor, concrete</t>
        </is>
      </c>
      <c r="D96" s="27" t="inlineStr">
        <is>
          <r>
            <rPr>
              <rFont val="Calibri"/>
              <i val="1"/>
              <color rgb="002B2B2B"/>
              <sz val="10"/>
            </rPr>
            <t>γ</t>
          </r>
          <r>
            <rPr>
              <rFont val="Calibri"/>
              <i val="1"/>
              <color rgb="002B2B2B"/>
              <sz val="10"/>
              <vertAlign val="subscript"/>
            </rPr>
            <t>c</t>
          </r>
        </is>
      </c>
      <c r="E96" s="43">
        <f>ndp_gamma_c</f>
        <v/>
      </c>
      <c r="F96" s="23" t="n"/>
      <c r="G96" s="26" t="inlineStr">
        <is>
          <t>NDP sheet</t>
        </is>
      </c>
    </row>
    <row r="97" ht="17" customHeight="1">
      <c r="B97" s="26" t="inlineStr">
        <is>
          <t>2.4.2.4(1)</t>
        </is>
      </c>
      <c r="C97" s="24" t="inlineStr">
        <is>
          <t>Partial factor, reinforcement</t>
        </is>
      </c>
      <c r="D97" s="27" t="inlineStr">
        <is>
          <r>
            <rPr>
              <rFont val="Calibri"/>
              <i val="1"/>
              <color rgb="002B2B2B"/>
              <sz val="10"/>
            </rPr>
            <t>γ</t>
          </r>
          <r>
            <rPr>
              <rFont val="Calibri"/>
              <i val="1"/>
              <color rgb="002B2B2B"/>
              <sz val="10"/>
              <vertAlign val="subscript"/>
            </rPr>
            <t>s</t>
          </r>
        </is>
      </c>
      <c r="E97" s="43">
        <f>ndp_gamma_s</f>
        <v/>
      </c>
      <c r="F97" s="23" t="n"/>
      <c r="G97" s="26" t="inlineStr">
        <is>
          <t>NDP sheet</t>
        </is>
      </c>
    </row>
    <row r="98" ht="17" customHeight="1">
      <c r="B98" s="26" t="inlineStr">
        <is>
          <t>3.1.6(1)</t>
        </is>
      </c>
      <c r="C98" s="24" t="inlineStr">
        <is>
          <t>Coefficient on compressive strength (shear)</t>
        </is>
      </c>
      <c r="D98" s="27" t="inlineStr">
        <is>
          <r>
            <rPr>
              <rFont val="Calibri"/>
              <i val="1"/>
              <color rgb="002B2B2B"/>
              <sz val="10"/>
            </rPr>
            <t>α</t>
          </r>
          <r>
            <rPr>
              <rFont val="Calibri"/>
              <i val="1"/>
              <color rgb="002B2B2B"/>
              <sz val="10"/>
              <vertAlign val="subscript"/>
            </rPr>
            <t>cc</t>
          </r>
        </is>
      </c>
      <c r="E98" s="43">
        <f>ndp_alpha_cc_shear</f>
        <v/>
      </c>
      <c r="F98" s="23" t="n"/>
      <c r="G98" s="26" t="inlineStr">
        <is>
          <t>NDP sheet</t>
        </is>
      </c>
    </row>
    <row r="99" ht="17" customHeight="1">
      <c r="B99" s="26" t="inlineStr">
        <is>
          <t>6.2.2(1), 6.4.4(1)</t>
        </is>
      </c>
      <c r="C99" s="24" t="inlineStr">
        <is>
          <t>Coefficient  0.18 / γc</t>
        </is>
      </c>
      <c r="D99" s="27" t="inlineStr">
        <is>
          <r>
            <rPr>
              <rFont val="Calibri"/>
              <i val="1"/>
              <color rgb="002B2B2B"/>
              <sz val="10"/>
            </rPr>
            <t>C</t>
          </r>
          <r>
            <rPr>
              <rFont val="Calibri"/>
              <i val="1"/>
              <color rgb="002B2B2B"/>
              <sz val="10"/>
              <vertAlign val="subscript"/>
            </rPr>
            <t>Rd,c</t>
          </r>
        </is>
      </c>
      <c r="E99" s="44">
        <f>ndp_C_Rdc/ndp_gamma_c</f>
        <v/>
      </c>
      <c r="F99" s="23" t="n"/>
      <c r="G99" s="26" t="inlineStr">
        <is>
          <t>NDP sheet</t>
        </is>
      </c>
    </row>
    <row r="100" ht="17" customHeight="1">
      <c r="B100" s="26" t="inlineStr">
        <is>
          <t>6.4.4(1)</t>
        </is>
      </c>
      <c r="C100" s="24" t="inlineStr">
        <is>
          <t>Coefficient on axial stress</t>
        </is>
      </c>
      <c r="D100" s="27" t="inlineStr">
        <is>
          <r>
            <rPr>
              <rFont val="Calibri"/>
              <i val="1"/>
              <color rgb="002B2B2B"/>
              <sz val="10"/>
            </rPr>
            <t>k</t>
          </r>
          <r>
            <rPr>
              <rFont val="Calibri"/>
              <i val="1"/>
              <color rgb="002B2B2B"/>
              <sz val="10"/>
              <vertAlign val="subscript"/>
            </rPr>
            <t>1</t>
          </r>
        </is>
      </c>
      <c r="E100" s="43">
        <f>ndp_k1_p</f>
        <v/>
      </c>
      <c r="F100" s="23" t="n"/>
      <c r="G100" s="26" t="inlineStr">
        <is>
          <t>NDP sheet</t>
        </is>
      </c>
    </row>
    <row r="101" ht="17" customHeight="1">
      <c r="B101" s="26" t="inlineStr">
        <is>
          <t>6.4.5(3)</t>
        </is>
      </c>
      <c r="C101" s="24" t="inlineStr">
        <is>
          <t>Factor on ν fcd for vRd,max</t>
        </is>
      </c>
      <c r="D101" s="23" t="n"/>
      <c r="E101" s="43">
        <f>ndp_vmax</f>
        <v/>
      </c>
      <c r="F101" s="23" t="n"/>
      <c r="G101" s="26" t="inlineStr">
        <is>
          <t>NDP sheet</t>
        </is>
      </c>
    </row>
    <row r="102" ht="17" customHeight="1">
      <c r="B102" s="26" t="inlineStr">
        <is>
          <t>6.4.5</t>
        </is>
      </c>
      <c r="C102" s="24" t="inlineStr">
        <is>
          <t>Limit on resistance with shear reinforcement</t>
        </is>
      </c>
      <c r="D102" s="27" t="inlineStr">
        <is>
          <r>
            <rPr>
              <rFont val="Calibri"/>
              <i val="1"/>
              <color rgb="002B2B2B"/>
              <sz val="10"/>
            </rPr>
            <t>k</t>
          </r>
          <r>
            <rPr>
              <rFont val="Calibri"/>
              <i val="1"/>
              <color rgb="002B2B2B"/>
              <sz val="10"/>
              <vertAlign val="subscript"/>
            </rPr>
            <t>max</t>
          </r>
        </is>
      </c>
      <c r="E102" s="43">
        <f>ndp_kmax</f>
        <v/>
      </c>
      <c r="F102" s="23" t="n"/>
      <c r="G102" s="26" t="inlineStr">
        <is>
          <t>NDP sheet</t>
        </is>
      </c>
    </row>
    <row r="103" ht="17" customHeight="1">
      <c r="B103" s="26" t="inlineStr">
        <is>
          <t>Table 3.1</t>
        </is>
      </c>
      <c r="C103" s="24" t="inlineStr">
        <is>
          <t>Characteristic cylinder strength</t>
        </is>
      </c>
      <c r="D103" s="27" t="inlineStr">
        <is>
          <r>
            <rPr>
              <rFont val="Calibri"/>
              <i val="1"/>
              <color rgb="002B2B2B"/>
              <sz val="10"/>
            </rPr>
            <t>f</t>
          </r>
          <r>
            <rPr>
              <rFont val="Calibri"/>
              <i val="1"/>
              <color rgb="002B2B2B"/>
              <sz val="10"/>
              <vertAlign val="subscript"/>
            </rPr>
            <t>ck</t>
          </r>
        </is>
      </c>
      <c r="E103" s="45">
        <f>VALUE(MID(conc_class,2,FIND("/",conc_class)-2))</f>
        <v/>
      </c>
      <c r="F103" s="28" t="inlineStr">
        <is>
          <t>MPa</t>
        </is>
      </c>
      <c r="G103" s="23" t="n"/>
    </row>
    <row r="104" ht="17" customHeight="1">
      <c r="B104" s="26" t="inlineStr">
        <is>
          <t>Table 3.1</t>
        </is>
      </c>
      <c r="C104" s="24" t="inlineStr">
        <is>
          <t>Mean tensile strength</t>
        </is>
      </c>
      <c r="D104" s="27" t="inlineStr">
        <is>
          <r>
            <rPr>
              <rFont val="Calibri"/>
              <i val="1"/>
              <color rgb="002B2B2B"/>
              <sz val="10"/>
            </rPr>
            <t>f</t>
          </r>
          <r>
            <rPr>
              <rFont val="Calibri"/>
              <i val="1"/>
              <color rgb="002B2B2B"/>
              <sz val="10"/>
              <vertAlign val="subscript"/>
            </rPr>
            <t>ctm</t>
          </r>
        </is>
      </c>
      <c r="E104" s="43">
        <f>IF(f_ck&lt;=50,0.3*f_ck^(2/3),2.12*LN(1+(f_ck+8)/10))</f>
        <v/>
      </c>
      <c r="F104" s="28" t="inlineStr">
        <is>
          <t>MPa</t>
        </is>
      </c>
      <c r="G104" s="23" t="n"/>
    </row>
    <row r="105" ht="17" customHeight="1">
      <c r="B105" s="26" t="inlineStr">
        <is>
          <t>6.4.2(1)</t>
        </is>
      </c>
      <c r="C105" s="24" t="inlineStr">
        <is>
          <t>Mean effective depth</t>
        </is>
      </c>
      <c r="D105" s="27" t="inlineStr">
        <is>
          <r>
            <rPr>
              <rFont val="Calibri"/>
              <i val="1"/>
              <color rgb="002B2B2B"/>
              <sz val="10"/>
            </rPr>
            <t>d</t>
          </r>
          <r>
            <rPr>
              <rFont val="Calibri"/>
              <i val="1"/>
              <color rgb="002B2B2B"/>
              <sz val="10"/>
              <vertAlign val="subscript"/>
            </rPr>
            <t>eff</t>
          </r>
        </is>
      </c>
      <c r="E105" s="45">
        <f>(d_y+d_z)/2</f>
        <v/>
      </c>
      <c r="F105" s="28" t="inlineStr">
        <is>
          <t>mm</t>
        </is>
      </c>
      <c r="G105" s="23" t="n"/>
    </row>
    <row r="106" ht="17" customHeight="1">
      <c r="B106" s="23" t="n"/>
      <c r="C106" s="24" t="inlineStr">
        <is>
          <t>Column size used, c1  (circular edge/corner: πD/4)</t>
        </is>
      </c>
      <c r="D106" s="27" t="inlineStr">
        <is>
          <r>
            <rPr>
              <rFont val="Calibri"/>
              <i val="1"/>
              <color rgb="002B2B2B"/>
              <sz val="10"/>
            </rPr>
            <t>c</t>
          </r>
          <r>
            <rPr>
              <rFont val="Calibri"/>
              <i val="1"/>
              <color rgb="002B2B2B"/>
              <sz val="10"/>
              <vertAlign val="subscript"/>
            </rPr>
            <t>1,e</t>
          </r>
        </is>
      </c>
      <c r="E106" s="45">
        <f>IF(AND(shape="Circular",position&lt;&gt;"Internal"),PI()*c_1/4,c_1)</f>
        <v/>
      </c>
      <c r="F106" s="28" t="inlineStr">
        <is>
          <t>mm</t>
        </is>
      </c>
      <c r="G106" s="23" t="n"/>
    </row>
    <row r="107" ht="17" customHeight="1">
      <c r="B107" s="23" t="n"/>
      <c r="C107" s="24" t="inlineStr">
        <is>
          <t>Column size used, c2</t>
        </is>
      </c>
      <c r="D107" s="27" t="inlineStr">
        <is>
          <r>
            <rPr>
              <rFont val="Calibri"/>
              <i val="1"/>
              <color rgb="002B2B2B"/>
              <sz val="10"/>
            </rPr>
            <t>c</t>
          </r>
          <r>
            <rPr>
              <rFont val="Calibri"/>
              <i val="1"/>
              <color rgb="002B2B2B"/>
              <sz val="10"/>
              <vertAlign val="subscript"/>
            </rPr>
            <t>2,e</t>
          </r>
        </is>
      </c>
      <c r="E107" s="45">
        <f>IF(shape="Circular",eq_c1,c_2)</f>
        <v/>
      </c>
      <c r="F107" s="28" t="inlineStr">
        <is>
          <t>mm</t>
        </is>
      </c>
      <c r="G107" s="23" t="n"/>
    </row>
    <row r="108" ht="17" customHeight="1">
      <c r="B108" s="23" t="n"/>
      <c r="C108" s="24" t="inlineStr">
        <is>
          <t>Distance to slab edge used, a1  (same column centre)</t>
        </is>
      </c>
      <c r="D108" s="27" t="inlineStr">
        <is>
          <r>
            <rPr>
              <rFont val="Calibri"/>
              <i val="1"/>
              <color rgb="002B2B2B"/>
              <sz val="10"/>
            </rPr>
            <t>a</t>
          </r>
          <r>
            <rPr>
              <rFont val="Calibri"/>
              <i val="1"/>
              <color rgb="002B2B2B"/>
              <sz val="10"/>
              <vertAlign val="subscript"/>
            </rPr>
            <t>1,e</t>
          </r>
        </is>
      </c>
      <c r="E108" s="45">
        <f>a_1+(c_1-eq_c1)/2</f>
        <v/>
      </c>
      <c r="F108" s="28" t="inlineStr">
        <is>
          <t>mm</t>
        </is>
      </c>
      <c r="G108" s="23" t="n"/>
    </row>
    <row r="109" ht="17" customHeight="1">
      <c r="B109" s="23" t="n"/>
      <c r="C109" s="24" t="inlineStr">
        <is>
          <t>Distance to slab edge used, a2</t>
        </is>
      </c>
      <c r="D109" s="27" t="inlineStr">
        <is>
          <r>
            <rPr>
              <rFont val="Calibri"/>
              <i val="1"/>
              <color rgb="002B2B2B"/>
              <sz val="10"/>
            </rPr>
            <t>a</t>
          </r>
          <r>
            <rPr>
              <rFont val="Calibri"/>
              <i val="1"/>
              <color rgb="002B2B2B"/>
              <sz val="10"/>
              <vertAlign val="subscript"/>
            </rPr>
            <t>2,e</t>
          </r>
        </is>
      </c>
      <c r="E109" s="45">
        <f>a_2+(IF(shape="Circular",c_1,c_2)-eq_c2)/2</f>
        <v/>
      </c>
      <c r="F109" s="28" t="inlineStr">
        <is>
          <t>mm</t>
        </is>
      </c>
      <c r="G109" s="23" t="n"/>
    </row>
    <row r="110" ht="29" customHeight="1">
      <c r="B110" s="42" t="inlineStr">
        <is>
          <t>Circular columns at an edge or corner are checked as the square of equal perimeter (side πD/4) with the same centre: for an internal column it gives the same u0 and u1 as the circle. EC2 gives no edge perimeters for circular columns (assumption).</t>
        </is>
      </c>
    </row>
    <row r="111" ht="17" customHeight="1">
      <c r="B111" s="23" t="n"/>
      <c r="C111" s="24" t="inlineStr">
        <is>
          <t>Position index (1 internal, 2 edge, 3 corner)</t>
        </is>
      </c>
      <c r="D111" s="23" t="n"/>
      <c r="E111" s="45">
        <f>MATCH(position,{"Internal","Edge","Corner"},0)</f>
        <v/>
      </c>
      <c r="F111" s="23" t="n"/>
      <c r="G111" s="23" t="n"/>
    </row>
    <row r="112" ht="17" customHeight="1">
      <c r="B112" s="26" t="inlineStr">
        <is>
          <t>6.4.5(3)</t>
        </is>
      </c>
      <c r="C112" s="24" t="inlineStr">
        <is>
          <t>Column face perimeter</t>
        </is>
      </c>
      <c r="D112" s="27" t="inlineStr">
        <is>
          <r>
            <rPr>
              <rFont val="Calibri"/>
              <i val="1"/>
              <color rgb="002B2B2B"/>
              <sz val="10"/>
            </rPr>
            <t>u</t>
          </r>
          <r>
            <rPr>
              <rFont val="Calibri"/>
              <i val="1"/>
              <color rgb="002B2B2B"/>
              <sz val="10"/>
              <vertAlign val="subscript"/>
            </rPr>
            <t>0</t>
          </r>
        </is>
      </c>
      <c r="E112" s="45">
        <f>IF(circ_int,PI()*eq_c1,CHOOSE(pos_idx,2*(eq_c1+eq_c2),MIN(eq_c2+3*d_eff,eq_c2+2*eq_c1),MIN(3*d_eff,eq_c1+eq_c2)))</f>
        <v/>
      </c>
      <c r="F112" s="28" t="inlineStr">
        <is>
          <t>mm</t>
        </is>
      </c>
      <c r="G112" s="23" t="n"/>
    </row>
    <row r="113" ht="17" customHeight="1">
      <c r="B113" s="26" t="inlineStr">
        <is>
          <t>6.4.2(1)</t>
        </is>
      </c>
      <c r="C113" s="24" t="inlineStr">
        <is>
          <t>Control perimeter at 2d all round</t>
        </is>
      </c>
      <c r="D113" s="27" t="inlineStr">
        <is>
          <r>
            <rPr>
              <rFont val="Calibri"/>
              <i val="1"/>
              <color rgb="002B2B2B"/>
              <sz val="10"/>
            </rPr>
            <t>u</t>
          </r>
          <r>
            <rPr>
              <rFont val="Calibri"/>
              <i val="1"/>
              <color rgb="002B2B2B"/>
              <sz val="10"/>
              <vertAlign val="subscript"/>
            </rPr>
            <t>1,int</t>
          </r>
        </is>
      </c>
      <c r="E113" s="45">
        <f>2*(eq_c1+eq_c2)+4*PI()*d_eff</f>
        <v/>
      </c>
      <c r="F113" s="28" t="inlineStr">
        <is>
          <t>mm</t>
        </is>
      </c>
      <c r="G113" s="23" t="n"/>
    </row>
    <row r="114" ht="17" customHeight="1">
      <c r="B114" s="26" t="inlineStr">
        <is>
          <t>6.4.2(4)</t>
        </is>
      </c>
      <c r="C114" s="24" t="inlineStr">
        <is>
          <t>Control perimeter running to the free edge(s)  (Fig. 6.15)</t>
        </is>
      </c>
      <c r="D114" s="27" t="inlineStr">
        <is>
          <r>
            <rPr>
              <rFont val="Calibri"/>
              <i val="1"/>
              <color rgb="002B2B2B"/>
              <sz val="10"/>
            </rPr>
            <t>u</t>
          </r>
          <r>
            <rPr>
              <rFont val="Calibri"/>
              <i val="1"/>
              <color rgb="002B2B2B"/>
              <sz val="10"/>
              <vertAlign val="subscript"/>
            </rPr>
            <t>1,edge</t>
          </r>
        </is>
      </c>
      <c r="E114" s="45">
        <f>CHOOSE(pos_idx,u1_int,eq_c2+2*(eq_c1+eq_a1)+2*PI()*d_eff,MIN((eq_c1+eq_a1)+(eq_c2+eq_a2)+PI()*d_eff,IF(2*d_eff&lt;=eq_a2,eq_c2+2*(eq_c1+eq_a1)+2*PI()*d_eff,9E+99),IF(2*d_eff&lt;=eq_a1,eq_c1+2*(eq_c2+eq_a2)+2*PI()*d_eff,9E+99)))</f>
        <v/>
      </c>
      <c r="F114" s="28" t="inlineStr">
        <is>
          <t>mm</t>
        </is>
      </c>
      <c r="G114" s="26" t="inlineStr">
        <is>
          <t>Corner: also one edge only, where u1 stays inside the slab</t>
        </is>
      </c>
    </row>
    <row r="115" ht="17" customHeight="1">
      <c r="B115" s="26" t="inlineStr">
        <is>
          <t>6.4.2(4)</t>
        </is>
      </c>
      <c r="C115" s="24" t="inlineStr">
        <is>
          <t>Governing perimeter shape (1 all round, 2 to edge a1, 3 corner, 4 to edge a2)</t>
        </is>
      </c>
      <c r="D115" s="23" t="n"/>
      <c r="E115" s="45">
        <f>IF(circ_int,1,CHOOSE(pos_idx,1,IF((eq_c2+2*(eq_c1+eq_a1)+PI()*2*d_eff)&lt;(2*(eq_c1+eq_c2)+2*PI()*2*d_eff),2,1),IF((2*(eq_c1+eq_c2)+2*PI()*2*d_eff)&lt;=MIN((2*(eq_c1+eq_c2)+2*PI()*2*d_eff),((eq_c1+eq_a1)+(eq_c2+eq_a2)+PI()/2*2*d_eff),IF(2*d_eff&lt;=eq_a2,(eq_c2+2*(eq_c1+eq_a1)+PI()*2*d_eff),9E+99),IF(2*d_eff&lt;=eq_a1,(eq_c1+2*(eq_c2+eq_a2)+PI()*2*d_eff),9E+99)),1,IF(AND(2*d_eff&lt;=eq_a2,(eq_c2+2*(eq_c1+eq_a1)+PI()*2*d_eff)&lt;=MIN((2*(eq_c1+eq_c2)+2*PI()*2*d_eff),((eq_c1+eq_a1)+(eq_c2+eq_a2)+PI()/2*2*d_eff),IF(2*d_eff&lt;=eq_a2,(eq_c2+2*(eq_c1+eq_a1)+PI()*2*d_eff),9E+99),IF(2*d_eff&lt;=eq_a1,(eq_c1+2*(eq_c2+eq_a2)+PI()*2*d_eff),9E+99))),2,IF(AND(2*d_eff&lt;=eq_a1,(eq_c1+2*(eq_c2+eq_a2)+PI()*2*d_eff)&lt;=MIN((2*(eq_c1+eq_c2)+2*PI()*2*d_eff),((eq_c1+eq_a1)+(eq_c2+eq_a2)+PI()/2*2*d_eff),IF(2*d_eff&lt;=eq_a2,(eq_c2+2*(eq_c1+eq_a1)+PI()*2*d_eff),9E+99),IF(2*d_eff&lt;=eq_a1,(eq_c1+2*(eq_c2+eq_a2)+PI()*2*d_eff),9E+99))),4,3)))))</f>
        <v/>
      </c>
      <c r="F115" s="23" t="n"/>
      <c r="G115" s="23" t="n"/>
    </row>
    <row r="116" ht="17" customHeight="1">
      <c r="B116" s="26" t="inlineStr">
        <is>
          <t>6.4.2(4)</t>
        </is>
      </c>
      <c r="C116" s="24" t="inlineStr">
        <is>
          <t>Edge or corner column far enough from the edge to act as internal</t>
        </is>
      </c>
      <c r="D116" s="23" t="n"/>
      <c r="E116" s="9" t="n"/>
      <c r="F116" s="23" t="n"/>
      <c r="G116" s="33">
        <f>IF(NOT(inputs_ok),"FAIL",IF(AND(pos_idx&gt;1,geo_idx=1),"! All-round u1 governs","n/a"))</f>
        <v/>
      </c>
    </row>
    <row r="117" ht="17" customHeight="1">
      <c r="B117" s="26" t="inlineStr">
        <is>
          <t>6.4.2</t>
        </is>
      </c>
      <c r="C117" s="24" t="inlineStr">
        <is>
          <t>Basic control perimeter at 2d  (the smaller)</t>
        </is>
      </c>
      <c r="D117" s="27" t="inlineStr">
        <is>
          <r>
            <rPr>
              <rFont val="Calibri"/>
              <i val="1"/>
              <color rgb="002B2B2B"/>
              <sz val="10"/>
            </rPr>
            <t>u</t>
          </r>
          <r>
            <rPr>
              <rFont val="Calibri"/>
              <i val="1"/>
              <color rgb="002B2B2B"/>
              <sz val="10"/>
              <vertAlign val="subscript"/>
            </rPr>
            <t>1</t>
          </r>
        </is>
      </c>
      <c r="E117" s="46">
        <f>IF(circ_int,PI()*(eq_c1+4*d_eff),MIN(u1_int,u1_edge))</f>
        <v/>
      </c>
      <c r="F117" s="28" t="inlineStr">
        <is>
          <t>mm</t>
        </is>
      </c>
      <c r="G117" s="23" t="n"/>
    </row>
    <row r="118" ht="17" customHeight="1">
      <c r="B118" s="23" t="n"/>
      <c r="C118" s="24" t="inlineStr">
        <is>
          <t>Plan area inside u1 (for ΔG, ΔQ from area loads)</t>
        </is>
      </c>
      <c r="D118" s="27" t="inlineStr">
        <is>
          <r>
            <rPr>
              <rFont val="Calibri"/>
              <i val="1"/>
              <color rgb="002B2B2B"/>
              <sz val="10"/>
            </rPr>
            <t>A</t>
          </r>
          <r>
            <rPr>
              <rFont val="Calibri"/>
              <i val="1"/>
              <color rgb="002B2B2B"/>
              <sz val="10"/>
              <vertAlign val="subscript"/>
            </rPr>
            <t>u1</t>
          </r>
        </is>
      </c>
      <c r="E118" s="44">
        <f>IF(circ_int,PI()*(eq_c1/2+2*d_eff)^2,CHOOSE(geo_idx,eq_c1*eq_c2+4*d_eff*(eq_c1+eq_c2)+4*PI()*d_eff^2,(eq_c1+eq_a1)*eq_c2+2*d_eff*(2*(eq_c1+eq_a1)+eq_c2)+2*PI()*d_eff^2,(eq_c1+eq_a1)*(eq_c2+eq_a2)+2*d_eff*((eq_c1+eq_a1)+(eq_c2+eq_a2))+PI()*d_eff^2,(eq_c2+eq_a2)*eq_c1+2*d_eff*(2*(eq_c2+eq_a2)+eq_c1)+2*PI()*d_eff^2))/1000000</f>
        <v/>
      </c>
      <c r="F118" s="28" t="inlineStr">
        <is>
          <t>m²</t>
        </is>
      </c>
      <c r="G118" s="26" t="inlineStr">
        <is>
          <t>ΔG = gk · A ;  ΔQ = qk · A</t>
        </is>
      </c>
    </row>
    <row r="119" ht="17" customHeight="1">
      <c r="B119" s="26" t="inlineStr">
        <is>
          <t>EN 1990 (6.10)</t>
        </is>
      </c>
      <c r="C119" s="24" t="inlineStr">
        <is>
          <t>Design column reaction  γG Gk + γQ Qk</t>
        </is>
      </c>
      <c r="D119" s="27" t="inlineStr">
        <is>
          <r>
            <rPr>
              <rFont val="Calibri"/>
              <i val="1"/>
              <color rgb="002B2B2B"/>
              <sz val="10"/>
            </rPr>
            <t>V</t>
          </r>
          <r>
            <rPr>
              <rFont val="Calibri"/>
              <i val="1"/>
              <color rgb="002B2B2B"/>
              <sz val="10"/>
              <vertAlign val="subscript"/>
            </rPr>
            <t>Ed</t>
          </r>
        </is>
      </c>
      <c r="E119" s="47">
        <f>gamma_G*G_k+gamma_Q*Q_k</f>
        <v/>
      </c>
      <c r="F119" s="28" t="inlineStr">
        <is>
          <t>kN</t>
        </is>
      </c>
      <c r="G119" s="23" t="n"/>
    </row>
    <row r="120" ht="17" customHeight="1">
      <c r="B120" s="26" t="inlineStr">
        <is>
          <t>6.4.1(5)</t>
        </is>
      </c>
      <c r="C120" s="24" t="inlineStr">
        <is>
          <t>Design load deducted inside u1</t>
        </is>
      </c>
      <c r="D120" s="27" t="inlineStr">
        <is>
          <r>
            <rPr>
              <rFont val="Calibri"/>
              <i val="1"/>
              <color rgb="002B2B2B"/>
              <sz val="10"/>
            </rPr>
            <t>ΔV</t>
          </r>
          <r>
            <rPr>
              <rFont val="Calibri"/>
              <i val="1"/>
              <color rgb="002B2B2B"/>
              <sz val="10"/>
              <vertAlign val="subscript"/>
            </rPr>
            <t>Ed</t>
          </r>
        </is>
      </c>
      <c r="E120" s="47">
        <f>IF(deduct="Yes",gamma_G*dG_k+gamma_Q*dQ_k,0)</f>
        <v/>
      </c>
      <c r="F120" s="28" t="inlineStr">
        <is>
          <t>kN</t>
        </is>
      </c>
      <c r="G120" s="23" t="n"/>
    </row>
    <row r="121" ht="17" customHeight="1">
      <c r="B121" s="26" t="inlineStr">
        <is>
          <t>(6.48)</t>
        </is>
      </c>
      <c r="C121" s="24" t="inlineStr">
        <is>
          <t>Net punching force at u1  VEd − ΔVEd</t>
        </is>
      </c>
      <c r="D121" s="27" t="inlineStr">
        <is>
          <r>
            <rPr>
              <rFont val="Calibri"/>
              <i val="1"/>
              <color rgb="002B2B2B"/>
              <sz val="10"/>
            </rPr>
            <t>V</t>
          </r>
          <r>
            <rPr>
              <rFont val="Calibri"/>
              <i val="1"/>
              <color rgb="002B2B2B"/>
              <sz val="10"/>
              <vertAlign val="subscript"/>
            </rPr>
            <t>Ed,red</t>
          </r>
        </is>
      </c>
      <c r="E121" s="48">
        <f>V_Ed-dV_Ed</f>
        <v/>
      </c>
      <c r="F121" s="28" t="inlineStr">
        <is>
          <t>kN</t>
        </is>
      </c>
      <c r="G121" s="23" t="n"/>
    </row>
    <row r="122" ht="17" customHeight="1">
      <c r="B122" s="26" t="inlineStr">
        <is>
          <t>6.4.3(3)</t>
        </is>
      </c>
      <c r="C122" s="24" t="inlineStr">
        <is>
          <t>Eccentricity along c1 (y)  MEd,1 / VEd,red</t>
        </is>
      </c>
      <c r="D122" s="27" t="inlineStr">
        <is>
          <r>
            <rPr>
              <rFont val="Calibri"/>
              <i val="1"/>
              <color rgb="002B2B2B"/>
              <sz val="10"/>
            </rPr>
            <t>e</t>
          </r>
          <r>
            <rPr>
              <rFont val="Calibri"/>
              <i val="1"/>
              <color rgb="002B2B2B"/>
              <sz val="10"/>
              <vertAlign val="subscript"/>
            </rPr>
            <t>1</t>
          </r>
        </is>
      </c>
      <c r="E122" s="45">
        <f>M_1/V_Edred*1000</f>
        <v/>
      </c>
      <c r="F122" s="28" t="inlineStr">
        <is>
          <t>mm</t>
        </is>
      </c>
      <c r="G122" s="23" t="n"/>
    </row>
    <row r="123" ht="17" customHeight="1">
      <c r="B123" s="26" t="inlineStr">
        <is>
          <t>6.4.3(3)</t>
        </is>
      </c>
      <c r="C123" s="24" t="inlineStr">
        <is>
          <t>Eccentricity along c2 (z)  MEd,2 / VEd,red</t>
        </is>
      </c>
      <c r="D123" s="27" t="inlineStr">
        <is>
          <r>
            <rPr>
              <rFont val="Calibri"/>
              <i val="1"/>
              <color rgb="002B2B2B"/>
              <sz val="10"/>
            </rPr>
            <t>e</t>
          </r>
          <r>
            <rPr>
              <rFont val="Calibri"/>
              <i val="1"/>
              <color rgb="002B2B2B"/>
              <sz val="10"/>
              <vertAlign val="subscript"/>
            </rPr>
            <t>2</t>
          </r>
        </is>
      </c>
      <c r="E123" s="45">
        <f>M_2/V_Edred*1000</f>
        <v/>
      </c>
      <c r="F123" s="28" t="inlineStr">
        <is>
          <t>mm</t>
        </is>
      </c>
      <c r="G123" s="23" t="n"/>
    </row>
    <row r="124" ht="17" customHeight="1">
      <c r="B124" s="26" t="inlineStr">
        <is>
          <t>Table 6.1</t>
        </is>
      </c>
      <c r="C124" s="24" t="inlineStr">
        <is>
          <t>k for eccentricity along c1  (ratio c1/c2)</t>
        </is>
      </c>
      <c r="D124" s="27" t="inlineStr">
        <is>
          <r>
            <rPr>
              <rFont val="Calibri"/>
              <i val="1"/>
              <color rgb="002B2B2B"/>
              <sz val="10"/>
            </rPr>
            <t>k</t>
          </r>
          <r>
            <rPr>
              <rFont val="Calibri"/>
              <i val="1"/>
              <color rgb="002B2B2B"/>
              <sz val="10"/>
              <vertAlign val="subscript"/>
            </rPr>
            <t>1</t>
          </r>
        </is>
      </c>
      <c r="E124" s="44">
        <f>IF(eq_c1/eq_c2&lt;=0.5,0.45,IF(eq_c1/eq_c2&lt;=1,0.45+0.3*(eq_c1/eq_c2-0.5),IF(eq_c1/eq_c2&lt;=2,0.6+0.1*(eq_c1/eq_c2-1),IF(eq_c1/eq_c2&lt;=3,0.7+0.1*(eq_c1/eq_c2-2),0.8))))</f>
        <v/>
      </c>
      <c r="F124" s="23" t="n"/>
      <c r="G124" s="26" t="inlineStr">
        <is>
          <t>Internal</t>
        </is>
      </c>
    </row>
    <row r="125" ht="17" customHeight="1">
      <c r="B125" s="26" t="inlineStr">
        <is>
          <t>Table 6.1</t>
        </is>
      </c>
      <c r="C125" s="24" t="inlineStr">
        <is>
          <t>k for eccentricity along c2  (ratio c2/c1)</t>
        </is>
      </c>
      <c r="D125" s="27" t="inlineStr">
        <is>
          <r>
            <rPr>
              <rFont val="Calibri"/>
              <i val="1"/>
              <color rgb="002B2B2B"/>
              <sz val="10"/>
            </rPr>
            <t>k</t>
          </r>
          <r>
            <rPr>
              <rFont val="Calibri"/>
              <i val="1"/>
              <color rgb="002B2B2B"/>
              <sz val="10"/>
              <vertAlign val="subscript"/>
            </rPr>
            <t>2</t>
          </r>
        </is>
      </c>
      <c r="E125" s="44">
        <f>IF(eq_c2/eq_c1&lt;=0.5,0.45,IF(eq_c2/eq_c1&lt;=1,0.45+0.3*(eq_c2/eq_c1-0.5),IF(eq_c2/eq_c1&lt;=2,0.6+0.1*(eq_c2/eq_c1-1),IF(eq_c2/eq_c1&lt;=3,0.7+0.1*(eq_c2/eq_c1-2),0.8))))</f>
        <v/>
      </c>
      <c r="F125" s="23" t="n"/>
      <c r="G125" s="26" t="inlineStr">
        <is>
          <t>Internal</t>
        </is>
      </c>
    </row>
    <row r="126" ht="17" customHeight="1">
      <c r="B126" s="26" t="inlineStr">
        <is>
          <t>(6.41)</t>
        </is>
      </c>
      <c r="C126" s="24" t="inlineStr">
        <is>
          <t>W1 for eccentricity along c1</t>
        </is>
      </c>
      <c r="D126" s="27" t="inlineStr">
        <is>
          <r>
            <rPr>
              <rFont val="Calibri"/>
              <i val="1"/>
              <color rgb="002B2B2B"/>
              <sz val="10"/>
            </rPr>
            <t>W</t>
          </r>
          <r>
            <rPr>
              <rFont val="Calibri"/>
              <i val="1"/>
              <color rgb="002B2B2B"/>
              <sz val="10"/>
              <vertAlign val="subscript"/>
            </rPr>
            <t>1,1</t>
          </r>
        </is>
      </c>
      <c r="E126" s="45">
        <f>eq_c1^2/2+eq_c1*eq_c2+4*eq_c2*d_eff+16*d_eff^2+2*PI()*d_eff*eq_c1</f>
        <v/>
      </c>
      <c r="F126" s="28" t="inlineStr">
        <is>
          <t>mm²</t>
        </is>
      </c>
      <c r="G126" s="26" t="inlineStr">
        <is>
          <t>Internal</t>
        </is>
      </c>
    </row>
    <row r="127" ht="17" customHeight="1">
      <c r="B127" s="26" t="inlineStr">
        <is>
          <t>(6.41)</t>
        </is>
      </c>
      <c r="C127" s="24" t="inlineStr">
        <is>
          <t>W1 for eccentricity along c2</t>
        </is>
      </c>
      <c r="D127" s="27" t="inlineStr">
        <is>
          <r>
            <rPr>
              <rFont val="Calibri"/>
              <i val="1"/>
              <color rgb="002B2B2B"/>
              <sz val="10"/>
            </rPr>
            <t>W</t>
          </r>
          <r>
            <rPr>
              <rFont val="Calibri"/>
              <i val="1"/>
              <color rgb="002B2B2B"/>
              <sz val="10"/>
              <vertAlign val="subscript"/>
            </rPr>
            <t>1,2</t>
          </r>
        </is>
      </c>
      <c r="E127" s="45">
        <f>eq_c2^2/2+eq_c1*eq_c2+4*eq_c1*d_eff+16*d_eff^2+2*PI()*d_eff*eq_c2</f>
        <v/>
      </c>
      <c r="F127" s="28" t="inlineStr">
        <is>
          <t>mm²</t>
        </is>
      </c>
      <c r="G127" s="26" t="inlineStr">
        <is>
          <t>Internal</t>
        </is>
      </c>
    </row>
    <row r="128" ht="17" customHeight="1">
      <c r="B128" s="26" t="inlineStr">
        <is>
          <t>Fig. 6.13</t>
        </is>
      </c>
      <c r="C128" s="24" t="inlineStr">
        <is>
          <t>Control perimeter dimension in y  c1 + 4d</t>
        </is>
      </c>
      <c r="D128" s="27" t="inlineStr">
        <is>
          <r>
            <rPr>
              <rFont val="Calibri"/>
              <i val="1"/>
              <color rgb="002B2B2B"/>
              <sz val="10"/>
            </rPr>
            <t>b</t>
          </r>
          <r>
            <rPr>
              <rFont val="Calibri"/>
              <i val="1"/>
              <color rgb="002B2B2B"/>
              <sz val="10"/>
              <vertAlign val="subscript"/>
            </rPr>
            <t>y</t>
          </r>
        </is>
      </c>
      <c r="E128" s="45">
        <f>eq_c1+4*d_eff</f>
        <v/>
      </c>
      <c r="F128" s="28" t="inlineStr">
        <is>
          <t>mm</t>
        </is>
      </c>
      <c r="G128" s="26" t="inlineStr">
        <is>
          <t>Internal, (6.43)</t>
        </is>
      </c>
    </row>
    <row r="129" ht="17" customHeight="1">
      <c r="B129" s="26" t="inlineStr">
        <is>
          <t>Fig. 6.13</t>
        </is>
      </c>
      <c r="C129" s="24" t="inlineStr">
        <is>
          <t>Control perimeter dimension in z  c2 + 4d</t>
        </is>
      </c>
      <c r="D129" s="27" t="inlineStr">
        <is>
          <r>
            <rPr>
              <rFont val="Calibri"/>
              <i val="1"/>
              <color rgb="002B2B2B"/>
              <sz val="10"/>
            </rPr>
            <t>b</t>
          </r>
          <r>
            <rPr>
              <rFont val="Calibri"/>
              <i val="1"/>
              <color rgb="002B2B2B"/>
              <sz val="10"/>
              <vertAlign val="subscript"/>
            </rPr>
            <t>z</t>
          </r>
        </is>
      </c>
      <c r="E129" s="45">
        <f>eq_c2+4*d_eff</f>
        <v/>
      </c>
      <c r="F129" s="28" t="inlineStr">
        <is>
          <t>mm</t>
        </is>
      </c>
      <c r="G129" s="26" t="inlineStr">
        <is>
          <t>Internal, (6.43)</t>
        </is>
      </c>
    </row>
    <row r="130" ht="17" customHeight="1">
      <c r="B130" s="26" t="inlineStr">
        <is>
          <t>Fig. 6.20</t>
        </is>
      </c>
      <c r="C130" s="24" t="inlineStr">
        <is>
          <t>Reduced basic control perimeter</t>
        </is>
      </c>
      <c r="D130" s="27" t="inlineStr">
        <is>
          <r>
            <rPr>
              <rFont val="Calibri"/>
              <i val="1"/>
              <color rgb="002B2B2B"/>
              <sz val="10"/>
            </rPr>
            <t>u</t>
          </r>
          <r>
            <rPr>
              <rFont val="Calibri"/>
              <i val="1"/>
              <color rgb="002B2B2B"/>
              <sz val="10"/>
              <vertAlign val="subscript"/>
            </rPr>
            <t>1*</t>
          </r>
        </is>
      </c>
      <c r="E130" s="45">
        <f>CHOOSE(pos_idx,u_1,eq_c2+2*MIN(1.5*d_eff,0.5*eq_c1)+2*PI()*d_eff,MIN(1.5*d_eff,0.5*eq_c1)+MIN(1.5*d_eff,0.5*eq_c2)+PI()*d_eff)</f>
        <v/>
      </c>
      <c r="F130" s="28" t="inlineStr">
        <is>
          <t>mm</t>
        </is>
      </c>
      <c r="G130" s="26" t="inlineStr">
        <is>
          <t>Edge and corner</t>
        </is>
      </c>
    </row>
    <row r="131" ht="17" customHeight="1">
      <c r="B131" s="26" t="inlineStr">
        <is>
          <t>Table 6.1</t>
        </is>
      </c>
      <c r="C131" s="24" t="inlineStr">
        <is>
          <t>k for edge column  (ratio c1 / 2c2)</t>
        </is>
      </c>
      <c r="D131" s="27" t="inlineStr">
        <is>
          <r>
            <rPr>
              <rFont val="Calibri"/>
              <i val="1"/>
              <color rgb="002B2B2B"/>
              <sz val="10"/>
            </rPr>
            <t>k</t>
          </r>
        </is>
      </c>
      <c r="E131" s="44">
        <f>IF(eq_c1/(2*eq_c2)&lt;=0.5,0.45,IF(eq_c1/(2*eq_c2)&lt;=1,0.45+0.3*(eq_c1/(2*eq_c2)-0.5),IF(eq_c1/(2*eq_c2)&lt;=2,0.6+0.1*(eq_c1/(2*eq_c2)-1),IF(eq_c1/(2*eq_c2)&lt;=3,0.7+0.1*(eq_c1/(2*eq_c2)-2),0.8))))</f>
        <v/>
      </c>
      <c r="F131" s="23" t="n"/>
      <c r="G131" s="26" t="inlineStr">
        <is>
          <t>Edge</t>
        </is>
      </c>
    </row>
    <row r="132" ht="17" customHeight="1">
      <c r="B132" s="26" t="inlineStr">
        <is>
          <t>(6.45)</t>
        </is>
      </c>
      <c r="C132" s="24" t="inlineStr">
        <is>
          <t>W1 for edge column</t>
        </is>
      </c>
      <c r="D132" s="27" t="inlineStr">
        <is>
          <r>
            <rPr>
              <rFont val="Calibri"/>
              <i val="1"/>
              <color rgb="002B2B2B"/>
              <sz val="10"/>
            </rPr>
            <t>W</t>
          </r>
          <r>
            <rPr>
              <rFont val="Calibri"/>
              <i val="1"/>
              <color rgb="002B2B2B"/>
              <sz val="10"/>
              <vertAlign val="subscript"/>
            </rPr>
            <t>1</t>
          </r>
        </is>
      </c>
      <c r="E132" s="45">
        <f>eq_c2^2/4+eq_c1*eq_c2+4*eq_c1*d_eff+8*d_eff^2+PI()*d_eff*eq_c2</f>
        <v/>
      </c>
      <c r="F132" s="28" t="inlineStr">
        <is>
          <t>mm²</t>
        </is>
      </c>
      <c r="G132" s="26" t="inlineStr">
        <is>
          <t>Edge</t>
        </is>
      </c>
    </row>
    <row r="133" ht="17" customHeight="1">
      <c r="B133" s="26" t="inlineStr">
        <is>
          <t>(6.39) (6.42) (6.43) (6.44) (6.46)</t>
        </is>
      </c>
      <c r="C133" s="24" t="inlineStr">
        <is>
          <t>β calculated</t>
        </is>
      </c>
      <c r="D133" s="27" t="inlineStr">
        <is>
          <r>
            <rPr>
              <rFont val="Calibri"/>
              <i val="1"/>
              <color rgb="002B2B2B"/>
              <sz val="10"/>
            </rPr>
            <t>β</t>
          </r>
          <r>
            <rPr>
              <rFont val="Calibri"/>
              <i val="1"/>
              <color rgb="002B2B2B"/>
              <sz val="10"/>
              <vertAlign val="subscript"/>
            </rPr>
            <t>calc</t>
          </r>
        </is>
      </c>
      <c r="E133" s="44">
        <f>IF(circ_int,1+0.6*PI()*SQRT(e_1^2+e_2^2)/(eq_c1+4*d_eff),CHOOSE(pos_idx,IF(AND(e_1&gt;0,e_2&gt;0),1+1.8*MAX(SQRT((e_1/b_z)^2+(e_2/b_y)^2),SQRT((e_1/b_y)^2+(e_2/b_z)^2)),1+k_e1*e_1*u_1/W_11+k_e2*e_2*u_1/W_12),u_1/u_1s+k_edge*u_1/W_1e*e_2,u_1/u_1s))</f>
        <v/>
      </c>
      <c r="F133" s="23" t="n"/>
      <c r="G133" s="23" t="n"/>
    </row>
    <row r="134" ht="66.5" customHeight="1">
      <c r="B134" s="42" t="inlineStr">
        <is>
          <t>Circular (internal): (6.42) with e = √(e1² + e2²). Internal: one moment → (6.39) with W1 (6.41); both moments → (6.43), printed in EN 1992-1-1:2004 as ey/bz, ez/by (Fig. 6.13); published copies differ, so the larger of the two axis pairings is used (conservative). Edge and corner: eccentricity perpendicular to the edge is taken towards the slab interior (6.4.3(4), (5)); MEd,2 gives epar for (6.44). If it acts towards the exterior, (6.39) applies and this sheet should not be used. With a set-back a1, a2 the reduced perimeter u1* is kept as for a flush column, so β = u1/u1* grows with the set-back (conservative).</t>
        </is>
      </c>
    </row>
    <row r="135" ht="17" customHeight="1">
      <c r="B135" s="26" t="inlineStr">
        <is>
          <t>6.4.3</t>
        </is>
      </c>
      <c r="C135" s="24" t="inlineStr">
        <is>
          <t>Load enhancement factor used</t>
        </is>
      </c>
      <c r="D135" s="27" t="inlineStr">
        <is>
          <r>
            <rPr>
              <rFont val="Calibri"/>
              <i val="1"/>
              <color rgb="002B2B2B"/>
              <sz val="10"/>
            </rPr>
            <t>β</t>
          </r>
        </is>
      </c>
      <c r="E135" s="49">
        <f>CHOOSE(MATCH(beta_method,{"Simplified","Calculated","User value"},0),CHOOSE(pos_idx,1.15,1.4,1.5),beta_calc,beta_user)</f>
        <v/>
      </c>
      <c r="F135" s="23" t="n"/>
      <c r="G135" s="23" t="n"/>
    </row>
    <row r="136" ht="17" customHeight="1">
      <c r="B136" s="26" t="inlineStr">
        <is>
          <t>6.4.3</t>
        </is>
      </c>
      <c r="C136" s="24" t="inlineStr">
        <is>
          <t>β at the column face (calculated β with the full VEd)</t>
        </is>
      </c>
      <c r="D136" s="27" t="inlineStr">
        <is>
          <r>
            <rPr>
              <rFont val="Calibri"/>
              <i val="1"/>
              <color rgb="002B2B2B"/>
              <sz val="10"/>
            </rPr>
            <t>β</t>
          </r>
          <r>
            <rPr>
              <rFont val="Calibri"/>
              <i val="1"/>
              <color rgb="002B2B2B"/>
              <sz val="10"/>
              <vertAlign val="subscript"/>
            </rPr>
            <t>0</t>
          </r>
        </is>
      </c>
      <c r="E136" s="44">
        <f>IF(beta_method="Calculated",CHOOSE(pos_idx,1,u_1/u_1s,u_1/u_1s)+(beta_calc-CHOOSE(pos_idx,1,u_1/u_1s,u_1/u_1s))*V_Edred/V_Ed,beta_p)</f>
        <v/>
      </c>
      <c r="F136" s="23" t="n"/>
      <c r="G136" s="26" t="inlineStr">
        <is>
          <t>Eccentricity M / VEd</t>
        </is>
      </c>
    </row>
    <row r="137" ht="17" customHeight="1">
      <c r="B137" s="26" t="inlineStr">
        <is>
          <t>6.4.4(1)</t>
        </is>
      </c>
      <c r="C137" s="24" t="inlineStr">
        <is>
          <t>Size factor  1 + √(200/d) ≤ 2</t>
        </is>
      </c>
      <c r="D137" s="27" t="inlineStr">
        <is>
          <r>
            <rPr>
              <rFont val="Calibri"/>
              <i val="1"/>
              <color rgb="002B2B2B"/>
              <sz val="10"/>
            </rPr>
            <t>k</t>
          </r>
        </is>
      </c>
      <c r="E137" s="44">
        <f>MIN(2,1+SQRT(200/d_eff))</f>
        <v/>
      </c>
      <c r="F137" s="23" t="n"/>
      <c r="G137" s="23" t="n"/>
    </row>
    <row r="138" ht="17" customHeight="1">
      <c r="B138" s="26" t="inlineStr">
        <is>
          <t>6.4.4(1)</t>
        </is>
      </c>
      <c r="C138" s="24" t="inlineStr">
        <is>
          <t>Reinforcement ratio, y</t>
        </is>
      </c>
      <c r="D138" s="27" t="inlineStr">
        <is>
          <r>
            <rPr>
              <rFont val="Calibri"/>
              <i val="1"/>
              <color rgb="002B2B2B"/>
              <sz val="10"/>
            </rPr>
            <t>ρ</t>
          </r>
          <r>
            <rPr>
              <rFont val="Calibri"/>
              <i val="1"/>
              <color rgb="002B2B2B"/>
              <sz val="10"/>
              <vertAlign val="subscript"/>
            </rPr>
            <t>ly</t>
          </r>
        </is>
      </c>
      <c r="E138" s="50">
        <f>A_sy/(1000*d_y)</f>
        <v/>
      </c>
      <c r="F138" s="23" t="n"/>
      <c r="G138" s="23" t="n"/>
    </row>
    <row r="139" ht="17" customHeight="1">
      <c r="B139" s="26" t="inlineStr">
        <is>
          <t>6.4.4(1)</t>
        </is>
      </c>
      <c r="C139" s="24" t="inlineStr">
        <is>
          <t>Reinforcement ratio, z</t>
        </is>
      </c>
      <c r="D139" s="27" t="inlineStr">
        <is>
          <r>
            <rPr>
              <rFont val="Calibri"/>
              <i val="1"/>
              <color rgb="002B2B2B"/>
              <sz val="10"/>
            </rPr>
            <t>ρ</t>
          </r>
          <r>
            <rPr>
              <rFont val="Calibri"/>
              <i val="1"/>
              <color rgb="002B2B2B"/>
              <sz val="10"/>
              <vertAlign val="subscript"/>
            </rPr>
            <t>lz</t>
          </r>
        </is>
      </c>
      <c r="E139" s="50">
        <f>A_sz/(1000*d_z)</f>
        <v/>
      </c>
      <c r="F139" s="23" t="n"/>
      <c r="G139" s="23" t="n"/>
    </row>
    <row r="140" ht="17" customHeight="1">
      <c r="B140" s="26" t="inlineStr">
        <is>
          <t>6.4.4(1)</t>
        </is>
      </c>
      <c r="C140" s="24" t="inlineStr">
        <is>
          <t>Mean ratio  √(ρly·ρlz) ≤ 0.02</t>
        </is>
      </c>
      <c r="D140" s="27" t="inlineStr">
        <is>
          <r>
            <rPr>
              <rFont val="Calibri"/>
              <i val="1"/>
              <color rgb="002B2B2B"/>
              <sz val="10"/>
            </rPr>
            <t>ρ</t>
          </r>
          <r>
            <rPr>
              <rFont val="Calibri"/>
              <i val="1"/>
              <color rgb="002B2B2B"/>
              <sz val="10"/>
              <vertAlign val="subscript"/>
            </rPr>
            <t>l</t>
          </r>
        </is>
      </c>
      <c r="E140" s="50">
        <f>MIN(0.02,SQRT(rho_ly*rho_lz))</f>
        <v/>
      </c>
      <c r="F140" s="23" t="n"/>
      <c r="G140" s="23" t="n"/>
    </row>
    <row r="141" ht="17" customHeight="1">
      <c r="B141" s="26" t="inlineStr">
        <is>
          <t>(6.3N)</t>
        </is>
      </c>
      <c r="C141" s="24" t="inlineStr">
        <is>
          <t>Minimum shear resistance</t>
        </is>
      </c>
      <c r="D141" s="27" t="inlineStr">
        <is>
          <r>
            <rPr>
              <rFont val="Calibri"/>
              <i val="1"/>
              <color rgb="002B2B2B"/>
              <sz val="10"/>
            </rPr>
            <t>v</t>
          </r>
          <r>
            <rPr>
              <rFont val="Calibri"/>
              <i val="1"/>
              <color rgb="002B2B2B"/>
              <sz val="10"/>
              <vertAlign val="subscript"/>
            </rPr>
            <t>min</t>
          </r>
        </is>
      </c>
      <c r="E141" s="44">
        <f>0.035*k_size^1.5*SQRT(f_ck)</f>
        <v/>
      </c>
      <c r="F141" s="28" t="inlineStr">
        <is>
          <t>MPa</t>
        </is>
      </c>
      <c r="G141" s="23" t="n"/>
    </row>
    <row r="142" ht="17" customHeight="1">
      <c r="B142" s="26" t="inlineStr">
        <is>
          <t>(6.47)</t>
        </is>
      </c>
      <c r="C142" s="24" t="inlineStr">
        <is>
          <t>Punching resistance without shear reinforcement</t>
        </is>
      </c>
      <c r="D142" s="27" t="inlineStr">
        <is>
          <r>
            <rPr>
              <rFont val="Calibri"/>
              <i val="1"/>
              <color rgb="002B2B2B"/>
              <sz val="10"/>
            </rPr>
            <t>v</t>
          </r>
          <r>
            <rPr>
              <rFont val="Calibri"/>
              <i val="1"/>
              <color rgb="002B2B2B"/>
              <sz val="10"/>
              <vertAlign val="subscript"/>
            </rPr>
            <t>Rd,c</t>
          </r>
        </is>
      </c>
      <c r="E142" s="49">
        <f>MAX(C_Rdc*k_size*(100*rho_l*f_ck)^(1/3),v_min)+k1_p*sigma_cp</f>
        <v/>
      </c>
      <c r="F142" s="28" t="inlineStr">
        <is>
          <t>MPa</t>
        </is>
      </c>
      <c r="G142" s="23" t="n"/>
    </row>
    <row r="143" ht="17" customHeight="1">
      <c r="B143" s="26" t="inlineStr">
        <is>
          <t>(6.6N)</t>
        </is>
      </c>
      <c r="C143" s="24" t="inlineStr">
        <is>
          <t>Strength reduction factor  0.6(1 − fck/250)</t>
        </is>
      </c>
      <c r="D143" s="27" t="inlineStr">
        <is>
          <r>
            <rPr>
              <rFont val="Calibri"/>
              <i val="1"/>
              <color rgb="002B2B2B"/>
              <sz val="10"/>
            </rPr>
            <t>ν</t>
          </r>
        </is>
      </c>
      <c r="E143" s="44">
        <f>0.6*(1-f_ck/250)</f>
        <v/>
      </c>
      <c r="F143" s="23" t="n"/>
      <c r="G143" s="23" t="n"/>
    </row>
    <row r="144" ht="17" customHeight="1">
      <c r="B144" s="26" t="inlineStr">
        <is>
          <t>3.1.6(1)</t>
        </is>
      </c>
      <c r="C144" s="24" t="inlineStr">
        <is>
          <t>Design compressive strength</t>
        </is>
      </c>
      <c r="D144" s="27" t="inlineStr">
        <is>
          <r>
            <rPr>
              <rFont val="Calibri"/>
              <i val="1"/>
              <color rgb="002B2B2B"/>
              <sz val="10"/>
            </rPr>
            <t>f</t>
          </r>
          <r>
            <rPr>
              <rFont val="Calibri"/>
              <i val="1"/>
              <color rgb="002B2B2B"/>
              <sz val="10"/>
              <vertAlign val="subscript"/>
            </rPr>
            <t>cd</t>
          </r>
        </is>
      </c>
      <c r="E144" s="43">
        <f>alpha_cc_shear*f_ck/gamma_c</f>
        <v/>
      </c>
      <c r="F144" s="28" t="inlineStr">
        <is>
          <t>MPa</t>
        </is>
      </c>
      <c r="G144" s="23" t="n"/>
    </row>
    <row r="145" ht="17" customHeight="1">
      <c r="B145" s="26" t="inlineStr">
        <is>
          <t>6.4.5(3)</t>
        </is>
      </c>
      <c r="C145" s="24" t="inlineStr">
        <is>
          <t>Maximum punching shear stress</t>
        </is>
      </c>
      <c r="D145" s="27" t="inlineStr">
        <is>
          <r>
            <rPr>
              <rFont val="Calibri"/>
              <i val="1"/>
              <color rgb="002B2B2B"/>
              <sz val="10"/>
            </rPr>
            <t>v</t>
          </r>
          <r>
            <rPr>
              <rFont val="Calibri"/>
              <i val="1"/>
              <color rgb="002B2B2B"/>
              <sz val="10"/>
              <vertAlign val="subscript"/>
            </rPr>
            <t>Rd,max</t>
          </r>
        </is>
      </c>
      <c r="E145" s="44">
        <f>vmax*nu_v*f_cd</f>
        <v/>
      </c>
      <c r="F145" s="28" t="inlineStr">
        <is>
          <t>MPa</t>
        </is>
      </c>
      <c r="G145" s="23" t="n"/>
    </row>
    <row r="146" ht="17" customHeight="1">
      <c r="B146" s="26" t="inlineStr">
        <is>
          <t>(6.53)</t>
        </is>
      </c>
      <c r="C146" s="24" t="inlineStr">
        <is>
          <t>Shear stress at column face (full VEd)</t>
        </is>
      </c>
      <c r="D146" s="27" t="inlineStr">
        <is>
          <r>
            <rPr>
              <rFont val="Calibri"/>
              <i val="1"/>
              <color rgb="002B2B2B"/>
              <sz val="10"/>
            </rPr>
            <t>v</t>
          </r>
          <r>
            <rPr>
              <rFont val="Calibri"/>
              <i val="1"/>
              <color rgb="002B2B2B"/>
              <sz val="10"/>
              <vertAlign val="subscript"/>
            </rPr>
            <t>Ed,0</t>
          </r>
        </is>
      </c>
      <c r="E146" s="44">
        <f>beta_0*V_Ed*1000/(u_0*d_eff)</f>
        <v/>
      </c>
      <c r="F146" s="28" t="inlineStr">
        <is>
          <t>MPa</t>
        </is>
      </c>
      <c r="G146" s="33">
        <f>IF(NOT(inputs_ok),"FAIL",IF(v_Ed0&lt;=v_Rdmax,"OK","FAIL"))</f>
        <v/>
      </c>
    </row>
    <row r="147" ht="17" customHeight="1">
      <c r="B147" s="26" t="inlineStr">
        <is>
          <t>(6.38)</t>
        </is>
      </c>
      <c r="C147" s="24" t="inlineStr">
        <is>
          <t>Shear stress at basic control perimeter</t>
        </is>
      </c>
      <c r="D147" s="27" t="inlineStr">
        <is>
          <r>
            <rPr>
              <rFont val="Calibri"/>
              <i val="1"/>
              <color rgb="002B2B2B"/>
              <sz val="10"/>
            </rPr>
            <t>v</t>
          </r>
          <r>
            <rPr>
              <rFont val="Calibri"/>
              <i val="1"/>
              <color rgb="002B2B2B"/>
              <sz val="10"/>
              <vertAlign val="subscript"/>
            </rPr>
            <t>Ed</t>
          </r>
        </is>
      </c>
      <c r="E147" s="44">
        <f>beta_p*V_Edred*1000/(u_1*d_eff)</f>
        <v/>
      </c>
      <c r="F147" s="28" t="inlineStr">
        <is>
          <t>MPa</t>
        </is>
      </c>
      <c r="G147" s="33">
        <f>IF(NOT(inputs_ok),"FAIL",IF(v_Ed1&lt;=v_Rdc,"OK","! Reinf. required"))</f>
        <v/>
      </c>
    </row>
    <row r="148" ht="17" customHeight="1">
      <c r="B148" s="26" t="inlineStr">
        <is>
          <t>6.4.5</t>
        </is>
      </c>
      <c r="C148" s="24" t="inlineStr">
        <is>
          <t>Maximum with shear reinforcement  kmax · vRd,c</t>
        </is>
      </c>
      <c r="D148" s="27" t="inlineStr">
        <is>
          <r>
            <rPr>
              <rFont val="Calibri"/>
              <i val="1"/>
              <color rgb="002B2B2B"/>
              <sz val="10"/>
            </rPr>
            <t>v</t>
          </r>
          <r>
            <rPr>
              <rFont val="Calibri"/>
              <i val="1"/>
              <color rgb="002B2B2B"/>
              <sz val="10"/>
              <vertAlign val="subscript"/>
            </rPr>
            <t>Rd,max,cs</t>
          </r>
        </is>
      </c>
      <c r="E148" s="44">
        <f>k_max*v_Rdc</f>
        <v/>
      </c>
      <c r="F148" s="28" t="inlineStr">
        <is>
          <t>MPa</t>
        </is>
      </c>
      <c r="G148" s="33">
        <f>IF(NOT(inputs_ok),"FAIL",IF(v_Ed1&lt;=k_max*v_Rdc,"OK","FAIL"))</f>
        <v/>
      </c>
    </row>
    <row r="149" ht="17" customHeight="1">
      <c r="B149" s="26" t="inlineStr">
        <is>
          <t>3.2.7</t>
        </is>
      </c>
      <c r="C149" s="24" t="inlineStr">
        <is>
          <t>Design yield strength of shear reinforcement</t>
        </is>
      </c>
      <c r="D149" s="27" t="inlineStr">
        <is>
          <r>
            <rPr>
              <rFont val="Calibri"/>
              <i val="1"/>
              <color rgb="002B2B2B"/>
              <sz val="10"/>
            </rPr>
            <t>f</t>
          </r>
          <r>
            <rPr>
              <rFont val="Calibri"/>
              <i val="1"/>
              <color rgb="002B2B2B"/>
              <sz val="10"/>
              <vertAlign val="subscript"/>
            </rPr>
            <t>ywd</t>
          </r>
        </is>
      </c>
      <c r="E149" s="47">
        <f>f_ywk/gamma_s</f>
        <v/>
      </c>
      <c r="F149" s="28" t="inlineStr">
        <is>
          <t>MPa</t>
        </is>
      </c>
      <c r="G149" s="23" t="n"/>
    </row>
    <row r="150" ht="17" customHeight="1">
      <c r="B150" s="26" t="inlineStr">
        <is>
          <t>6.4.5(1)</t>
        </is>
      </c>
      <c r="C150" s="24" t="inlineStr">
        <is>
          <t>Effective design strength  250 + 0.25d ≤ fywd</t>
        </is>
      </c>
      <c r="D150" s="27" t="inlineStr">
        <is>
          <r>
            <rPr>
              <rFont val="Calibri"/>
              <i val="1"/>
              <color rgb="002B2B2B"/>
              <sz val="10"/>
            </rPr>
            <t>f</t>
          </r>
          <r>
            <rPr>
              <rFont val="Calibri"/>
              <i val="1"/>
              <color rgb="002B2B2B"/>
              <sz val="10"/>
              <vertAlign val="subscript"/>
            </rPr>
            <t>ywd,ef</t>
          </r>
        </is>
      </c>
      <c r="E150" s="47">
        <f>MIN(250+0.25*d_eff,f_ywd)</f>
        <v/>
      </c>
      <c r="F150" s="28" t="inlineStr">
        <is>
          <t>MPa</t>
        </is>
      </c>
      <c r="G150" s="23" t="n"/>
    </row>
    <row r="151" ht="17" customHeight="1">
      <c r="B151" s="26" t="inlineStr">
        <is>
          <t>(6.52)</t>
        </is>
      </c>
      <c r="C151" s="24" t="inlineStr">
        <is>
          <t>Required area per perimeter (sin α = 1)</t>
        </is>
      </c>
      <c r="D151" s="27" t="inlineStr">
        <is>
          <r>
            <rPr>
              <rFont val="Calibri"/>
              <i val="1"/>
              <color rgb="002B2B2B"/>
              <sz val="10"/>
            </rPr>
            <t>A</t>
          </r>
          <r>
            <rPr>
              <rFont val="Calibri"/>
              <i val="1"/>
              <color rgb="002B2B2B"/>
              <sz val="10"/>
              <vertAlign val="subscript"/>
            </rPr>
            <t>sw</t>
          </r>
        </is>
      </c>
      <c r="E151" s="46">
        <f>IF(v_Ed1&gt;v_Rdc,(v_Ed1-0.75*v_Rdc)*u_1*s_r/(1.5*f_ywdef),0)</f>
        <v/>
      </c>
      <c r="F151" s="28" t="inlineStr">
        <is>
          <t>mm²</t>
        </is>
      </c>
      <c r="G151" s="23" t="n"/>
    </row>
    <row r="152" ht="17" customHeight="1">
      <c r="B152" s="26" t="inlineStr">
        <is>
          <t>(6.54)</t>
        </is>
      </c>
      <c r="C152" s="24" t="inlineStr">
        <is>
          <t>Outer perimeter where no reinforcement is required</t>
        </is>
      </c>
      <c r="D152" s="27" t="inlineStr">
        <is>
          <r>
            <rPr>
              <rFont val="Calibri"/>
              <i val="1"/>
              <color rgb="002B2B2B"/>
              <sz val="10"/>
            </rPr>
            <t>u</t>
          </r>
          <r>
            <rPr>
              <rFont val="Calibri"/>
              <i val="1"/>
              <color rgb="002B2B2B"/>
              <sz val="10"/>
              <vertAlign val="subscript"/>
            </rPr>
            <t>out,ef</t>
          </r>
        </is>
      </c>
      <c r="E152" s="45">
        <f>beta_p*V_Edred*1000/(v_Rdc*d_eff)</f>
        <v/>
      </c>
      <c r="F152" s="28" t="inlineStr">
        <is>
          <t>mm</t>
        </is>
      </c>
      <c r="G152" s="23" t="n"/>
    </row>
    <row r="153" ht="17" customHeight="1">
      <c r="B153" s="26" t="inlineStr">
        <is>
          <t>6.4.5(4)</t>
        </is>
      </c>
      <c r="C153" s="24" t="inlineStr">
        <is>
          <t>Distance of uout,ef from column face  (shortest perimeter governs)</t>
        </is>
      </c>
      <c r="D153" s="27" t="inlineStr">
        <is>
          <r>
            <rPr>
              <rFont val="Calibri"/>
              <i val="1"/>
              <color rgb="002B2B2B"/>
              <sz val="10"/>
            </rPr>
            <t>r</t>
          </r>
          <r>
            <rPr>
              <rFont val="Calibri"/>
              <i val="1"/>
              <color rgb="002B2B2B"/>
              <sz val="10"/>
              <vertAlign val="subscript"/>
            </rPr>
            <t>out</t>
          </r>
        </is>
      </c>
      <c r="E153" s="45">
        <f>IF(circ_int,MAX(0,(u_outef-PI()*eq_c1)/(2*PI())),CHOOSE(pos_idx,MAX(0,(u_outef-2*(eq_c1+eq_c2))/(2*PI())),MAX(MAX(0,(u_outef-2*(eq_c1+eq_c2))/(2*PI())),MAX(0,(u_outef-(eq_c2+2*(eq_c1+eq_a1)))/PI())),MAX(MAX(0,(u_outef-2*(eq_c1+eq_c2))/(2*PI())),MAX(0,(u_outef-((eq_c1+eq_a1)+(eq_c2+eq_a2)))/(PI()/2)),MIN(MAX(0,(u_outef-(eq_c2+2*(eq_c1+eq_a1)))/PI()),eq_a2),MIN(MAX(0,(u_outef-(eq_c1+2*(eq_c2+eq_a2)))/PI()),eq_a1))))</f>
        <v/>
      </c>
      <c r="F153" s="28" t="inlineStr">
        <is>
          <t>mm</t>
        </is>
      </c>
      <c r="G153" s="23" t="n"/>
    </row>
    <row r="154" ht="17" customHeight="1">
      <c r="B154" s="26" t="inlineStr">
        <is>
          <t>6.4.2(4)</t>
        </is>
      </c>
      <c r="C154" s="24" t="inlineStr">
        <is>
          <t>Shape of uout,ef  (1 all round, 2 to edge a1, 3 corner, 4 to edge a2)</t>
        </is>
      </c>
      <c r="D154" s="23" t="n"/>
      <c r="E154" s="45">
        <f>IF(circ_int,1,CHOOSE(pos_idx,1,IF((eq_c2+2*(eq_c1+eq_a1)+PI()*r_out)&lt;(2*(eq_c1+eq_c2)+2*PI()*r_out),2,1),IF((2*(eq_c1+eq_c2)+2*PI()*r_out)&lt;=MIN((2*(eq_c1+eq_c2)+2*PI()*r_out),((eq_c1+eq_a1)+(eq_c2+eq_a2)+PI()/2*r_out),IF(r_out&lt;=eq_a2,(eq_c2+2*(eq_c1+eq_a1)+PI()*r_out),9E+99),IF(r_out&lt;=eq_a1,(eq_c1+2*(eq_c2+eq_a2)+PI()*r_out),9E+99)),1,IF(AND(r_out&lt;=eq_a2,(eq_c2+2*(eq_c1+eq_a1)+PI()*r_out)&lt;=MIN((2*(eq_c1+eq_c2)+2*PI()*r_out),((eq_c1+eq_a1)+(eq_c2+eq_a2)+PI()/2*r_out),IF(r_out&lt;=eq_a2,(eq_c2+2*(eq_c1+eq_a1)+PI()*r_out),9E+99),IF(r_out&lt;=eq_a1,(eq_c1+2*(eq_c2+eq_a2)+PI()*r_out),9E+99))),2,IF(AND(r_out&lt;=eq_a1,(eq_c1+2*(eq_c2+eq_a2)+PI()*r_out)&lt;=MIN((2*(eq_c1+eq_c2)+2*PI()*r_out),((eq_c1+eq_a1)+(eq_c2+eq_a2)+PI()/2*r_out),IF(r_out&lt;=eq_a2,(eq_c2+2*(eq_c1+eq_a1)+PI()*r_out),9E+99),IF(r_out&lt;=eq_a1,(eq_c1+2*(eq_c2+eq_a2)+PI()*r_out),9E+99))),4,3)))))</f>
        <v/>
      </c>
      <c r="F154" s="23" t="n"/>
      <c r="G154" s="23" t="n"/>
    </row>
    <row r="155" ht="17" customHeight="1">
      <c r="B155" s="26" t="inlineStr">
        <is>
          <t>6.4.5(4)</t>
        </is>
      </c>
      <c r="C155" s="24" t="inlineStr">
        <is>
          <t>Outermost perimeter at least  rout − 1.5d  from the face</t>
        </is>
      </c>
      <c r="D155" s="23" t="n"/>
      <c r="E155" s="45">
        <f>MAX(0,r_out-1.5*d_eff)</f>
        <v/>
      </c>
      <c r="F155" s="28" t="inlineStr">
        <is>
          <t>mm</t>
        </is>
      </c>
      <c r="G155" s="23" t="n"/>
    </row>
    <row r="156" ht="17" customHeight="1">
      <c r="B156" s="26" t="inlineStr">
        <is>
          <t>UK NA 6.4.5(4)</t>
        </is>
      </c>
      <c r="C156" s="24" t="inlineStr">
        <is>
          <t>UK NA: if rout &lt; 3d, place the reinforcement within 0.3d – 1.5d</t>
        </is>
      </c>
      <c r="D156" s="23" t="n"/>
      <c r="E156" s="9" t="n"/>
      <c r="F156" s="23" t="n"/>
      <c r="G156" s="33">
        <f>IF(NOT(inputs_ok),"FAIL",IF(AND(na_idx=1,r_out&lt;3*d_eff),"! Zone 0.3d–1.5d","n/a"))</f>
        <v/>
      </c>
    </row>
    <row r="157" ht="17" customHeight="1">
      <c r="B157" s="23" t="n"/>
      <c r="C157" s="24" t="inlineStr">
        <is>
          <t>Area of one leg  π φsw² / 4</t>
        </is>
      </c>
      <c r="D157" s="27" t="inlineStr">
        <is>
          <r>
            <rPr>
              <rFont val="Calibri"/>
              <i val="1"/>
              <color rgb="002B2B2B"/>
              <sz val="10"/>
            </rPr>
            <t>A</t>
          </r>
          <r>
            <rPr>
              <rFont val="Calibri"/>
              <i val="1"/>
              <color rgb="002B2B2B"/>
              <sz val="10"/>
              <vertAlign val="subscript"/>
            </rPr>
            <t>leg</t>
          </r>
        </is>
      </c>
      <c r="E157" s="47">
        <f>PI()*phi_sw^2/4</f>
        <v/>
      </c>
      <c r="F157" s="28" t="inlineStr">
        <is>
          <t>mm²</t>
        </is>
      </c>
      <c r="G157" s="23" t="n"/>
    </row>
    <row r="158" ht="17" customHeight="1">
      <c r="B158" s="23" t="n"/>
      <c r="C158" s="24" t="inlineStr">
        <is>
          <t>Legs needed for Asw on every perimeter  Asw / Aleg</t>
        </is>
      </c>
      <c r="D158" s="27" t="inlineStr">
        <is>
          <r>
            <rPr>
              <rFont val="Calibri"/>
              <i val="1"/>
              <color rgb="002B2B2B"/>
              <sz val="10"/>
            </rPr>
            <t>n</t>
          </r>
          <r>
            <rPr>
              <rFont val="Calibri"/>
              <i val="1"/>
              <color rgb="002B2B2B"/>
              <sz val="10"/>
              <vertAlign val="subscript"/>
            </rPr>
            <t>A</t>
          </r>
        </is>
      </c>
      <c r="E158" s="45">
        <f>IF(A_sw&gt;0,CEILING(A_sw/A_leg,1),0)</f>
        <v/>
      </c>
      <c r="F158" s="23" t="n"/>
      <c r="G158" s="23" t="n"/>
    </row>
    <row r="159" ht="17" customHeight="1">
      <c r="B159" s="26" t="inlineStr">
        <is>
          <t>6.4.5(4)</t>
        </is>
      </c>
      <c r="C159" s="24" t="inlineStr">
        <is>
          <t>Number of perimeters  (outermost ≥ rout − 1.5d; at least 2)</t>
        </is>
      </c>
      <c r="D159" s="27" t="inlineStr">
        <is>
          <r>
            <rPr>
              <rFont val="Calibri"/>
              <i val="1"/>
              <color rgb="002B2B2B"/>
              <sz val="10"/>
            </rPr>
            <t>n</t>
          </r>
          <r>
            <rPr>
              <rFont val="Calibri"/>
              <i val="1"/>
              <color rgb="002B2B2B"/>
              <sz val="10"/>
              <vertAlign val="subscript"/>
            </rPr>
            <t>per</t>
          </r>
        </is>
      </c>
      <c r="E159" s="46">
        <f>IF(A_sw&gt;0,MAX(2,IF(AND(na_idx=1,r_out&lt;3*d_eff),FLOOR((1.5*d_eff-s_0)/s_r,1)+1,CEILING(MAX(0,r_last-s_0)/s_r,1)+1)),0)</f>
        <v/>
      </c>
      <c r="F159" s="23" t="n"/>
      <c r="G159" s="26" t="inlineStr">
        <is>
          <t>Table: up to 12</t>
        </is>
      </c>
    </row>
    <row r="160">
      <c r="B160" s="51" t="inlineStr">
        <is>
          <t>perimeter</t>
        </is>
      </c>
      <c r="C160" s="51" t="inlineStr">
        <is>
          <t>r (mm)</t>
        </is>
      </c>
      <c r="D160" s="51" t="inlineStr">
        <is>
          <t>u (mm)</t>
        </is>
      </c>
      <c r="E160" s="51" t="inlineStr">
        <is>
          <t>legs</t>
        </is>
      </c>
      <c r="F160" s="51" t="inlineStr">
        <is>
          <t>s_t (mm)</t>
        </is>
      </c>
      <c r="G160" s="51" t="inlineStr">
        <is>
          <t>Asw,prov (mm²)</t>
        </is>
      </c>
    </row>
    <row r="161" ht="16" customHeight="1">
      <c r="B161" s="52" t="n">
        <v>1</v>
      </c>
      <c r="C161" s="52">
        <f>IF(AND(A_sw&gt;0,1&lt;=n_per),(s_0+0*s_r),"–")</f>
        <v/>
      </c>
      <c r="D161" s="52">
        <f>IF(AND(A_sw&gt;0,1&lt;=n_per),(IF(circ_int,PI()*eq_c1+2*PI()*(s_0+0*s_r),CHOOSE(pos_idx,(2*(eq_c1+eq_c2)+2*PI()*(s_0+0*s_r)),MIN((2*(eq_c1+eq_c2)+2*PI()*(s_0+0*s_r)),(eq_c2+2*(eq_c1+eq_a1)+PI()*(s_0+0*s_r))),MIN((2*(eq_c1+eq_c2)+2*PI()*(s_0+0*s_r)),((eq_c1+eq_a1)+(eq_c2+eq_a2)+PI()/2*(s_0+0*s_r)),IF((s_0+0*s_r)&lt;=eq_a2,(eq_c2+2*(eq_c1+eq_a1)+PI()*(s_0+0*s_r)),9E+99),IF((s_0+0*s_r)&lt;=eq_a1,(eq_c1+2*(eq_c2+eq_a2)+PI()*(s_0+0*s_r)),9E+99))))),"–")</f>
        <v/>
      </c>
      <c r="E161" s="53">
        <f>IF(AND(A_sw&gt;0,1&lt;=n_per),$I161,"–")</f>
        <v/>
      </c>
      <c r="F161" s="52">
        <f>IF(AND(A_sw&gt;0,1&lt;=n_per),$J161,"–")</f>
        <v/>
      </c>
      <c r="G161" s="52">
        <f>IF(AND(A_sw&gt;0,1&lt;=n_per),$I161*A_leg,"–")</f>
        <v/>
      </c>
      <c r="I161">
        <f>IF(AND(A_sw&gt;0,1&lt;=n_per),MAX(n_legA,CEILING((IF(circ_int,PI()*eq_c1+2*PI()*(s_0+0*s_r),CHOOSE(pos_idx,(2*(eq_c1+eq_c2)+2*PI()*(s_0+0*s_r)),MIN((2*(eq_c1+eq_c2)+2*PI()*(s_0+0*s_r)),(eq_c2+2*(eq_c1+eq_a1)+PI()*(s_0+0*s_r))),MIN((2*(eq_c1+eq_c2)+2*PI()*(s_0+0*s_r)),((eq_c1+eq_a1)+(eq_c2+eq_a2)+PI()/2*(s_0+0*s_r)),IF((s_0+0*s_r)&lt;=eq_a2,(eq_c2+2*(eq_c1+eq_a1)+PI()*(s_0+0*s_r)),9E+99),IF((s_0+0*s_r)&lt;=eq_a1,(eq_c1+2*(eq_c2+eq_a2)+PI()*(s_0+0*s_r)),9E+99)))))/IF((s_0+0*s_r)&lt;=2*d_eff,1.5*d_eff,2*d_eff),1)+IF($L161=1,0,1)),0)</f>
        <v/>
      </c>
      <c r="J161">
        <f>IF(AND(A_sw&gt;0,1&lt;=n_per),(IF(circ_int,PI()*eq_c1+2*PI()*(s_0+0*s_r),CHOOSE(pos_idx,(2*(eq_c1+eq_c2)+2*PI()*(s_0+0*s_r)),MIN((2*(eq_c1+eq_c2)+2*PI()*(s_0+0*s_r)),(eq_c2+2*(eq_c1+eq_a1)+PI()*(s_0+0*s_r))),MIN((2*(eq_c1+eq_c2)+2*PI()*(s_0+0*s_r)),((eq_c1+eq_a1)+(eq_c2+eq_a2)+PI()/2*(s_0+0*s_r)),IF((s_0+0*s_r)&lt;=eq_a2,(eq_c2+2*(eq_c1+eq_a1)+PI()*(s_0+0*s_r)),9E+99),IF((s_0+0*s_r)&lt;=eq_a1,(eq_c1+2*(eq_c2+eq_a2)+PI()*(s_0+0*s_r)),9E+99)))))/MAX(1,$I161-IF($L161=1,0,1)),0)</f>
        <v/>
      </c>
      <c r="K161">
        <f>IF(AND(A_sw&gt;0,1&lt;=n_per),$J161,0)</f>
        <v/>
      </c>
      <c r="L161">
        <f>IF(circ_int,1,CHOOSE(pos_idx,1,IF((eq_c2+2*(eq_c1+eq_a1)+PI()*(s_0+0*s_r))&lt;(2*(eq_c1+eq_c2)+2*PI()*(s_0+0*s_r)),2,1),IF((2*(eq_c1+eq_c2)+2*PI()*(s_0+0*s_r))&lt;=MIN((2*(eq_c1+eq_c2)+2*PI()*(s_0+0*s_r)),((eq_c1+eq_a1)+(eq_c2+eq_a2)+PI()/2*(s_0+0*s_r)),IF((s_0+0*s_r)&lt;=eq_a2,(eq_c2+2*(eq_c1+eq_a1)+PI()*(s_0+0*s_r)),9E+99),IF((s_0+0*s_r)&lt;=eq_a1,(eq_c1+2*(eq_c2+eq_a2)+PI()*(s_0+0*s_r)),9E+99)),1,IF(AND((s_0+0*s_r)&lt;=eq_a2,(eq_c2+2*(eq_c1+eq_a1)+PI()*(s_0+0*s_r))&lt;=MIN((2*(eq_c1+eq_c2)+2*PI()*(s_0+0*s_r)),((eq_c1+eq_a1)+(eq_c2+eq_a2)+PI()/2*(s_0+0*s_r)),IF((s_0+0*s_r)&lt;=eq_a2,(eq_c2+2*(eq_c1+eq_a1)+PI()*(s_0+0*s_r)),9E+99),IF((s_0+0*s_r)&lt;=eq_a1,(eq_c1+2*(eq_c2+eq_a2)+PI()*(s_0+0*s_r)),9E+99))),2,IF(AND((s_0+0*s_r)&lt;=eq_a1,(eq_c1+2*(eq_c2+eq_a2)+PI()*(s_0+0*s_r))&lt;=MIN((2*(eq_c1+eq_c2)+2*PI()*(s_0+0*s_r)),((eq_c1+eq_a1)+(eq_c2+eq_a2)+PI()/2*(s_0+0*s_r)),IF((s_0+0*s_r)&lt;=eq_a2,(eq_c2+2*(eq_c1+eq_a1)+PI()*(s_0+0*s_r)),9E+99),IF((s_0+0*s_r)&lt;=eq_a1,(eq_c1+2*(eq_c2+eq_a2)+PI()*(s_0+0*s_r)),9E+99))),4,3)))))</f>
        <v/>
      </c>
    </row>
    <row r="162" ht="16" customHeight="1">
      <c r="B162" s="52" t="n">
        <v>2</v>
      </c>
      <c r="C162" s="52">
        <f>IF(AND(A_sw&gt;0,2&lt;=n_per),(s_0+1*s_r),"–")</f>
        <v/>
      </c>
      <c r="D162" s="52">
        <f>IF(AND(A_sw&gt;0,2&lt;=n_per),(IF(circ_int,PI()*eq_c1+2*PI()*(s_0+1*s_r),CHOOSE(pos_idx,(2*(eq_c1+eq_c2)+2*PI()*(s_0+1*s_r)),MIN((2*(eq_c1+eq_c2)+2*PI()*(s_0+1*s_r)),(eq_c2+2*(eq_c1+eq_a1)+PI()*(s_0+1*s_r))),MIN((2*(eq_c1+eq_c2)+2*PI()*(s_0+1*s_r)),((eq_c1+eq_a1)+(eq_c2+eq_a2)+PI()/2*(s_0+1*s_r)),IF((s_0+1*s_r)&lt;=eq_a2,(eq_c2+2*(eq_c1+eq_a1)+PI()*(s_0+1*s_r)),9E+99),IF((s_0+1*s_r)&lt;=eq_a1,(eq_c1+2*(eq_c2+eq_a2)+PI()*(s_0+1*s_r)),9E+99))))),"–")</f>
        <v/>
      </c>
      <c r="E162" s="53">
        <f>IF(AND(A_sw&gt;0,2&lt;=n_per),$I162,"–")</f>
        <v/>
      </c>
      <c r="F162" s="52">
        <f>IF(AND(A_sw&gt;0,2&lt;=n_per),$J162,"–")</f>
        <v/>
      </c>
      <c r="G162" s="52">
        <f>IF(AND(A_sw&gt;0,2&lt;=n_per),$I162*A_leg,"–")</f>
        <v/>
      </c>
      <c r="I162">
        <f>IF(AND(A_sw&gt;0,2&lt;=n_per),MAX(n_legA,CEILING((IF(circ_int,PI()*eq_c1+2*PI()*(s_0+1*s_r),CHOOSE(pos_idx,(2*(eq_c1+eq_c2)+2*PI()*(s_0+1*s_r)),MIN((2*(eq_c1+eq_c2)+2*PI()*(s_0+1*s_r)),(eq_c2+2*(eq_c1+eq_a1)+PI()*(s_0+1*s_r))),MIN((2*(eq_c1+eq_c2)+2*PI()*(s_0+1*s_r)),((eq_c1+eq_a1)+(eq_c2+eq_a2)+PI()/2*(s_0+1*s_r)),IF((s_0+1*s_r)&lt;=eq_a2,(eq_c2+2*(eq_c1+eq_a1)+PI()*(s_0+1*s_r)),9E+99),IF((s_0+1*s_r)&lt;=eq_a1,(eq_c1+2*(eq_c2+eq_a2)+PI()*(s_0+1*s_r)),9E+99)))))/IF((s_0+1*s_r)&lt;=2*d_eff,1.5*d_eff,2*d_eff),1)+IF($L162=1,0,1)),0)</f>
        <v/>
      </c>
      <c r="J162">
        <f>IF(AND(A_sw&gt;0,2&lt;=n_per),(IF(circ_int,PI()*eq_c1+2*PI()*(s_0+1*s_r),CHOOSE(pos_idx,(2*(eq_c1+eq_c2)+2*PI()*(s_0+1*s_r)),MIN((2*(eq_c1+eq_c2)+2*PI()*(s_0+1*s_r)),(eq_c2+2*(eq_c1+eq_a1)+PI()*(s_0+1*s_r))),MIN((2*(eq_c1+eq_c2)+2*PI()*(s_0+1*s_r)),((eq_c1+eq_a1)+(eq_c2+eq_a2)+PI()/2*(s_0+1*s_r)),IF((s_0+1*s_r)&lt;=eq_a2,(eq_c2+2*(eq_c1+eq_a1)+PI()*(s_0+1*s_r)),9E+99),IF((s_0+1*s_r)&lt;=eq_a1,(eq_c1+2*(eq_c2+eq_a2)+PI()*(s_0+1*s_r)),9E+99)))))/MAX(1,$I162-IF($L162=1,0,1)),0)</f>
        <v/>
      </c>
      <c r="K162">
        <f>IF(AND(A_sw&gt;0,2&lt;=n_per),$J162,0)</f>
        <v/>
      </c>
      <c r="L162">
        <f>IF(circ_int,1,CHOOSE(pos_idx,1,IF((eq_c2+2*(eq_c1+eq_a1)+PI()*(s_0+1*s_r))&lt;(2*(eq_c1+eq_c2)+2*PI()*(s_0+1*s_r)),2,1),IF((2*(eq_c1+eq_c2)+2*PI()*(s_0+1*s_r))&lt;=MIN((2*(eq_c1+eq_c2)+2*PI()*(s_0+1*s_r)),((eq_c1+eq_a1)+(eq_c2+eq_a2)+PI()/2*(s_0+1*s_r)),IF((s_0+1*s_r)&lt;=eq_a2,(eq_c2+2*(eq_c1+eq_a1)+PI()*(s_0+1*s_r)),9E+99),IF((s_0+1*s_r)&lt;=eq_a1,(eq_c1+2*(eq_c2+eq_a2)+PI()*(s_0+1*s_r)),9E+99)),1,IF(AND((s_0+1*s_r)&lt;=eq_a2,(eq_c2+2*(eq_c1+eq_a1)+PI()*(s_0+1*s_r))&lt;=MIN((2*(eq_c1+eq_c2)+2*PI()*(s_0+1*s_r)),((eq_c1+eq_a1)+(eq_c2+eq_a2)+PI()/2*(s_0+1*s_r)),IF((s_0+1*s_r)&lt;=eq_a2,(eq_c2+2*(eq_c1+eq_a1)+PI()*(s_0+1*s_r)),9E+99),IF((s_0+1*s_r)&lt;=eq_a1,(eq_c1+2*(eq_c2+eq_a2)+PI()*(s_0+1*s_r)),9E+99))),2,IF(AND((s_0+1*s_r)&lt;=eq_a1,(eq_c1+2*(eq_c2+eq_a2)+PI()*(s_0+1*s_r))&lt;=MIN((2*(eq_c1+eq_c2)+2*PI()*(s_0+1*s_r)),((eq_c1+eq_a1)+(eq_c2+eq_a2)+PI()/2*(s_0+1*s_r)),IF((s_0+1*s_r)&lt;=eq_a2,(eq_c2+2*(eq_c1+eq_a1)+PI()*(s_0+1*s_r)),9E+99),IF((s_0+1*s_r)&lt;=eq_a1,(eq_c1+2*(eq_c2+eq_a2)+PI()*(s_0+1*s_r)),9E+99))),4,3)))))</f>
        <v/>
      </c>
    </row>
    <row r="163" ht="16" customHeight="1">
      <c r="B163" s="52" t="n">
        <v>3</v>
      </c>
      <c r="C163" s="52">
        <f>IF(AND(A_sw&gt;0,3&lt;=n_per),(s_0+2*s_r),"–")</f>
        <v/>
      </c>
      <c r="D163" s="52">
        <f>IF(AND(A_sw&gt;0,3&lt;=n_per),(IF(circ_int,PI()*eq_c1+2*PI()*(s_0+2*s_r),CHOOSE(pos_idx,(2*(eq_c1+eq_c2)+2*PI()*(s_0+2*s_r)),MIN((2*(eq_c1+eq_c2)+2*PI()*(s_0+2*s_r)),(eq_c2+2*(eq_c1+eq_a1)+PI()*(s_0+2*s_r))),MIN((2*(eq_c1+eq_c2)+2*PI()*(s_0+2*s_r)),((eq_c1+eq_a1)+(eq_c2+eq_a2)+PI()/2*(s_0+2*s_r)),IF((s_0+2*s_r)&lt;=eq_a2,(eq_c2+2*(eq_c1+eq_a1)+PI()*(s_0+2*s_r)),9E+99),IF((s_0+2*s_r)&lt;=eq_a1,(eq_c1+2*(eq_c2+eq_a2)+PI()*(s_0+2*s_r)),9E+99))))),"–")</f>
        <v/>
      </c>
      <c r="E163" s="53">
        <f>IF(AND(A_sw&gt;0,3&lt;=n_per),$I163,"–")</f>
        <v/>
      </c>
      <c r="F163" s="52">
        <f>IF(AND(A_sw&gt;0,3&lt;=n_per),$J163,"–")</f>
        <v/>
      </c>
      <c r="G163" s="52">
        <f>IF(AND(A_sw&gt;0,3&lt;=n_per),$I163*A_leg,"–")</f>
        <v/>
      </c>
      <c r="I163">
        <f>IF(AND(A_sw&gt;0,3&lt;=n_per),MAX(n_legA,CEILING((IF(circ_int,PI()*eq_c1+2*PI()*(s_0+2*s_r),CHOOSE(pos_idx,(2*(eq_c1+eq_c2)+2*PI()*(s_0+2*s_r)),MIN((2*(eq_c1+eq_c2)+2*PI()*(s_0+2*s_r)),(eq_c2+2*(eq_c1+eq_a1)+PI()*(s_0+2*s_r))),MIN((2*(eq_c1+eq_c2)+2*PI()*(s_0+2*s_r)),((eq_c1+eq_a1)+(eq_c2+eq_a2)+PI()/2*(s_0+2*s_r)),IF((s_0+2*s_r)&lt;=eq_a2,(eq_c2+2*(eq_c1+eq_a1)+PI()*(s_0+2*s_r)),9E+99),IF((s_0+2*s_r)&lt;=eq_a1,(eq_c1+2*(eq_c2+eq_a2)+PI()*(s_0+2*s_r)),9E+99)))))/IF((s_0+2*s_r)&lt;=2*d_eff,1.5*d_eff,2*d_eff),1)+IF($L163=1,0,1)),0)</f>
        <v/>
      </c>
      <c r="J163">
        <f>IF(AND(A_sw&gt;0,3&lt;=n_per),(IF(circ_int,PI()*eq_c1+2*PI()*(s_0+2*s_r),CHOOSE(pos_idx,(2*(eq_c1+eq_c2)+2*PI()*(s_0+2*s_r)),MIN((2*(eq_c1+eq_c2)+2*PI()*(s_0+2*s_r)),(eq_c2+2*(eq_c1+eq_a1)+PI()*(s_0+2*s_r))),MIN((2*(eq_c1+eq_c2)+2*PI()*(s_0+2*s_r)),((eq_c1+eq_a1)+(eq_c2+eq_a2)+PI()/2*(s_0+2*s_r)),IF((s_0+2*s_r)&lt;=eq_a2,(eq_c2+2*(eq_c1+eq_a1)+PI()*(s_0+2*s_r)),9E+99),IF((s_0+2*s_r)&lt;=eq_a1,(eq_c1+2*(eq_c2+eq_a2)+PI()*(s_0+2*s_r)),9E+99)))))/MAX(1,$I163-IF($L163=1,0,1)),0)</f>
        <v/>
      </c>
      <c r="K163">
        <f>IF(AND(A_sw&gt;0,3&lt;=n_per),$J163,0)</f>
        <v/>
      </c>
      <c r="L163">
        <f>IF(circ_int,1,CHOOSE(pos_idx,1,IF((eq_c2+2*(eq_c1+eq_a1)+PI()*(s_0+2*s_r))&lt;(2*(eq_c1+eq_c2)+2*PI()*(s_0+2*s_r)),2,1),IF((2*(eq_c1+eq_c2)+2*PI()*(s_0+2*s_r))&lt;=MIN((2*(eq_c1+eq_c2)+2*PI()*(s_0+2*s_r)),((eq_c1+eq_a1)+(eq_c2+eq_a2)+PI()/2*(s_0+2*s_r)),IF((s_0+2*s_r)&lt;=eq_a2,(eq_c2+2*(eq_c1+eq_a1)+PI()*(s_0+2*s_r)),9E+99),IF((s_0+2*s_r)&lt;=eq_a1,(eq_c1+2*(eq_c2+eq_a2)+PI()*(s_0+2*s_r)),9E+99)),1,IF(AND((s_0+2*s_r)&lt;=eq_a2,(eq_c2+2*(eq_c1+eq_a1)+PI()*(s_0+2*s_r))&lt;=MIN((2*(eq_c1+eq_c2)+2*PI()*(s_0+2*s_r)),((eq_c1+eq_a1)+(eq_c2+eq_a2)+PI()/2*(s_0+2*s_r)),IF((s_0+2*s_r)&lt;=eq_a2,(eq_c2+2*(eq_c1+eq_a1)+PI()*(s_0+2*s_r)),9E+99),IF((s_0+2*s_r)&lt;=eq_a1,(eq_c1+2*(eq_c2+eq_a2)+PI()*(s_0+2*s_r)),9E+99))),2,IF(AND((s_0+2*s_r)&lt;=eq_a1,(eq_c1+2*(eq_c2+eq_a2)+PI()*(s_0+2*s_r))&lt;=MIN((2*(eq_c1+eq_c2)+2*PI()*(s_0+2*s_r)),((eq_c1+eq_a1)+(eq_c2+eq_a2)+PI()/2*(s_0+2*s_r)),IF((s_0+2*s_r)&lt;=eq_a2,(eq_c2+2*(eq_c1+eq_a1)+PI()*(s_0+2*s_r)),9E+99),IF((s_0+2*s_r)&lt;=eq_a1,(eq_c1+2*(eq_c2+eq_a2)+PI()*(s_0+2*s_r)),9E+99))),4,3)))))</f>
        <v/>
      </c>
    </row>
    <row r="164" ht="16" customHeight="1">
      <c r="B164" s="52" t="n">
        <v>4</v>
      </c>
      <c r="C164" s="52">
        <f>IF(AND(A_sw&gt;0,4&lt;=n_per),(s_0+3*s_r),"–")</f>
        <v/>
      </c>
      <c r="D164" s="52">
        <f>IF(AND(A_sw&gt;0,4&lt;=n_per),(IF(circ_int,PI()*eq_c1+2*PI()*(s_0+3*s_r),CHOOSE(pos_idx,(2*(eq_c1+eq_c2)+2*PI()*(s_0+3*s_r)),MIN((2*(eq_c1+eq_c2)+2*PI()*(s_0+3*s_r)),(eq_c2+2*(eq_c1+eq_a1)+PI()*(s_0+3*s_r))),MIN((2*(eq_c1+eq_c2)+2*PI()*(s_0+3*s_r)),((eq_c1+eq_a1)+(eq_c2+eq_a2)+PI()/2*(s_0+3*s_r)),IF((s_0+3*s_r)&lt;=eq_a2,(eq_c2+2*(eq_c1+eq_a1)+PI()*(s_0+3*s_r)),9E+99),IF((s_0+3*s_r)&lt;=eq_a1,(eq_c1+2*(eq_c2+eq_a2)+PI()*(s_0+3*s_r)),9E+99))))),"–")</f>
        <v/>
      </c>
      <c r="E164" s="53">
        <f>IF(AND(A_sw&gt;0,4&lt;=n_per),$I164,"–")</f>
        <v/>
      </c>
      <c r="F164" s="52">
        <f>IF(AND(A_sw&gt;0,4&lt;=n_per),$J164,"–")</f>
        <v/>
      </c>
      <c r="G164" s="52">
        <f>IF(AND(A_sw&gt;0,4&lt;=n_per),$I164*A_leg,"–")</f>
        <v/>
      </c>
      <c r="I164">
        <f>IF(AND(A_sw&gt;0,4&lt;=n_per),MAX(n_legA,CEILING((IF(circ_int,PI()*eq_c1+2*PI()*(s_0+3*s_r),CHOOSE(pos_idx,(2*(eq_c1+eq_c2)+2*PI()*(s_0+3*s_r)),MIN((2*(eq_c1+eq_c2)+2*PI()*(s_0+3*s_r)),(eq_c2+2*(eq_c1+eq_a1)+PI()*(s_0+3*s_r))),MIN((2*(eq_c1+eq_c2)+2*PI()*(s_0+3*s_r)),((eq_c1+eq_a1)+(eq_c2+eq_a2)+PI()/2*(s_0+3*s_r)),IF((s_0+3*s_r)&lt;=eq_a2,(eq_c2+2*(eq_c1+eq_a1)+PI()*(s_0+3*s_r)),9E+99),IF((s_0+3*s_r)&lt;=eq_a1,(eq_c1+2*(eq_c2+eq_a2)+PI()*(s_0+3*s_r)),9E+99)))))/IF((s_0+3*s_r)&lt;=2*d_eff,1.5*d_eff,2*d_eff),1)+IF($L164=1,0,1)),0)</f>
        <v/>
      </c>
      <c r="J164">
        <f>IF(AND(A_sw&gt;0,4&lt;=n_per),(IF(circ_int,PI()*eq_c1+2*PI()*(s_0+3*s_r),CHOOSE(pos_idx,(2*(eq_c1+eq_c2)+2*PI()*(s_0+3*s_r)),MIN((2*(eq_c1+eq_c2)+2*PI()*(s_0+3*s_r)),(eq_c2+2*(eq_c1+eq_a1)+PI()*(s_0+3*s_r))),MIN((2*(eq_c1+eq_c2)+2*PI()*(s_0+3*s_r)),((eq_c1+eq_a1)+(eq_c2+eq_a2)+PI()/2*(s_0+3*s_r)),IF((s_0+3*s_r)&lt;=eq_a2,(eq_c2+2*(eq_c1+eq_a1)+PI()*(s_0+3*s_r)),9E+99),IF((s_0+3*s_r)&lt;=eq_a1,(eq_c1+2*(eq_c2+eq_a2)+PI()*(s_0+3*s_r)),9E+99)))))/MAX(1,$I164-IF($L164=1,0,1)),0)</f>
        <v/>
      </c>
      <c r="K164">
        <f>IF(AND(A_sw&gt;0,4&lt;=n_per),$J164,0)</f>
        <v/>
      </c>
      <c r="L164">
        <f>IF(circ_int,1,CHOOSE(pos_idx,1,IF((eq_c2+2*(eq_c1+eq_a1)+PI()*(s_0+3*s_r))&lt;(2*(eq_c1+eq_c2)+2*PI()*(s_0+3*s_r)),2,1),IF((2*(eq_c1+eq_c2)+2*PI()*(s_0+3*s_r))&lt;=MIN((2*(eq_c1+eq_c2)+2*PI()*(s_0+3*s_r)),((eq_c1+eq_a1)+(eq_c2+eq_a2)+PI()/2*(s_0+3*s_r)),IF((s_0+3*s_r)&lt;=eq_a2,(eq_c2+2*(eq_c1+eq_a1)+PI()*(s_0+3*s_r)),9E+99),IF((s_0+3*s_r)&lt;=eq_a1,(eq_c1+2*(eq_c2+eq_a2)+PI()*(s_0+3*s_r)),9E+99)),1,IF(AND((s_0+3*s_r)&lt;=eq_a2,(eq_c2+2*(eq_c1+eq_a1)+PI()*(s_0+3*s_r))&lt;=MIN((2*(eq_c1+eq_c2)+2*PI()*(s_0+3*s_r)),((eq_c1+eq_a1)+(eq_c2+eq_a2)+PI()/2*(s_0+3*s_r)),IF((s_0+3*s_r)&lt;=eq_a2,(eq_c2+2*(eq_c1+eq_a1)+PI()*(s_0+3*s_r)),9E+99),IF((s_0+3*s_r)&lt;=eq_a1,(eq_c1+2*(eq_c2+eq_a2)+PI()*(s_0+3*s_r)),9E+99))),2,IF(AND((s_0+3*s_r)&lt;=eq_a1,(eq_c1+2*(eq_c2+eq_a2)+PI()*(s_0+3*s_r))&lt;=MIN((2*(eq_c1+eq_c2)+2*PI()*(s_0+3*s_r)),((eq_c1+eq_a1)+(eq_c2+eq_a2)+PI()/2*(s_0+3*s_r)),IF((s_0+3*s_r)&lt;=eq_a2,(eq_c2+2*(eq_c1+eq_a1)+PI()*(s_0+3*s_r)),9E+99),IF((s_0+3*s_r)&lt;=eq_a1,(eq_c1+2*(eq_c2+eq_a2)+PI()*(s_0+3*s_r)),9E+99))),4,3)))))</f>
        <v/>
      </c>
    </row>
    <row r="165" ht="16" customHeight="1">
      <c r="B165" s="52" t="n">
        <v>5</v>
      </c>
      <c r="C165" s="52">
        <f>IF(AND(A_sw&gt;0,5&lt;=n_per),(s_0+4*s_r),"–")</f>
        <v/>
      </c>
      <c r="D165" s="52">
        <f>IF(AND(A_sw&gt;0,5&lt;=n_per),(IF(circ_int,PI()*eq_c1+2*PI()*(s_0+4*s_r),CHOOSE(pos_idx,(2*(eq_c1+eq_c2)+2*PI()*(s_0+4*s_r)),MIN((2*(eq_c1+eq_c2)+2*PI()*(s_0+4*s_r)),(eq_c2+2*(eq_c1+eq_a1)+PI()*(s_0+4*s_r))),MIN((2*(eq_c1+eq_c2)+2*PI()*(s_0+4*s_r)),((eq_c1+eq_a1)+(eq_c2+eq_a2)+PI()/2*(s_0+4*s_r)),IF((s_0+4*s_r)&lt;=eq_a2,(eq_c2+2*(eq_c1+eq_a1)+PI()*(s_0+4*s_r)),9E+99),IF((s_0+4*s_r)&lt;=eq_a1,(eq_c1+2*(eq_c2+eq_a2)+PI()*(s_0+4*s_r)),9E+99))))),"–")</f>
        <v/>
      </c>
      <c r="E165" s="53">
        <f>IF(AND(A_sw&gt;0,5&lt;=n_per),$I165,"–")</f>
        <v/>
      </c>
      <c r="F165" s="52">
        <f>IF(AND(A_sw&gt;0,5&lt;=n_per),$J165,"–")</f>
        <v/>
      </c>
      <c r="G165" s="52">
        <f>IF(AND(A_sw&gt;0,5&lt;=n_per),$I165*A_leg,"–")</f>
        <v/>
      </c>
      <c r="I165">
        <f>IF(AND(A_sw&gt;0,5&lt;=n_per),MAX(n_legA,CEILING((IF(circ_int,PI()*eq_c1+2*PI()*(s_0+4*s_r),CHOOSE(pos_idx,(2*(eq_c1+eq_c2)+2*PI()*(s_0+4*s_r)),MIN((2*(eq_c1+eq_c2)+2*PI()*(s_0+4*s_r)),(eq_c2+2*(eq_c1+eq_a1)+PI()*(s_0+4*s_r))),MIN((2*(eq_c1+eq_c2)+2*PI()*(s_0+4*s_r)),((eq_c1+eq_a1)+(eq_c2+eq_a2)+PI()/2*(s_0+4*s_r)),IF((s_0+4*s_r)&lt;=eq_a2,(eq_c2+2*(eq_c1+eq_a1)+PI()*(s_0+4*s_r)),9E+99),IF((s_0+4*s_r)&lt;=eq_a1,(eq_c1+2*(eq_c2+eq_a2)+PI()*(s_0+4*s_r)),9E+99)))))/IF((s_0+4*s_r)&lt;=2*d_eff,1.5*d_eff,2*d_eff),1)+IF($L165=1,0,1)),0)</f>
        <v/>
      </c>
      <c r="J165">
        <f>IF(AND(A_sw&gt;0,5&lt;=n_per),(IF(circ_int,PI()*eq_c1+2*PI()*(s_0+4*s_r),CHOOSE(pos_idx,(2*(eq_c1+eq_c2)+2*PI()*(s_0+4*s_r)),MIN((2*(eq_c1+eq_c2)+2*PI()*(s_0+4*s_r)),(eq_c2+2*(eq_c1+eq_a1)+PI()*(s_0+4*s_r))),MIN((2*(eq_c1+eq_c2)+2*PI()*(s_0+4*s_r)),((eq_c1+eq_a1)+(eq_c2+eq_a2)+PI()/2*(s_0+4*s_r)),IF((s_0+4*s_r)&lt;=eq_a2,(eq_c2+2*(eq_c1+eq_a1)+PI()*(s_0+4*s_r)),9E+99),IF((s_0+4*s_r)&lt;=eq_a1,(eq_c1+2*(eq_c2+eq_a2)+PI()*(s_0+4*s_r)),9E+99)))))/MAX(1,$I165-IF($L165=1,0,1)),0)</f>
        <v/>
      </c>
      <c r="K165">
        <f>IF(AND(A_sw&gt;0,5&lt;=n_per),$J165,0)</f>
        <v/>
      </c>
      <c r="L165">
        <f>IF(circ_int,1,CHOOSE(pos_idx,1,IF((eq_c2+2*(eq_c1+eq_a1)+PI()*(s_0+4*s_r))&lt;(2*(eq_c1+eq_c2)+2*PI()*(s_0+4*s_r)),2,1),IF((2*(eq_c1+eq_c2)+2*PI()*(s_0+4*s_r))&lt;=MIN((2*(eq_c1+eq_c2)+2*PI()*(s_0+4*s_r)),((eq_c1+eq_a1)+(eq_c2+eq_a2)+PI()/2*(s_0+4*s_r)),IF((s_0+4*s_r)&lt;=eq_a2,(eq_c2+2*(eq_c1+eq_a1)+PI()*(s_0+4*s_r)),9E+99),IF((s_0+4*s_r)&lt;=eq_a1,(eq_c1+2*(eq_c2+eq_a2)+PI()*(s_0+4*s_r)),9E+99)),1,IF(AND((s_0+4*s_r)&lt;=eq_a2,(eq_c2+2*(eq_c1+eq_a1)+PI()*(s_0+4*s_r))&lt;=MIN((2*(eq_c1+eq_c2)+2*PI()*(s_0+4*s_r)),((eq_c1+eq_a1)+(eq_c2+eq_a2)+PI()/2*(s_0+4*s_r)),IF((s_0+4*s_r)&lt;=eq_a2,(eq_c2+2*(eq_c1+eq_a1)+PI()*(s_0+4*s_r)),9E+99),IF((s_0+4*s_r)&lt;=eq_a1,(eq_c1+2*(eq_c2+eq_a2)+PI()*(s_0+4*s_r)),9E+99))),2,IF(AND((s_0+4*s_r)&lt;=eq_a1,(eq_c1+2*(eq_c2+eq_a2)+PI()*(s_0+4*s_r))&lt;=MIN((2*(eq_c1+eq_c2)+2*PI()*(s_0+4*s_r)),((eq_c1+eq_a1)+(eq_c2+eq_a2)+PI()/2*(s_0+4*s_r)),IF((s_0+4*s_r)&lt;=eq_a2,(eq_c2+2*(eq_c1+eq_a1)+PI()*(s_0+4*s_r)),9E+99),IF((s_0+4*s_r)&lt;=eq_a1,(eq_c1+2*(eq_c2+eq_a2)+PI()*(s_0+4*s_r)),9E+99))),4,3)))))</f>
        <v/>
      </c>
    </row>
    <row r="166" ht="16" customHeight="1">
      <c r="B166" s="52" t="n">
        <v>6</v>
      </c>
      <c r="C166" s="52">
        <f>IF(AND(A_sw&gt;0,6&lt;=n_per),(s_0+5*s_r),"–")</f>
        <v/>
      </c>
      <c r="D166" s="52">
        <f>IF(AND(A_sw&gt;0,6&lt;=n_per),(IF(circ_int,PI()*eq_c1+2*PI()*(s_0+5*s_r),CHOOSE(pos_idx,(2*(eq_c1+eq_c2)+2*PI()*(s_0+5*s_r)),MIN((2*(eq_c1+eq_c2)+2*PI()*(s_0+5*s_r)),(eq_c2+2*(eq_c1+eq_a1)+PI()*(s_0+5*s_r))),MIN((2*(eq_c1+eq_c2)+2*PI()*(s_0+5*s_r)),((eq_c1+eq_a1)+(eq_c2+eq_a2)+PI()/2*(s_0+5*s_r)),IF((s_0+5*s_r)&lt;=eq_a2,(eq_c2+2*(eq_c1+eq_a1)+PI()*(s_0+5*s_r)),9E+99),IF((s_0+5*s_r)&lt;=eq_a1,(eq_c1+2*(eq_c2+eq_a2)+PI()*(s_0+5*s_r)),9E+99))))),"–")</f>
        <v/>
      </c>
      <c r="E166" s="53">
        <f>IF(AND(A_sw&gt;0,6&lt;=n_per),$I166,"–")</f>
        <v/>
      </c>
      <c r="F166" s="52">
        <f>IF(AND(A_sw&gt;0,6&lt;=n_per),$J166,"–")</f>
        <v/>
      </c>
      <c r="G166" s="52">
        <f>IF(AND(A_sw&gt;0,6&lt;=n_per),$I166*A_leg,"–")</f>
        <v/>
      </c>
      <c r="I166">
        <f>IF(AND(A_sw&gt;0,6&lt;=n_per),MAX(n_legA,CEILING((IF(circ_int,PI()*eq_c1+2*PI()*(s_0+5*s_r),CHOOSE(pos_idx,(2*(eq_c1+eq_c2)+2*PI()*(s_0+5*s_r)),MIN((2*(eq_c1+eq_c2)+2*PI()*(s_0+5*s_r)),(eq_c2+2*(eq_c1+eq_a1)+PI()*(s_0+5*s_r))),MIN((2*(eq_c1+eq_c2)+2*PI()*(s_0+5*s_r)),((eq_c1+eq_a1)+(eq_c2+eq_a2)+PI()/2*(s_0+5*s_r)),IF((s_0+5*s_r)&lt;=eq_a2,(eq_c2+2*(eq_c1+eq_a1)+PI()*(s_0+5*s_r)),9E+99),IF((s_0+5*s_r)&lt;=eq_a1,(eq_c1+2*(eq_c2+eq_a2)+PI()*(s_0+5*s_r)),9E+99)))))/IF((s_0+5*s_r)&lt;=2*d_eff,1.5*d_eff,2*d_eff),1)+IF($L166=1,0,1)),0)</f>
        <v/>
      </c>
      <c r="J166">
        <f>IF(AND(A_sw&gt;0,6&lt;=n_per),(IF(circ_int,PI()*eq_c1+2*PI()*(s_0+5*s_r),CHOOSE(pos_idx,(2*(eq_c1+eq_c2)+2*PI()*(s_0+5*s_r)),MIN((2*(eq_c1+eq_c2)+2*PI()*(s_0+5*s_r)),(eq_c2+2*(eq_c1+eq_a1)+PI()*(s_0+5*s_r))),MIN((2*(eq_c1+eq_c2)+2*PI()*(s_0+5*s_r)),((eq_c1+eq_a1)+(eq_c2+eq_a2)+PI()/2*(s_0+5*s_r)),IF((s_0+5*s_r)&lt;=eq_a2,(eq_c2+2*(eq_c1+eq_a1)+PI()*(s_0+5*s_r)),9E+99),IF((s_0+5*s_r)&lt;=eq_a1,(eq_c1+2*(eq_c2+eq_a2)+PI()*(s_0+5*s_r)),9E+99)))))/MAX(1,$I166-IF($L166=1,0,1)),0)</f>
        <v/>
      </c>
      <c r="K166">
        <f>IF(AND(A_sw&gt;0,6&lt;=n_per),$J166,0)</f>
        <v/>
      </c>
      <c r="L166">
        <f>IF(circ_int,1,CHOOSE(pos_idx,1,IF((eq_c2+2*(eq_c1+eq_a1)+PI()*(s_0+5*s_r))&lt;(2*(eq_c1+eq_c2)+2*PI()*(s_0+5*s_r)),2,1),IF((2*(eq_c1+eq_c2)+2*PI()*(s_0+5*s_r))&lt;=MIN((2*(eq_c1+eq_c2)+2*PI()*(s_0+5*s_r)),((eq_c1+eq_a1)+(eq_c2+eq_a2)+PI()/2*(s_0+5*s_r)),IF((s_0+5*s_r)&lt;=eq_a2,(eq_c2+2*(eq_c1+eq_a1)+PI()*(s_0+5*s_r)),9E+99),IF((s_0+5*s_r)&lt;=eq_a1,(eq_c1+2*(eq_c2+eq_a2)+PI()*(s_0+5*s_r)),9E+99)),1,IF(AND((s_0+5*s_r)&lt;=eq_a2,(eq_c2+2*(eq_c1+eq_a1)+PI()*(s_0+5*s_r))&lt;=MIN((2*(eq_c1+eq_c2)+2*PI()*(s_0+5*s_r)),((eq_c1+eq_a1)+(eq_c2+eq_a2)+PI()/2*(s_0+5*s_r)),IF((s_0+5*s_r)&lt;=eq_a2,(eq_c2+2*(eq_c1+eq_a1)+PI()*(s_0+5*s_r)),9E+99),IF((s_0+5*s_r)&lt;=eq_a1,(eq_c1+2*(eq_c2+eq_a2)+PI()*(s_0+5*s_r)),9E+99))),2,IF(AND((s_0+5*s_r)&lt;=eq_a1,(eq_c1+2*(eq_c2+eq_a2)+PI()*(s_0+5*s_r))&lt;=MIN((2*(eq_c1+eq_c2)+2*PI()*(s_0+5*s_r)),((eq_c1+eq_a1)+(eq_c2+eq_a2)+PI()/2*(s_0+5*s_r)),IF((s_0+5*s_r)&lt;=eq_a2,(eq_c2+2*(eq_c1+eq_a1)+PI()*(s_0+5*s_r)),9E+99),IF((s_0+5*s_r)&lt;=eq_a1,(eq_c1+2*(eq_c2+eq_a2)+PI()*(s_0+5*s_r)),9E+99))),4,3)))))</f>
        <v/>
      </c>
    </row>
    <row r="167" ht="16" customHeight="1">
      <c r="B167" s="52" t="n">
        <v>7</v>
      </c>
      <c r="C167" s="52">
        <f>IF(AND(A_sw&gt;0,7&lt;=n_per),(s_0+6*s_r),"–")</f>
        <v/>
      </c>
      <c r="D167" s="52">
        <f>IF(AND(A_sw&gt;0,7&lt;=n_per),(IF(circ_int,PI()*eq_c1+2*PI()*(s_0+6*s_r),CHOOSE(pos_idx,(2*(eq_c1+eq_c2)+2*PI()*(s_0+6*s_r)),MIN((2*(eq_c1+eq_c2)+2*PI()*(s_0+6*s_r)),(eq_c2+2*(eq_c1+eq_a1)+PI()*(s_0+6*s_r))),MIN((2*(eq_c1+eq_c2)+2*PI()*(s_0+6*s_r)),((eq_c1+eq_a1)+(eq_c2+eq_a2)+PI()/2*(s_0+6*s_r)),IF((s_0+6*s_r)&lt;=eq_a2,(eq_c2+2*(eq_c1+eq_a1)+PI()*(s_0+6*s_r)),9E+99),IF((s_0+6*s_r)&lt;=eq_a1,(eq_c1+2*(eq_c2+eq_a2)+PI()*(s_0+6*s_r)),9E+99))))),"–")</f>
        <v/>
      </c>
      <c r="E167" s="53">
        <f>IF(AND(A_sw&gt;0,7&lt;=n_per),$I167,"–")</f>
        <v/>
      </c>
      <c r="F167" s="52">
        <f>IF(AND(A_sw&gt;0,7&lt;=n_per),$J167,"–")</f>
        <v/>
      </c>
      <c r="G167" s="52">
        <f>IF(AND(A_sw&gt;0,7&lt;=n_per),$I167*A_leg,"–")</f>
        <v/>
      </c>
      <c r="I167">
        <f>IF(AND(A_sw&gt;0,7&lt;=n_per),MAX(n_legA,CEILING((IF(circ_int,PI()*eq_c1+2*PI()*(s_0+6*s_r),CHOOSE(pos_idx,(2*(eq_c1+eq_c2)+2*PI()*(s_0+6*s_r)),MIN((2*(eq_c1+eq_c2)+2*PI()*(s_0+6*s_r)),(eq_c2+2*(eq_c1+eq_a1)+PI()*(s_0+6*s_r))),MIN((2*(eq_c1+eq_c2)+2*PI()*(s_0+6*s_r)),((eq_c1+eq_a1)+(eq_c2+eq_a2)+PI()/2*(s_0+6*s_r)),IF((s_0+6*s_r)&lt;=eq_a2,(eq_c2+2*(eq_c1+eq_a1)+PI()*(s_0+6*s_r)),9E+99),IF((s_0+6*s_r)&lt;=eq_a1,(eq_c1+2*(eq_c2+eq_a2)+PI()*(s_0+6*s_r)),9E+99)))))/IF((s_0+6*s_r)&lt;=2*d_eff,1.5*d_eff,2*d_eff),1)+IF($L167=1,0,1)),0)</f>
        <v/>
      </c>
      <c r="J167">
        <f>IF(AND(A_sw&gt;0,7&lt;=n_per),(IF(circ_int,PI()*eq_c1+2*PI()*(s_0+6*s_r),CHOOSE(pos_idx,(2*(eq_c1+eq_c2)+2*PI()*(s_0+6*s_r)),MIN((2*(eq_c1+eq_c2)+2*PI()*(s_0+6*s_r)),(eq_c2+2*(eq_c1+eq_a1)+PI()*(s_0+6*s_r))),MIN((2*(eq_c1+eq_c2)+2*PI()*(s_0+6*s_r)),((eq_c1+eq_a1)+(eq_c2+eq_a2)+PI()/2*(s_0+6*s_r)),IF((s_0+6*s_r)&lt;=eq_a2,(eq_c2+2*(eq_c1+eq_a1)+PI()*(s_0+6*s_r)),9E+99),IF((s_0+6*s_r)&lt;=eq_a1,(eq_c1+2*(eq_c2+eq_a2)+PI()*(s_0+6*s_r)),9E+99)))))/MAX(1,$I167-IF($L167=1,0,1)),0)</f>
        <v/>
      </c>
      <c r="K167">
        <f>IF(AND(A_sw&gt;0,7&lt;=n_per),$J167,0)</f>
        <v/>
      </c>
      <c r="L167">
        <f>IF(circ_int,1,CHOOSE(pos_idx,1,IF((eq_c2+2*(eq_c1+eq_a1)+PI()*(s_0+6*s_r))&lt;(2*(eq_c1+eq_c2)+2*PI()*(s_0+6*s_r)),2,1),IF((2*(eq_c1+eq_c2)+2*PI()*(s_0+6*s_r))&lt;=MIN((2*(eq_c1+eq_c2)+2*PI()*(s_0+6*s_r)),((eq_c1+eq_a1)+(eq_c2+eq_a2)+PI()/2*(s_0+6*s_r)),IF((s_0+6*s_r)&lt;=eq_a2,(eq_c2+2*(eq_c1+eq_a1)+PI()*(s_0+6*s_r)),9E+99),IF((s_0+6*s_r)&lt;=eq_a1,(eq_c1+2*(eq_c2+eq_a2)+PI()*(s_0+6*s_r)),9E+99)),1,IF(AND((s_0+6*s_r)&lt;=eq_a2,(eq_c2+2*(eq_c1+eq_a1)+PI()*(s_0+6*s_r))&lt;=MIN((2*(eq_c1+eq_c2)+2*PI()*(s_0+6*s_r)),((eq_c1+eq_a1)+(eq_c2+eq_a2)+PI()/2*(s_0+6*s_r)),IF((s_0+6*s_r)&lt;=eq_a2,(eq_c2+2*(eq_c1+eq_a1)+PI()*(s_0+6*s_r)),9E+99),IF((s_0+6*s_r)&lt;=eq_a1,(eq_c1+2*(eq_c2+eq_a2)+PI()*(s_0+6*s_r)),9E+99))),2,IF(AND((s_0+6*s_r)&lt;=eq_a1,(eq_c1+2*(eq_c2+eq_a2)+PI()*(s_0+6*s_r))&lt;=MIN((2*(eq_c1+eq_c2)+2*PI()*(s_0+6*s_r)),((eq_c1+eq_a1)+(eq_c2+eq_a2)+PI()/2*(s_0+6*s_r)),IF((s_0+6*s_r)&lt;=eq_a2,(eq_c2+2*(eq_c1+eq_a1)+PI()*(s_0+6*s_r)),9E+99),IF((s_0+6*s_r)&lt;=eq_a1,(eq_c1+2*(eq_c2+eq_a2)+PI()*(s_0+6*s_r)),9E+99))),4,3)))))</f>
        <v/>
      </c>
    </row>
    <row r="168" ht="16" customHeight="1">
      <c r="B168" s="52" t="n">
        <v>8</v>
      </c>
      <c r="C168" s="52">
        <f>IF(AND(A_sw&gt;0,8&lt;=n_per),(s_0+7*s_r),"–")</f>
        <v/>
      </c>
      <c r="D168" s="52">
        <f>IF(AND(A_sw&gt;0,8&lt;=n_per),(IF(circ_int,PI()*eq_c1+2*PI()*(s_0+7*s_r),CHOOSE(pos_idx,(2*(eq_c1+eq_c2)+2*PI()*(s_0+7*s_r)),MIN((2*(eq_c1+eq_c2)+2*PI()*(s_0+7*s_r)),(eq_c2+2*(eq_c1+eq_a1)+PI()*(s_0+7*s_r))),MIN((2*(eq_c1+eq_c2)+2*PI()*(s_0+7*s_r)),((eq_c1+eq_a1)+(eq_c2+eq_a2)+PI()/2*(s_0+7*s_r)),IF((s_0+7*s_r)&lt;=eq_a2,(eq_c2+2*(eq_c1+eq_a1)+PI()*(s_0+7*s_r)),9E+99),IF((s_0+7*s_r)&lt;=eq_a1,(eq_c1+2*(eq_c2+eq_a2)+PI()*(s_0+7*s_r)),9E+99))))),"–")</f>
        <v/>
      </c>
      <c r="E168" s="53">
        <f>IF(AND(A_sw&gt;0,8&lt;=n_per),$I168,"–")</f>
        <v/>
      </c>
      <c r="F168" s="52">
        <f>IF(AND(A_sw&gt;0,8&lt;=n_per),$J168,"–")</f>
        <v/>
      </c>
      <c r="G168" s="52">
        <f>IF(AND(A_sw&gt;0,8&lt;=n_per),$I168*A_leg,"–")</f>
        <v/>
      </c>
      <c r="I168">
        <f>IF(AND(A_sw&gt;0,8&lt;=n_per),MAX(n_legA,CEILING((IF(circ_int,PI()*eq_c1+2*PI()*(s_0+7*s_r),CHOOSE(pos_idx,(2*(eq_c1+eq_c2)+2*PI()*(s_0+7*s_r)),MIN((2*(eq_c1+eq_c2)+2*PI()*(s_0+7*s_r)),(eq_c2+2*(eq_c1+eq_a1)+PI()*(s_0+7*s_r))),MIN((2*(eq_c1+eq_c2)+2*PI()*(s_0+7*s_r)),((eq_c1+eq_a1)+(eq_c2+eq_a2)+PI()/2*(s_0+7*s_r)),IF((s_0+7*s_r)&lt;=eq_a2,(eq_c2+2*(eq_c1+eq_a1)+PI()*(s_0+7*s_r)),9E+99),IF((s_0+7*s_r)&lt;=eq_a1,(eq_c1+2*(eq_c2+eq_a2)+PI()*(s_0+7*s_r)),9E+99)))))/IF((s_0+7*s_r)&lt;=2*d_eff,1.5*d_eff,2*d_eff),1)+IF($L168=1,0,1)),0)</f>
        <v/>
      </c>
      <c r="J168">
        <f>IF(AND(A_sw&gt;0,8&lt;=n_per),(IF(circ_int,PI()*eq_c1+2*PI()*(s_0+7*s_r),CHOOSE(pos_idx,(2*(eq_c1+eq_c2)+2*PI()*(s_0+7*s_r)),MIN((2*(eq_c1+eq_c2)+2*PI()*(s_0+7*s_r)),(eq_c2+2*(eq_c1+eq_a1)+PI()*(s_0+7*s_r))),MIN((2*(eq_c1+eq_c2)+2*PI()*(s_0+7*s_r)),((eq_c1+eq_a1)+(eq_c2+eq_a2)+PI()/2*(s_0+7*s_r)),IF((s_0+7*s_r)&lt;=eq_a2,(eq_c2+2*(eq_c1+eq_a1)+PI()*(s_0+7*s_r)),9E+99),IF((s_0+7*s_r)&lt;=eq_a1,(eq_c1+2*(eq_c2+eq_a2)+PI()*(s_0+7*s_r)),9E+99)))))/MAX(1,$I168-IF($L168=1,0,1)),0)</f>
        <v/>
      </c>
      <c r="K168">
        <f>IF(AND(A_sw&gt;0,8&lt;=n_per),$J168,0)</f>
        <v/>
      </c>
      <c r="L168">
        <f>IF(circ_int,1,CHOOSE(pos_idx,1,IF((eq_c2+2*(eq_c1+eq_a1)+PI()*(s_0+7*s_r))&lt;(2*(eq_c1+eq_c2)+2*PI()*(s_0+7*s_r)),2,1),IF((2*(eq_c1+eq_c2)+2*PI()*(s_0+7*s_r))&lt;=MIN((2*(eq_c1+eq_c2)+2*PI()*(s_0+7*s_r)),((eq_c1+eq_a1)+(eq_c2+eq_a2)+PI()/2*(s_0+7*s_r)),IF((s_0+7*s_r)&lt;=eq_a2,(eq_c2+2*(eq_c1+eq_a1)+PI()*(s_0+7*s_r)),9E+99),IF((s_0+7*s_r)&lt;=eq_a1,(eq_c1+2*(eq_c2+eq_a2)+PI()*(s_0+7*s_r)),9E+99)),1,IF(AND((s_0+7*s_r)&lt;=eq_a2,(eq_c2+2*(eq_c1+eq_a1)+PI()*(s_0+7*s_r))&lt;=MIN((2*(eq_c1+eq_c2)+2*PI()*(s_0+7*s_r)),((eq_c1+eq_a1)+(eq_c2+eq_a2)+PI()/2*(s_0+7*s_r)),IF((s_0+7*s_r)&lt;=eq_a2,(eq_c2+2*(eq_c1+eq_a1)+PI()*(s_0+7*s_r)),9E+99),IF((s_0+7*s_r)&lt;=eq_a1,(eq_c1+2*(eq_c2+eq_a2)+PI()*(s_0+7*s_r)),9E+99))),2,IF(AND((s_0+7*s_r)&lt;=eq_a1,(eq_c1+2*(eq_c2+eq_a2)+PI()*(s_0+7*s_r))&lt;=MIN((2*(eq_c1+eq_c2)+2*PI()*(s_0+7*s_r)),((eq_c1+eq_a1)+(eq_c2+eq_a2)+PI()/2*(s_0+7*s_r)),IF((s_0+7*s_r)&lt;=eq_a2,(eq_c2+2*(eq_c1+eq_a1)+PI()*(s_0+7*s_r)),9E+99),IF((s_0+7*s_r)&lt;=eq_a1,(eq_c1+2*(eq_c2+eq_a2)+PI()*(s_0+7*s_r)),9E+99))),4,3)))))</f>
        <v/>
      </c>
    </row>
    <row r="169" ht="16" customHeight="1">
      <c r="B169" s="52" t="n">
        <v>9</v>
      </c>
      <c r="C169" s="52">
        <f>IF(AND(A_sw&gt;0,9&lt;=n_per),(s_0+8*s_r),"–")</f>
        <v/>
      </c>
      <c r="D169" s="52">
        <f>IF(AND(A_sw&gt;0,9&lt;=n_per),(IF(circ_int,PI()*eq_c1+2*PI()*(s_0+8*s_r),CHOOSE(pos_idx,(2*(eq_c1+eq_c2)+2*PI()*(s_0+8*s_r)),MIN((2*(eq_c1+eq_c2)+2*PI()*(s_0+8*s_r)),(eq_c2+2*(eq_c1+eq_a1)+PI()*(s_0+8*s_r))),MIN((2*(eq_c1+eq_c2)+2*PI()*(s_0+8*s_r)),((eq_c1+eq_a1)+(eq_c2+eq_a2)+PI()/2*(s_0+8*s_r)),IF((s_0+8*s_r)&lt;=eq_a2,(eq_c2+2*(eq_c1+eq_a1)+PI()*(s_0+8*s_r)),9E+99),IF((s_0+8*s_r)&lt;=eq_a1,(eq_c1+2*(eq_c2+eq_a2)+PI()*(s_0+8*s_r)),9E+99))))),"–")</f>
        <v/>
      </c>
      <c r="E169" s="53">
        <f>IF(AND(A_sw&gt;0,9&lt;=n_per),$I169,"–")</f>
        <v/>
      </c>
      <c r="F169" s="52">
        <f>IF(AND(A_sw&gt;0,9&lt;=n_per),$J169,"–")</f>
        <v/>
      </c>
      <c r="G169" s="52">
        <f>IF(AND(A_sw&gt;0,9&lt;=n_per),$I169*A_leg,"–")</f>
        <v/>
      </c>
      <c r="I169">
        <f>IF(AND(A_sw&gt;0,9&lt;=n_per),MAX(n_legA,CEILING((IF(circ_int,PI()*eq_c1+2*PI()*(s_0+8*s_r),CHOOSE(pos_idx,(2*(eq_c1+eq_c2)+2*PI()*(s_0+8*s_r)),MIN((2*(eq_c1+eq_c2)+2*PI()*(s_0+8*s_r)),(eq_c2+2*(eq_c1+eq_a1)+PI()*(s_0+8*s_r))),MIN((2*(eq_c1+eq_c2)+2*PI()*(s_0+8*s_r)),((eq_c1+eq_a1)+(eq_c2+eq_a2)+PI()/2*(s_0+8*s_r)),IF((s_0+8*s_r)&lt;=eq_a2,(eq_c2+2*(eq_c1+eq_a1)+PI()*(s_0+8*s_r)),9E+99),IF((s_0+8*s_r)&lt;=eq_a1,(eq_c1+2*(eq_c2+eq_a2)+PI()*(s_0+8*s_r)),9E+99)))))/IF((s_0+8*s_r)&lt;=2*d_eff,1.5*d_eff,2*d_eff),1)+IF($L169=1,0,1)),0)</f>
        <v/>
      </c>
      <c r="J169">
        <f>IF(AND(A_sw&gt;0,9&lt;=n_per),(IF(circ_int,PI()*eq_c1+2*PI()*(s_0+8*s_r),CHOOSE(pos_idx,(2*(eq_c1+eq_c2)+2*PI()*(s_0+8*s_r)),MIN((2*(eq_c1+eq_c2)+2*PI()*(s_0+8*s_r)),(eq_c2+2*(eq_c1+eq_a1)+PI()*(s_0+8*s_r))),MIN((2*(eq_c1+eq_c2)+2*PI()*(s_0+8*s_r)),((eq_c1+eq_a1)+(eq_c2+eq_a2)+PI()/2*(s_0+8*s_r)),IF((s_0+8*s_r)&lt;=eq_a2,(eq_c2+2*(eq_c1+eq_a1)+PI()*(s_0+8*s_r)),9E+99),IF((s_0+8*s_r)&lt;=eq_a1,(eq_c1+2*(eq_c2+eq_a2)+PI()*(s_0+8*s_r)),9E+99)))))/MAX(1,$I169-IF($L169=1,0,1)),0)</f>
        <v/>
      </c>
      <c r="K169">
        <f>IF(AND(A_sw&gt;0,9&lt;=n_per),$J169,0)</f>
        <v/>
      </c>
      <c r="L169">
        <f>IF(circ_int,1,CHOOSE(pos_idx,1,IF((eq_c2+2*(eq_c1+eq_a1)+PI()*(s_0+8*s_r))&lt;(2*(eq_c1+eq_c2)+2*PI()*(s_0+8*s_r)),2,1),IF((2*(eq_c1+eq_c2)+2*PI()*(s_0+8*s_r))&lt;=MIN((2*(eq_c1+eq_c2)+2*PI()*(s_0+8*s_r)),((eq_c1+eq_a1)+(eq_c2+eq_a2)+PI()/2*(s_0+8*s_r)),IF((s_0+8*s_r)&lt;=eq_a2,(eq_c2+2*(eq_c1+eq_a1)+PI()*(s_0+8*s_r)),9E+99),IF((s_0+8*s_r)&lt;=eq_a1,(eq_c1+2*(eq_c2+eq_a2)+PI()*(s_0+8*s_r)),9E+99)),1,IF(AND((s_0+8*s_r)&lt;=eq_a2,(eq_c2+2*(eq_c1+eq_a1)+PI()*(s_0+8*s_r))&lt;=MIN((2*(eq_c1+eq_c2)+2*PI()*(s_0+8*s_r)),((eq_c1+eq_a1)+(eq_c2+eq_a2)+PI()/2*(s_0+8*s_r)),IF((s_0+8*s_r)&lt;=eq_a2,(eq_c2+2*(eq_c1+eq_a1)+PI()*(s_0+8*s_r)),9E+99),IF((s_0+8*s_r)&lt;=eq_a1,(eq_c1+2*(eq_c2+eq_a2)+PI()*(s_0+8*s_r)),9E+99))),2,IF(AND((s_0+8*s_r)&lt;=eq_a1,(eq_c1+2*(eq_c2+eq_a2)+PI()*(s_0+8*s_r))&lt;=MIN((2*(eq_c1+eq_c2)+2*PI()*(s_0+8*s_r)),((eq_c1+eq_a1)+(eq_c2+eq_a2)+PI()/2*(s_0+8*s_r)),IF((s_0+8*s_r)&lt;=eq_a2,(eq_c2+2*(eq_c1+eq_a1)+PI()*(s_0+8*s_r)),9E+99),IF((s_0+8*s_r)&lt;=eq_a1,(eq_c1+2*(eq_c2+eq_a2)+PI()*(s_0+8*s_r)),9E+99))),4,3)))))</f>
        <v/>
      </c>
    </row>
    <row r="170" ht="16" customHeight="1">
      <c r="B170" s="52" t="n">
        <v>10</v>
      </c>
      <c r="C170" s="52">
        <f>IF(AND(A_sw&gt;0,10&lt;=n_per),(s_0+9*s_r),"–")</f>
        <v/>
      </c>
      <c r="D170" s="52">
        <f>IF(AND(A_sw&gt;0,10&lt;=n_per),(IF(circ_int,PI()*eq_c1+2*PI()*(s_0+9*s_r),CHOOSE(pos_idx,(2*(eq_c1+eq_c2)+2*PI()*(s_0+9*s_r)),MIN((2*(eq_c1+eq_c2)+2*PI()*(s_0+9*s_r)),(eq_c2+2*(eq_c1+eq_a1)+PI()*(s_0+9*s_r))),MIN((2*(eq_c1+eq_c2)+2*PI()*(s_0+9*s_r)),((eq_c1+eq_a1)+(eq_c2+eq_a2)+PI()/2*(s_0+9*s_r)),IF((s_0+9*s_r)&lt;=eq_a2,(eq_c2+2*(eq_c1+eq_a1)+PI()*(s_0+9*s_r)),9E+99),IF((s_0+9*s_r)&lt;=eq_a1,(eq_c1+2*(eq_c2+eq_a2)+PI()*(s_0+9*s_r)),9E+99))))),"–")</f>
        <v/>
      </c>
      <c r="E170" s="53">
        <f>IF(AND(A_sw&gt;0,10&lt;=n_per),$I170,"–")</f>
        <v/>
      </c>
      <c r="F170" s="52">
        <f>IF(AND(A_sw&gt;0,10&lt;=n_per),$J170,"–")</f>
        <v/>
      </c>
      <c r="G170" s="52">
        <f>IF(AND(A_sw&gt;0,10&lt;=n_per),$I170*A_leg,"–")</f>
        <v/>
      </c>
      <c r="I170">
        <f>IF(AND(A_sw&gt;0,10&lt;=n_per),MAX(n_legA,CEILING((IF(circ_int,PI()*eq_c1+2*PI()*(s_0+9*s_r),CHOOSE(pos_idx,(2*(eq_c1+eq_c2)+2*PI()*(s_0+9*s_r)),MIN((2*(eq_c1+eq_c2)+2*PI()*(s_0+9*s_r)),(eq_c2+2*(eq_c1+eq_a1)+PI()*(s_0+9*s_r))),MIN((2*(eq_c1+eq_c2)+2*PI()*(s_0+9*s_r)),((eq_c1+eq_a1)+(eq_c2+eq_a2)+PI()/2*(s_0+9*s_r)),IF((s_0+9*s_r)&lt;=eq_a2,(eq_c2+2*(eq_c1+eq_a1)+PI()*(s_0+9*s_r)),9E+99),IF((s_0+9*s_r)&lt;=eq_a1,(eq_c1+2*(eq_c2+eq_a2)+PI()*(s_0+9*s_r)),9E+99)))))/IF((s_0+9*s_r)&lt;=2*d_eff,1.5*d_eff,2*d_eff),1)+IF($L170=1,0,1)),0)</f>
        <v/>
      </c>
      <c r="J170">
        <f>IF(AND(A_sw&gt;0,10&lt;=n_per),(IF(circ_int,PI()*eq_c1+2*PI()*(s_0+9*s_r),CHOOSE(pos_idx,(2*(eq_c1+eq_c2)+2*PI()*(s_0+9*s_r)),MIN((2*(eq_c1+eq_c2)+2*PI()*(s_0+9*s_r)),(eq_c2+2*(eq_c1+eq_a1)+PI()*(s_0+9*s_r))),MIN((2*(eq_c1+eq_c2)+2*PI()*(s_0+9*s_r)),((eq_c1+eq_a1)+(eq_c2+eq_a2)+PI()/2*(s_0+9*s_r)),IF((s_0+9*s_r)&lt;=eq_a2,(eq_c2+2*(eq_c1+eq_a1)+PI()*(s_0+9*s_r)),9E+99),IF((s_0+9*s_r)&lt;=eq_a1,(eq_c1+2*(eq_c2+eq_a2)+PI()*(s_0+9*s_r)),9E+99)))))/MAX(1,$I170-IF($L170=1,0,1)),0)</f>
        <v/>
      </c>
      <c r="K170">
        <f>IF(AND(A_sw&gt;0,10&lt;=n_per),$J170,0)</f>
        <v/>
      </c>
      <c r="L170">
        <f>IF(circ_int,1,CHOOSE(pos_idx,1,IF((eq_c2+2*(eq_c1+eq_a1)+PI()*(s_0+9*s_r))&lt;(2*(eq_c1+eq_c2)+2*PI()*(s_0+9*s_r)),2,1),IF((2*(eq_c1+eq_c2)+2*PI()*(s_0+9*s_r))&lt;=MIN((2*(eq_c1+eq_c2)+2*PI()*(s_0+9*s_r)),((eq_c1+eq_a1)+(eq_c2+eq_a2)+PI()/2*(s_0+9*s_r)),IF((s_0+9*s_r)&lt;=eq_a2,(eq_c2+2*(eq_c1+eq_a1)+PI()*(s_0+9*s_r)),9E+99),IF((s_0+9*s_r)&lt;=eq_a1,(eq_c1+2*(eq_c2+eq_a2)+PI()*(s_0+9*s_r)),9E+99)),1,IF(AND((s_0+9*s_r)&lt;=eq_a2,(eq_c2+2*(eq_c1+eq_a1)+PI()*(s_0+9*s_r))&lt;=MIN((2*(eq_c1+eq_c2)+2*PI()*(s_0+9*s_r)),((eq_c1+eq_a1)+(eq_c2+eq_a2)+PI()/2*(s_0+9*s_r)),IF((s_0+9*s_r)&lt;=eq_a2,(eq_c2+2*(eq_c1+eq_a1)+PI()*(s_0+9*s_r)),9E+99),IF((s_0+9*s_r)&lt;=eq_a1,(eq_c1+2*(eq_c2+eq_a2)+PI()*(s_0+9*s_r)),9E+99))),2,IF(AND((s_0+9*s_r)&lt;=eq_a1,(eq_c1+2*(eq_c2+eq_a2)+PI()*(s_0+9*s_r))&lt;=MIN((2*(eq_c1+eq_c2)+2*PI()*(s_0+9*s_r)),((eq_c1+eq_a1)+(eq_c2+eq_a2)+PI()/2*(s_0+9*s_r)),IF((s_0+9*s_r)&lt;=eq_a2,(eq_c2+2*(eq_c1+eq_a1)+PI()*(s_0+9*s_r)),9E+99),IF((s_0+9*s_r)&lt;=eq_a1,(eq_c1+2*(eq_c2+eq_a2)+PI()*(s_0+9*s_r)),9E+99))),4,3)))))</f>
        <v/>
      </c>
    </row>
    <row r="171" ht="16" customHeight="1">
      <c r="B171" s="52" t="n">
        <v>11</v>
      </c>
      <c r="C171" s="52">
        <f>IF(AND(A_sw&gt;0,11&lt;=n_per),(s_0+10*s_r),"–")</f>
        <v/>
      </c>
      <c r="D171" s="52">
        <f>IF(AND(A_sw&gt;0,11&lt;=n_per),(IF(circ_int,PI()*eq_c1+2*PI()*(s_0+10*s_r),CHOOSE(pos_idx,(2*(eq_c1+eq_c2)+2*PI()*(s_0+10*s_r)),MIN((2*(eq_c1+eq_c2)+2*PI()*(s_0+10*s_r)),(eq_c2+2*(eq_c1+eq_a1)+PI()*(s_0+10*s_r))),MIN((2*(eq_c1+eq_c2)+2*PI()*(s_0+10*s_r)),((eq_c1+eq_a1)+(eq_c2+eq_a2)+PI()/2*(s_0+10*s_r)),IF((s_0+10*s_r)&lt;=eq_a2,(eq_c2+2*(eq_c1+eq_a1)+PI()*(s_0+10*s_r)),9E+99),IF((s_0+10*s_r)&lt;=eq_a1,(eq_c1+2*(eq_c2+eq_a2)+PI()*(s_0+10*s_r)),9E+99))))),"–")</f>
        <v/>
      </c>
      <c r="E171" s="53">
        <f>IF(AND(A_sw&gt;0,11&lt;=n_per),$I171,"–")</f>
        <v/>
      </c>
      <c r="F171" s="52">
        <f>IF(AND(A_sw&gt;0,11&lt;=n_per),$J171,"–")</f>
        <v/>
      </c>
      <c r="G171" s="52">
        <f>IF(AND(A_sw&gt;0,11&lt;=n_per),$I171*A_leg,"–")</f>
        <v/>
      </c>
      <c r="I171">
        <f>IF(AND(A_sw&gt;0,11&lt;=n_per),MAX(n_legA,CEILING((IF(circ_int,PI()*eq_c1+2*PI()*(s_0+10*s_r),CHOOSE(pos_idx,(2*(eq_c1+eq_c2)+2*PI()*(s_0+10*s_r)),MIN((2*(eq_c1+eq_c2)+2*PI()*(s_0+10*s_r)),(eq_c2+2*(eq_c1+eq_a1)+PI()*(s_0+10*s_r))),MIN((2*(eq_c1+eq_c2)+2*PI()*(s_0+10*s_r)),((eq_c1+eq_a1)+(eq_c2+eq_a2)+PI()/2*(s_0+10*s_r)),IF((s_0+10*s_r)&lt;=eq_a2,(eq_c2+2*(eq_c1+eq_a1)+PI()*(s_0+10*s_r)),9E+99),IF((s_0+10*s_r)&lt;=eq_a1,(eq_c1+2*(eq_c2+eq_a2)+PI()*(s_0+10*s_r)),9E+99)))))/IF((s_0+10*s_r)&lt;=2*d_eff,1.5*d_eff,2*d_eff),1)+IF($L171=1,0,1)),0)</f>
        <v/>
      </c>
      <c r="J171">
        <f>IF(AND(A_sw&gt;0,11&lt;=n_per),(IF(circ_int,PI()*eq_c1+2*PI()*(s_0+10*s_r),CHOOSE(pos_idx,(2*(eq_c1+eq_c2)+2*PI()*(s_0+10*s_r)),MIN((2*(eq_c1+eq_c2)+2*PI()*(s_0+10*s_r)),(eq_c2+2*(eq_c1+eq_a1)+PI()*(s_0+10*s_r))),MIN((2*(eq_c1+eq_c2)+2*PI()*(s_0+10*s_r)),((eq_c1+eq_a1)+(eq_c2+eq_a2)+PI()/2*(s_0+10*s_r)),IF((s_0+10*s_r)&lt;=eq_a2,(eq_c2+2*(eq_c1+eq_a1)+PI()*(s_0+10*s_r)),9E+99),IF((s_0+10*s_r)&lt;=eq_a1,(eq_c1+2*(eq_c2+eq_a2)+PI()*(s_0+10*s_r)),9E+99)))))/MAX(1,$I171-IF($L171=1,0,1)),0)</f>
        <v/>
      </c>
      <c r="K171">
        <f>IF(AND(A_sw&gt;0,11&lt;=n_per),$J171,0)</f>
        <v/>
      </c>
      <c r="L171">
        <f>IF(circ_int,1,CHOOSE(pos_idx,1,IF((eq_c2+2*(eq_c1+eq_a1)+PI()*(s_0+10*s_r))&lt;(2*(eq_c1+eq_c2)+2*PI()*(s_0+10*s_r)),2,1),IF((2*(eq_c1+eq_c2)+2*PI()*(s_0+10*s_r))&lt;=MIN((2*(eq_c1+eq_c2)+2*PI()*(s_0+10*s_r)),((eq_c1+eq_a1)+(eq_c2+eq_a2)+PI()/2*(s_0+10*s_r)),IF((s_0+10*s_r)&lt;=eq_a2,(eq_c2+2*(eq_c1+eq_a1)+PI()*(s_0+10*s_r)),9E+99),IF((s_0+10*s_r)&lt;=eq_a1,(eq_c1+2*(eq_c2+eq_a2)+PI()*(s_0+10*s_r)),9E+99)),1,IF(AND((s_0+10*s_r)&lt;=eq_a2,(eq_c2+2*(eq_c1+eq_a1)+PI()*(s_0+10*s_r))&lt;=MIN((2*(eq_c1+eq_c2)+2*PI()*(s_0+10*s_r)),((eq_c1+eq_a1)+(eq_c2+eq_a2)+PI()/2*(s_0+10*s_r)),IF((s_0+10*s_r)&lt;=eq_a2,(eq_c2+2*(eq_c1+eq_a1)+PI()*(s_0+10*s_r)),9E+99),IF((s_0+10*s_r)&lt;=eq_a1,(eq_c1+2*(eq_c2+eq_a2)+PI()*(s_0+10*s_r)),9E+99))),2,IF(AND((s_0+10*s_r)&lt;=eq_a1,(eq_c1+2*(eq_c2+eq_a2)+PI()*(s_0+10*s_r))&lt;=MIN((2*(eq_c1+eq_c2)+2*PI()*(s_0+10*s_r)),((eq_c1+eq_a1)+(eq_c2+eq_a2)+PI()/2*(s_0+10*s_r)),IF((s_0+10*s_r)&lt;=eq_a2,(eq_c2+2*(eq_c1+eq_a1)+PI()*(s_0+10*s_r)),9E+99),IF((s_0+10*s_r)&lt;=eq_a1,(eq_c1+2*(eq_c2+eq_a2)+PI()*(s_0+10*s_r)),9E+99))),4,3)))))</f>
        <v/>
      </c>
    </row>
    <row r="172" ht="16" customHeight="1">
      <c r="B172" s="52" t="n">
        <v>12</v>
      </c>
      <c r="C172" s="52">
        <f>IF(AND(A_sw&gt;0,12&lt;=n_per),(s_0+11*s_r),"–")</f>
        <v/>
      </c>
      <c r="D172" s="52">
        <f>IF(AND(A_sw&gt;0,12&lt;=n_per),(IF(circ_int,PI()*eq_c1+2*PI()*(s_0+11*s_r),CHOOSE(pos_idx,(2*(eq_c1+eq_c2)+2*PI()*(s_0+11*s_r)),MIN((2*(eq_c1+eq_c2)+2*PI()*(s_0+11*s_r)),(eq_c2+2*(eq_c1+eq_a1)+PI()*(s_0+11*s_r))),MIN((2*(eq_c1+eq_c2)+2*PI()*(s_0+11*s_r)),((eq_c1+eq_a1)+(eq_c2+eq_a2)+PI()/2*(s_0+11*s_r)),IF((s_0+11*s_r)&lt;=eq_a2,(eq_c2+2*(eq_c1+eq_a1)+PI()*(s_0+11*s_r)),9E+99),IF((s_0+11*s_r)&lt;=eq_a1,(eq_c1+2*(eq_c2+eq_a2)+PI()*(s_0+11*s_r)),9E+99))))),"–")</f>
        <v/>
      </c>
      <c r="E172" s="53">
        <f>IF(AND(A_sw&gt;0,12&lt;=n_per),$I172,"–")</f>
        <v/>
      </c>
      <c r="F172" s="52">
        <f>IF(AND(A_sw&gt;0,12&lt;=n_per),$J172,"–")</f>
        <v/>
      </c>
      <c r="G172" s="52">
        <f>IF(AND(A_sw&gt;0,12&lt;=n_per),$I172*A_leg,"–")</f>
        <v/>
      </c>
      <c r="I172">
        <f>IF(AND(A_sw&gt;0,12&lt;=n_per),MAX(n_legA,CEILING((IF(circ_int,PI()*eq_c1+2*PI()*(s_0+11*s_r),CHOOSE(pos_idx,(2*(eq_c1+eq_c2)+2*PI()*(s_0+11*s_r)),MIN((2*(eq_c1+eq_c2)+2*PI()*(s_0+11*s_r)),(eq_c2+2*(eq_c1+eq_a1)+PI()*(s_0+11*s_r))),MIN((2*(eq_c1+eq_c2)+2*PI()*(s_0+11*s_r)),((eq_c1+eq_a1)+(eq_c2+eq_a2)+PI()/2*(s_0+11*s_r)),IF((s_0+11*s_r)&lt;=eq_a2,(eq_c2+2*(eq_c1+eq_a1)+PI()*(s_0+11*s_r)),9E+99),IF((s_0+11*s_r)&lt;=eq_a1,(eq_c1+2*(eq_c2+eq_a2)+PI()*(s_0+11*s_r)),9E+99)))))/IF((s_0+11*s_r)&lt;=2*d_eff,1.5*d_eff,2*d_eff),1)+IF($L172=1,0,1)),0)</f>
        <v/>
      </c>
      <c r="J172">
        <f>IF(AND(A_sw&gt;0,12&lt;=n_per),(IF(circ_int,PI()*eq_c1+2*PI()*(s_0+11*s_r),CHOOSE(pos_idx,(2*(eq_c1+eq_c2)+2*PI()*(s_0+11*s_r)),MIN((2*(eq_c1+eq_c2)+2*PI()*(s_0+11*s_r)),(eq_c2+2*(eq_c1+eq_a1)+PI()*(s_0+11*s_r))),MIN((2*(eq_c1+eq_c2)+2*PI()*(s_0+11*s_r)),((eq_c1+eq_a1)+(eq_c2+eq_a2)+PI()/2*(s_0+11*s_r)),IF((s_0+11*s_r)&lt;=eq_a2,(eq_c2+2*(eq_c1+eq_a1)+PI()*(s_0+11*s_r)),9E+99),IF((s_0+11*s_r)&lt;=eq_a1,(eq_c1+2*(eq_c2+eq_a2)+PI()*(s_0+11*s_r)),9E+99)))))/MAX(1,$I172-IF($L172=1,0,1)),0)</f>
        <v/>
      </c>
      <c r="K172">
        <f>IF(AND(A_sw&gt;0,12&lt;=n_per),$J172,0)</f>
        <v/>
      </c>
      <c r="L172">
        <f>IF(circ_int,1,CHOOSE(pos_idx,1,IF((eq_c2+2*(eq_c1+eq_a1)+PI()*(s_0+11*s_r))&lt;(2*(eq_c1+eq_c2)+2*PI()*(s_0+11*s_r)),2,1),IF((2*(eq_c1+eq_c2)+2*PI()*(s_0+11*s_r))&lt;=MIN((2*(eq_c1+eq_c2)+2*PI()*(s_0+11*s_r)),((eq_c1+eq_a1)+(eq_c2+eq_a2)+PI()/2*(s_0+11*s_r)),IF((s_0+11*s_r)&lt;=eq_a2,(eq_c2+2*(eq_c1+eq_a1)+PI()*(s_0+11*s_r)),9E+99),IF((s_0+11*s_r)&lt;=eq_a1,(eq_c1+2*(eq_c2+eq_a2)+PI()*(s_0+11*s_r)),9E+99)),1,IF(AND((s_0+11*s_r)&lt;=eq_a2,(eq_c2+2*(eq_c1+eq_a1)+PI()*(s_0+11*s_r))&lt;=MIN((2*(eq_c1+eq_c2)+2*PI()*(s_0+11*s_r)),((eq_c1+eq_a1)+(eq_c2+eq_a2)+PI()/2*(s_0+11*s_r)),IF((s_0+11*s_r)&lt;=eq_a2,(eq_c2+2*(eq_c1+eq_a1)+PI()*(s_0+11*s_r)),9E+99),IF((s_0+11*s_r)&lt;=eq_a1,(eq_c1+2*(eq_c2+eq_a2)+PI()*(s_0+11*s_r)),9E+99))),2,IF(AND((s_0+11*s_r)&lt;=eq_a1,(eq_c1+2*(eq_c2+eq_a2)+PI()*(s_0+11*s_r))&lt;=MIN((2*(eq_c1+eq_c2)+2*PI()*(s_0+11*s_r)),((eq_c1+eq_a1)+(eq_c2+eq_a2)+PI()/2*(s_0+11*s_r)),IF((s_0+11*s_r)&lt;=eq_a2,(eq_c2+2*(eq_c1+eq_a1)+PI()*(s_0+11*s_r)),9E+99),IF((s_0+11*s_r)&lt;=eq_a1,(eq_c1+2*(eq_c2+eq_a2)+PI()*(s_0+11*s_r)),9E+99))),4,3)))))</f>
        <v/>
      </c>
    </row>
    <row r="173" ht="17" customHeight="1">
      <c r="B173" s="23" t="n"/>
      <c r="C173" s="24" t="inlineStr">
        <is>
          <t>Total number of legs</t>
        </is>
      </c>
      <c r="D173" s="27" t="inlineStr">
        <is>
          <r>
            <rPr>
              <rFont val="Calibri"/>
              <i val="1"/>
              <color rgb="002B2B2B"/>
              <sz val="10"/>
            </rPr>
            <t>Σn</t>
          </r>
        </is>
      </c>
      <c r="E173" s="45">
        <f>IFERROR(legs_tot,"–")</f>
        <v/>
      </c>
      <c r="F173" s="23" t="n"/>
      <c r="G173" s="23" t="n"/>
    </row>
    <row r="174" ht="17" customHeight="1">
      <c r="B174" s="26" t="inlineStr">
        <is>
          <t>(9.11)</t>
        </is>
      </c>
      <c r="C174" s="24" t="inlineStr">
        <is>
          <t>Minimum area of one leg  0.08 √fck / fywk · sr st / 1.5  (largest st of all perimeters)</t>
        </is>
      </c>
      <c r="D174" s="27" t="inlineStr">
        <is>
          <r>
            <rPr>
              <rFont val="Calibri"/>
              <i val="1"/>
              <color rgb="002B2B2B"/>
              <sz val="10"/>
            </rPr>
            <t>A</t>
          </r>
          <r>
            <rPr>
              <rFont val="Calibri"/>
              <i val="1"/>
              <color rgb="002B2B2B"/>
              <sz val="10"/>
              <vertAlign val="subscript"/>
            </rPr>
            <t>sw,min</t>
          </r>
        </is>
      </c>
      <c r="E174" s="47">
        <f>0.08*SQRT(f_ck)/f_ywk*s_r*st_max/1.5</f>
        <v/>
      </c>
      <c r="F174" s="28" t="inlineStr">
        <is>
          <t>mm²</t>
        </is>
      </c>
      <c r="G174" s="23" t="n"/>
    </row>
    <row r="175" ht="17" customHeight="1">
      <c r="B175" s="26" t="inlineStr">
        <is>
          <t>(9.11)</t>
        </is>
      </c>
      <c r="C175" s="24" t="inlineStr">
        <is>
          <t>Leg area  Aleg ≥ Asw,min  (slab within vRd,max and kmax vRd,c)</t>
        </is>
      </c>
      <c r="D175" s="27" t="inlineStr">
        <is>
          <r>
            <rPr>
              <rFont val="Calibri"/>
              <i val="1"/>
              <color rgb="002B2B2B"/>
              <sz val="10"/>
            </rPr>
            <t>A</t>
          </r>
          <r>
            <rPr>
              <rFont val="Calibri"/>
              <i val="1"/>
              <color rgb="002B2B2B"/>
              <sz val="10"/>
              <vertAlign val="subscript"/>
            </rPr>
            <t>leg</t>
          </r>
        </is>
      </c>
      <c r="E175" s="47">
        <f>A_leg</f>
        <v/>
      </c>
      <c r="F175" s="28" t="inlineStr">
        <is>
          <t>mm²</t>
        </is>
      </c>
      <c r="G175" s="33">
        <f>IF(NOT(inputs_ok),"FAIL",IF(AND(punch_ok,OR(A_sw=0,A_leg&gt;=A_swmin)),"OK","FAIL"))</f>
        <v/>
      </c>
    </row>
    <row r="176" ht="17" customHeight="1">
      <c r="B176" s="26" t="inlineStr">
        <is>
          <t>9.4.3(1)</t>
        </is>
      </c>
      <c r="C176" s="24" t="inlineStr">
        <is>
          <t>First perimeter  0.3d ≤ s0 ≤ 0.5d</t>
        </is>
      </c>
      <c r="D176" s="27" t="inlineStr">
        <is>
          <r>
            <rPr>
              <rFont val="Calibri"/>
              <i val="1"/>
              <color rgb="002B2B2B"/>
              <sz val="10"/>
            </rPr>
            <t>s</t>
          </r>
          <r>
            <rPr>
              <rFont val="Calibri"/>
              <i val="1"/>
              <color rgb="002B2B2B"/>
              <sz val="10"/>
              <vertAlign val="subscript"/>
            </rPr>
            <t>0</t>
          </r>
        </is>
      </c>
      <c r="E176" s="45">
        <f>s_0</f>
        <v/>
      </c>
      <c r="F176" s="28" t="inlineStr">
        <is>
          <t>mm</t>
        </is>
      </c>
      <c r="G176" s="33">
        <f>IF(NOT(inputs_ok),"FAIL",IF(AND(punch_ok,OR(A_sw=0,AND(s_0&gt;=0.3*d_eff,s_0&lt;=0.5*d_eff))),"OK","FAIL"))</f>
        <v/>
      </c>
    </row>
    <row r="177" ht="17" customHeight="1">
      <c r="B177" s="26" t="inlineStr">
        <is>
          <t>9.4.3(1)</t>
        </is>
      </c>
      <c r="C177" s="24" t="inlineStr">
        <is>
          <t>Radial spacing  sr ≤ 0.75d</t>
        </is>
      </c>
      <c r="D177" s="27" t="inlineStr">
        <is>
          <r>
            <rPr>
              <rFont val="Calibri"/>
              <i val="1"/>
              <color rgb="002B2B2B"/>
              <sz val="10"/>
            </rPr>
            <t>s</t>
          </r>
          <r>
            <rPr>
              <rFont val="Calibri"/>
              <i val="1"/>
              <color rgb="002B2B2B"/>
              <sz val="10"/>
              <vertAlign val="subscript"/>
            </rPr>
            <t>r</t>
          </r>
        </is>
      </c>
      <c r="E177" s="45">
        <f>s_r</f>
        <v/>
      </c>
      <c r="F177" s="28" t="inlineStr">
        <is>
          <t>mm</t>
        </is>
      </c>
      <c r="G177" s="33">
        <f>IF(NOT(inputs_ok),"FAIL",IF(AND(punch_ok,OR(A_sw=0,s_r&lt;=0.75*d_eff)),"OK","FAIL"))</f>
        <v/>
      </c>
    </row>
    <row r="178" ht="17" customHeight="1">
      <c r="B178" s="23" t="n"/>
      <c r="C178" s="24" t="inlineStr">
        <is>
          <t>Perimeters within the table  (≤ 12)</t>
        </is>
      </c>
      <c r="D178" s="27" t="inlineStr">
        <is>
          <r>
            <rPr>
              <rFont val="Calibri"/>
              <i val="1"/>
              <color rgb="002B2B2B"/>
              <sz val="10"/>
            </rPr>
            <t>n</t>
          </r>
        </is>
      </c>
      <c r="E178" s="45">
        <f>n_per</f>
        <v/>
      </c>
      <c r="F178" s="23" t="n"/>
      <c r="G178" s="33">
        <f>IF(NOT(inputs_ok),"FAIL",IF(AND(punch_ok,OR(A_sw=0,n_per&lt;=12)),"OK","FAIL"))</f>
        <v/>
      </c>
    </row>
    <row r="179" ht="41.5" customHeight="1">
      <c r="B179" s="42" t="inlineStr">
        <is>
          <t>Spacing checks apply only where shear reinforcement is required. Legs per perimeter: the larger of Asw / Aleg and the number that keeps the tangential spacing within 1.5d inside 2d and 2d outside (9.4.3(1)); perimeters running to a free edge get one leg more. More perimeters than the table holds: increase sr or s0 within their limits.</t>
        </is>
      </c>
    </row>
    <row r="181" ht="29" customHeight="1">
      <c r="B181" s="42"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10">
    <mergeCell ref="B134:G134"/>
    <mergeCell ref="E5:G5"/>
    <mergeCell ref="B179:G179"/>
    <mergeCell ref="B110:G110"/>
    <mergeCell ref="B181:G181"/>
    <mergeCell ref="B93:G93"/>
    <mergeCell ref="D2:G2"/>
    <mergeCell ref="E7:G7"/>
    <mergeCell ref="E6:G6"/>
    <mergeCell ref="C3:G3"/>
  </mergeCells>
  <conditionalFormatting sqref="G9:G182">
    <cfRule type="expression" priority="1" dxfId="0">
      <formula>G9="OK"</formula>
    </cfRule>
    <cfRule type="expression" priority="2" dxfId="1">
      <formula>G9="FAIL"</formula>
    </cfRule>
    <cfRule type="expression" priority="3" dxfId="2">
      <formula>LEFT(G9,1)="!"</formula>
    </cfRule>
  </conditionalFormatting>
  <dataValidations count="28">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Pick a value from the list." type="list" errorStyle="stop">
      <formula1>"Internal,Edge,Corner"</formula1>
    </dataValidation>
    <dataValidation sqref="E14" showDropDown="0" showInputMessage="0" showErrorMessage="1" allowBlank="0" errorTitle="NA Engineering" error="Pick a value from the list." type="list" errorStyle="stop">
      <formula1>"Rectangular,Circular"</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 0." type="decimal" errorStyle="stop" operator="greaterThanOrEqual">
      <formula1>0</formula1>
    </dataValidation>
    <dataValidation sqref="E18" showDropDown="0" showInputMessage="0" showErrorMessage="1" allowBlank="0" errorTitle="NA Engineering" error="Enter a number ≥ 0." type="decimal" errorStyle="stop" operator="greaterThanOrEqual">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 0." type="decimal" errorStyle="stop" operator="greaterThanOrEqual">
      <formula1>0</formula1>
    </dataValidation>
    <dataValidation sqref="E47" showDropDown="0" showInputMessage="0" showErrorMessage="1" allowBlank="0" errorTitle="NA Engineering" error="Enter a number ≥ 0." type="decimal" errorStyle="stop" operator="greaterThanOrEqual">
      <formula1>0</formula1>
    </dataValidation>
    <dataValidation sqref="E48" showDropDown="0" showInputMessage="0" showErrorMessage="1" allowBlank="0" errorTitle="NA Engineering" error="Enter a number ≥ 0." type="decimal" errorStyle="stop" operator="greaterThanOrEqual">
      <formula1>0</formula1>
    </dataValidation>
    <dataValidation sqref="E49" showDropDown="0" showInputMessage="0" showErrorMessage="1" allowBlank="0" errorTitle="NA Engineering" error="Enter a number greater than 0." type="decimal" errorStyle="stop" operator="greaterThan">
      <formula1>0</formula1>
    </dataValidation>
    <dataValidation sqref="E50" showDropDown="0" showInputMessage="0" showErrorMessage="1" allowBlank="0" errorTitle="NA Engineering" error="Enter a number greater than 0." type="decimal" errorStyle="stop" operator="greaterThan">
      <formula1>0</formula1>
    </dataValidation>
    <dataValidation sqref="E51" showDropDown="0" showInputMessage="0" showErrorMessage="1" allowBlank="0" errorTitle="NA Engineering" error="Pick a value from the list." type="list" errorStyle="stop">
      <formula1>"No,Yes"</formula1>
    </dataValidation>
    <dataValidation sqref="E52" showDropDown="0" showInputMessage="0" showErrorMessage="1" allowBlank="0" errorTitle="NA Engineering" error="Enter a number ≥ 0." type="decimal" errorStyle="stop" operator="greaterThanOrEqual">
      <formula1>0</formula1>
    </dataValidation>
    <dataValidation sqref="E53" showDropDown="0" showInputMessage="0" showErrorMessage="1" allowBlank="0" errorTitle="NA Engineering" error="Enter a number ≥ 0." type="decimal" errorStyle="stop" operator="greaterThanOrEqual">
      <formula1>0</formula1>
    </dataValidation>
    <dataValidation sqref="E72" showDropDown="0" showInputMessage="0" showErrorMessage="1" allowBlank="0" errorTitle="NA Engineering" error="Pick a value from the list." type="list" errorStyle="stop">
      <formula1>"Simplified,Calculated,User value"</formula1>
    </dataValidation>
    <dataValidation sqref="E73" showDropDown="0" showInputMessage="0" showErrorMessage="1" allowBlank="0" errorTitle="NA Engineering" error="Enter a number ≥ 0." type="decimal" errorStyle="stop" operator="greaterThanOrEqual">
      <formula1>0</formula1>
    </dataValidation>
    <dataValidation sqref="E74" showDropDown="0" showInputMessage="0" showErrorMessage="1" allowBlank="0" errorTitle="NA Engineering" error="Enter a number ≥ 0." type="decimal" errorStyle="stop" operator="greaterThanOrEqual">
      <formula1>0</formula1>
    </dataValidation>
    <dataValidation sqref="E75" showDropDown="0" showInputMessage="0" showErrorMessage="1" allowBlank="0" errorTitle="NA Engineering" error="Enter a number ≥ 1.0." type="decimal" errorStyle="stop" operator="greaterThanOrEqual">
      <formula1>1.0</formula1>
    </dataValidation>
    <dataValidation sqref="E78" showDropDown="0" showInputMessage="0" showErrorMessage="1" allowBlank="0" errorTitle="NA Engineering" error="Enter a number greater than 0." type="decimal" errorStyle="stop" operator="greaterThan">
      <formula1>0</formula1>
    </dataValidation>
    <dataValidation sqref="E79" showDropDown="0" showInputMessage="0" showErrorMessage="1" allowBlank="0" errorTitle="NA Engineering" error="Pick a value from the list." type="list" errorStyle="stop">
      <formula1>"6,8,10,12,16"</formula1>
    </dataValidation>
    <dataValidation sqref="E80" showDropDown="0" showInputMessage="0" showErrorMessage="1" allowBlank="0" errorTitle="NA Engineering" error="Enter a number greater than 0." type="decimal" errorStyle="stop" operator="greaterThan">
      <formula1>0</formula1>
    </dataValidation>
    <dataValidation sqref="E81"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&amp;K8A8A8ANAE-RC-002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D66"/>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column</t>
        </is>
      </c>
      <c r="D2" t="inlineStr">
        <is>
          <t>u1</t>
        </is>
      </c>
      <c r="G2" t="inlineStr">
        <is>
          <t>uout</t>
        </is>
      </c>
      <c r="J2" t="inlineStr">
        <is>
          <t>slab edge</t>
        </is>
      </c>
      <c r="M2" t="inlineStr">
        <is>
          <t>dim</t>
        </is>
      </c>
      <c r="P2" t="inlineStr">
        <is>
          <t>c₁</t>
        </is>
      </c>
      <c r="S2" t="inlineStr">
        <is>
          <t>dim</t>
        </is>
      </c>
      <c r="V2" t="inlineStr">
        <is>
          <t>c₂</t>
        </is>
      </c>
      <c r="Y2" t="inlineStr">
        <is>
          <t>dim</t>
        </is>
      </c>
      <c r="AB2" t="inlineStr">
        <is>
          <t>D</t>
        </is>
      </c>
      <c r="AE2" t="inlineStr">
        <is>
          <t>dim</t>
        </is>
      </c>
      <c r="AH2" t="inlineStr">
        <is>
          <t>2d</t>
        </is>
      </c>
      <c r="AK2" t="inlineStr">
        <is>
          <t>dim</t>
        </is>
      </c>
      <c r="AN2" t="inlineStr">
        <is>
          <t>a₁</t>
        </is>
      </c>
      <c r="AQ2" t="inlineStr">
        <is>
          <t>dim</t>
        </is>
      </c>
      <c r="AT2" t="inlineStr">
        <is>
          <t>a₂</t>
        </is>
      </c>
      <c r="AW2" t="inlineStr">
        <is>
          <t>link perimeter 1</t>
        </is>
      </c>
      <c r="AZ2" t="inlineStr">
        <is>
          <t>legs 1</t>
        </is>
      </c>
      <c r="BC2" t="inlineStr">
        <is>
          <t>link perimeter 2</t>
        </is>
      </c>
      <c r="BF2" t="inlineStr">
        <is>
          <t>legs 2</t>
        </is>
      </c>
      <c r="BI2" t="inlineStr">
        <is>
          <t>link perimeter 3</t>
        </is>
      </c>
      <c r="BL2" t="inlineStr">
        <is>
          <t>legs 3</t>
        </is>
      </c>
      <c r="BO2" t="inlineStr">
        <is>
          <t>link perimeter 4</t>
        </is>
      </c>
      <c r="BR2" t="inlineStr">
        <is>
          <t>legs 4</t>
        </is>
      </c>
      <c r="BU2" t="inlineStr">
        <is>
          <t>link perimeter 5</t>
        </is>
      </c>
      <c r="BX2" t="inlineStr">
        <is>
          <t>legs 5</t>
        </is>
      </c>
      <c r="CA2" t="inlineStr">
        <is>
          <t>link perimeter 6</t>
        </is>
      </c>
      <c r="CD2" t="inlineStr">
        <is>
          <t>legs 6</t>
        </is>
      </c>
      <c r="CG2" t="inlineStr">
        <is>
          <t>link perimeter 7</t>
        </is>
      </c>
      <c r="CJ2" t="inlineStr">
        <is>
          <t>legs 7</t>
        </is>
      </c>
      <c r="CM2" t="inlineStr">
        <is>
          <t>link perimeter 8</t>
        </is>
      </c>
      <c r="CP2" t="inlineStr">
        <is>
          <t>legs 8</t>
        </is>
      </c>
      <c r="CS2" t="inlineStr">
        <is>
          <t>link perimeter 9</t>
        </is>
      </c>
      <c r="CV2" t="inlineStr">
        <is>
          <t>legs 9</t>
        </is>
      </c>
      <c r="CY2" t="inlineStr">
        <is>
          <t>link perimeter 10</t>
        </is>
      </c>
      <c r="DB2" t="inlineStr">
        <is>
          <t>legs 10</t>
        </is>
      </c>
      <c r="DE2" t="inlineStr">
        <is>
          <t>link perimeter 11</t>
        </is>
      </c>
      <c r="DH2" t="inlineStr">
        <is>
          <t>legs 11</t>
        </is>
      </c>
      <c r="DK2" t="inlineStr">
        <is>
          <t>link perimeter 12</t>
        </is>
      </c>
      <c r="DN2" t="inlineStr">
        <is>
          <t>legs 12</t>
        </is>
      </c>
      <c r="DQ2">
        <f>IF(AND(links_on,MAX(lk_legs)&gt;64),"legs: first 64 per perimeter drawn","")</f>
        <v/>
      </c>
      <c r="DT2" t="inlineStr">
        <is>
          <t>u₁</t>
        </is>
      </c>
      <c r="DW2" t="inlineStr">
        <is>
          <t>uout,ef</t>
        </is>
      </c>
      <c r="DZ2" t="inlineStr">
        <is>
          <t>slab edge</t>
        </is>
      </c>
      <c r="EC2" t="inlineStr">
        <is>
          <t>frame</t>
        </is>
      </c>
    </row>
    <row r="3">
      <c r="A3">
        <f>IF(shape="Circular",(g_ox)+(c_1/2+0)*1.000000,CHOOSE(1,(g_ox+eq_c1/2)+(0)*1.000000,0,0,eq_a1-0))</f>
        <v/>
      </c>
      <c r="B3">
        <f>IF(shape="Circular",(g_oy)+(c_1/2+0)*0.000000,CHOOSE(1,(g_oy+eq_c2/2)+(0)*0.000000,g_oy+eq_c2/2+0,eq_a2+eq_c2+0,0))</f>
        <v/>
      </c>
      <c r="D3">
        <f>IF(circ_int,(g_ox)+(c_1/2+2*d_eff)*1.000000,CHOOSE(geo_idx,(g_ox+eq_c1/2)+(2*d_eff)*1.000000,0,0,eq_a1-2*d_eff))</f>
        <v/>
      </c>
      <c r="E3">
        <f>IF(circ_int,(g_oy)+(c_1/2+2*d_eff)*0.000000,CHOOSE(geo_idx,(g_oy+eq_c2/2)+(2*d_eff)*0.000000,g_oy+eq_c2/2+2*d_eff,eq_a2+eq_c2+2*d_eff,0))</f>
        <v/>
      </c>
      <c r="G3">
        <f>IF(AND(inputs_ok,punch_ok,A_sw&gt;0),IF(circ_int,(g_ox)+(c_1/2+r_out)*1.000000,CHOOSE(kind_out,(g_ox+eq_c1/2)+(r_out)*1.000000,0,0,eq_a1-r_out)),NA())</f>
        <v/>
      </c>
      <c r="H3">
        <f>IF(AND(inputs_ok,punch_ok,A_sw&gt;0),IF(circ_int,(g_oy)+(c_1/2+r_out)*0.000000,CHOOSE(kind_out,(g_oy+eq_c2/2)+(r_out)*0.000000,g_oy+eq_c2/2+r_out,eq_a2+eq_c2+r_out,0)),NA())</f>
        <v/>
      </c>
      <c r="J3">
        <f>CHOOSE(pos_idx,NA(),0,0)</f>
        <v/>
      </c>
      <c r="K3">
        <f>CHOOSE(pos_idx,NA(),-(g_oy+eq_c2/2+1.3*g_rmax),(g_oy+eq_c2/2+1.3*g_rmax))</f>
        <v/>
      </c>
      <c r="M3">
        <f>IF(NOT(shape="Circular"),g_ox-eq_c1/2,NA())</f>
        <v/>
      </c>
      <c r="N3">
        <f>IF(NOT(shape="Circular"),g_oy-eq_c2/2-0.15*d_eff,NA())</f>
        <v/>
      </c>
      <c r="P3">
        <f>IF(NOT(shape="Circular"),((g_ox-eq_c1/2)+(g_ox+eq_c1/2))/2,NA())</f>
        <v/>
      </c>
      <c r="Q3">
        <f>IF(NOT(shape="Circular"),((g_oy-eq_c2/2-0.15*d_eff)+(g_oy-eq_c2/2-0.15*d_eff))/2,NA())</f>
        <v/>
      </c>
      <c r="S3">
        <f>IF(NOT(shape="Circular"),g_ox+eq_c1/2+0.15*d_eff,NA())</f>
        <v/>
      </c>
      <c r="T3">
        <f>IF(NOT(shape="Circular"),g_oy-eq_c2/2,NA())</f>
        <v/>
      </c>
      <c r="V3">
        <f>IF(NOT(shape="Circular"),((g_ox+eq_c1/2+0.15*d_eff)+(g_ox+eq_c1/2+0.15*d_eff))/2,NA())</f>
        <v/>
      </c>
      <c r="W3">
        <f>IF(NOT(shape="Circular"),((g_oy-eq_c2/2)+(g_oy+eq_c2/2))/2,NA())</f>
        <v/>
      </c>
      <c r="Y3">
        <f>IF(shape="Circular",g_ox-c_1/2,NA())</f>
        <v/>
      </c>
      <c r="Z3">
        <f>IF(shape="Circular",g_oy,NA())</f>
        <v/>
      </c>
      <c r="AB3">
        <f>IF(shape="Circular",((g_ox-c_1/2)+(g_ox+c_1/2))/2,NA())</f>
        <v/>
      </c>
      <c r="AC3">
        <f>IF(shape="Circular",((g_oy)+(g_oy))/2,NA())</f>
        <v/>
      </c>
      <c r="AE3">
        <f>IF(TRUE,g_ox,NA())</f>
        <v/>
      </c>
      <c r="AF3">
        <f>IF(TRUE,g_oy+eq_c2/2,NA())</f>
        <v/>
      </c>
      <c r="AH3">
        <f>IF(TRUE,((g_ox)+(g_ox))/2,NA())</f>
        <v/>
      </c>
      <c r="AI3">
        <f>IF(TRUE,((g_oy+eq_c2/2)+(g_oy+eq_c2/2+2*d_eff))/2,NA())</f>
        <v/>
      </c>
      <c r="AK3">
        <f>IF(AND(pos_idx&gt;1,eq_a1&gt;0),0,NA())</f>
        <v/>
      </c>
      <c r="AL3">
        <f>IF(AND(pos_idx&gt;1,eq_a1&gt;0),g_oy,NA())</f>
        <v/>
      </c>
      <c r="AN3">
        <f>IF(AND(pos_idx&gt;1,eq_a1&gt;0),((0)+(eq_a1))/2,NA())</f>
        <v/>
      </c>
      <c r="AO3">
        <f>IF(AND(pos_idx&gt;1,eq_a1&gt;0),((g_oy)+(g_oy))/2,NA())</f>
        <v/>
      </c>
      <c r="AQ3">
        <f>IF(AND(pos_idx=3,eq_a2&gt;0),IF(eq_a1&gt;0,eq_a1/2,g_ox+0.35*eq_c1),NA())</f>
        <v/>
      </c>
      <c r="AR3">
        <f>IF(AND(pos_idx=3,eq_a2&gt;0),0,NA())</f>
        <v/>
      </c>
      <c r="AT3">
        <f>IF(AND(pos_idx=3,eq_a2&gt;0),((IF(eq_a1&gt;0,eq_a1/2,g_ox+0.35*eq_c1))+(IF(eq_a1&gt;0,eq_a1/2,g_ox+0.35*eq_c1)))/2,NA())</f>
        <v/>
      </c>
      <c r="AU3">
        <f>IF(AND(pos_idx=3,eq_a2&gt;0),((0)+(eq_a2))/2,NA())</f>
        <v/>
      </c>
      <c r="AW3">
        <f>IF(AND(links_on,1&lt;=n_per),IF(circ_int,(g_ox)+(c_1/2+(s_0+0*s_r))*1.000000,CHOOSE(INDEX(lk_kind,1),(g_ox+eq_c1/2)+((s_0+0*s_r))*1.000000,0,0,eq_a1-(s_0+0*s_r))),NA())</f>
        <v/>
      </c>
      <c r="AX3">
        <f>IF(AND(links_on,1&lt;=n_per),IF(circ_int,(g_oy)+(c_1/2+(s_0+0*s_r))*0.000000,CHOOSE(INDEX(lk_kind,1),(g_oy+eq_c2/2)+((s_0+0*s_r))*0.000000,g_oy+eq_c2/2+(s_0+0*s_r),eq_a2+eq_c2+(s_0+0*s_r),0)),NA())</f>
        <v/>
      </c>
      <c r="AZ3">
        <f>IF(AND(AND(links_on,1&lt;=n_per),INDEX(lk_kind,1)=1,0&lt;INDEX(lk_legs,1)),g_ox+IF(((0+0.5)*(4*IF(circ_int,0,eq_c1/2)+4*IF(circ_int,0,eq_c2/2)+2*PI()*(s_0+0*s_r+IF(circ_int,eq_c1/2,0)))/INDEX(lk_legs,1))&lt;(2*IF(circ_int,0,eq_c2/2)),IF(circ_int,0,eq_c1/2)+(s_0+0*s_r+IF(circ_int,eq_c1/2,0)),IF(((0+0.5)*(4*IF(circ_int,0,eq_c1/2)+4*IF(circ_int,0,eq_c2/2)+2*PI()*(s_0+0*s_r+IF(circ_int,eq_c1/2,0)))/INDEX(lk_legs,1))&lt;((2*IF(circ_int,0,eq_c2/2))+(PI()*(s_0+0*s_r+IF(circ_int,eq_c1/2,0))/2)),IF(circ_int,0,eq_c1/2)+(s_0+0*s_r+IF(circ_int,eq_c1/2,0))*COS((((0+0.5)*(4*IF(circ_int,0,eq_c1/2)+4*IF(circ_int,0,eq_c2/2)+2*PI()*(s_0+0*s_r+IF(circ_int,eq_c1/2,0)))/INDEX(lk_legs,1))-(2*IF(circ_int,0,eq_c2/2)))/(s_0+0*s_r+IF(circ_int,eq_c1/2,0))),IF(((0+0.5)*(4*IF(circ_int,0,eq_c1/2)+4*IF(circ_int,0,eq_c2/2)+2*PI()*(s_0+0*s_r+IF(circ_int,eq_c1/2,0)))/INDEX(lk_legs,1))&lt;(((2*IF(circ_int,0,eq_c2/2))+(PI()*(s_0+0*s_r+IF(circ_int,eq_c1/2,0))/2))+2*IF(circ_int,0,eq_c1/2)),IF(circ_int,0,eq_c1/2)-(((0+0.5)*(4*IF(circ_int,0,eq_c1/2)+4*IF(circ_int,0,eq_c2/2)+2*PI()*(s_0+0*s_r+IF(circ_int,eq_c1/2,0)))/INDEX(lk_legs,1))-((2*IF(circ_int,0,eq_c2/2))+(PI()*(s_0+0*s_r+IF(circ_int,eq_c1/2,0))/2))),IF(((0+0.5)*(4*IF(circ_int,0,eq_c1/2)+4*IF(circ_int,0,eq_c2/2)+2*PI()*(s_0+0*s_r+IF(circ_int,eq_c1/2,0)))/INDEX(lk_legs,1))&lt;((((2*IF(circ_int,0,eq_c2/2))+(PI()*(s_0+0*s_r+IF(circ_int,eq_c1/2,0))/2))+2*IF(circ_int,0,eq_c1/2))+(PI()*(s_0+0*s_r+IF(circ_int,eq_c1/2,0))/2)),-IF(circ_int,0,eq_c1/2)+(s_0+0*s_r+IF(circ_int,eq_c1/2,0))*COS(PI()/2+(((0+0.5)*(4*IF(circ_int,0,eq_c1/2)+4*IF(circ_int,0,eq_c2/2)+2*PI()*(s_0+0*s_r+IF(circ_int,eq_c1/2,0)))/INDEX(lk_legs,1))-(((2*IF(circ_int,0,eq_c2/2))+(PI()*(s_0+0*s_r+IF(circ_int,eq_c1/2,0))/2))+2*IF(circ_int,0,eq_c1/2)))/(s_0+0*s_r+IF(circ_int,eq_c1/2,0))),IF(((0+0.5)*(4*IF(circ_int,0,eq_c1/2)+4*IF(circ_int,0,eq_c2/2)+2*PI()*(s_0+0*s_r+IF(circ_int,eq_c1/2,0)))/INDEX(lk_legs,1))&lt;(((((2*IF(circ_int,0,eq_c2/2))+(PI()*(s_0+0*s_r+IF(circ_int,eq_c1/2,0))/2))+2*IF(circ_int,0,eq_c1/2))+(PI()*(s_0+0*s_r+IF(circ_int,eq_c1/2,0))/2))+2*IF(circ_int,0,eq_c2/2)),-IF(circ_int,0,eq_c1/2)-(s_0+0*s_r+IF(circ_int,eq_c1/2,0)),IF(((0+0.5)*(4*IF(circ_int,0,eq_c1/2)+4*IF(circ_int,0,eq_c2/2)+2*PI()*(s_0+0*s_r+IF(circ_int,eq_c1/2,0)))/INDEX(lk_legs,1))&lt;((((((2*IF(circ_int,0,eq_c2/2))+(PI()*(s_0+0*s_r+IF(circ_int,eq_c1/2,0))/2))+2*IF(circ_int,0,eq_c1/2))+(PI()*(s_0+0*s_r+IF(circ_int,eq_c1/2,0))/2))+2*IF(circ_int,0,eq_c2/2))+(PI()*(s_0+0*s_r+IF(circ_int,eq_c1/2,0))/2)),-IF(circ_int,0,eq_c1/2)+(s_0+0*s_r+IF(circ_int,eq_c1/2,0))*COS(PI()+(((0+0.5)*(4*IF(circ_int,0,eq_c1/2)+4*IF(circ_int,0,eq_c2/2)+2*PI()*(s_0+0*s_r+IF(circ_int,eq_c1/2,0)))/INDEX(lk_legs,1))-(((((2*IF(circ_int,0,eq_c2/2))+(PI()*(s_0+0*s_r+IF(circ_int,eq_c1/2,0))/2))+2*IF(circ_int,0,eq_c1/2))+(PI()*(s_0+0*s_r+IF(circ_int,eq_c1/2,0))/2))+2*IF(circ_int,0,eq_c2/2)))/(s_0+0*s_r+IF(circ_int,eq_c1/2,0))),IF(((0+0.5)*(4*IF(circ_int,0,eq_c1/2)+4*IF(circ_int,0,eq_c2/2)+2*PI()*(s_0+0*s_r+IF(circ_int,eq_c1/2,0)))/INDEX(lk_legs,1))&lt;(((((((2*IF(circ_int,0,eq_c2/2))+(PI()*(s_0+0*s_r+IF(circ_int,eq_c1/2,0))/2))+2*IF(circ_int,0,eq_c1/2))+(PI()*(s_0+0*s_r+IF(circ_int,eq_c1/2,0))/2))+2*IF(circ_int,0,eq_c2/2))+(PI()*(s_0+0*s_r+IF(circ_int,eq_c1/2,0))/2))+2*IF(circ_int,0,eq_c1/2)),-IF(circ_int,0,eq_c1/2)+(((0+0.5)*(4*IF(circ_int,0,eq_c1/2)+4*IF(circ_int,0,eq_c2/2)+2*PI()*(s_0+0*s_r+IF(circ_int,eq_c1/2,0)))/INDEX(lk_legs,1))-((((((2*IF(circ_int,0,eq_c2/2))+(PI()*(s_0+0*s_r+IF(circ_int,eq_c1/2,0))/2))+2*IF(circ_int,0,eq_c1/2))+(PI()*(s_0+0*s_r+IF(circ_int,eq_c1/2,0))/2))+2*IF(circ_int,0,eq_c2/2))+(PI()*(s_0+0*s_r+IF(circ_int,eq_c1/2,0))/2))),IF(circ_int,0,eq_c1/2)+(s_0+0*s_r+IF(circ_int,eq_c1/2,0))*COS(3*PI()/2+(((0+0.5)*(4*IF(circ_int,0,eq_c1/2)+4*IF(circ_int,0,eq_c2/2)+2*PI()*(s_0+0*s_r+IF(circ_int,eq_c1/2,0)))/INDEX(lk_legs,1))-(((((((2*IF(circ_int,0,eq_c2/2))+(PI()*(s_0+0*s_r+IF(circ_int,eq_c1/2,0))/2))+2*IF(circ_int,0,eq_c1/2))+(PI()*(s_0+0*s_r+IF(circ_int,eq_c1/2,0))/2))+2*IF(circ_int,0,eq_c2/2))+(PI()*(s_0+0*s_r+IF(circ_int,eq_c1/2,0))/2))+2*IF(circ_int,0,eq_c1/2)))/(s_0+0*s_r+IF(circ_int,eq_c1/2,0)))))))))),NA())</f>
        <v/>
      </c>
      <c r="BA3">
        <f>IF(AND(AND(links_on,1&lt;=n_per),INDEX(lk_kind,1)=1,0&lt;INDEX(lk_legs,1)),g_oy+IF(((0+0.5)*(4*IF(circ_int,0,eq_c1/2)+4*IF(circ_int,0,eq_c2/2)+2*PI()*(s_0+0*s_r+IF(circ_int,eq_c1/2,0)))/INDEX(lk_legs,1))&lt;(2*IF(circ_int,0,eq_c2/2)),-IF(circ_int,0,eq_c2/2)+((0+0.5)*(4*IF(circ_int,0,eq_c1/2)+4*IF(circ_int,0,eq_c2/2)+2*PI()*(s_0+0*s_r+IF(circ_int,eq_c1/2,0)))/INDEX(lk_legs,1)),IF(((0+0.5)*(4*IF(circ_int,0,eq_c1/2)+4*IF(circ_int,0,eq_c2/2)+2*PI()*(s_0+0*s_r+IF(circ_int,eq_c1/2,0)))/INDEX(lk_legs,1))&lt;((2*IF(circ_int,0,eq_c2/2))+(PI()*(s_0+0*s_r+IF(circ_int,eq_c1/2,0))/2)),IF(circ_int,0,eq_c2/2)+(s_0+0*s_r+IF(circ_int,eq_c1/2,0))*SIN((((0+0.5)*(4*IF(circ_int,0,eq_c1/2)+4*IF(circ_int,0,eq_c2/2)+2*PI()*(s_0+0*s_r+IF(circ_int,eq_c1/2,0)))/INDEX(lk_legs,1))-(2*IF(circ_int,0,eq_c2/2)))/(s_0+0*s_r+IF(circ_int,eq_c1/2,0))),IF(((0+0.5)*(4*IF(circ_int,0,eq_c1/2)+4*IF(circ_int,0,eq_c2/2)+2*PI()*(s_0+0*s_r+IF(circ_int,eq_c1/2,0)))/INDEX(lk_legs,1))&lt;(((2*IF(circ_int,0,eq_c2/2))+(PI()*(s_0+0*s_r+IF(circ_int,eq_c1/2,0))/2))+2*IF(circ_int,0,eq_c1/2)),IF(circ_int,0,eq_c2/2)+(s_0+0*s_r+IF(circ_int,eq_c1/2,0)),IF(((0+0.5)*(4*IF(circ_int,0,eq_c1/2)+4*IF(circ_int,0,eq_c2/2)+2*PI()*(s_0+0*s_r+IF(circ_int,eq_c1/2,0)))/INDEX(lk_legs,1))&lt;((((2*IF(circ_int,0,eq_c2/2))+(PI()*(s_0+0*s_r+IF(circ_int,eq_c1/2,0))/2))+2*IF(circ_int,0,eq_c1/2))+(PI()*(s_0+0*s_r+IF(circ_int,eq_c1/2,0))/2)),IF(circ_int,0,eq_c2/2)+(s_0+0*s_r+IF(circ_int,eq_c1/2,0))*SIN(PI()/2+(((0+0.5)*(4*IF(circ_int,0,eq_c1/2)+4*IF(circ_int,0,eq_c2/2)+2*PI()*(s_0+0*s_r+IF(circ_int,eq_c1/2,0)))/INDEX(lk_legs,1))-(((2*IF(circ_int,0,eq_c2/2))+(PI()*(s_0+0*s_r+IF(circ_int,eq_c1/2,0))/2))+2*IF(circ_int,0,eq_c1/2)))/(s_0+0*s_r+IF(circ_int,eq_c1/2,0))),IF(((0+0.5)*(4*IF(circ_int,0,eq_c1/2)+4*IF(circ_int,0,eq_c2/2)+2*PI()*(s_0+0*s_r+IF(circ_int,eq_c1/2,0)))/INDEX(lk_legs,1))&lt;(((((2*IF(circ_int,0,eq_c2/2))+(PI()*(s_0+0*s_r+IF(circ_int,eq_c1/2,0))/2))+2*IF(circ_int,0,eq_c1/2))+(PI()*(s_0+0*s_r+IF(circ_int,eq_c1/2,0))/2))+2*IF(circ_int,0,eq_c2/2)),IF(circ_int,0,eq_c2/2)-(((0+0.5)*(4*IF(circ_int,0,eq_c1/2)+4*IF(circ_int,0,eq_c2/2)+2*PI()*(s_0+0*s_r+IF(circ_int,eq_c1/2,0)))/INDEX(lk_legs,1))-((((2*IF(circ_int,0,eq_c2/2))+(PI()*(s_0+0*s_r+IF(circ_int,eq_c1/2,0))/2))+2*IF(circ_int,0,eq_c1/2))+(PI()*(s_0+0*s_r+IF(circ_int,eq_c1/2,0))/2))),IF(((0+0.5)*(4*IF(circ_int,0,eq_c1/2)+4*IF(circ_int,0,eq_c2/2)+2*PI()*(s_0+0*s_r+IF(circ_int,eq_c1/2,0)))/INDEX(lk_legs,1))&lt;((((((2*IF(circ_int,0,eq_c2/2))+(PI()*(s_0+0*s_r+IF(circ_int,eq_c1/2,0))/2))+2*IF(circ_int,0,eq_c1/2))+(PI()*(s_0+0*s_r+IF(circ_int,eq_c1/2,0))/2))+2*IF(circ_int,0,eq_c2/2))+(PI()*(s_0+0*s_r+IF(circ_int,eq_c1/2,0))/2)),-IF(circ_int,0,eq_c2/2)+(s_0+0*s_r+IF(circ_int,eq_c1/2,0))*SIN(PI()+(((0+0.5)*(4*IF(circ_int,0,eq_c1/2)+4*IF(circ_int,0,eq_c2/2)+2*PI()*(s_0+0*s_r+IF(circ_int,eq_c1/2,0)))/INDEX(lk_legs,1))-(((((2*IF(circ_int,0,eq_c2/2))+(PI()*(s_0+0*s_r+IF(circ_int,eq_c1/2,0))/2))+2*IF(circ_int,0,eq_c1/2))+(PI()*(s_0+0*s_r+IF(circ_int,eq_c1/2,0))/2))+2*IF(circ_int,0,eq_c2/2)))/(s_0+0*s_r+IF(circ_int,eq_c1/2,0))),IF(((0+0.5)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(0+0.5)*(4*IF(circ_int,0,eq_c1/2)+4*IF(circ_int,0,eq_c2/2)+2*PI()*(s_0+0*s_r+IF(circ_int,eq_c1/2,0)))/INDEX(lk_legs,1))-(((((((2*IF(circ_int,0,eq_c2/2))+(PI()*(s_0+0*s_r+IF(circ_int,eq_c1/2,0))/2))+2*IF(circ_int,0,eq_c1/2))+(PI()*(s_0+0*s_r+IF(circ_int,eq_c1/2,0))/2))+2*IF(circ_int,0,eq_c2/2))+(PI()*(s_0+0*s_r+IF(circ_int,eq_c1/2,0))/2))+2*IF(circ_int,0,eq_c1/2)))/(s_0+0*s_r+IF(circ_int,eq_c1/2,0)))))))))),NA())</f>
        <v/>
      </c>
      <c r="BC3">
        <f>IF(AND(links_on,2&lt;=n_per),IF(circ_int,(g_ox)+(c_1/2+(s_0+1*s_r))*1.000000,CHOOSE(INDEX(lk_kind,2),(g_ox+eq_c1/2)+((s_0+1*s_r))*1.000000,0,0,eq_a1-(s_0+1*s_r))),NA())</f>
        <v/>
      </c>
      <c r="BD3">
        <f>IF(AND(links_on,2&lt;=n_per),IF(circ_int,(g_oy)+(c_1/2+(s_0+1*s_r))*0.000000,CHOOSE(INDEX(lk_kind,2),(g_oy+eq_c2/2)+((s_0+1*s_r))*0.000000,g_oy+eq_c2/2+(s_0+1*s_r),eq_a2+eq_c2+(s_0+1*s_r),0)),NA())</f>
        <v/>
      </c>
      <c r="BF3">
        <f>IF(AND(AND(links_on,2&lt;=n_per),INDEX(lk_kind,2)=1,0&lt;INDEX(lk_legs,2)),g_ox+IF(((0+0.5)*(4*IF(circ_int,0,eq_c1/2)+4*IF(circ_int,0,eq_c2/2)+2*PI()*(s_0+1*s_r+IF(circ_int,eq_c1/2,0)))/INDEX(lk_legs,2))&lt;(2*IF(circ_int,0,eq_c2/2)),IF(circ_int,0,eq_c1/2)+(s_0+1*s_r+IF(circ_int,eq_c1/2,0)),IF(((0+0.5)*(4*IF(circ_int,0,eq_c1/2)+4*IF(circ_int,0,eq_c2/2)+2*PI()*(s_0+1*s_r+IF(circ_int,eq_c1/2,0)))/INDEX(lk_legs,2))&lt;((2*IF(circ_int,0,eq_c2/2))+(PI()*(s_0+1*s_r+IF(circ_int,eq_c1/2,0))/2)),IF(circ_int,0,eq_c1/2)+(s_0+1*s_r+IF(circ_int,eq_c1/2,0))*COS((((0+0.5)*(4*IF(circ_int,0,eq_c1/2)+4*IF(circ_int,0,eq_c2/2)+2*PI()*(s_0+1*s_r+IF(circ_int,eq_c1/2,0)))/INDEX(lk_legs,2))-(2*IF(circ_int,0,eq_c2/2)))/(s_0+1*s_r+IF(circ_int,eq_c1/2,0))),IF(((0+0.5)*(4*IF(circ_int,0,eq_c1/2)+4*IF(circ_int,0,eq_c2/2)+2*PI()*(s_0+1*s_r+IF(circ_int,eq_c1/2,0)))/INDEX(lk_legs,2))&lt;(((2*IF(circ_int,0,eq_c2/2))+(PI()*(s_0+1*s_r+IF(circ_int,eq_c1/2,0))/2))+2*IF(circ_int,0,eq_c1/2)),IF(circ_int,0,eq_c1/2)-(((0+0.5)*(4*IF(circ_int,0,eq_c1/2)+4*IF(circ_int,0,eq_c2/2)+2*PI()*(s_0+1*s_r+IF(circ_int,eq_c1/2,0)))/INDEX(lk_legs,2))-((2*IF(circ_int,0,eq_c2/2))+(PI()*(s_0+1*s_r+IF(circ_int,eq_c1/2,0))/2))),IF(((0+0.5)*(4*IF(circ_int,0,eq_c1/2)+4*IF(circ_int,0,eq_c2/2)+2*PI()*(s_0+1*s_r+IF(circ_int,eq_c1/2,0)))/INDEX(lk_legs,2))&lt;((((2*IF(circ_int,0,eq_c2/2))+(PI()*(s_0+1*s_r+IF(circ_int,eq_c1/2,0))/2))+2*IF(circ_int,0,eq_c1/2))+(PI()*(s_0+1*s_r+IF(circ_int,eq_c1/2,0))/2)),-IF(circ_int,0,eq_c1/2)+(s_0+1*s_r+IF(circ_int,eq_c1/2,0))*COS(PI()/2+(((0+0.5)*(4*IF(circ_int,0,eq_c1/2)+4*IF(circ_int,0,eq_c2/2)+2*PI()*(s_0+1*s_r+IF(circ_int,eq_c1/2,0)))/INDEX(lk_legs,2))-(((2*IF(circ_int,0,eq_c2/2))+(PI()*(s_0+1*s_r+IF(circ_int,eq_c1/2,0))/2))+2*IF(circ_int,0,eq_c1/2)))/(s_0+1*s_r+IF(circ_int,eq_c1/2,0))),IF(((0+0.5)*(4*IF(circ_int,0,eq_c1/2)+4*IF(circ_int,0,eq_c2/2)+2*PI()*(s_0+1*s_r+IF(circ_int,eq_c1/2,0)))/INDEX(lk_legs,2))&lt;(((((2*IF(circ_int,0,eq_c2/2))+(PI()*(s_0+1*s_r+IF(circ_int,eq_c1/2,0))/2))+2*IF(circ_int,0,eq_c1/2))+(PI()*(s_0+1*s_r+IF(circ_int,eq_c1/2,0))/2))+2*IF(circ_int,0,eq_c2/2)),-IF(circ_int,0,eq_c1/2)-(s_0+1*s_r+IF(circ_int,eq_c1/2,0)),IF(((0+0.5)*(4*IF(circ_int,0,eq_c1/2)+4*IF(circ_int,0,eq_c2/2)+2*PI()*(s_0+1*s_r+IF(circ_int,eq_c1/2,0)))/INDEX(lk_legs,2))&lt;((((((2*IF(circ_int,0,eq_c2/2))+(PI()*(s_0+1*s_r+IF(circ_int,eq_c1/2,0))/2))+2*IF(circ_int,0,eq_c1/2))+(PI()*(s_0+1*s_r+IF(circ_int,eq_c1/2,0))/2))+2*IF(circ_int,0,eq_c2/2))+(PI()*(s_0+1*s_r+IF(circ_int,eq_c1/2,0))/2)),-IF(circ_int,0,eq_c1/2)+(s_0+1*s_r+IF(circ_int,eq_c1/2,0))*COS(PI()+(((0+0.5)*(4*IF(circ_int,0,eq_c1/2)+4*IF(circ_int,0,eq_c2/2)+2*PI()*(s_0+1*s_r+IF(circ_int,eq_c1/2,0)))/INDEX(lk_legs,2))-(((((2*IF(circ_int,0,eq_c2/2))+(PI()*(s_0+1*s_r+IF(circ_int,eq_c1/2,0))/2))+2*IF(circ_int,0,eq_c1/2))+(PI()*(s_0+1*s_r+IF(circ_int,eq_c1/2,0))/2))+2*IF(circ_int,0,eq_c2/2)))/(s_0+1*s_r+IF(circ_int,eq_c1/2,0))),IF(((0+0.5)*(4*IF(circ_int,0,eq_c1/2)+4*IF(circ_int,0,eq_c2/2)+2*PI()*(s_0+1*s_r+IF(circ_int,eq_c1/2,0)))/INDEX(lk_legs,2))&lt;(((((((2*IF(circ_int,0,eq_c2/2))+(PI()*(s_0+1*s_r+IF(circ_int,eq_c1/2,0))/2))+2*IF(circ_int,0,eq_c1/2))+(PI()*(s_0+1*s_r+IF(circ_int,eq_c1/2,0))/2))+2*IF(circ_int,0,eq_c2/2))+(PI()*(s_0+1*s_r+IF(circ_int,eq_c1/2,0))/2))+2*IF(circ_int,0,eq_c1/2)),-IF(circ_int,0,eq_c1/2)+(((0+0.5)*(4*IF(circ_int,0,eq_c1/2)+4*IF(circ_int,0,eq_c2/2)+2*PI()*(s_0+1*s_r+IF(circ_int,eq_c1/2,0)))/INDEX(lk_legs,2))-((((((2*IF(circ_int,0,eq_c2/2))+(PI()*(s_0+1*s_r+IF(circ_int,eq_c1/2,0))/2))+2*IF(circ_int,0,eq_c1/2))+(PI()*(s_0+1*s_r+IF(circ_int,eq_c1/2,0))/2))+2*IF(circ_int,0,eq_c2/2))+(PI()*(s_0+1*s_r+IF(circ_int,eq_c1/2,0))/2))),IF(circ_int,0,eq_c1/2)+(s_0+1*s_r+IF(circ_int,eq_c1/2,0))*COS(3*PI()/2+(((0+0.5)*(4*IF(circ_int,0,eq_c1/2)+4*IF(circ_int,0,eq_c2/2)+2*PI()*(s_0+1*s_r+IF(circ_int,eq_c1/2,0)))/INDEX(lk_legs,2))-(((((((2*IF(circ_int,0,eq_c2/2))+(PI()*(s_0+1*s_r+IF(circ_int,eq_c1/2,0))/2))+2*IF(circ_int,0,eq_c1/2))+(PI()*(s_0+1*s_r+IF(circ_int,eq_c1/2,0))/2))+2*IF(circ_int,0,eq_c2/2))+(PI()*(s_0+1*s_r+IF(circ_int,eq_c1/2,0))/2))+2*IF(circ_int,0,eq_c1/2)))/(s_0+1*s_r+IF(circ_int,eq_c1/2,0)))))))))),NA())</f>
        <v/>
      </c>
      <c r="BG3">
        <f>IF(AND(AND(links_on,2&lt;=n_per),INDEX(lk_kind,2)=1,0&lt;INDEX(lk_legs,2)),g_oy+IF(((0+0.5)*(4*IF(circ_int,0,eq_c1/2)+4*IF(circ_int,0,eq_c2/2)+2*PI()*(s_0+1*s_r+IF(circ_int,eq_c1/2,0)))/INDEX(lk_legs,2))&lt;(2*IF(circ_int,0,eq_c2/2)),-IF(circ_int,0,eq_c2/2)+((0+0.5)*(4*IF(circ_int,0,eq_c1/2)+4*IF(circ_int,0,eq_c2/2)+2*PI()*(s_0+1*s_r+IF(circ_int,eq_c1/2,0)))/INDEX(lk_legs,2)),IF(((0+0.5)*(4*IF(circ_int,0,eq_c1/2)+4*IF(circ_int,0,eq_c2/2)+2*PI()*(s_0+1*s_r+IF(circ_int,eq_c1/2,0)))/INDEX(lk_legs,2))&lt;((2*IF(circ_int,0,eq_c2/2))+(PI()*(s_0+1*s_r+IF(circ_int,eq_c1/2,0))/2)),IF(circ_int,0,eq_c2/2)+(s_0+1*s_r+IF(circ_int,eq_c1/2,0))*SIN((((0+0.5)*(4*IF(circ_int,0,eq_c1/2)+4*IF(circ_int,0,eq_c2/2)+2*PI()*(s_0+1*s_r+IF(circ_int,eq_c1/2,0)))/INDEX(lk_legs,2))-(2*IF(circ_int,0,eq_c2/2)))/(s_0+1*s_r+IF(circ_int,eq_c1/2,0))),IF(((0+0.5)*(4*IF(circ_int,0,eq_c1/2)+4*IF(circ_int,0,eq_c2/2)+2*PI()*(s_0+1*s_r+IF(circ_int,eq_c1/2,0)))/INDEX(lk_legs,2))&lt;(((2*IF(circ_int,0,eq_c2/2))+(PI()*(s_0+1*s_r+IF(circ_int,eq_c1/2,0))/2))+2*IF(circ_int,0,eq_c1/2)),IF(circ_int,0,eq_c2/2)+(s_0+1*s_r+IF(circ_int,eq_c1/2,0)),IF(((0+0.5)*(4*IF(circ_int,0,eq_c1/2)+4*IF(circ_int,0,eq_c2/2)+2*PI()*(s_0+1*s_r+IF(circ_int,eq_c1/2,0)))/INDEX(lk_legs,2))&lt;((((2*IF(circ_int,0,eq_c2/2))+(PI()*(s_0+1*s_r+IF(circ_int,eq_c1/2,0))/2))+2*IF(circ_int,0,eq_c1/2))+(PI()*(s_0+1*s_r+IF(circ_int,eq_c1/2,0))/2)),IF(circ_int,0,eq_c2/2)+(s_0+1*s_r+IF(circ_int,eq_c1/2,0))*SIN(PI()/2+(((0+0.5)*(4*IF(circ_int,0,eq_c1/2)+4*IF(circ_int,0,eq_c2/2)+2*PI()*(s_0+1*s_r+IF(circ_int,eq_c1/2,0)))/INDEX(lk_legs,2))-(((2*IF(circ_int,0,eq_c2/2))+(PI()*(s_0+1*s_r+IF(circ_int,eq_c1/2,0))/2))+2*IF(circ_int,0,eq_c1/2)))/(s_0+1*s_r+IF(circ_int,eq_c1/2,0))),IF(((0+0.5)*(4*IF(circ_int,0,eq_c1/2)+4*IF(circ_int,0,eq_c2/2)+2*PI()*(s_0+1*s_r+IF(circ_int,eq_c1/2,0)))/INDEX(lk_legs,2))&lt;(((((2*IF(circ_int,0,eq_c2/2))+(PI()*(s_0+1*s_r+IF(circ_int,eq_c1/2,0))/2))+2*IF(circ_int,0,eq_c1/2))+(PI()*(s_0+1*s_r+IF(circ_int,eq_c1/2,0))/2))+2*IF(circ_int,0,eq_c2/2)),IF(circ_int,0,eq_c2/2)-(((0+0.5)*(4*IF(circ_int,0,eq_c1/2)+4*IF(circ_int,0,eq_c2/2)+2*PI()*(s_0+1*s_r+IF(circ_int,eq_c1/2,0)))/INDEX(lk_legs,2))-((((2*IF(circ_int,0,eq_c2/2))+(PI()*(s_0+1*s_r+IF(circ_int,eq_c1/2,0))/2))+2*IF(circ_int,0,eq_c1/2))+(PI()*(s_0+1*s_r+IF(circ_int,eq_c1/2,0))/2))),IF(((0+0.5)*(4*IF(circ_int,0,eq_c1/2)+4*IF(circ_int,0,eq_c2/2)+2*PI()*(s_0+1*s_r+IF(circ_int,eq_c1/2,0)))/INDEX(lk_legs,2))&lt;((((((2*IF(circ_int,0,eq_c2/2))+(PI()*(s_0+1*s_r+IF(circ_int,eq_c1/2,0))/2))+2*IF(circ_int,0,eq_c1/2))+(PI()*(s_0+1*s_r+IF(circ_int,eq_c1/2,0))/2))+2*IF(circ_int,0,eq_c2/2))+(PI()*(s_0+1*s_r+IF(circ_int,eq_c1/2,0))/2)),-IF(circ_int,0,eq_c2/2)+(s_0+1*s_r+IF(circ_int,eq_c1/2,0))*SIN(PI()+(((0+0.5)*(4*IF(circ_int,0,eq_c1/2)+4*IF(circ_int,0,eq_c2/2)+2*PI()*(s_0+1*s_r+IF(circ_int,eq_c1/2,0)))/INDEX(lk_legs,2))-(((((2*IF(circ_int,0,eq_c2/2))+(PI()*(s_0+1*s_r+IF(circ_int,eq_c1/2,0))/2))+2*IF(circ_int,0,eq_c1/2))+(PI()*(s_0+1*s_r+IF(circ_int,eq_c1/2,0))/2))+2*IF(circ_int,0,eq_c2/2)))/(s_0+1*s_r+IF(circ_int,eq_c1/2,0))),IF(((0+0.5)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(0+0.5)*(4*IF(circ_int,0,eq_c1/2)+4*IF(circ_int,0,eq_c2/2)+2*PI()*(s_0+1*s_r+IF(circ_int,eq_c1/2,0)))/INDEX(lk_legs,2))-(((((((2*IF(circ_int,0,eq_c2/2))+(PI()*(s_0+1*s_r+IF(circ_int,eq_c1/2,0))/2))+2*IF(circ_int,0,eq_c1/2))+(PI()*(s_0+1*s_r+IF(circ_int,eq_c1/2,0))/2))+2*IF(circ_int,0,eq_c2/2))+(PI()*(s_0+1*s_r+IF(circ_int,eq_c1/2,0))/2))+2*IF(circ_int,0,eq_c1/2)))/(s_0+1*s_r+IF(circ_int,eq_c1/2,0)))))))))),NA())</f>
        <v/>
      </c>
      <c r="BI3">
        <f>IF(AND(links_on,3&lt;=n_per),IF(circ_int,(g_ox)+(c_1/2+(s_0+2*s_r))*1.000000,CHOOSE(INDEX(lk_kind,3),(g_ox+eq_c1/2)+((s_0+2*s_r))*1.000000,0,0,eq_a1-(s_0+2*s_r))),NA())</f>
        <v/>
      </c>
      <c r="BJ3">
        <f>IF(AND(links_on,3&lt;=n_per),IF(circ_int,(g_oy)+(c_1/2+(s_0+2*s_r))*0.000000,CHOOSE(INDEX(lk_kind,3),(g_oy+eq_c2/2)+((s_0+2*s_r))*0.000000,g_oy+eq_c2/2+(s_0+2*s_r),eq_a2+eq_c2+(s_0+2*s_r),0)),NA())</f>
        <v/>
      </c>
      <c r="BL3">
        <f>IF(AND(AND(links_on,3&lt;=n_per),INDEX(lk_kind,3)=1,0&lt;INDEX(lk_legs,3)),g_ox+IF(((0+0.5)*(4*IF(circ_int,0,eq_c1/2)+4*IF(circ_int,0,eq_c2/2)+2*PI()*(s_0+2*s_r+IF(circ_int,eq_c1/2,0)))/INDEX(lk_legs,3))&lt;(2*IF(circ_int,0,eq_c2/2)),IF(circ_int,0,eq_c1/2)+(s_0+2*s_r+IF(circ_int,eq_c1/2,0)),IF(((0+0.5)*(4*IF(circ_int,0,eq_c1/2)+4*IF(circ_int,0,eq_c2/2)+2*PI()*(s_0+2*s_r+IF(circ_int,eq_c1/2,0)))/INDEX(lk_legs,3))&lt;((2*IF(circ_int,0,eq_c2/2))+(PI()*(s_0+2*s_r+IF(circ_int,eq_c1/2,0))/2)),IF(circ_int,0,eq_c1/2)+(s_0+2*s_r+IF(circ_int,eq_c1/2,0))*COS((((0+0.5)*(4*IF(circ_int,0,eq_c1/2)+4*IF(circ_int,0,eq_c2/2)+2*PI()*(s_0+2*s_r+IF(circ_int,eq_c1/2,0)))/INDEX(lk_legs,3))-(2*IF(circ_int,0,eq_c2/2)))/(s_0+2*s_r+IF(circ_int,eq_c1/2,0))),IF(((0+0.5)*(4*IF(circ_int,0,eq_c1/2)+4*IF(circ_int,0,eq_c2/2)+2*PI()*(s_0+2*s_r+IF(circ_int,eq_c1/2,0)))/INDEX(lk_legs,3))&lt;(((2*IF(circ_int,0,eq_c2/2))+(PI()*(s_0+2*s_r+IF(circ_int,eq_c1/2,0))/2))+2*IF(circ_int,0,eq_c1/2)),IF(circ_int,0,eq_c1/2)-(((0+0.5)*(4*IF(circ_int,0,eq_c1/2)+4*IF(circ_int,0,eq_c2/2)+2*PI()*(s_0+2*s_r+IF(circ_int,eq_c1/2,0)))/INDEX(lk_legs,3))-((2*IF(circ_int,0,eq_c2/2))+(PI()*(s_0+2*s_r+IF(circ_int,eq_c1/2,0))/2))),IF(((0+0.5)*(4*IF(circ_int,0,eq_c1/2)+4*IF(circ_int,0,eq_c2/2)+2*PI()*(s_0+2*s_r+IF(circ_int,eq_c1/2,0)))/INDEX(lk_legs,3))&lt;((((2*IF(circ_int,0,eq_c2/2))+(PI()*(s_0+2*s_r+IF(circ_int,eq_c1/2,0))/2))+2*IF(circ_int,0,eq_c1/2))+(PI()*(s_0+2*s_r+IF(circ_int,eq_c1/2,0))/2)),-IF(circ_int,0,eq_c1/2)+(s_0+2*s_r+IF(circ_int,eq_c1/2,0))*COS(PI()/2+(((0+0.5)*(4*IF(circ_int,0,eq_c1/2)+4*IF(circ_int,0,eq_c2/2)+2*PI()*(s_0+2*s_r+IF(circ_int,eq_c1/2,0)))/INDEX(lk_legs,3))-(((2*IF(circ_int,0,eq_c2/2))+(PI()*(s_0+2*s_r+IF(circ_int,eq_c1/2,0))/2))+2*IF(circ_int,0,eq_c1/2)))/(s_0+2*s_r+IF(circ_int,eq_c1/2,0))),IF(((0+0.5)*(4*IF(circ_int,0,eq_c1/2)+4*IF(circ_int,0,eq_c2/2)+2*PI()*(s_0+2*s_r+IF(circ_int,eq_c1/2,0)))/INDEX(lk_legs,3))&lt;(((((2*IF(circ_int,0,eq_c2/2))+(PI()*(s_0+2*s_r+IF(circ_int,eq_c1/2,0))/2))+2*IF(circ_int,0,eq_c1/2))+(PI()*(s_0+2*s_r+IF(circ_int,eq_c1/2,0))/2))+2*IF(circ_int,0,eq_c2/2)),-IF(circ_int,0,eq_c1/2)-(s_0+2*s_r+IF(circ_int,eq_c1/2,0)),IF(((0+0.5)*(4*IF(circ_int,0,eq_c1/2)+4*IF(circ_int,0,eq_c2/2)+2*PI()*(s_0+2*s_r+IF(circ_int,eq_c1/2,0)))/INDEX(lk_legs,3))&lt;((((((2*IF(circ_int,0,eq_c2/2))+(PI()*(s_0+2*s_r+IF(circ_int,eq_c1/2,0))/2))+2*IF(circ_int,0,eq_c1/2))+(PI()*(s_0+2*s_r+IF(circ_int,eq_c1/2,0))/2))+2*IF(circ_int,0,eq_c2/2))+(PI()*(s_0+2*s_r+IF(circ_int,eq_c1/2,0))/2)),-IF(circ_int,0,eq_c1/2)+(s_0+2*s_r+IF(circ_int,eq_c1/2,0))*COS(PI()+(((0+0.5)*(4*IF(circ_int,0,eq_c1/2)+4*IF(circ_int,0,eq_c2/2)+2*PI()*(s_0+2*s_r+IF(circ_int,eq_c1/2,0)))/INDEX(lk_legs,3))-(((((2*IF(circ_int,0,eq_c2/2))+(PI()*(s_0+2*s_r+IF(circ_int,eq_c1/2,0))/2))+2*IF(circ_int,0,eq_c1/2))+(PI()*(s_0+2*s_r+IF(circ_int,eq_c1/2,0))/2))+2*IF(circ_int,0,eq_c2/2)))/(s_0+2*s_r+IF(circ_int,eq_c1/2,0))),IF(((0+0.5)*(4*IF(circ_int,0,eq_c1/2)+4*IF(circ_int,0,eq_c2/2)+2*PI()*(s_0+2*s_r+IF(circ_int,eq_c1/2,0)))/INDEX(lk_legs,3))&lt;(((((((2*IF(circ_int,0,eq_c2/2))+(PI()*(s_0+2*s_r+IF(circ_int,eq_c1/2,0))/2))+2*IF(circ_int,0,eq_c1/2))+(PI()*(s_0+2*s_r+IF(circ_int,eq_c1/2,0))/2))+2*IF(circ_int,0,eq_c2/2))+(PI()*(s_0+2*s_r+IF(circ_int,eq_c1/2,0))/2))+2*IF(circ_int,0,eq_c1/2)),-IF(circ_int,0,eq_c1/2)+(((0+0.5)*(4*IF(circ_int,0,eq_c1/2)+4*IF(circ_int,0,eq_c2/2)+2*PI()*(s_0+2*s_r+IF(circ_int,eq_c1/2,0)))/INDEX(lk_legs,3))-((((((2*IF(circ_int,0,eq_c2/2))+(PI()*(s_0+2*s_r+IF(circ_int,eq_c1/2,0))/2))+2*IF(circ_int,0,eq_c1/2))+(PI()*(s_0+2*s_r+IF(circ_int,eq_c1/2,0))/2))+2*IF(circ_int,0,eq_c2/2))+(PI()*(s_0+2*s_r+IF(circ_int,eq_c1/2,0))/2))),IF(circ_int,0,eq_c1/2)+(s_0+2*s_r+IF(circ_int,eq_c1/2,0))*COS(3*PI()/2+(((0+0.5)*(4*IF(circ_int,0,eq_c1/2)+4*IF(circ_int,0,eq_c2/2)+2*PI()*(s_0+2*s_r+IF(circ_int,eq_c1/2,0)))/INDEX(lk_legs,3))-(((((((2*IF(circ_int,0,eq_c2/2))+(PI()*(s_0+2*s_r+IF(circ_int,eq_c1/2,0))/2))+2*IF(circ_int,0,eq_c1/2))+(PI()*(s_0+2*s_r+IF(circ_int,eq_c1/2,0))/2))+2*IF(circ_int,0,eq_c2/2))+(PI()*(s_0+2*s_r+IF(circ_int,eq_c1/2,0))/2))+2*IF(circ_int,0,eq_c1/2)))/(s_0+2*s_r+IF(circ_int,eq_c1/2,0)))))))))),NA())</f>
        <v/>
      </c>
      <c r="BM3">
        <f>IF(AND(AND(links_on,3&lt;=n_per),INDEX(lk_kind,3)=1,0&lt;INDEX(lk_legs,3)),g_oy+IF(((0+0.5)*(4*IF(circ_int,0,eq_c1/2)+4*IF(circ_int,0,eq_c2/2)+2*PI()*(s_0+2*s_r+IF(circ_int,eq_c1/2,0)))/INDEX(lk_legs,3))&lt;(2*IF(circ_int,0,eq_c2/2)),-IF(circ_int,0,eq_c2/2)+((0+0.5)*(4*IF(circ_int,0,eq_c1/2)+4*IF(circ_int,0,eq_c2/2)+2*PI()*(s_0+2*s_r+IF(circ_int,eq_c1/2,0)))/INDEX(lk_legs,3)),IF(((0+0.5)*(4*IF(circ_int,0,eq_c1/2)+4*IF(circ_int,0,eq_c2/2)+2*PI()*(s_0+2*s_r+IF(circ_int,eq_c1/2,0)))/INDEX(lk_legs,3))&lt;((2*IF(circ_int,0,eq_c2/2))+(PI()*(s_0+2*s_r+IF(circ_int,eq_c1/2,0))/2)),IF(circ_int,0,eq_c2/2)+(s_0+2*s_r+IF(circ_int,eq_c1/2,0))*SIN((((0+0.5)*(4*IF(circ_int,0,eq_c1/2)+4*IF(circ_int,0,eq_c2/2)+2*PI()*(s_0+2*s_r+IF(circ_int,eq_c1/2,0)))/INDEX(lk_legs,3))-(2*IF(circ_int,0,eq_c2/2)))/(s_0+2*s_r+IF(circ_int,eq_c1/2,0))),IF(((0+0.5)*(4*IF(circ_int,0,eq_c1/2)+4*IF(circ_int,0,eq_c2/2)+2*PI()*(s_0+2*s_r+IF(circ_int,eq_c1/2,0)))/INDEX(lk_legs,3))&lt;(((2*IF(circ_int,0,eq_c2/2))+(PI()*(s_0+2*s_r+IF(circ_int,eq_c1/2,0))/2))+2*IF(circ_int,0,eq_c1/2)),IF(circ_int,0,eq_c2/2)+(s_0+2*s_r+IF(circ_int,eq_c1/2,0)),IF(((0+0.5)*(4*IF(circ_int,0,eq_c1/2)+4*IF(circ_int,0,eq_c2/2)+2*PI()*(s_0+2*s_r+IF(circ_int,eq_c1/2,0)))/INDEX(lk_legs,3))&lt;((((2*IF(circ_int,0,eq_c2/2))+(PI()*(s_0+2*s_r+IF(circ_int,eq_c1/2,0))/2))+2*IF(circ_int,0,eq_c1/2))+(PI()*(s_0+2*s_r+IF(circ_int,eq_c1/2,0))/2)),IF(circ_int,0,eq_c2/2)+(s_0+2*s_r+IF(circ_int,eq_c1/2,0))*SIN(PI()/2+(((0+0.5)*(4*IF(circ_int,0,eq_c1/2)+4*IF(circ_int,0,eq_c2/2)+2*PI()*(s_0+2*s_r+IF(circ_int,eq_c1/2,0)))/INDEX(lk_legs,3))-(((2*IF(circ_int,0,eq_c2/2))+(PI()*(s_0+2*s_r+IF(circ_int,eq_c1/2,0))/2))+2*IF(circ_int,0,eq_c1/2)))/(s_0+2*s_r+IF(circ_int,eq_c1/2,0))),IF(((0+0.5)*(4*IF(circ_int,0,eq_c1/2)+4*IF(circ_int,0,eq_c2/2)+2*PI()*(s_0+2*s_r+IF(circ_int,eq_c1/2,0)))/INDEX(lk_legs,3))&lt;(((((2*IF(circ_int,0,eq_c2/2))+(PI()*(s_0+2*s_r+IF(circ_int,eq_c1/2,0))/2))+2*IF(circ_int,0,eq_c1/2))+(PI()*(s_0+2*s_r+IF(circ_int,eq_c1/2,0))/2))+2*IF(circ_int,0,eq_c2/2)),IF(circ_int,0,eq_c2/2)-(((0+0.5)*(4*IF(circ_int,0,eq_c1/2)+4*IF(circ_int,0,eq_c2/2)+2*PI()*(s_0+2*s_r+IF(circ_int,eq_c1/2,0)))/INDEX(lk_legs,3))-((((2*IF(circ_int,0,eq_c2/2))+(PI()*(s_0+2*s_r+IF(circ_int,eq_c1/2,0))/2))+2*IF(circ_int,0,eq_c1/2))+(PI()*(s_0+2*s_r+IF(circ_int,eq_c1/2,0))/2))),IF(((0+0.5)*(4*IF(circ_int,0,eq_c1/2)+4*IF(circ_int,0,eq_c2/2)+2*PI()*(s_0+2*s_r+IF(circ_int,eq_c1/2,0)))/INDEX(lk_legs,3))&lt;((((((2*IF(circ_int,0,eq_c2/2))+(PI()*(s_0+2*s_r+IF(circ_int,eq_c1/2,0))/2))+2*IF(circ_int,0,eq_c1/2))+(PI()*(s_0+2*s_r+IF(circ_int,eq_c1/2,0))/2))+2*IF(circ_int,0,eq_c2/2))+(PI()*(s_0+2*s_r+IF(circ_int,eq_c1/2,0))/2)),-IF(circ_int,0,eq_c2/2)+(s_0+2*s_r+IF(circ_int,eq_c1/2,0))*SIN(PI()+(((0+0.5)*(4*IF(circ_int,0,eq_c1/2)+4*IF(circ_int,0,eq_c2/2)+2*PI()*(s_0+2*s_r+IF(circ_int,eq_c1/2,0)))/INDEX(lk_legs,3))-(((((2*IF(circ_int,0,eq_c2/2))+(PI()*(s_0+2*s_r+IF(circ_int,eq_c1/2,0))/2))+2*IF(circ_int,0,eq_c1/2))+(PI()*(s_0+2*s_r+IF(circ_int,eq_c1/2,0))/2))+2*IF(circ_int,0,eq_c2/2)))/(s_0+2*s_r+IF(circ_int,eq_c1/2,0))),IF(((0+0.5)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(0+0.5)*(4*IF(circ_int,0,eq_c1/2)+4*IF(circ_int,0,eq_c2/2)+2*PI()*(s_0+2*s_r+IF(circ_int,eq_c1/2,0)))/INDEX(lk_legs,3))-(((((((2*IF(circ_int,0,eq_c2/2))+(PI()*(s_0+2*s_r+IF(circ_int,eq_c1/2,0))/2))+2*IF(circ_int,0,eq_c1/2))+(PI()*(s_0+2*s_r+IF(circ_int,eq_c1/2,0))/2))+2*IF(circ_int,0,eq_c2/2))+(PI()*(s_0+2*s_r+IF(circ_int,eq_c1/2,0))/2))+2*IF(circ_int,0,eq_c1/2)))/(s_0+2*s_r+IF(circ_int,eq_c1/2,0)))))))))),NA())</f>
        <v/>
      </c>
      <c r="BO3">
        <f>IF(AND(links_on,4&lt;=n_per),IF(circ_int,(g_ox)+(c_1/2+(s_0+3*s_r))*1.000000,CHOOSE(INDEX(lk_kind,4),(g_ox+eq_c1/2)+((s_0+3*s_r))*1.000000,0,0,eq_a1-(s_0+3*s_r))),NA())</f>
        <v/>
      </c>
      <c r="BP3">
        <f>IF(AND(links_on,4&lt;=n_per),IF(circ_int,(g_oy)+(c_1/2+(s_0+3*s_r))*0.000000,CHOOSE(INDEX(lk_kind,4),(g_oy+eq_c2/2)+((s_0+3*s_r))*0.000000,g_oy+eq_c2/2+(s_0+3*s_r),eq_a2+eq_c2+(s_0+3*s_r),0)),NA())</f>
        <v/>
      </c>
      <c r="BR3">
        <f>IF(AND(AND(links_on,4&lt;=n_per),INDEX(lk_kind,4)=1,0&lt;INDEX(lk_legs,4)),g_ox+IF(((0+0.5)*(4*IF(circ_int,0,eq_c1/2)+4*IF(circ_int,0,eq_c2/2)+2*PI()*(s_0+3*s_r+IF(circ_int,eq_c1/2,0)))/INDEX(lk_legs,4))&lt;(2*IF(circ_int,0,eq_c2/2)),IF(circ_int,0,eq_c1/2)+(s_0+3*s_r+IF(circ_int,eq_c1/2,0)),IF(((0+0.5)*(4*IF(circ_int,0,eq_c1/2)+4*IF(circ_int,0,eq_c2/2)+2*PI()*(s_0+3*s_r+IF(circ_int,eq_c1/2,0)))/INDEX(lk_legs,4))&lt;((2*IF(circ_int,0,eq_c2/2))+(PI()*(s_0+3*s_r+IF(circ_int,eq_c1/2,0))/2)),IF(circ_int,0,eq_c1/2)+(s_0+3*s_r+IF(circ_int,eq_c1/2,0))*COS((((0+0.5)*(4*IF(circ_int,0,eq_c1/2)+4*IF(circ_int,0,eq_c2/2)+2*PI()*(s_0+3*s_r+IF(circ_int,eq_c1/2,0)))/INDEX(lk_legs,4))-(2*IF(circ_int,0,eq_c2/2)))/(s_0+3*s_r+IF(circ_int,eq_c1/2,0))),IF(((0+0.5)*(4*IF(circ_int,0,eq_c1/2)+4*IF(circ_int,0,eq_c2/2)+2*PI()*(s_0+3*s_r+IF(circ_int,eq_c1/2,0)))/INDEX(lk_legs,4))&lt;(((2*IF(circ_int,0,eq_c2/2))+(PI()*(s_0+3*s_r+IF(circ_int,eq_c1/2,0))/2))+2*IF(circ_int,0,eq_c1/2)),IF(circ_int,0,eq_c1/2)-(((0+0.5)*(4*IF(circ_int,0,eq_c1/2)+4*IF(circ_int,0,eq_c2/2)+2*PI()*(s_0+3*s_r+IF(circ_int,eq_c1/2,0)))/INDEX(lk_legs,4))-((2*IF(circ_int,0,eq_c2/2))+(PI()*(s_0+3*s_r+IF(circ_int,eq_c1/2,0))/2))),IF(((0+0.5)*(4*IF(circ_int,0,eq_c1/2)+4*IF(circ_int,0,eq_c2/2)+2*PI()*(s_0+3*s_r+IF(circ_int,eq_c1/2,0)))/INDEX(lk_legs,4))&lt;((((2*IF(circ_int,0,eq_c2/2))+(PI()*(s_0+3*s_r+IF(circ_int,eq_c1/2,0))/2))+2*IF(circ_int,0,eq_c1/2))+(PI()*(s_0+3*s_r+IF(circ_int,eq_c1/2,0))/2)),-IF(circ_int,0,eq_c1/2)+(s_0+3*s_r+IF(circ_int,eq_c1/2,0))*COS(PI()/2+(((0+0.5)*(4*IF(circ_int,0,eq_c1/2)+4*IF(circ_int,0,eq_c2/2)+2*PI()*(s_0+3*s_r+IF(circ_int,eq_c1/2,0)))/INDEX(lk_legs,4))-(((2*IF(circ_int,0,eq_c2/2))+(PI()*(s_0+3*s_r+IF(circ_int,eq_c1/2,0))/2))+2*IF(circ_int,0,eq_c1/2)))/(s_0+3*s_r+IF(circ_int,eq_c1/2,0))),IF(((0+0.5)*(4*IF(circ_int,0,eq_c1/2)+4*IF(circ_int,0,eq_c2/2)+2*PI()*(s_0+3*s_r+IF(circ_int,eq_c1/2,0)))/INDEX(lk_legs,4))&lt;(((((2*IF(circ_int,0,eq_c2/2))+(PI()*(s_0+3*s_r+IF(circ_int,eq_c1/2,0))/2))+2*IF(circ_int,0,eq_c1/2))+(PI()*(s_0+3*s_r+IF(circ_int,eq_c1/2,0))/2))+2*IF(circ_int,0,eq_c2/2)),-IF(circ_int,0,eq_c1/2)-(s_0+3*s_r+IF(circ_int,eq_c1/2,0)),IF(((0+0.5)*(4*IF(circ_int,0,eq_c1/2)+4*IF(circ_int,0,eq_c2/2)+2*PI()*(s_0+3*s_r+IF(circ_int,eq_c1/2,0)))/INDEX(lk_legs,4))&lt;((((((2*IF(circ_int,0,eq_c2/2))+(PI()*(s_0+3*s_r+IF(circ_int,eq_c1/2,0))/2))+2*IF(circ_int,0,eq_c1/2))+(PI()*(s_0+3*s_r+IF(circ_int,eq_c1/2,0))/2))+2*IF(circ_int,0,eq_c2/2))+(PI()*(s_0+3*s_r+IF(circ_int,eq_c1/2,0))/2)),-IF(circ_int,0,eq_c1/2)+(s_0+3*s_r+IF(circ_int,eq_c1/2,0))*COS(PI()+(((0+0.5)*(4*IF(circ_int,0,eq_c1/2)+4*IF(circ_int,0,eq_c2/2)+2*PI()*(s_0+3*s_r+IF(circ_int,eq_c1/2,0)))/INDEX(lk_legs,4))-(((((2*IF(circ_int,0,eq_c2/2))+(PI()*(s_0+3*s_r+IF(circ_int,eq_c1/2,0))/2))+2*IF(circ_int,0,eq_c1/2))+(PI()*(s_0+3*s_r+IF(circ_int,eq_c1/2,0))/2))+2*IF(circ_int,0,eq_c2/2)))/(s_0+3*s_r+IF(circ_int,eq_c1/2,0))),IF(((0+0.5)*(4*IF(circ_int,0,eq_c1/2)+4*IF(circ_int,0,eq_c2/2)+2*PI()*(s_0+3*s_r+IF(circ_int,eq_c1/2,0)))/INDEX(lk_legs,4))&lt;(((((((2*IF(circ_int,0,eq_c2/2))+(PI()*(s_0+3*s_r+IF(circ_int,eq_c1/2,0))/2))+2*IF(circ_int,0,eq_c1/2))+(PI()*(s_0+3*s_r+IF(circ_int,eq_c1/2,0))/2))+2*IF(circ_int,0,eq_c2/2))+(PI()*(s_0+3*s_r+IF(circ_int,eq_c1/2,0))/2))+2*IF(circ_int,0,eq_c1/2)),-IF(circ_int,0,eq_c1/2)+(((0+0.5)*(4*IF(circ_int,0,eq_c1/2)+4*IF(circ_int,0,eq_c2/2)+2*PI()*(s_0+3*s_r+IF(circ_int,eq_c1/2,0)))/INDEX(lk_legs,4))-((((((2*IF(circ_int,0,eq_c2/2))+(PI()*(s_0+3*s_r+IF(circ_int,eq_c1/2,0))/2))+2*IF(circ_int,0,eq_c1/2))+(PI()*(s_0+3*s_r+IF(circ_int,eq_c1/2,0))/2))+2*IF(circ_int,0,eq_c2/2))+(PI()*(s_0+3*s_r+IF(circ_int,eq_c1/2,0))/2))),IF(circ_int,0,eq_c1/2)+(s_0+3*s_r+IF(circ_int,eq_c1/2,0))*COS(3*PI()/2+(((0+0.5)*(4*IF(circ_int,0,eq_c1/2)+4*IF(circ_int,0,eq_c2/2)+2*PI()*(s_0+3*s_r+IF(circ_int,eq_c1/2,0)))/INDEX(lk_legs,4))-(((((((2*IF(circ_int,0,eq_c2/2))+(PI()*(s_0+3*s_r+IF(circ_int,eq_c1/2,0))/2))+2*IF(circ_int,0,eq_c1/2))+(PI()*(s_0+3*s_r+IF(circ_int,eq_c1/2,0))/2))+2*IF(circ_int,0,eq_c2/2))+(PI()*(s_0+3*s_r+IF(circ_int,eq_c1/2,0))/2))+2*IF(circ_int,0,eq_c1/2)))/(s_0+3*s_r+IF(circ_int,eq_c1/2,0)))))))))),NA())</f>
        <v/>
      </c>
      <c r="BS3">
        <f>IF(AND(AND(links_on,4&lt;=n_per),INDEX(lk_kind,4)=1,0&lt;INDEX(lk_legs,4)),g_oy+IF(((0+0.5)*(4*IF(circ_int,0,eq_c1/2)+4*IF(circ_int,0,eq_c2/2)+2*PI()*(s_0+3*s_r+IF(circ_int,eq_c1/2,0)))/INDEX(lk_legs,4))&lt;(2*IF(circ_int,0,eq_c2/2)),-IF(circ_int,0,eq_c2/2)+((0+0.5)*(4*IF(circ_int,0,eq_c1/2)+4*IF(circ_int,0,eq_c2/2)+2*PI()*(s_0+3*s_r+IF(circ_int,eq_c1/2,0)))/INDEX(lk_legs,4)),IF(((0+0.5)*(4*IF(circ_int,0,eq_c1/2)+4*IF(circ_int,0,eq_c2/2)+2*PI()*(s_0+3*s_r+IF(circ_int,eq_c1/2,0)))/INDEX(lk_legs,4))&lt;((2*IF(circ_int,0,eq_c2/2))+(PI()*(s_0+3*s_r+IF(circ_int,eq_c1/2,0))/2)),IF(circ_int,0,eq_c2/2)+(s_0+3*s_r+IF(circ_int,eq_c1/2,0))*SIN((((0+0.5)*(4*IF(circ_int,0,eq_c1/2)+4*IF(circ_int,0,eq_c2/2)+2*PI()*(s_0+3*s_r+IF(circ_int,eq_c1/2,0)))/INDEX(lk_legs,4))-(2*IF(circ_int,0,eq_c2/2)))/(s_0+3*s_r+IF(circ_int,eq_c1/2,0))),IF(((0+0.5)*(4*IF(circ_int,0,eq_c1/2)+4*IF(circ_int,0,eq_c2/2)+2*PI()*(s_0+3*s_r+IF(circ_int,eq_c1/2,0)))/INDEX(lk_legs,4))&lt;(((2*IF(circ_int,0,eq_c2/2))+(PI()*(s_0+3*s_r+IF(circ_int,eq_c1/2,0))/2))+2*IF(circ_int,0,eq_c1/2)),IF(circ_int,0,eq_c2/2)+(s_0+3*s_r+IF(circ_int,eq_c1/2,0)),IF(((0+0.5)*(4*IF(circ_int,0,eq_c1/2)+4*IF(circ_int,0,eq_c2/2)+2*PI()*(s_0+3*s_r+IF(circ_int,eq_c1/2,0)))/INDEX(lk_legs,4))&lt;((((2*IF(circ_int,0,eq_c2/2))+(PI()*(s_0+3*s_r+IF(circ_int,eq_c1/2,0))/2))+2*IF(circ_int,0,eq_c1/2))+(PI()*(s_0+3*s_r+IF(circ_int,eq_c1/2,0))/2)),IF(circ_int,0,eq_c2/2)+(s_0+3*s_r+IF(circ_int,eq_c1/2,0))*SIN(PI()/2+(((0+0.5)*(4*IF(circ_int,0,eq_c1/2)+4*IF(circ_int,0,eq_c2/2)+2*PI()*(s_0+3*s_r+IF(circ_int,eq_c1/2,0)))/INDEX(lk_legs,4))-(((2*IF(circ_int,0,eq_c2/2))+(PI()*(s_0+3*s_r+IF(circ_int,eq_c1/2,0))/2))+2*IF(circ_int,0,eq_c1/2)))/(s_0+3*s_r+IF(circ_int,eq_c1/2,0))),IF(((0+0.5)*(4*IF(circ_int,0,eq_c1/2)+4*IF(circ_int,0,eq_c2/2)+2*PI()*(s_0+3*s_r+IF(circ_int,eq_c1/2,0)))/INDEX(lk_legs,4))&lt;(((((2*IF(circ_int,0,eq_c2/2))+(PI()*(s_0+3*s_r+IF(circ_int,eq_c1/2,0))/2))+2*IF(circ_int,0,eq_c1/2))+(PI()*(s_0+3*s_r+IF(circ_int,eq_c1/2,0))/2))+2*IF(circ_int,0,eq_c2/2)),IF(circ_int,0,eq_c2/2)-(((0+0.5)*(4*IF(circ_int,0,eq_c1/2)+4*IF(circ_int,0,eq_c2/2)+2*PI()*(s_0+3*s_r+IF(circ_int,eq_c1/2,0)))/INDEX(lk_legs,4))-((((2*IF(circ_int,0,eq_c2/2))+(PI()*(s_0+3*s_r+IF(circ_int,eq_c1/2,0))/2))+2*IF(circ_int,0,eq_c1/2))+(PI()*(s_0+3*s_r+IF(circ_int,eq_c1/2,0))/2))),IF(((0+0.5)*(4*IF(circ_int,0,eq_c1/2)+4*IF(circ_int,0,eq_c2/2)+2*PI()*(s_0+3*s_r+IF(circ_int,eq_c1/2,0)))/INDEX(lk_legs,4))&lt;((((((2*IF(circ_int,0,eq_c2/2))+(PI()*(s_0+3*s_r+IF(circ_int,eq_c1/2,0))/2))+2*IF(circ_int,0,eq_c1/2))+(PI()*(s_0+3*s_r+IF(circ_int,eq_c1/2,0))/2))+2*IF(circ_int,0,eq_c2/2))+(PI()*(s_0+3*s_r+IF(circ_int,eq_c1/2,0))/2)),-IF(circ_int,0,eq_c2/2)+(s_0+3*s_r+IF(circ_int,eq_c1/2,0))*SIN(PI()+(((0+0.5)*(4*IF(circ_int,0,eq_c1/2)+4*IF(circ_int,0,eq_c2/2)+2*PI()*(s_0+3*s_r+IF(circ_int,eq_c1/2,0)))/INDEX(lk_legs,4))-(((((2*IF(circ_int,0,eq_c2/2))+(PI()*(s_0+3*s_r+IF(circ_int,eq_c1/2,0))/2))+2*IF(circ_int,0,eq_c1/2))+(PI()*(s_0+3*s_r+IF(circ_int,eq_c1/2,0))/2))+2*IF(circ_int,0,eq_c2/2)))/(s_0+3*s_r+IF(circ_int,eq_c1/2,0))),IF(((0+0.5)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(0+0.5)*(4*IF(circ_int,0,eq_c1/2)+4*IF(circ_int,0,eq_c2/2)+2*PI()*(s_0+3*s_r+IF(circ_int,eq_c1/2,0)))/INDEX(lk_legs,4))-(((((((2*IF(circ_int,0,eq_c2/2))+(PI()*(s_0+3*s_r+IF(circ_int,eq_c1/2,0))/2))+2*IF(circ_int,0,eq_c1/2))+(PI()*(s_0+3*s_r+IF(circ_int,eq_c1/2,0))/2))+2*IF(circ_int,0,eq_c2/2))+(PI()*(s_0+3*s_r+IF(circ_int,eq_c1/2,0))/2))+2*IF(circ_int,0,eq_c1/2)))/(s_0+3*s_r+IF(circ_int,eq_c1/2,0)))))))))),NA())</f>
        <v/>
      </c>
      <c r="BU3">
        <f>IF(AND(links_on,5&lt;=n_per),IF(circ_int,(g_ox)+(c_1/2+(s_0+4*s_r))*1.000000,CHOOSE(INDEX(lk_kind,5),(g_ox+eq_c1/2)+((s_0+4*s_r))*1.000000,0,0,eq_a1-(s_0+4*s_r))),NA())</f>
        <v/>
      </c>
      <c r="BV3">
        <f>IF(AND(links_on,5&lt;=n_per),IF(circ_int,(g_oy)+(c_1/2+(s_0+4*s_r))*0.000000,CHOOSE(INDEX(lk_kind,5),(g_oy+eq_c2/2)+((s_0+4*s_r))*0.000000,g_oy+eq_c2/2+(s_0+4*s_r),eq_a2+eq_c2+(s_0+4*s_r),0)),NA())</f>
        <v/>
      </c>
      <c r="BX3">
        <f>IF(AND(AND(links_on,5&lt;=n_per),INDEX(lk_kind,5)=1,0&lt;INDEX(lk_legs,5)),g_ox+IF(((0+0.5)*(4*IF(circ_int,0,eq_c1/2)+4*IF(circ_int,0,eq_c2/2)+2*PI()*(s_0+4*s_r+IF(circ_int,eq_c1/2,0)))/INDEX(lk_legs,5))&lt;(2*IF(circ_int,0,eq_c2/2)),IF(circ_int,0,eq_c1/2)+(s_0+4*s_r+IF(circ_int,eq_c1/2,0)),IF(((0+0.5)*(4*IF(circ_int,0,eq_c1/2)+4*IF(circ_int,0,eq_c2/2)+2*PI()*(s_0+4*s_r+IF(circ_int,eq_c1/2,0)))/INDEX(lk_legs,5))&lt;((2*IF(circ_int,0,eq_c2/2))+(PI()*(s_0+4*s_r+IF(circ_int,eq_c1/2,0))/2)),IF(circ_int,0,eq_c1/2)+(s_0+4*s_r+IF(circ_int,eq_c1/2,0))*COS((((0+0.5)*(4*IF(circ_int,0,eq_c1/2)+4*IF(circ_int,0,eq_c2/2)+2*PI()*(s_0+4*s_r+IF(circ_int,eq_c1/2,0)))/INDEX(lk_legs,5))-(2*IF(circ_int,0,eq_c2/2)))/(s_0+4*s_r+IF(circ_int,eq_c1/2,0))),IF(((0+0.5)*(4*IF(circ_int,0,eq_c1/2)+4*IF(circ_int,0,eq_c2/2)+2*PI()*(s_0+4*s_r+IF(circ_int,eq_c1/2,0)))/INDEX(lk_legs,5))&lt;(((2*IF(circ_int,0,eq_c2/2))+(PI()*(s_0+4*s_r+IF(circ_int,eq_c1/2,0))/2))+2*IF(circ_int,0,eq_c1/2)),IF(circ_int,0,eq_c1/2)-(((0+0.5)*(4*IF(circ_int,0,eq_c1/2)+4*IF(circ_int,0,eq_c2/2)+2*PI()*(s_0+4*s_r+IF(circ_int,eq_c1/2,0)))/INDEX(lk_legs,5))-((2*IF(circ_int,0,eq_c2/2))+(PI()*(s_0+4*s_r+IF(circ_int,eq_c1/2,0))/2))),IF(((0+0.5)*(4*IF(circ_int,0,eq_c1/2)+4*IF(circ_int,0,eq_c2/2)+2*PI()*(s_0+4*s_r+IF(circ_int,eq_c1/2,0)))/INDEX(lk_legs,5))&lt;((((2*IF(circ_int,0,eq_c2/2))+(PI()*(s_0+4*s_r+IF(circ_int,eq_c1/2,0))/2))+2*IF(circ_int,0,eq_c1/2))+(PI()*(s_0+4*s_r+IF(circ_int,eq_c1/2,0))/2)),-IF(circ_int,0,eq_c1/2)+(s_0+4*s_r+IF(circ_int,eq_c1/2,0))*COS(PI()/2+(((0+0.5)*(4*IF(circ_int,0,eq_c1/2)+4*IF(circ_int,0,eq_c2/2)+2*PI()*(s_0+4*s_r+IF(circ_int,eq_c1/2,0)))/INDEX(lk_legs,5))-(((2*IF(circ_int,0,eq_c2/2))+(PI()*(s_0+4*s_r+IF(circ_int,eq_c1/2,0))/2))+2*IF(circ_int,0,eq_c1/2)))/(s_0+4*s_r+IF(circ_int,eq_c1/2,0))),IF(((0+0.5)*(4*IF(circ_int,0,eq_c1/2)+4*IF(circ_int,0,eq_c2/2)+2*PI()*(s_0+4*s_r+IF(circ_int,eq_c1/2,0)))/INDEX(lk_legs,5))&lt;(((((2*IF(circ_int,0,eq_c2/2))+(PI()*(s_0+4*s_r+IF(circ_int,eq_c1/2,0))/2))+2*IF(circ_int,0,eq_c1/2))+(PI()*(s_0+4*s_r+IF(circ_int,eq_c1/2,0))/2))+2*IF(circ_int,0,eq_c2/2)),-IF(circ_int,0,eq_c1/2)-(s_0+4*s_r+IF(circ_int,eq_c1/2,0)),IF(((0+0.5)*(4*IF(circ_int,0,eq_c1/2)+4*IF(circ_int,0,eq_c2/2)+2*PI()*(s_0+4*s_r+IF(circ_int,eq_c1/2,0)))/INDEX(lk_legs,5))&lt;((((((2*IF(circ_int,0,eq_c2/2))+(PI()*(s_0+4*s_r+IF(circ_int,eq_c1/2,0))/2))+2*IF(circ_int,0,eq_c1/2))+(PI()*(s_0+4*s_r+IF(circ_int,eq_c1/2,0))/2))+2*IF(circ_int,0,eq_c2/2))+(PI()*(s_0+4*s_r+IF(circ_int,eq_c1/2,0))/2)),-IF(circ_int,0,eq_c1/2)+(s_0+4*s_r+IF(circ_int,eq_c1/2,0))*COS(PI()+(((0+0.5)*(4*IF(circ_int,0,eq_c1/2)+4*IF(circ_int,0,eq_c2/2)+2*PI()*(s_0+4*s_r+IF(circ_int,eq_c1/2,0)))/INDEX(lk_legs,5))-(((((2*IF(circ_int,0,eq_c2/2))+(PI()*(s_0+4*s_r+IF(circ_int,eq_c1/2,0))/2))+2*IF(circ_int,0,eq_c1/2))+(PI()*(s_0+4*s_r+IF(circ_int,eq_c1/2,0))/2))+2*IF(circ_int,0,eq_c2/2)))/(s_0+4*s_r+IF(circ_int,eq_c1/2,0))),IF(((0+0.5)*(4*IF(circ_int,0,eq_c1/2)+4*IF(circ_int,0,eq_c2/2)+2*PI()*(s_0+4*s_r+IF(circ_int,eq_c1/2,0)))/INDEX(lk_legs,5))&lt;(((((((2*IF(circ_int,0,eq_c2/2))+(PI()*(s_0+4*s_r+IF(circ_int,eq_c1/2,0))/2))+2*IF(circ_int,0,eq_c1/2))+(PI()*(s_0+4*s_r+IF(circ_int,eq_c1/2,0))/2))+2*IF(circ_int,0,eq_c2/2))+(PI()*(s_0+4*s_r+IF(circ_int,eq_c1/2,0))/2))+2*IF(circ_int,0,eq_c1/2)),-IF(circ_int,0,eq_c1/2)+(((0+0.5)*(4*IF(circ_int,0,eq_c1/2)+4*IF(circ_int,0,eq_c2/2)+2*PI()*(s_0+4*s_r+IF(circ_int,eq_c1/2,0)))/INDEX(lk_legs,5))-((((((2*IF(circ_int,0,eq_c2/2))+(PI()*(s_0+4*s_r+IF(circ_int,eq_c1/2,0))/2))+2*IF(circ_int,0,eq_c1/2))+(PI()*(s_0+4*s_r+IF(circ_int,eq_c1/2,0))/2))+2*IF(circ_int,0,eq_c2/2))+(PI()*(s_0+4*s_r+IF(circ_int,eq_c1/2,0))/2))),IF(circ_int,0,eq_c1/2)+(s_0+4*s_r+IF(circ_int,eq_c1/2,0))*COS(3*PI()/2+(((0+0.5)*(4*IF(circ_int,0,eq_c1/2)+4*IF(circ_int,0,eq_c2/2)+2*PI()*(s_0+4*s_r+IF(circ_int,eq_c1/2,0)))/INDEX(lk_legs,5))-(((((((2*IF(circ_int,0,eq_c2/2))+(PI()*(s_0+4*s_r+IF(circ_int,eq_c1/2,0))/2))+2*IF(circ_int,0,eq_c1/2))+(PI()*(s_0+4*s_r+IF(circ_int,eq_c1/2,0))/2))+2*IF(circ_int,0,eq_c2/2))+(PI()*(s_0+4*s_r+IF(circ_int,eq_c1/2,0))/2))+2*IF(circ_int,0,eq_c1/2)))/(s_0+4*s_r+IF(circ_int,eq_c1/2,0)))))))))),NA())</f>
        <v/>
      </c>
      <c r="BY3">
        <f>IF(AND(AND(links_on,5&lt;=n_per),INDEX(lk_kind,5)=1,0&lt;INDEX(lk_legs,5)),g_oy+IF(((0+0.5)*(4*IF(circ_int,0,eq_c1/2)+4*IF(circ_int,0,eq_c2/2)+2*PI()*(s_0+4*s_r+IF(circ_int,eq_c1/2,0)))/INDEX(lk_legs,5))&lt;(2*IF(circ_int,0,eq_c2/2)),-IF(circ_int,0,eq_c2/2)+((0+0.5)*(4*IF(circ_int,0,eq_c1/2)+4*IF(circ_int,0,eq_c2/2)+2*PI()*(s_0+4*s_r+IF(circ_int,eq_c1/2,0)))/INDEX(lk_legs,5)),IF(((0+0.5)*(4*IF(circ_int,0,eq_c1/2)+4*IF(circ_int,0,eq_c2/2)+2*PI()*(s_0+4*s_r+IF(circ_int,eq_c1/2,0)))/INDEX(lk_legs,5))&lt;((2*IF(circ_int,0,eq_c2/2))+(PI()*(s_0+4*s_r+IF(circ_int,eq_c1/2,0))/2)),IF(circ_int,0,eq_c2/2)+(s_0+4*s_r+IF(circ_int,eq_c1/2,0))*SIN((((0+0.5)*(4*IF(circ_int,0,eq_c1/2)+4*IF(circ_int,0,eq_c2/2)+2*PI()*(s_0+4*s_r+IF(circ_int,eq_c1/2,0)))/INDEX(lk_legs,5))-(2*IF(circ_int,0,eq_c2/2)))/(s_0+4*s_r+IF(circ_int,eq_c1/2,0))),IF(((0+0.5)*(4*IF(circ_int,0,eq_c1/2)+4*IF(circ_int,0,eq_c2/2)+2*PI()*(s_0+4*s_r+IF(circ_int,eq_c1/2,0)))/INDEX(lk_legs,5))&lt;(((2*IF(circ_int,0,eq_c2/2))+(PI()*(s_0+4*s_r+IF(circ_int,eq_c1/2,0))/2))+2*IF(circ_int,0,eq_c1/2)),IF(circ_int,0,eq_c2/2)+(s_0+4*s_r+IF(circ_int,eq_c1/2,0)),IF(((0+0.5)*(4*IF(circ_int,0,eq_c1/2)+4*IF(circ_int,0,eq_c2/2)+2*PI()*(s_0+4*s_r+IF(circ_int,eq_c1/2,0)))/INDEX(lk_legs,5))&lt;((((2*IF(circ_int,0,eq_c2/2))+(PI()*(s_0+4*s_r+IF(circ_int,eq_c1/2,0))/2))+2*IF(circ_int,0,eq_c1/2))+(PI()*(s_0+4*s_r+IF(circ_int,eq_c1/2,0))/2)),IF(circ_int,0,eq_c2/2)+(s_0+4*s_r+IF(circ_int,eq_c1/2,0))*SIN(PI()/2+(((0+0.5)*(4*IF(circ_int,0,eq_c1/2)+4*IF(circ_int,0,eq_c2/2)+2*PI()*(s_0+4*s_r+IF(circ_int,eq_c1/2,0)))/INDEX(lk_legs,5))-(((2*IF(circ_int,0,eq_c2/2))+(PI()*(s_0+4*s_r+IF(circ_int,eq_c1/2,0))/2))+2*IF(circ_int,0,eq_c1/2)))/(s_0+4*s_r+IF(circ_int,eq_c1/2,0))),IF(((0+0.5)*(4*IF(circ_int,0,eq_c1/2)+4*IF(circ_int,0,eq_c2/2)+2*PI()*(s_0+4*s_r+IF(circ_int,eq_c1/2,0)))/INDEX(lk_legs,5))&lt;(((((2*IF(circ_int,0,eq_c2/2))+(PI()*(s_0+4*s_r+IF(circ_int,eq_c1/2,0))/2))+2*IF(circ_int,0,eq_c1/2))+(PI()*(s_0+4*s_r+IF(circ_int,eq_c1/2,0))/2))+2*IF(circ_int,0,eq_c2/2)),IF(circ_int,0,eq_c2/2)-(((0+0.5)*(4*IF(circ_int,0,eq_c1/2)+4*IF(circ_int,0,eq_c2/2)+2*PI()*(s_0+4*s_r+IF(circ_int,eq_c1/2,0)))/INDEX(lk_legs,5))-((((2*IF(circ_int,0,eq_c2/2))+(PI()*(s_0+4*s_r+IF(circ_int,eq_c1/2,0))/2))+2*IF(circ_int,0,eq_c1/2))+(PI()*(s_0+4*s_r+IF(circ_int,eq_c1/2,0))/2))),IF(((0+0.5)*(4*IF(circ_int,0,eq_c1/2)+4*IF(circ_int,0,eq_c2/2)+2*PI()*(s_0+4*s_r+IF(circ_int,eq_c1/2,0)))/INDEX(lk_legs,5))&lt;((((((2*IF(circ_int,0,eq_c2/2))+(PI()*(s_0+4*s_r+IF(circ_int,eq_c1/2,0))/2))+2*IF(circ_int,0,eq_c1/2))+(PI()*(s_0+4*s_r+IF(circ_int,eq_c1/2,0))/2))+2*IF(circ_int,0,eq_c2/2))+(PI()*(s_0+4*s_r+IF(circ_int,eq_c1/2,0))/2)),-IF(circ_int,0,eq_c2/2)+(s_0+4*s_r+IF(circ_int,eq_c1/2,0))*SIN(PI()+(((0+0.5)*(4*IF(circ_int,0,eq_c1/2)+4*IF(circ_int,0,eq_c2/2)+2*PI()*(s_0+4*s_r+IF(circ_int,eq_c1/2,0)))/INDEX(lk_legs,5))-(((((2*IF(circ_int,0,eq_c2/2))+(PI()*(s_0+4*s_r+IF(circ_int,eq_c1/2,0))/2))+2*IF(circ_int,0,eq_c1/2))+(PI()*(s_0+4*s_r+IF(circ_int,eq_c1/2,0))/2))+2*IF(circ_int,0,eq_c2/2)))/(s_0+4*s_r+IF(circ_int,eq_c1/2,0))),IF(((0+0.5)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(0+0.5)*(4*IF(circ_int,0,eq_c1/2)+4*IF(circ_int,0,eq_c2/2)+2*PI()*(s_0+4*s_r+IF(circ_int,eq_c1/2,0)))/INDEX(lk_legs,5))-(((((((2*IF(circ_int,0,eq_c2/2))+(PI()*(s_0+4*s_r+IF(circ_int,eq_c1/2,0))/2))+2*IF(circ_int,0,eq_c1/2))+(PI()*(s_0+4*s_r+IF(circ_int,eq_c1/2,0))/2))+2*IF(circ_int,0,eq_c2/2))+(PI()*(s_0+4*s_r+IF(circ_int,eq_c1/2,0))/2))+2*IF(circ_int,0,eq_c1/2)))/(s_0+4*s_r+IF(circ_int,eq_c1/2,0)))))))))),NA())</f>
        <v/>
      </c>
      <c r="CA3">
        <f>IF(AND(links_on,6&lt;=n_per),IF(circ_int,(g_ox)+(c_1/2+(s_0+5*s_r))*1.000000,CHOOSE(INDEX(lk_kind,6),(g_ox+eq_c1/2)+((s_0+5*s_r))*1.000000,0,0,eq_a1-(s_0+5*s_r))),NA())</f>
        <v/>
      </c>
      <c r="CB3">
        <f>IF(AND(links_on,6&lt;=n_per),IF(circ_int,(g_oy)+(c_1/2+(s_0+5*s_r))*0.000000,CHOOSE(INDEX(lk_kind,6),(g_oy+eq_c2/2)+((s_0+5*s_r))*0.000000,g_oy+eq_c2/2+(s_0+5*s_r),eq_a2+eq_c2+(s_0+5*s_r),0)),NA())</f>
        <v/>
      </c>
      <c r="CD3">
        <f>IF(AND(AND(links_on,6&lt;=n_per),INDEX(lk_kind,6)=1,0&lt;INDEX(lk_legs,6)),g_ox+IF(((0+0.5)*(4*IF(circ_int,0,eq_c1/2)+4*IF(circ_int,0,eq_c2/2)+2*PI()*(s_0+5*s_r+IF(circ_int,eq_c1/2,0)))/INDEX(lk_legs,6))&lt;(2*IF(circ_int,0,eq_c2/2)),IF(circ_int,0,eq_c1/2)+(s_0+5*s_r+IF(circ_int,eq_c1/2,0)),IF(((0+0.5)*(4*IF(circ_int,0,eq_c1/2)+4*IF(circ_int,0,eq_c2/2)+2*PI()*(s_0+5*s_r+IF(circ_int,eq_c1/2,0)))/INDEX(lk_legs,6))&lt;((2*IF(circ_int,0,eq_c2/2))+(PI()*(s_0+5*s_r+IF(circ_int,eq_c1/2,0))/2)),IF(circ_int,0,eq_c1/2)+(s_0+5*s_r+IF(circ_int,eq_c1/2,0))*COS((((0+0.5)*(4*IF(circ_int,0,eq_c1/2)+4*IF(circ_int,0,eq_c2/2)+2*PI()*(s_0+5*s_r+IF(circ_int,eq_c1/2,0)))/INDEX(lk_legs,6))-(2*IF(circ_int,0,eq_c2/2)))/(s_0+5*s_r+IF(circ_int,eq_c1/2,0))),IF(((0+0.5)*(4*IF(circ_int,0,eq_c1/2)+4*IF(circ_int,0,eq_c2/2)+2*PI()*(s_0+5*s_r+IF(circ_int,eq_c1/2,0)))/INDEX(lk_legs,6))&lt;(((2*IF(circ_int,0,eq_c2/2))+(PI()*(s_0+5*s_r+IF(circ_int,eq_c1/2,0))/2))+2*IF(circ_int,0,eq_c1/2)),IF(circ_int,0,eq_c1/2)-(((0+0.5)*(4*IF(circ_int,0,eq_c1/2)+4*IF(circ_int,0,eq_c2/2)+2*PI()*(s_0+5*s_r+IF(circ_int,eq_c1/2,0)))/INDEX(lk_legs,6))-((2*IF(circ_int,0,eq_c2/2))+(PI()*(s_0+5*s_r+IF(circ_int,eq_c1/2,0))/2))),IF(((0+0.5)*(4*IF(circ_int,0,eq_c1/2)+4*IF(circ_int,0,eq_c2/2)+2*PI()*(s_0+5*s_r+IF(circ_int,eq_c1/2,0)))/INDEX(lk_legs,6))&lt;((((2*IF(circ_int,0,eq_c2/2))+(PI()*(s_0+5*s_r+IF(circ_int,eq_c1/2,0))/2))+2*IF(circ_int,0,eq_c1/2))+(PI()*(s_0+5*s_r+IF(circ_int,eq_c1/2,0))/2)),-IF(circ_int,0,eq_c1/2)+(s_0+5*s_r+IF(circ_int,eq_c1/2,0))*COS(PI()/2+(((0+0.5)*(4*IF(circ_int,0,eq_c1/2)+4*IF(circ_int,0,eq_c2/2)+2*PI()*(s_0+5*s_r+IF(circ_int,eq_c1/2,0)))/INDEX(lk_legs,6))-(((2*IF(circ_int,0,eq_c2/2))+(PI()*(s_0+5*s_r+IF(circ_int,eq_c1/2,0))/2))+2*IF(circ_int,0,eq_c1/2)))/(s_0+5*s_r+IF(circ_int,eq_c1/2,0))),IF(((0+0.5)*(4*IF(circ_int,0,eq_c1/2)+4*IF(circ_int,0,eq_c2/2)+2*PI()*(s_0+5*s_r+IF(circ_int,eq_c1/2,0)))/INDEX(lk_legs,6))&lt;(((((2*IF(circ_int,0,eq_c2/2))+(PI()*(s_0+5*s_r+IF(circ_int,eq_c1/2,0))/2))+2*IF(circ_int,0,eq_c1/2))+(PI()*(s_0+5*s_r+IF(circ_int,eq_c1/2,0))/2))+2*IF(circ_int,0,eq_c2/2)),-IF(circ_int,0,eq_c1/2)-(s_0+5*s_r+IF(circ_int,eq_c1/2,0)),IF(((0+0.5)*(4*IF(circ_int,0,eq_c1/2)+4*IF(circ_int,0,eq_c2/2)+2*PI()*(s_0+5*s_r+IF(circ_int,eq_c1/2,0)))/INDEX(lk_legs,6))&lt;((((((2*IF(circ_int,0,eq_c2/2))+(PI()*(s_0+5*s_r+IF(circ_int,eq_c1/2,0))/2))+2*IF(circ_int,0,eq_c1/2))+(PI()*(s_0+5*s_r+IF(circ_int,eq_c1/2,0))/2))+2*IF(circ_int,0,eq_c2/2))+(PI()*(s_0+5*s_r+IF(circ_int,eq_c1/2,0))/2)),-IF(circ_int,0,eq_c1/2)+(s_0+5*s_r+IF(circ_int,eq_c1/2,0))*COS(PI()+(((0+0.5)*(4*IF(circ_int,0,eq_c1/2)+4*IF(circ_int,0,eq_c2/2)+2*PI()*(s_0+5*s_r+IF(circ_int,eq_c1/2,0)))/INDEX(lk_legs,6))-(((((2*IF(circ_int,0,eq_c2/2))+(PI()*(s_0+5*s_r+IF(circ_int,eq_c1/2,0))/2))+2*IF(circ_int,0,eq_c1/2))+(PI()*(s_0+5*s_r+IF(circ_int,eq_c1/2,0))/2))+2*IF(circ_int,0,eq_c2/2)))/(s_0+5*s_r+IF(circ_int,eq_c1/2,0))),IF(((0+0.5)*(4*IF(circ_int,0,eq_c1/2)+4*IF(circ_int,0,eq_c2/2)+2*PI()*(s_0+5*s_r+IF(circ_int,eq_c1/2,0)))/INDEX(lk_legs,6))&lt;(((((((2*IF(circ_int,0,eq_c2/2))+(PI()*(s_0+5*s_r+IF(circ_int,eq_c1/2,0))/2))+2*IF(circ_int,0,eq_c1/2))+(PI()*(s_0+5*s_r+IF(circ_int,eq_c1/2,0))/2))+2*IF(circ_int,0,eq_c2/2))+(PI()*(s_0+5*s_r+IF(circ_int,eq_c1/2,0))/2))+2*IF(circ_int,0,eq_c1/2)),-IF(circ_int,0,eq_c1/2)+(((0+0.5)*(4*IF(circ_int,0,eq_c1/2)+4*IF(circ_int,0,eq_c2/2)+2*PI()*(s_0+5*s_r+IF(circ_int,eq_c1/2,0)))/INDEX(lk_legs,6))-((((((2*IF(circ_int,0,eq_c2/2))+(PI()*(s_0+5*s_r+IF(circ_int,eq_c1/2,0))/2))+2*IF(circ_int,0,eq_c1/2))+(PI()*(s_0+5*s_r+IF(circ_int,eq_c1/2,0))/2))+2*IF(circ_int,0,eq_c2/2))+(PI()*(s_0+5*s_r+IF(circ_int,eq_c1/2,0))/2))),IF(circ_int,0,eq_c1/2)+(s_0+5*s_r+IF(circ_int,eq_c1/2,0))*COS(3*PI()/2+(((0+0.5)*(4*IF(circ_int,0,eq_c1/2)+4*IF(circ_int,0,eq_c2/2)+2*PI()*(s_0+5*s_r+IF(circ_int,eq_c1/2,0)))/INDEX(lk_legs,6))-(((((((2*IF(circ_int,0,eq_c2/2))+(PI()*(s_0+5*s_r+IF(circ_int,eq_c1/2,0))/2))+2*IF(circ_int,0,eq_c1/2))+(PI()*(s_0+5*s_r+IF(circ_int,eq_c1/2,0))/2))+2*IF(circ_int,0,eq_c2/2))+(PI()*(s_0+5*s_r+IF(circ_int,eq_c1/2,0))/2))+2*IF(circ_int,0,eq_c1/2)))/(s_0+5*s_r+IF(circ_int,eq_c1/2,0)))))))))),NA())</f>
        <v/>
      </c>
      <c r="CE3">
        <f>IF(AND(AND(links_on,6&lt;=n_per),INDEX(lk_kind,6)=1,0&lt;INDEX(lk_legs,6)),g_oy+IF(((0+0.5)*(4*IF(circ_int,0,eq_c1/2)+4*IF(circ_int,0,eq_c2/2)+2*PI()*(s_0+5*s_r+IF(circ_int,eq_c1/2,0)))/INDEX(lk_legs,6))&lt;(2*IF(circ_int,0,eq_c2/2)),-IF(circ_int,0,eq_c2/2)+((0+0.5)*(4*IF(circ_int,0,eq_c1/2)+4*IF(circ_int,0,eq_c2/2)+2*PI()*(s_0+5*s_r+IF(circ_int,eq_c1/2,0)))/INDEX(lk_legs,6)),IF(((0+0.5)*(4*IF(circ_int,0,eq_c1/2)+4*IF(circ_int,0,eq_c2/2)+2*PI()*(s_0+5*s_r+IF(circ_int,eq_c1/2,0)))/INDEX(lk_legs,6))&lt;((2*IF(circ_int,0,eq_c2/2))+(PI()*(s_0+5*s_r+IF(circ_int,eq_c1/2,0))/2)),IF(circ_int,0,eq_c2/2)+(s_0+5*s_r+IF(circ_int,eq_c1/2,0))*SIN((((0+0.5)*(4*IF(circ_int,0,eq_c1/2)+4*IF(circ_int,0,eq_c2/2)+2*PI()*(s_0+5*s_r+IF(circ_int,eq_c1/2,0)))/INDEX(lk_legs,6))-(2*IF(circ_int,0,eq_c2/2)))/(s_0+5*s_r+IF(circ_int,eq_c1/2,0))),IF(((0+0.5)*(4*IF(circ_int,0,eq_c1/2)+4*IF(circ_int,0,eq_c2/2)+2*PI()*(s_0+5*s_r+IF(circ_int,eq_c1/2,0)))/INDEX(lk_legs,6))&lt;(((2*IF(circ_int,0,eq_c2/2))+(PI()*(s_0+5*s_r+IF(circ_int,eq_c1/2,0))/2))+2*IF(circ_int,0,eq_c1/2)),IF(circ_int,0,eq_c2/2)+(s_0+5*s_r+IF(circ_int,eq_c1/2,0)),IF(((0+0.5)*(4*IF(circ_int,0,eq_c1/2)+4*IF(circ_int,0,eq_c2/2)+2*PI()*(s_0+5*s_r+IF(circ_int,eq_c1/2,0)))/INDEX(lk_legs,6))&lt;((((2*IF(circ_int,0,eq_c2/2))+(PI()*(s_0+5*s_r+IF(circ_int,eq_c1/2,0))/2))+2*IF(circ_int,0,eq_c1/2))+(PI()*(s_0+5*s_r+IF(circ_int,eq_c1/2,0))/2)),IF(circ_int,0,eq_c2/2)+(s_0+5*s_r+IF(circ_int,eq_c1/2,0))*SIN(PI()/2+(((0+0.5)*(4*IF(circ_int,0,eq_c1/2)+4*IF(circ_int,0,eq_c2/2)+2*PI()*(s_0+5*s_r+IF(circ_int,eq_c1/2,0)))/INDEX(lk_legs,6))-(((2*IF(circ_int,0,eq_c2/2))+(PI()*(s_0+5*s_r+IF(circ_int,eq_c1/2,0))/2))+2*IF(circ_int,0,eq_c1/2)))/(s_0+5*s_r+IF(circ_int,eq_c1/2,0))),IF(((0+0.5)*(4*IF(circ_int,0,eq_c1/2)+4*IF(circ_int,0,eq_c2/2)+2*PI()*(s_0+5*s_r+IF(circ_int,eq_c1/2,0)))/INDEX(lk_legs,6))&lt;(((((2*IF(circ_int,0,eq_c2/2))+(PI()*(s_0+5*s_r+IF(circ_int,eq_c1/2,0))/2))+2*IF(circ_int,0,eq_c1/2))+(PI()*(s_0+5*s_r+IF(circ_int,eq_c1/2,0))/2))+2*IF(circ_int,0,eq_c2/2)),IF(circ_int,0,eq_c2/2)-(((0+0.5)*(4*IF(circ_int,0,eq_c1/2)+4*IF(circ_int,0,eq_c2/2)+2*PI()*(s_0+5*s_r+IF(circ_int,eq_c1/2,0)))/INDEX(lk_legs,6))-((((2*IF(circ_int,0,eq_c2/2))+(PI()*(s_0+5*s_r+IF(circ_int,eq_c1/2,0))/2))+2*IF(circ_int,0,eq_c1/2))+(PI()*(s_0+5*s_r+IF(circ_int,eq_c1/2,0))/2))),IF(((0+0.5)*(4*IF(circ_int,0,eq_c1/2)+4*IF(circ_int,0,eq_c2/2)+2*PI()*(s_0+5*s_r+IF(circ_int,eq_c1/2,0)))/INDEX(lk_legs,6))&lt;((((((2*IF(circ_int,0,eq_c2/2))+(PI()*(s_0+5*s_r+IF(circ_int,eq_c1/2,0))/2))+2*IF(circ_int,0,eq_c1/2))+(PI()*(s_0+5*s_r+IF(circ_int,eq_c1/2,0))/2))+2*IF(circ_int,0,eq_c2/2))+(PI()*(s_0+5*s_r+IF(circ_int,eq_c1/2,0))/2)),-IF(circ_int,0,eq_c2/2)+(s_0+5*s_r+IF(circ_int,eq_c1/2,0))*SIN(PI()+(((0+0.5)*(4*IF(circ_int,0,eq_c1/2)+4*IF(circ_int,0,eq_c2/2)+2*PI()*(s_0+5*s_r+IF(circ_int,eq_c1/2,0)))/INDEX(lk_legs,6))-(((((2*IF(circ_int,0,eq_c2/2))+(PI()*(s_0+5*s_r+IF(circ_int,eq_c1/2,0))/2))+2*IF(circ_int,0,eq_c1/2))+(PI()*(s_0+5*s_r+IF(circ_int,eq_c1/2,0))/2))+2*IF(circ_int,0,eq_c2/2)))/(s_0+5*s_r+IF(circ_int,eq_c1/2,0))),IF(((0+0.5)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(0+0.5)*(4*IF(circ_int,0,eq_c1/2)+4*IF(circ_int,0,eq_c2/2)+2*PI()*(s_0+5*s_r+IF(circ_int,eq_c1/2,0)))/INDEX(lk_legs,6))-(((((((2*IF(circ_int,0,eq_c2/2))+(PI()*(s_0+5*s_r+IF(circ_int,eq_c1/2,0))/2))+2*IF(circ_int,0,eq_c1/2))+(PI()*(s_0+5*s_r+IF(circ_int,eq_c1/2,0))/2))+2*IF(circ_int,0,eq_c2/2))+(PI()*(s_0+5*s_r+IF(circ_int,eq_c1/2,0))/2))+2*IF(circ_int,0,eq_c1/2)))/(s_0+5*s_r+IF(circ_int,eq_c1/2,0)))))))))),NA())</f>
        <v/>
      </c>
      <c r="CG3">
        <f>IF(AND(links_on,7&lt;=n_per),IF(circ_int,(g_ox)+(c_1/2+(s_0+6*s_r))*1.000000,CHOOSE(INDEX(lk_kind,7),(g_ox+eq_c1/2)+((s_0+6*s_r))*1.000000,0,0,eq_a1-(s_0+6*s_r))),NA())</f>
        <v/>
      </c>
      <c r="CH3">
        <f>IF(AND(links_on,7&lt;=n_per),IF(circ_int,(g_oy)+(c_1/2+(s_0+6*s_r))*0.000000,CHOOSE(INDEX(lk_kind,7),(g_oy+eq_c2/2)+((s_0+6*s_r))*0.000000,g_oy+eq_c2/2+(s_0+6*s_r),eq_a2+eq_c2+(s_0+6*s_r),0)),NA())</f>
        <v/>
      </c>
      <c r="CJ3">
        <f>IF(AND(AND(links_on,7&lt;=n_per),INDEX(lk_kind,7)=1,0&lt;INDEX(lk_legs,7)),g_ox+IF(((0+0.5)*(4*IF(circ_int,0,eq_c1/2)+4*IF(circ_int,0,eq_c2/2)+2*PI()*(s_0+6*s_r+IF(circ_int,eq_c1/2,0)))/INDEX(lk_legs,7))&lt;(2*IF(circ_int,0,eq_c2/2)),IF(circ_int,0,eq_c1/2)+(s_0+6*s_r+IF(circ_int,eq_c1/2,0)),IF(((0+0.5)*(4*IF(circ_int,0,eq_c1/2)+4*IF(circ_int,0,eq_c2/2)+2*PI()*(s_0+6*s_r+IF(circ_int,eq_c1/2,0)))/INDEX(lk_legs,7))&lt;((2*IF(circ_int,0,eq_c2/2))+(PI()*(s_0+6*s_r+IF(circ_int,eq_c1/2,0))/2)),IF(circ_int,0,eq_c1/2)+(s_0+6*s_r+IF(circ_int,eq_c1/2,0))*COS((((0+0.5)*(4*IF(circ_int,0,eq_c1/2)+4*IF(circ_int,0,eq_c2/2)+2*PI()*(s_0+6*s_r+IF(circ_int,eq_c1/2,0)))/INDEX(lk_legs,7))-(2*IF(circ_int,0,eq_c2/2)))/(s_0+6*s_r+IF(circ_int,eq_c1/2,0))),IF(((0+0.5)*(4*IF(circ_int,0,eq_c1/2)+4*IF(circ_int,0,eq_c2/2)+2*PI()*(s_0+6*s_r+IF(circ_int,eq_c1/2,0)))/INDEX(lk_legs,7))&lt;(((2*IF(circ_int,0,eq_c2/2))+(PI()*(s_0+6*s_r+IF(circ_int,eq_c1/2,0))/2))+2*IF(circ_int,0,eq_c1/2)),IF(circ_int,0,eq_c1/2)-(((0+0.5)*(4*IF(circ_int,0,eq_c1/2)+4*IF(circ_int,0,eq_c2/2)+2*PI()*(s_0+6*s_r+IF(circ_int,eq_c1/2,0)))/INDEX(lk_legs,7))-((2*IF(circ_int,0,eq_c2/2))+(PI()*(s_0+6*s_r+IF(circ_int,eq_c1/2,0))/2))),IF(((0+0.5)*(4*IF(circ_int,0,eq_c1/2)+4*IF(circ_int,0,eq_c2/2)+2*PI()*(s_0+6*s_r+IF(circ_int,eq_c1/2,0)))/INDEX(lk_legs,7))&lt;((((2*IF(circ_int,0,eq_c2/2))+(PI()*(s_0+6*s_r+IF(circ_int,eq_c1/2,0))/2))+2*IF(circ_int,0,eq_c1/2))+(PI()*(s_0+6*s_r+IF(circ_int,eq_c1/2,0))/2)),-IF(circ_int,0,eq_c1/2)+(s_0+6*s_r+IF(circ_int,eq_c1/2,0))*COS(PI()/2+(((0+0.5)*(4*IF(circ_int,0,eq_c1/2)+4*IF(circ_int,0,eq_c2/2)+2*PI()*(s_0+6*s_r+IF(circ_int,eq_c1/2,0)))/INDEX(lk_legs,7))-(((2*IF(circ_int,0,eq_c2/2))+(PI()*(s_0+6*s_r+IF(circ_int,eq_c1/2,0))/2))+2*IF(circ_int,0,eq_c1/2)))/(s_0+6*s_r+IF(circ_int,eq_c1/2,0))),IF(((0+0.5)*(4*IF(circ_int,0,eq_c1/2)+4*IF(circ_int,0,eq_c2/2)+2*PI()*(s_0+6*s_r+IF(circ_int,eq_c1/2,0)))/INDEX(lk_legs,7))&lt;(((((2*IF(circ_int,0,eq_c2/2))+(PI()*(s_0+6*s_r+IF(circ_int,eq_c1/2,0))/2))+2*IF(circ_int,0,eq_c1/2))+(PI()*(s_0+6*s_r+IF(circ_int,eq_c1/2,0))/2))+2*IF(circ_int,0,eq_c2/2)),-IF(circ_int,0,eq_c1/2)-(s_0+6*s_r+IF(circ_int,eq_c1/2,0)),IF(((0+0.5)*(4*IF(circ_int,0,eq_c1/2)+4*IF(circ_int,0,eq_c2/2)+2*PI()*(s_0+6*s_r+IF(circ_int,eq_c1/2,0)))/INDEX(lk_legs,7))&lt;((((((2*IF(circ_int,0,eq_c2/2))+(PI()*(s_0+6*s_r+IF(circ_int,eq_c1/2,0))/2))+2*IF(circ_int,0,eq_c1/2))+(PI()*(s_0+6*s_r+IF(circ_int,eq_c1/2,0))/2))+2*IF(circ_int,0,eq_c2/2))+(PI()*(s_0+6*s_r+IF(circ_int,eq_c1/2,0))/2)),-IF(circ_int,0,eq_c1/2)+(s_0+6*s_r+IF(circ_int,eq_c1/2,0))*COS(PI()+(((0+0.5)*(4*IF(circ_int,0,eq_c1/2)+4*IF(circ_int,0,eq_c2/2)+2*PI()*(s_0+6*s_r+IF(circ_int,eq_c1/2,0)))/INDEX(lk_legs,7))-(((((2*IF(circ_int,0,eq_c2/2))+(PI()*(s_0+6*s_r+IF(circ_int,eq_c1/2,0))/2))+2*IF(circ_int,0,eq_c1/2))+(PI()*(s_0+6*s_r+IF(circ_int,eq_c1/2,0))/2))+2*IF(circ_int,0,eq_c2/2)))/(s_0+6*s_r+IF(circ_int,eq_c1/2,0))),IF(((0+0.5)*(4*IF(circ_int,0,eq_c1/2)+4*IF(circ_int,0,eq_c2/2)+2*PI()*(s_0+6*s_r+IF(circ_int,eq_c1/2,0)))/INDEX(lk_legs,7))&lt;(((((((2*IF(circ_int,0,eq_c2/2))+(PI()*(s_0+6*s_r+IF(circ_int,eq_c1/2,0))/2))+2*IF(circ_int,0,eq_c1/2))+(PI()*(s_0+6*s_r+IF(circ_int,eq_c1/2,0))/2))+2*IF(circ_int,0,eq_c2/2))+(PI()*(s_0+6*s_r+IF(circ_int,eq_c1/2,0))/2))+2*IF(circ_int,0,eq_c1/2)),-IF(circ_int,0,eq_c1/2)+(((0+0.5)*(4*IF(circ_int,0,eq_c1/2)+4*IF(circ_int,0,eq_c2/2)+2*PI()*(s_0+6*s_r+IF(circ_int,eq_c1/2,0)))/INDEX(lk_legs,7))-((((((2*IF(circ_int,0,eq_c2/2))+(PI()*(s_0+6*s_r+IF(circ_int,eq_c1/2,0))/2))+2*IF(circ_int,0,eq_c1/2))+(PI()*(s_0+6*s_r+IF(circ_int,eq_c1/2,0))/2))+2*IF(circ_int,0,eq_c2/2))+(PI()*(s_0+6*s_r+IF(circ_int,eq_c1/2,0))/2))),IF(circ_int,0,eq_c1/2)+(s_0+6*s_r+IF(circ_int,eq_c1/2,0))*COS(3*PI()/2+(((0+0.5)*(4*IF(circ_int,0,eq_c1/2)+4*IF(circ_int,0,eq_c2/2)+2*PI()*(s_0+6*s_r+IF(circ_int,eq_c1/2,0)))/INDEX(lk_legs,7))-(((((((2*IF(circ_int,0,eq_c2/2))+(PI()*(s_0+6*s_r+IF(circ_int,eq_c1/2,0))/2))+2*IF(circ_int,0,eq_c1/2))+(PI()*(s_0+6*s_r+IF(circ_int,eq_c1/2,0))/2))+2*IF(circ_int,0,eq_c2/2))+(PI()*(s_0+6*s_r+IF(circ_int,eq_c1/2,0))/2))+2*IF(circ_int,0,eq_c1/2)))/(s_0+6*s_r+IF(circ_int,eq_c1/2,0)))))))))),NA())</f>
        <v/>
      </c>
      <c r="CK3">
        <f>IF(AND(AND(links_on,7&lt;=n_per),INDEX(lk_kind,7)=1,0&lt;INDEX(lk_legs,7)),g_oy+IF(((0+0.5)*(4*IF(circ_int,0,eq_c1/2)+4*IF(circ_int,0,eq_c2/2)+2*PI()*(s_0+6*s_r+IF(circ_int,eq_c1/2,0)))/INDEX(lk_legs,7))&lt;(2*IF(circ_int,0,eq_c2/2)),-IF(circ_int,0,eq_c2/2)+((0+0.5)*(4*IF(circ_int,0,eq_c1/2)+4*IF(circ_int,0,eq_c2/2)+2*PI()*(s_0+6*s_r+IF(circ_int,eq_c1/2,0)))/INDEX(lk_legs,7)),IF(((0+0.5)*(4*IF(circ_int,0,eq_c1/2)+4*IF(circ_int,0,eq_c2/2)+2*PI()*(s_0+6*s_r+IF(circ_int,eq_c1/2,0)))/INDEX(lk_legs,7))&lt;((2*IF(circ_int,0,eq_c2/2))+(PI()*(s_0+6*s_r+IF(circ_int,eq_c1/2,0))/2)),IF(circ_int,0,eq_c2/2)+(s_0+6*s_r+IF(circ_int,eq_c1/2,0))*SIN((((0+0.5)*(4*IF(circ_int,0,eq_c1/2)+4*IF(circ_int,0,eq_c2/2)+2*PI()*(s_0+6*s_r+IF(circ_int,eq_c1/2,0)))/INDEX(lk_legs,7))-(2*IF(circ_int,0,eq_c2/2)))/(s_0+6*s_r+IF(circ_int,eq_c1/2,0))),IF(((0+0.5)*(4*IF(circ_int,0,eq_c1/2)+4*IF(circ_int,0,eq_c2/2)+2*PI()*(s_0+6*s_r+IF(circ_int,eq_c1/2,0)))/INDEX(lk_legs,7))&lt;(((2*IF(circ_int,0,eq_c2/2))+(PI()*(s_0+6*s_r+IF(circ_int,eq_c1/2,0))/2))+2*IF(circ_int,0,eq_c1/2)),IF(circ_int,0,eq_c2/2)+(s_0+6*s_r+IF(circ_int,eq_c1/2,0)),IF(((0+0.5)*(4*IF(circ_int,0,eq_c1/2)+4*IF(circ_int,0,eq_c2/2)+2*PI()*(s_0+6*s_r+IF(circ_int,eq_c1/2,0)))/INDEX(lk_legs,7))&lt;((((2*IF(circ_int,0,eq_c2/2))+(PI()*(s_0+6*s_r+IF(circ_int,eq_c1/2,0))/2))+2*IF(circ_int,0,eq_c1/2))+(PI()*(s_0+6*s_r+IF(circ_int,eq_c1/2,0))/2)),IF(circ_int,0,eq_c2/2)+(s_0+6*s_r+IF(circ_int,eq_c1/2,0))*SIN(PI()/2+(((0+0.5)*(4*IF(circ_int,0,eq_c1/2)+4*IF(circ_int,0,eq_c2/2)+2*PI()*(s_0+6*s_r+IF(circ_int,eq_c1/2,0)))/INDEX(lk_legs,7))-(((2*IF(circ_int,0,eq_c2/2))+(PI()*(s_0+6*s_r+IF(circ_int,eq_c1/2,0))/2))+2*IF(circ_int,0,eq_c1/2)))/(s_0+6*s_r+IF(circ_int,eq_c1/2,0))),IF(((0+0.5)*(4*IF(circ_int,0,eq_c1/2)+4*IF(circ_int,0,eq_c2/2)+2*PI()*(s_0+6*s_r+IF(circ_int,eq_c1/2,0)))/INDEX(lk_legs,7))&lt;(((((2*IF(circ_int,0,eq_c2/2))+(PI()*(s_0+6*s_r+IF(circ_int,eq_c1/2,0))/2))+2*IF(circ_int,0,eq_c1/2))+(PI()*(s_0+6*s_r+IF(circ_int,eq_c1/2,0))/2))+2*IF(circ_int,0,eq_c2/2)),IF(circ_int,0,eq_c2/2)-(((0+0.5)*(4*IF(circ_int,0,eq_c1/2)+4*IF(circ_int,0,eq_c2/2)+2*PI()*(s_0+6*s_r+IF(circ_int,eq_c1/2,0)))/INDEX(lk_legs,7))-((((2*IF(circ_int,0,eq_c2/2))+(PI()*(s_0+6*s_r+IF(circ_int,eq_c1/2,0))/2))+2*IF(circ_int,0,eq_c1/2))+(PI()*(s_0+6*s_r+IF(circ_int,eq_c1/2,0))/2))),IF(((0+0.5)*(4*IF(circ_int,0,eq_c1/2)+4*IF(circ_int,0,eq_c2/2)+2*PI()*(s_0+6*s_r+IF(circ_int,eq_c1/2,0)))/INDEX(lk_legs,7))&lt;((((((2*IF(circ_int,0,eq_c2/2))+(PI()*(s_0+6*s_r+IF(circ_int,eq_c1/2,0))/2))+2*IF(circ_int,0,eq_c1/2))+(PI()*(s_0+6*s_r+IF(circ_int,eq_c1/2,0))/2))+2*IF(circ_int,0,eq_c2/2))+(PI()*(s_0+6*s_r+IF(circ_int,eq_c1/2,0))/2)),-IF(circ_int,0,eq_c2/2)+(s_0+6*s_r+IF(circ_int,eq_c1/2,0))*SIN(PI()+(((0+0.5)*(4*IF(circ_int,0,eq_c1/2)+4*IF(circ_int,0,eq_c2/2)+2*PI()*(s_0+6*s_r+IF(circ_int,eq_c1/2,0)))/INDEX(lk_legs,7))-(((((2*IF(circ_int,0,eq_c2/2))+(PI()*(s_0+6*s_r+IF(circ_int,eq_c1/2,0))/2))+2*IF(circ_int,0,eq_c1/2))+(PI()*(s_0+6*s_r+IF(circ_int,eq_c1/2,0))/2))+2*IF(circ_int,0,eq_c2/2)))/(s_0+6*s_r+IF(circ_int,eq_c1/2,0))),IF(((0+0.5)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(0+0.5)*(4*IF(circ_int,0,eq_c1/2)+4*IF(circ_int,0,eq_c2/2)+2*PI()*(s_0+6*s_r+IF(circ_int,eq_c1/2,0)))/INDEX(lk_legs,7))-(((((((2*IF(circ_int,0,eq_c2/2))+(PI()*(s_0+6*s_r+IF(circ_int,eq_c1/2,0))/2))+2*IF(circ_int,0,eq_c1/2))+(PI()*(s_0+6*s_r+IF(circ_int,eq_c1/2,0))/2))+2*IF(circ_int,0,eq_c2/2))+(PI()*(s_0+6*s_r+IF(circ_int,eq_c1/2,0))/2))+2*IF(circ_int,0,eq_c1/2)))/(s_0+6*s_r+IF(circ_int,eq_c1/2,0)))))))))),NA())</f>
        <v/>
      </c>
      <c r="CM3">
        <f>IF(AND(links_on,8&lt;=n_per),IF(circ_int,(g_ox)+(c_1/2+(s_0+7*s_r))*1.000000,CHOOSE(INDEX(lk_kind,8),(g_ox+eq_c1/2)+((s_0+7*s_r))*1.000000,0,0,eq_a1-(s_0+7*s_r))),NA())</f>
        <v/>
      </c>
      <c r="CN3">
        <f>IF(AND(links_on,8&lt;=n_per),IF(circ_int,(g_oy)+(c_1/2+(s_0+7*s_r))*0.000000,CHOOSE(INDEX(lk_kind,8),(g_oy+eq_c2/2)+((s_0+7*s_r))*0.000000,g_oy+eq_c2/2+(s_0+7*s_r),eq_a2+eq_c2+(s_0+7*s_r),0)),NA())</f>
        <v/>
      </c>
      <c r="CP3">
        <f>IF(AND(AND(links_on,8&lt;=n_per),INDEX(lk_kind,8)=1,0&lt;INDEX(lk_legs,8)),g_ox+IF(((0+0.5)*(4*IF(circ_int,0,eq_c1/2)+4*IF(circ_int,0,eq_c2/2)+2*PI()*(s_0+7*s_r+IF(circ_int,eq_c1/2,0)))/INDEX(lk_legs,8))&lt;(2*IF(circ_int,0,eq_c2/2)),IF(circ_int,0,eq_c1/2)+(s_0+7*s_r+IF(circ_int,eq_c1/2,0)),IF(((0+0.5)*(4*IF(circ_int,0,eq_c1/2)+4*IF(circ_int,0,eq_c2/2)+2*PI()*(s_0+7*s_r+IF(circ_int,eq_c1/2,0)))/INDEX(lk_legs,8))&lt;((2*IF(circ_int,0,eq_c2/2))+(PI()*(s_0+7*s_r+IF(circ_int,eq_c1/2,0))/2)),IF(circ_int,0,eq_c1/2)+(s_0+7*s_r+IF(circ_int,eq_c1/2,0))*COS((((0+0.5)*(4*IF(circ_int,0,eq_c1/2)+4*IF(circ_int,0,eq_c2/2)+2*PI()*(s_0+7*s_r+IF(circ_int,eq_c1/2,0)))/INDEX(lk_legs,8))-(2*IF(circ_int,0,eq_c2/2)))/(s_0+7*s_r+IF(circ_int,eq_c1/2,0))),IF(((0+0.5)*(4*IF(circ_int,0,eq_c1/2)+4*IF(circ_int,0,eq_c2/2)+2*PI()*(s_0+7*s_r+IF(circ_int,eq_c1/2,0)))/INDEX(lk_legs,8))&lt;(((2*IF(circ_int,0,eq_c2/2))+(PI()*(s_0+7*s_r+IF(circ_int,eq_c1/2,0))/2))+2*IF(circ_int,0,eq_c1/2)),IF(circ_int,0,eq_c1/2)-(((0+0.5)*(4*IF(circ_int,0,eq_c1/2)+4*IF(circ_int,0,eq_c2/2)+2*PI()*(s_0+7*s_r+IF(circ_int,eq_c1/2,0)))/INDEX(lk_legs,8))-((2*IF(circ_int,0,eq_c2/2))+(PI()*(s_0+7*s_r+IF(circ_int,eq_c1/2,0))/2))),IF(((0+0.5)*(4*IF(circ_int,0,eq_c1/2)+4*IF(circ_int,0,eq_c2/2)+2*PI()*(s_0+7*s_r+IF(circ_int,eq_c1/2,0)))/INDEX(lk_legs,8))&lt;((((2*IF(circ_int,0,eq_c2/2))+(PI()*(s_0+7*s_r+IF(circ_int,eq_c1/2,0))/2))+2*IF(circ_int,0,eq_c1/2))+(PI()*(s_0+7*s_r+IF(circ_int,eq_c1/2,0))/2)),-IF(circ_int,0,eq_c1/2)+(s_0+7*s_r+IF(circ_int,eq_c1/2,0))*COS(PI()/2+(((0+0.5)*(4*IF(circ_int,0,eq_c1/2)+4*IF(circ_int,0,eq_c2/2)+2*PI()*(s_0+7*s_r+IF(circ_int,eq_c1/2,0)))/INDEX(lk_legs,8))-(((2*IF(circ_int,0,eq_c2/2))+(PI()*(s_0+7*s_r+IF(circ_int,eq_c1/2,0))/2))+2*IF(circ_int,0,eq_c1/2)))/(s_0+7*s_r+IF(circ_int,eq_c1/2,0))),IF(((0+0.5)*(4*IF(circ_int,0,eq_c1/2)+4*IF(circ_int,0,eq_c2/2)+2*PI()*(s_0+7*s_r+IF(circ_int,eq_c1/2,0)))/INDEX(lk_legs,8))&lt;(((((2*IF(circ_int,0,eq_c2/2))+(PI()*(s_0+7*s_r+IF(circ_int,eq_c1/2,0))/2))+2*IF(circ_int,0,eq_c1/2))+(PI()*(s_0+7*s_r+IF(circ_int,eq_c1/2,0))/2))+2*IF(circ_int,0,eq_c2/2)),-IF(circ_int,0,eq_c1/2)-(s_0+7*s_r+IF(circ_int,eq_c1/2,0)),IF(((0+0.5)*(4*IF(circ_int,0,eq_c1/2)+4*IF(circ_int,0,eq_c2/2)+2*PI()*(s_0+7*s_r+IF(circ_int,eq_c1/2,0)))/INDEX(lk_legs,8))&lt;((((((2*IF(circ_int,0,eq_c2/2))+(PI()*(s_0+7*s_r+IF(circ_int,eq_c1/2,0))/2))+2*IF(circ_int,0,eq_c1/2))+(PI()*(s_0+7*s_r+IF(circ_int,eq_c1/2,0))/2))+2*IF(circ_int,0,eq_c2/2))+(PI()*(s_0+7*s_r+IF(circ_int,eq_c1/2,0))/2)),-IF(circ_int,0,eq_c1/2)+(s_0+7*s_r+IF(circ_int,eq_c1/2,0))*COS(PI()+(((0+0.5)*(4*IF(circ_int,0,eq_c1/2)+4*IF(circ_int,0,eq_c2/2)+2*PI()*(s_0+7*s_r+IF(circ_int,eq_c1/2,0)))/INDEX(lk_legs,8))-(((((2*IF(circ_int,0,eq_c2/2))+(PI()*(s_0+7*s_r+IF(circ_int,eq_c1/2,0))/2))+2*IF(circ_int,0,eq_c1/2))+(PI()*(s_0+7*s_r+IF(circ_int,eq_c1/2,0))/2))+2*IF(circ_int,0,eq_c2/2)))/(s_0+7*s_r+IF(circ_int,eq_c1/2,0))),IF(((0+0.5)*(4*IF(circ_int,0,eq_c1/2)+4*IF(circ_int,0,eq_c2/2)+2*PI()*(s_0+7*s_r+IF(circ_int,eq_c1/2,0)))/INDEX(lk_legs,8))&lt;(((((((2*IF(circ_int,0,eq_c2/2))+(PI()*(s_0+7*s_r+IF(circ_int,eq_c1/2,0))/2))+2*IF(circ_int,0,eq_c1/2))+(PI()*(s_0+7*s_r+IF(circ_int,eq_c1/2,0))/2))+2*IF(circ_int,0,eq_c2/2))+(PI()*(s_0+7*s_r+IF(circ_int,eq_c1/2,0))/2))+2*IF(circ_int,0,eq_c1/2)),-IF(circ_int,0,eq_c1/2)+(((0+0.5)*(4*IF(circ_int,0,eq_c1/2)+4*IF(circ_int,0,eq_c2/2)+2*PI()*(s_0+7*s_r+IF(circ_int,eq_c1/2,0)))/INDEX(lk_legs,8))-((((((2*IF(circ_int,0,eq_c2/2))+(PI()*(s_0+7*s_r+IF(circ_int,eq_c1/2,0))/2))+2*IF(circ_int,0,eq_c1/2))+(PI()*(s_0+7*s_r+IF(circ_int,eq_c1/2,0))/2))+2*IF(circ_int,0,eq_c2/2))+(PI()*(s_0+7*s_r+IF(circ_int,eq_c1/2,0))/2))),IF(circ_int,0,eq_c1/2)+(s_0+7*s_r+IF(circ_int,eq_c1/2,0))*COS(3*PI()/2+(((0+0.5)*(4*IF(circ_int,0,eq_c1/2)+4*IF(circ_int,0,eq_c2/2)+2*PI()*(s_0+7*s_r+IF(circ_int,eq_c1/2,0)))/INDEX(lk_legs,8))-(((((((2*IF(circ_int,0,eq_c2/2))+(PI()*(s_0+7*s_r+IF(circ_int,eq_c1/2,0))/2))+2*IF(circ_int,0,eq_c1/2))+(PI()*(s_0+7*s_r+IF(circ_int,eq_c1/2,0))/2))+2*IF(circ_int,0,eq_c2/2))+(PI()*(s_0+7*s_r+IF(circ_int,eq_c1/2,0))/2))+2*IF(circ_int,0,eq_c1/2)))/(s_0+7*s_r+IF(circ_int,eq_c1/2,0)))))))))),NA())</f>
        <v/>
      </c>
      <c r="CQ3">
        <f>IF(AND(AND(links_on,8&lt;=n_per),INDEX(lk_kind,8)=1,0&lt;INDEX(lk_legs,8)),g_oy+IF(((0+0.5)*(4*IF(circ_int,0,eq_c1/2)+4*IF(circ_int,0,eq_c2/2)+2*PI()*(s_0+7*s_r+IF(circ_int,eq_c1/2,0)))/INDEX(lk_legs,8))&lt;(2*IF(circ_int,0,eq_c2/2)),-IF(circ_int,0,eq_c2/2)+((0+0.5)*(4*IF(circ_int,0,eq_c1/2)+4*IF(circ_int,0,eq_c2/2)+2*PI()*(s_0+7*s_r+IF(circ_int,eq_c1/2,0)))/INDEX(lk_legs,8)),IF(((0+0.5)*(4*IF(circ_int,0,eq_c1/2)+4*IF(circ_int,0,eq_c2/2)+2*PI()*(s_0+7*s_r+IF(circ_int,eq_c1/2,0)))/INDEX(lk_legs,8))&lt;((2*IF(circ_int,0,eq_c2/2))+(PI()*(s_0+7*s_r+IF(circ_int,eq_c1/2,0))/2)),IF(circ_int,0,eq_c2/2)+(s_0+7*s_r+IF(circ_int,eq_c1/2,0))*SIN((((0+0.5)*(4*IF(circ_int,0,eq_c1/2)+4*IF(circ_int,0,eq_c2/2)+2*PI()*(s_0+7*s_r+IF(circ_int,eq_c1/2,0)))/INDEX(lk_legs,8))-(2*IF(circ_int,0,eq_c2/2)))/(s_0+7*s_r+IF(circ_int,eq_c1/2,0))),IF(((0+0.5)*(4*IF(circ_int,0,eq_c1/2)+4*IF(circ_int,0,eq_c2/2)+2*PI()*(s_0+7*s_r+IF(circ_int,eq_c1/2,0)))/INDEX(lk_legs,8))&lt;(((2*IF(circ_int,0,eq_c2/2))+(PI()*(s_0+7*s_r+IF(circ_int,eq_c1/2,0))/2))+2*IF(circ_int,0,eq_c1/2)),IF(circ_int,0,eq_c2/2)+(s_0+7*s_r+IF(circ_int,eq_c1/2,0)),IF(((0+0.5)*(4*IF(circ_int,0,eq_c1/2)+4*IF(circ_int,0,eq_c2/2)+2*PI()*(s_0+7*s_r+IF(circ_int,eq_c1/2,0)))/INDEX(lk_legs,8))&lt;((((2*IF(circ_int,0,eq_c2/2))+(PI()*(s_0+7*s_r+IF(circ_int,eq_c1/2,0))/2))+2*IF(circ_int,0,eq_c1/2))+(PI()*(s_0+7*s_r+IF(circ_int,eq_c1/2,0))/2)),IF(circ_int,0,eq_c2/2)+(s_0+7*s_r+IF(circ_int,eq_c1/2,0))*SIN(PI()/2+(((0+0.5)*(4*IF(circ_int,0,eq_c1/2)+4*IF(circ_int,0,eq_c2/2)+2*PI()*(s_0+7*s_r+IF(circ_int,eq_c1/2,0)))/INDEX(lk_legs,8))-(((2*IF(circ_int,0,eq_c2/2))+(PI()*(s_0+7*s_r+IF(circ_int,eq_c1/2,0))/2))+2*IF(circ_int,0,eq_c1/2)))/(s_0+7*s_r+IF(circ_int,eq_c1/2,0))),IF(((0+0.5)*(4*IF(circ_int,0,eq_c1/2)+4*IF(circ_int,0,eq_c2/2)+2*PI()*(s_0+7*s_r+IF(circ_int,eq_c1/2,0)))/INDEX(lk_legs,8))&lt;(((((2*IF(circ_int,0,eq_c2/2))+(PI()*(s_0+7*s_r+IF(circ_int,eq_c1/2,0))/2))+2*IF(circ_int,0,eq_c1/2))+(PI()*(s_0+7*s_r+IF(circ_int,eq_c1/2,0))/2))+2*IF(circ_int,0,eq_c2/2)),IF(circ_int,0,eq_c2/2)-(((0+0.5)*(4*IF(circ_int,0,eq_c1/2)+4*IF(circ_int,0,eq_c2/2)+2*PI()*(s_0+7*s_r+IF(circ_int,eq_c1/2,0)))/INDEX(lk_legs,8))-((((2*IF(circ_int,0,eq_c2/2))+(PI()*(s_0+7*s_r+IF(circ_int,eq_c1/2,0))/2))+2*IF(circ_int,0,eq_c1/2))+(PI()*(s_0+7*s_r+IF(circ_int,eq_c1/2,0))/2))),IF(((0+0.5)*(4*IF(circ_int,0,eq_c1/2)+4*IF(circ_int,0,eq_c2/2)+2*PI()*(s_0+7*s_r+IF(circ_int,eq_c1/2,0)))/INDEX(lk_legs,8))&lt;((((((2*IF(circ_int,0,eq_c2/2))+(PI()*(s_0+7*s_r+IF(circ_int,eq_c1/2,0))/2))+2*IF(circ_int,0,eq_c1/2))+(PI()*(s_0+7*s_r+IF(circ_int,eq_c1/2,0))/2))+2*IF(circ_int,0,eq_c2/2))+(PI()*(s_0+7*s_r+IF(circ_int,eq_c1/2,0))/2)),-IF(circ_int,0,eq_c2/2)+(s_0+7*s_r+IF(circ_int,eq_c1/2,0))*SIN(PI()+(((0+0.5)*(4*IF(circ_int,0,eq_c1/2)+4*IF(circ_int,0,eq_c2/2)+2*PI()*(s_0+7*s_r+IF(circ_int,eq_c1/2,0)))/INDEX(lk_legs,8))-(((((2*IF(circ_int,0,eq_c2/2))+(PI()*(s_0+7*s_r+IF(circ_int,eq_c1/2,0))/2))+2*IF(circ_int,0,eq_c1/2))+(PI()*(s_0+7*s_r+IF(circ_int,eq_c1/2,0))/2))+2*IF(circ_int,0,eq_c2/2)))/(s_0+7*s_r+IF(circ_int,eq_c1/2,0))),IF(((0+0.5)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(0+0.5)*(4*IF(circ_int,0,eq_c1/2)+4*IF(circ_int,0,eq_c2/2)+2*PI()*(s_0+7*s_r+IF(circ_int,eq_c1/2,0)))/INDEX(lk_legs,8))-(((((((2*IF(circ_int,0,eq_c2/2))+(PI()*(s_0+7*s_r+IF(circ_int,eq_c1/2,0))/2))+2*IF(circ_int,0,eq_c1/2))+(PI()*(s_0+7*s_r+IF(circ_int,eq_c1/2,0))/2))+2*IF(circ_int,0,eq_c2/2))+(PI()*(s_0+7*s_r+IF(circ_int,eq_c1/2,0))/2))+2*IF(circ_int,0,eq_c1/2)))/(s_0+7*s_r+IF(circ_int,eq_c1/2,0)))))))))),NA())</f>
        <v/>
      </c>
      <c r="CS3">
        <f>IF(AND(links_on,9&lt;=n_per),IF(circ_int,(g_ox)+(c_1/2+(s_0+8*s_r))*1.000000,CHOOSE(INDEX(lk_kind,9),(g_ox+eq_c1/2)+((s_0+8*s_r))*1.000000,0,0,eq_a1-(s_0+8*s_r))),NA())</f>
        <v/>
      </c>
      <c r="CT3">
        <f>IF(AND(links_on,9&lt;=n_per),IF(circ_int,(g_oy)+(c_1/2+(s_0+8*s_r))*0.000000,CHOOSE(INDEX(lk_kind,9),(g_oy+eq_c2/2)+((s_0+8*s_r))*0.000000,g_oy+eq_c2/2+(s_0+8*s_r),eq_a2+eq_c2+(s_0+8*s_r),0)),NA())</f>
        <v/>
      </c>
      <c r="CV3">
        <f>IF(AND(AND(links_on,9&lt;=n_per),INDEX(lk_kind,9)=1,0&lt;INDEX(lk_legs,9)),g_ox+IF(((0+0.5)*(4*IF(circ_int,0,eq_c1/2)+4*IF(circ_int,0,eq_c2/2)+2*PI()*(s_0+8*s_r+IF(circ_int,eq_c1/2,0)))/INDEX(lk_legs,9))&lt;(2*IF(circ_int,0,eq_c2/2)),IF(circ_int,0,eq_c1/2)+(s_0+8*s_r+IF(circ_int,eq_c1/2,0)),IF(((0+0.5)*(4*IF(circ_int,0,eq_c1/2)+4*IF(circ_int,0,eq_c2/2)+2*PI()*(s_0+8*s_r+IF(circ_int,eq_c1/2,0)))/INDEX(lk_legs,9))&lt;((2*IF(circ_int,0,eq_c2/2))+(PI()*(s_0+8*s_r+IF(circ_int,eq_c1/2,0))/2)),IF(circ_int,0,eq_c1/2)+(s_0+8*s_r+IF(circ_int,eq_c1/2,0))*COS((((0+0.5)*(4*IF(circ_int,0,eq_c1/2)+4*IF(circ_int,0,eq_c2/2)+2*PI()*(s_0+8*s_r+IF(circ_int,eq_c1/2,0)))/INDEX(lk_legs,9))-(2*IF(circ_int,0,eq_c2/2)))/(s_0+8*s_r+IF(circ_int,eq_c1/2,0))),IF(((0+0.5)*(4*IF(circ_int,0,eq_c1/2)+4*IF(circ_int,0,eq_c2/2)+2*PI()*(s_0+8*s_r+IF(circ_int,eq_c1/2,0)))/INDEX(lk_legs,9))&lt;(((2*IF(circ_int,0,eq_c2/2))+(PI()*(s_0+8*s_r+IF(circ_int,eq_c1/2,0))/2))+2*IF(circ_int,0,eq_c1/2)),IF(circ_int,0,eq_c1/2)-(((0+0.5)*(4*IF(circ_int,0,eq_c1/2)+4*IF(circ_int,0,eq_c2/2)+2*PI()*(s_0+8*s_r+IF(circ_int,eq_c1/2,0)))/INDEX(lk_legs,9))-((2*IF(circ_int,0,eq_c2/2))+(PI()*(s_0+8*s_r+IF(circ_int,eq_c1/2,0))/2))),IF(((0+0.5)*(4*IF(circ_int,0,eq_c1/2)+4*IF(circ_int,0,eq_c2/2)+2*PI()*(s_0+8*s_r+IF(circ_int,eq_c1/2,0)))/INDEX(lk_legs,9))&lt;((((2*IF(circ_int,0,eq_c2/2))+(PI()*(s_0+8*s_r+IF(circ_int,eq_c1/2,0))/2))+2*IF(circ_int,0,eq_c1/2))+(PI()*(s_0+8*s_r+IF(circ_int,eq_c1/2,0))/2)),-IF(circ_int,0,eq_c1/2)+(s_0+8*s_r+IF(circ_int,eq_c1/2,0))*COS(PI()/2+(((0+0.5)*(4*IF(circ_int,0,eq_c1/2)+4*IF(circ_int,0,eq_c2/2)+2*PI()*(s_0+8*s_r+IF(circ_int,eq_c1/2,0)))/INDEX(lk_legs,9))-(((2*IF(circ_int,0,eq_c2/2))+(PI()*(s_0+8*s_r+IF(circ_int,eq_c1/2,0))/2))+2*IF(circ_int,0,eq_c1/2)))/(s_0+8*s_r+IF(circ_int,eq_c1/2,0))),IF(((0+0.5)*(4*IF(circ_int,0,eq_c1/2)+4*IF(circ_int,0,eq_c2/2)+2*PI()*(s_0+8*s_r+IF(circ_int,eq_c1/2,0)))/INDEX(lk_legs,9))&lt;(((((2*IF(circ_int,0,eq_c2/2))+(PI()*(s_0+8*s_r+IF(circ_int,eq_c1/2,0))/2))+2*IF(circ_int,0,eq_c1/2))+(PI()*(s_0+8*s_r+IF(circ_int,eq_c1/2,0))/2))+2*IF(circ_int,0,eq_c2/2)),-IF(circ_int,0,eq_c1/2)-(s_0+8*s_r+IF(circ_int,eq_c1/2,0)),IF(((0+0.5)*(4*IF(circ_int,0,eq_c1/2)+4*IF(circ_int,0,eq_c2/2)+2*PI()*(s_0+8*s_r+IF(circ_int,eq_c1/2,0)))/INDEX(lk_legs,9))&lt;((((((2*IF(circ_int,0,eq_c2/2))+(PI()*(s_0+8*s_r+IF(circ_int,eq_c1/2,0))/2))+2*IF(circ_int,0,eq_c1/2))+(PI()*(s_0+8*s_r+IF(circ_int,eq_c1/2,0))/2))+2*IF(circ_int,0,eq_c2/2))+(PI()*(s_0+8*s_r+IF(circ_int,eq_c1/2,0))/2)),-IF(circ_int,0,eq_c1/2)+(s_0+8*s_r+IF(circ_int,eq_c1/2,0))*COS(PI()+(((0+0.5)*(4*IF(circ_int,0,eq_c1/2)+4*IF(circ_int,0,eq_c2/2)+2*PI()*(s_0+8*s_r+IF(circ_int,eq_c1/2,0)))/INDEX(lk_legs,9))-(((((2*IF(circ_int,0,eq_c2/2))+(PI()*(s_0+8*s_r+IF(circ_int,eq_c1/2,0))/2))+2*IF(circ_int,0,eq_c1/2))+(PI()*(s_0+8*s_r+IF(circ_int,eq_c1/2,0))/2))+2*IF(circ_int,0,eq_c2/2)))/(s_0+8*s_r+IF(circ_int,eq_c1/2,0))),IF(((0+0.5)*(4*IF(circ_int,0,eq_c1/2)+4*IF(circ_int,0,eq_c2/2)+2*PI()*(s_0+8*s_r+IF(circ_int,eq_c1/2,0)))/INDEX(lk_legs,9))&lt;(((((((2*IF(circ_int,0,eq_c2/2))+(PI()*(s_0+8*s_r+IF(circ_int,eq_c1/2,0))/2))+2*IF(circ_int,0,eq_c1/2))+(PI()*(s_0+8*s_r+IF(circ_int,eq_c1/2,0))/2))+2*IF(circ_int,0,eq_c2/2))+(PI()*(s_0+8*s_r+IF(circ_int,eq_c1/2,0))/2))+2*IF(circ_int,0,eq_c1/2)),-IF(circ_int,0,eq_c1/2)+(((0+0.5)*(4*IF(circ_int,0,eq_c1/2)+4*IF(circ_int,0,eq_c2/2)+2*PI()*(s_0+8*s_r+IF(circ_int,eq_c1/2,0)))/INDEX(lk_legs,9))-((((((2*IF(circ_int,0,eq_c2/2))+(PI()*(s_0+8*s_r+IF(circ_int,eq_c1/2,0))/2))+2*IF(circ_int,0,eq_c1/2))+(PI()*(s_0+8*s_r+IF(circ_int,eq_c1/2,0))/2))+2*IF(circ_int,0,eq_c2/2))+(PI()*(s_0+8*s_r+IF(circ_int,eq_c1/2,0))/2))),IF(circ_int,0,eq_c1/2)+(s_0+8*s_r+IF(circ_int,eq_c1/2,0))*COS(3*PI()/2+(((0+0.5)*(4*IF(circ_int,0,eq_c1/2)+4*IF(circ_int,0,eq_c2/2)+2*PI()*(s_0+8*s_r+IF(circ_int,eq_c1/2,0)))/INDEX(lk_legs,9))-(((((((2*IF(circ_int,0,eq_c2/2))+(PI()*(s_0+8*s_r+IF(circ_int,eq_c1/2,0))/2))+2*IF(circ_int,0,eq_c1/2))+(PI()*(s_0+8*s_r+IF(circ_int,eq_c1/2,0))/2))+2*IF(circ_int,0,eq_c2/2))+(PI()*(s_0+8*s_r+IF(circ_int,eq_c1/2,0))/2))+2*IF(circ_int,0,eq_c1/2)))/(s_0+8*s_r+IF(circ_int,eq_c1/2,0)))))))))),NA())</f>
        <v/>
      </c>
      <c r="CW3">
        <f>IF(AND(AND(links_on,9&lt;=n_per),INDEX(lk_kind,9)=1,0&lt;INDEX(lk_legs,9)),g_oy+IF(((0+0.5)*(4*IF(circ_int,0,eq_c1/2)+4*IF(circ_int,0,eq_c2/2)+2*PI()*(s_0+8*s_r+IF(circ_int,eq_c1/2,0)))/INDEX(lk_legs,9))&lt;(2*IF(circ_int,0,eq_c2/2)),-IF(circ_int,0,eq_c2/2)+((0+0.5)*(4*IF(circ_int,0,eq_c1/2)+4*IF(circ_int,0,eq_c2/2)+2*PI()*(s_0+8*s_r+IF(circ_int,eq_c1/2,0)))/INDEX(lk_legs,9)),IF(((0+0.5)*(4*IF(circ_int,0,eq_c1/2)+4*IF(circ_int,0,eq_c2/2)+2*PI()*(s_0+8*s_r+IF(circ_int,eq_c1/2,0)))/INDEX(lk_legs,9))&lt;((2*IF(circ_int,0,eq_c2/2))+(PI()*(s_0+8*s_r+IF(circ_int,eq_c1/2,0))/2)),IF(circ_int,0,eq_c2/2)+(s_0+8*s_r+IF(circ_int,eq_c1/2,0))*SIN((((0+0.5)*(4*IF(circ_int,0,eq_c1/2)+4*IF(circ_int,0,eq_c2/2)+2*PI()*(s_0+8*s_r+IF(circ_int,eq_c1/2,0)))/INDEX(lk_legs,9))-(2*IF(circ_int,0,eq_c2/2)))/(s_0+8*s_r+IF(circ_int,eq_c1/2,0))),IF(((0+0.5)*(4*IF(circ_int,0,eq_c1/2)+4*IF(circ_int,0,eq_c2/2)+2*PI()*(s_0+8*s_r+IF(circ_int,eq_c1/2,0)))/INDEX(lk_legs,9))&lt;(((2*IF(circ_int,0,eq_c2/2))+(PI()*(s_0+8*s_r+IF(circ_int,eq_c1/2,0))/2))+2*IF(circ_int,0,eq_c1/2)),IF(circ_int,0,eq_c2/2)+(s_0+8*s_r+IF(circ_int,eq_c1/2,0)),IF(((0+0.5)*(4*IF(circ_int,0,eq_c1/2)+4*IF(circ_int,0,eq_c2/2)+2*PI()*(s_0+8*s_r+IF(circ_int,eq_c1/2,0)))/INDEX(lk_legs,9))&lt;((((2*IF(circ_int,0,eq_c2/2))+(PI()*(s_0+8*s_r+IF(circ_int,eq_c1/2,0))/2))+2*IF(circ_int,0,eq_c1/2))+(PI()*(s_0+8*s_r+IF(circ_int,eq_c1/2,0))/2)),IF(circ_int,0,eq_c2/2)+(s_0+8*s_r+IF(circ_int,eq_c1/2,0))*SIN(PI()/2+(((0+0.5)*(4*IF(circ_int,0,eq_c1/2)+4*IF(circ_int,0,eq_c2/2)+2*PI()*(s_0+8*s_r+IF(circ_int,eq_c1/2,0)))/INDEX(lk_legs,9))-(((2*IF(circ_int,0,eq_c2/2))+(PI()*(s_0+8*s_r+IF(circ_int,eq_c1/2,0))/2))+2*IF(circ_int,0,eq_c1/2)))/(s_0+8*s_r+IF(circ_int,eq_c1/2,0))),IF(((0+0.5)*(4*IF(circ_int,0,eq_c1/2)+4*IF(circ_int,0,eq_c2/2)+2*PI()*(s_0+8*s_r+IF(circ_int,eq_c1/2,0)))/INDEX(lk_legs,9))&lt;(((((2*IF(circ_int,0,eq_c2/2))+(PI()*(s_0+8*s_r+IF(circ_int,eq_c1/2,0))/2))+2*IF(circ_int,0,eq_c1/2))+(PI()*(s_0+8*s_r+IF(circ_int,eq_c1/2,0))/2))+2*IF(circ_int,0,eq_c2/2)),IF(circ_int,0,eq_c2/2)-(((0+0.5)*(4*IF(circ_int,0,eq_c1/2)+4*IF(circ_int,0,eq_c2/2)+2*PI()*(s_0+8*s_r+IF(circ_int,eq_c1/2,0)))/INDEX(lk_legs,9))-((((2*IF(circ_int,0,eq_c2/2))+(PI()*(s_0+8*s_r+IF(circ_int,eq_c1/2,0))/2))+2*IF(circ_int,0,eq_c1/2))+(PI()*(s_0+8*s_r+IF(circ_int,eq_c1/2,0))/2))),IF(((0+0.5)*(4*IF(circ_int,0,eq_c1/2)+4*IF(circ_int,0,eq_c2/2)+2*PI()*(s_0+8*s_r+IF(circ_int,eq_c1/2,0)))/INDEX(lk_legs,9))&lt;((((((2*IF(circ_int,0,eq_c2/2))+(PI()*(s_0+8*s_r+IF(circ_int,eq_c1/2,0))/2))+2*IF(circ_int,0,eq_c1/2))+(PI()*(s_0+8*s_r+IF(circ_int,eq_c1/2,0))/2))+2*IF(circ_int,0,eq_c2/2))+(PI()*(s_0+8*s_r+IF(circ_int,eq_c1/2,0))/2)),-IF(circ_int,0,eq_c2/2)+(s_0+8*s_r+IF(circ_int,eq_c1/2,0))*SIN(PI()+(((0+0.5)*(4*IF(circ_int,0,eq_c1/2)+4*IF(circ_int,0,eq_c2/2)+2*PI()*(s_0+8*s_r+IF(circ_int,eq_c1/2,0)))/INDEX(lk_legs,9))-(((((2*IF(circ_int,0,eq_c2/2))+(PI()*(s_0+8*s_r+IF(circ_int,eq_c1/2,0))/2))+2*IF(circ_int,0,eq_c1/2))+(PI()*(s_0+8*s_r+IF(circ_int,eq_c1/2,0))/2))+2*IF(circ_int,0,eq_c2/2)))/(s_0+8*s_r+IF(circ_int,eq_c1/2,0))),IF(((0+0.5)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(0+0.5)*(4*IF(circ_int,0,eq_c1/2)+4*IF(circ_int,0,eq_c2/2)+2*PI()*(s_0+8*s_r+IF(circ_int,eq_c1/2,0)))/INDEX(lk_legs,9))-(((((((2*IF(circ_int,0,eq_c2/2))+(PI()*(s_0+8*s_r+IF(circ_int,eq_c1/2,0))/2))+2*IF(circ_int,0,eq_c1/2))+(PI()*(s_0+8*s_r+IF(circ_int,eq_c1/2,0))/2))+2*IF(circ_int,0,eq_c2/2))+(PI()*(s_0+8*s_r+IF(circ_int,eq_c1/2,0))/2))+2*IF(circ_int,0,eq_c1/2)))/(s_0+8*s_r+IF(circ_int,eq_c1/2,0)))))))))),NA())</f>
        <v/>
      </c>
      <c r="CY3">
        <f>IF(AND(links_on,10&lt;=n_per),IF(circ_int,(g_ox)+(c_1/2+(s_0+9*s_r))*1.000000,CHOOSE(INDEX(lk_kind,10),(g_ox+eq_c1/2)+((s_0+9*s_r))*1.000000,0,0,eq_a1-(s_0+9*s_r))),NA())</f>
        <v/>
      </c>
      <c r="CZ3">
        <f>IF(AND(links_on,10&lt;=n_per),IF(circ_int,(g_oy)+(c_1/2+(s_0+9*s_r))*0.000000,CHOOSE(INDEX(lk_kind,10),(g_oy+eq_c2/2)+((s_0+9*s_r))*0.000000,g_oy+eq_c2/2+(s_0+9*s_r),eq_a2+eq_c2+(s_0+9*s_r),0)),NA())</f>
        <v/>
      </c>
      <c r="DB3">
        <f>IF(AND(AND(links_on,10&lt;=n_per),INDEX(lk_kind,10)=1,0&lt;INDEX(lk_legs,10)),g_ox+IF(((0+0.5)*(4*IF(circ_int,0,eq_c1/2)+4*IF(circ_int,0,eq_c2/2)+2*PI()*(s_0+9*s_r+IF(circ_int,eq_c1/2,0)))/INDEX(lk_legs,10))&lt;(2*IF(circ_int,0,eq_c2/2)),IF(circ_int,0,eq_c1/2)+(s_0+9*s_r+IF(circ_int,eq_c1/2,0)),IF(((0+0.5)*(4*IF(circ_int,0,eq_c1/2)+4*IF(circ_int,0,eq_c2/2)+2*PI()*(s_0+9*s_r+IF(circ_int,eq_c1/2,0)))/INDEX(lk_legs,10))&lt;((2*IF(circ_int,0,eq_c2/2))+(PI()*(s_0+9*s_r+IF(circ_int,eq_c1/2,0))/2)),IF(circ_int,0,eq_c1/2)+(s_0+9*s_r+IF(circ_int,eq_c1/2,0))*COS((((0+0.5)*(4*IF(circ_int,0,eq_c1/2)+4*IF(circ_int,0,eq_c2/2)+2*PI()*(s_0+9*s_r+IF(circ_int,eq_c1/2,0)))/INDEX(lk_legs,10))-(2*IF(circ_int,0,eq_c2/2)))/(s_0+9*s_r+IF(circ_int,eq_c1/2,0))),IF(((0+0.5)*(4*IF(circ_int,0,eq_c1/2)+4*IF(circ_int,0,eq_c2/2)+2*PI()*(s_0+9*s_r+IF(circ_int,eq_c1/2,0)))/INDEX(lk_legs,10))&lt;(((2*IF(circ_int,0,eq_c2/2))+(PI()*(s_0+9*s_r+IF(circ_int,eq_c1/2,0))/2))+2*IF(circ_int,0,eq_c1/2)),IF(circ_int,0,eq_c1/2)-(((0+0.5)*(4*IF(circ_int,0,eq_c1/2)+4*IF(circ_int,0,eq_c2/2)+2*PI()*(s_0+9*s_r+IF(circ_int,eq_c1/2,0)))/INDEX(lk_legs,10))-((2*IF(circ_int,0,eq_c2/2))+(PI()*(s_0+9*s_r+IF(circ_int,eq_c1/2,0))/2))),IF(((0+0.5)*(4*IF(circ_int,0,eq_c1/2)+4*IF(circ_int,0,eq_c2/2)+2*PI()*(s_0+9*s_r+IF(circ_int,eq_c1/2,0)))/INDEX(lk_legs,10))&lt;((((2*IF(circ_int,0,eq_c2/2))+(PI()*(s_0+9*s_r+IF(circ_int,eq_c1/2,0))/2))+2*IF(circ_int,0,eq_c1/2))+(PI()*(s_0+9*s_r+IF(circ_int,eq_c1/2,0))/2)),-IF(circ_int,0,eq_c1/2)+(s_0+9*s_r+IF(circ_int,eq_c1/2,0))*COS(PI()/2+(((0+0.5)*(4*IF(circ_int,0,eq_c1/2)+4*IF(circ_int,0,eq_c2/2)+2*PI()*(s_0+9*s_r+IF(circ_int,eq_c1/2,0)))/INDEX(lk_legs,10))-(((2*IF(circ_int,0,eq_c2/2))+(PI()*(s_0+9*s_r+IF(circ_int,eq_c1/2,0))/2))+2*IF(circ_int,0,eq_c1/2)))/(s_0+9*s_r+IF(circ_int,eq_c1/2,0))),IF(((0+0.5)*(4*IF(circ_int,0,eq_c1/2)+4*IF(circ_int,0,eq_c2/2)+2*PI()*(s_0+9*s_r+IF(circ_int,eq_c1/2,0)))/INDEX(lk_legs,10))&lt;(((((2*IF(circ_int,0,eq_c2/2))+(PI()*(s_0+9*s_r+IF(circ_int,eq_c1/2,0))/2))+2*IF(circ_int,0,eq_c1/2))+(PI()*(s_0+9*s_r+IF(circ_int,eq_c1/2,0))/2))+2*IF(circ_int,0,eq_c2/2)),-IF(circ_int,0,eq_c1/2)-(s_0+9*s_r+IF(circ_int,eq_c1/2,0)),IF(((0+0.5)*(4*IF(circ_int,0,eq_c1/2)+4*IF(circ_int,0,eq_c2/2)+2*PI()*(s_0+9*s_r+IF(circ_int,eq_c1/2,0)))/INDEX(lk_legs,10))&lt;((((((2*IF(circ_int,0,eq_c2/2))+(PI()*(s_0+9*s_r+IF(circ_int,eq_c1/2,0))/2))+2*IF(circ_int,0,eq_c1/2))+(PI()*(s_0+9*s_r+IF(circ_int,eq_c1/2,0))/2))+2*IF(circ_int,0,eq_c2/2))+(PI()*(s_0+9*s_r+IF(circ_int,eq_c1/2,0))/2)),-IF(circ_int,0,eq_c1/2)+(s_0+9*s_r+IF(circ_int,eq_c1/2,0))*COS(PI()+(((0+0.5)*(4*IF(circ_int,0,eq_c1/2)+4*IF(circ_int,0,eq_c2/2)+2*PI()*(s_0+9*s_r+IF(circ_int,eq_c1/2,0)))/INDEX(lk_legs,10))-(((((2*IF(circ_int,0,eq_c2/2))+(PI()*(s_0+9*s_r+IF(circ_int,eq_c1/2,0))/2))+2*IF(circ_int,0,eq_c1/2))+(PI()*(s_0+9*s_r+IF(circ_int,eq_c1/2,0))/2))+2*IF(circ_int,0,eq_c2/2)))/(s_0+9*s_r+IF(circ_int,eq_c1/2,0))),IF(((0+0.5)*(4*IF(circ_int,0,eq_c1/2)+4*IF(circ_int,0,eq_c2/2)+2*PI()*(s_0+9*s_r+IF(circ_int,eq_c1/2,0)))/INDEX(lk_legs,10))&lt;(((((((2*IF(circ_int,0,eq_c2/2))+(PI()*(s_0+9*s_r+IF(circ_int,eq_c1/2,0))/2))+2*IF(circ_int,0,eq_c1/2))+(PI()*(s_0+9*s_r+IF(circ_int,eq_c1/2,0))/2))+2*IF(circ_int,0,eq_c2/2))+(PI()*(s_0+9*s_r+IF(circ_int,eq_c1/2,0))/2))+2*IF(circ_int,0,eq_c1/2)),-IF(circ_int,0,eq_c1/2)+(((0+0.5)*(4*IF(circ_int,0,eq_c1/2)+4*IF(circ_int,0,eq_c2/2)+2*PI()*(s_0+9*s_r+IF(circ_int,eq_c1/2,0)))/INDEX(lk_legs,10))-((((((2*IF(circ_int,0,eq_c2/2))+(PI()*(s_0+9*s_r+IF(circ_int,eq_c1/2,0))/2))+2*IF(circ_int,0,eq_c1/2))+(PI()*(s_0+9*s_r+IF(circ_int,eq_c1/2,0))/2))+2*IF(circ_int,0,eq_c2/2))+(PI()*(s_0+9*s_r+IF(circ_int,eq_c1/2,0))/2))),IF(circ_int,0,eq_c1/2)+(s_0+9*s_r+IF(circ_int,eq_c1/2,0))*COS(3*PI()/2+(((0+0.5)*(4*IF(circ_int,0,eq_c1/2)+4*IF(circ_int,0,eq_c2/2)+2*PI()*(s_0+9*s_r+IF(circ_int,eq_c1/2,0)))/INDEX(lk_legs,10))-(((((((2*IF(circ_int,0,eq_c2/2))+(PI()*(s_0+9*s_r+IF(circ_int,eq_c1/2,0))/2))+2*IF(circ_int,0,eq_c1/2))+(PI()*(s_0+9*s_r+IF(circ_int,eq_c1/2,0))/2))+2*IF(circ_int,0,eq_c2/2))+(PI()*(s_0+9*s_r+IF(circ_int,eq_c1/2,0))/2))+2*IF(circ_int,0,eq_c1/2)))/(s_0+9*s_r+IF(circ_int,eq_c1/2,0)))))))))),NA())</f>
        <v/>
      </c>
      <c r="DC3">
        <f>IF(AND(AND(links_on,10&lt;=n_per),INDEX(lk_kind,10)=1,0&lt;INDEX(lk_legs,10)),g_oy+IF(((0+0.5)*(4*IF(circ_int,0,eq_c1/2)+4*IF(circ_int,0,eq_c2/2)+2*PI()*(s_0+9*s_r+IF(circ_int,eq_c1/2,0)))/INDEX(lk_legs,10))&lt;(2*IF(circ_int,0,eq_c2/2)),-IF(circ_int,0,eq_c2/2)+((0+0.5)*(4*IF(circ_int,0,eq_c1/2)+4*IF(circ_int,0,eq_c2/2)+2*PI()*(s_0+9*s_r+IF(circ_int,eq_c1/2,0)))/INDEX(lk_legs,10)),IF(((0+0.5)*(4*IF(circ_int,0,eq_c1/2)+4*IF(circ_int,0,eq_c2/2)+2*PI()*(s_0+9*s_r+IF(circ_int,eq_c1/2,0)))/INDEX(lk_legs,10))&lt;((2*IF(circ_int,0,eq_c2/2))+(PI()*(s_0+9*s_r+IF(circ_int,eq_c1/2,0))/2)),IF(circ_int,0,eq_c2/2)+(s_0+9*s_r+IF(circ_int,eq_c1/2,0))*SIN((((0+0.5)*(4*IF(circ_int,0,eq_c1/2)+4*IF(circ_int,0,eq_c2/2)+2*PI()*(s_0+9*s_r+IF(circ_int,eq_c1/2,0)))/INDEX(lk_legs,10))-(2*IF(circ_int,0,eq_c2/2)))/(s_0+9*s_r+IF(circ_int,eq_c1/2,0))),IF(((0+0.5)*(4*IF(circ_int,0,eq_c1/2)+4*IF(circ_int,0,eq_c2/2)+2*PI()*(s_0+9*s_r+IF(circ_int,eq_c1/2,0)))/INDEX(lk_legs,10))&lt;(((2*IF(circ_int,0,eq_c2/2))+(PI()*(s_0+9*s_r+IF(circ_int,eq_c1/2,0))/2))+2*IF(circ_int,0,eq_c1/2)),IF(circ_int,0,eq_c2/2)+(s_0+9*s_r+IF(circ_int,eq_c1/2,0)),IF(((0+0.5)*(4*IF(circ_int,0,eq_c1/2)+4*IF(circ_int,0,eq_c2/2)+2*PI()*(s_0+9*s_r+IF(circ_int,eq_c1/2,0)))/INDEX(lk_legs,10))&lt;((((2*IF(circ_int,0,eq_c2/2))+(PI()*(s_0+9*s_r+IF(circ_int,eq_c1/2,0))/2))+2*IF(circ_int,0,eq_c1/2))+(PI()*(s_0+9*s_r+IF(circ_int,eq_c1/2,0))/2)),IF(circ_int,0,eq_c2/2)+(s_0+9*s_r+IF(circ_int,eq_c1/2,0))*SIN(PI()/2+(((0+0.5)*(4*IF(circ_int,0,eq_c1/2)+4*IF(circ_int,0,eq_c2/2)+2*PI()*(s_0+9*s_r+IF(circ_int,eq_c1/2,0)))/INDEX(lk_legs,10))-(((2*IF(circ_int,0,eq_c2/2))+(PI()*(s_0+9*s_r+IF(circ_int,eq_c1/2,0))/2))+2*IF(circ_int,0,eq_c1/2)))/(s_0+9*s_r+IF(circ_int,eq_c1/2,0))),IF(((0+0.5)*(4*IF(circ_int,0,eq_c1/2)+4*IF(circ_int,0,eq_c2/2)+2*PI()*(s_0+9*s_r+IF(circ_int,eq_c1/2,0)))/INDEX(lk_legs,10))&lt;(((((2*IF(circ_int,0,eq_c2/2))+(PI()*(s_0+9*s_r+IF(circ_int,eq_c1/2,0))/2))+2*IF(circ_int,0,eq_c1/2))+(PI()*(s_0+9*s_r+IF(circ_int,eq_c1/2,0))/2))+2*IF(circ_int,0,eq_c2/2)),IF(circ_int,0,eq_c2/2)-(((0+0.5)*(4*IF(circ_int,0,eq_c1/2)+4*IF(circ_int,0,eq_c2/2)+2*PI()*(s_0+9*s_r+IF(circ_int,eq_c1/2,0)))/INDEX(lk_legs,10))-((((2*IF(circ_int,0,eq_c2/2))+(PI()*(s_0+9*s_r+IF(circ_int,eq_c1/2,0))/2))+2*IF(circ_int,0,eq_c1/2))+(PI()*(s_0+9*s_r+IF(circ_int,eq_c1/2,0))/2))),IF(((0+0.5)*(4*IF(circ_int,0,eq_c1/2)+4*IF(circ_int,0,eq_c2/2)+2*PI()*(s_0+9*s_r+IF(circ_int,eq_c1/2,0)))/INDEX(lk_legs,10))&lt;((((((2*IF(circ_int,0,eq_c2/2))+(PI()*(s_0+9*s_r+IF(circ_int,eq_c1/2,0))/2))+2*IF(circ_int,0,eq_c1/2))+(PI()*(s_0+9*s_r+IF(circ_int,eq_c1/2,0))/2))+2*IF(circ_int,0,eq_c2/2))+(PI()*(s_0+9*s_r+IF(circ_int,eq_c1/2,0))/2)),-IF(circ_int,0,eq_c2/2)+(s_0+9*s_r+IF(circ_int,eq_c1/2,0))*SIN(PI()+(((0+0.5)*(4*IF(circ_int,0,eq_c1/2)+4*IF(circ_int,0,eq_c2/2)+2*PI()*(s_0+9*s_r+IF(circ_int,eq_c1/2,0)))/INDEX(lk_legs,10))-(((((2*IF(circ_int,0,eq_c2/2))+(PI()*(s_0+9*s_r+IF(circ_int,eq_c1/2,0))/2))+2*IF(circ_int,0,eq_c1/2))+(PI()*(s_0+9*s_r+IF(circ_int,eq_c1/2,0))/2))+2*IF(circ_int,0,eq_c2/2)))/(s_0+9*s_r+IF(circ_int,eq_c1/2,0))),IF(((0+0.5)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(0+0.5)*(4*IF(circ_int,0,eq_c1/2)+4*IF(circ_int,0,eq_c2/2)+2*PI()*(s_0+9*s_r+IF(circ_int,eq_c1/2,0)))/INDEX(lk_legs,10))-(((((((2*IF(circ_int,0,eq_c2/2))+(PI()*(s_0+9*s_r+IF(circ_int,eq_c1/2,0))/2))+2*IF(circ_int,0,eq_c1/2))+(PI()*(s_0+9*s_r+IF(circ_int,eq_c1/2,0))/2))+2*IF(circ_int,0,eq_c2/2))+(PI()*(s_0+9*s_r+IF(circ_int,eq_c1/2,0))/2))+2*IF(circ_int,0,eq_c1/2)))/(s_0+9*s_r+IF(circ_int,eq_c1/2,0)))))))))),NA())</f>
        <v/>
      </c>
      <c r="DE3">
        <f>IF(AND(links_on,11&lt;=n_per),IF(circ_int,(g_ox)+(c_1/2+(s_0+10*s_r))*1.000000,CHOOSE(INDEX(lk_kind,11),(g_ox+eq_c1/2)+((s_0+10*s_r))*1.000000,0,0,eq_a1-(s_0+10*s_r))),NA())</f>
        <v/>
      </c>
      <c r="DF3">
        <f>IF(AND(links_on,11&lt;=n_per),IF(circ_int,(g_oy)+(c_1/2+(s_0+10*s_r))*0.000000,CHOOSE(INDEX(lk_kind,11),(g_oy+eq_c2/2)+((s_0+10*s_r))*0.000000,g_oy+eq_c2/2+(s_0+10*s_r),eq_a2+eq_c2+(s_0+10*s_r),0)),NA())</f>
        <v/>
      </c>
      <c r="DH3">
        <f>IF(AND(AND(links_on,11&lt;=n_per),INDEX(lk_kind,11)=1,0&lt;INDEX(lk_legs,11)),g_ox+IF(((0+0.5)*(4*IF(circ_int,0,eq_c1/2)+4*IF(circ_int,0,eq_c2/2)+2*PI()*(s_0+10*s_r+IF(circ_int,eq_c1/2,0)))/INDEX(lk_legs,11))&lt;(2*IF(circ_int,0,eq_c2/2)),IF(circ_int,0,eq_c1/2)+(s_0+10*s_r+IF(circ_int,eq_c1/2,0)),IF(((0+0.5)*(4*IF(circ_int,0,eq_c1/2)+4*IF(circ_int,0,eq_c2/2)+2*PI()*(s_0+10*s_r+IF(circ_int,eq_c1/2,0)))/INDEX(lk_legs,11))&lt;((2*IF(circ_int,0,eq_c2/2))+(PI()*(s_0+10*s_r+IF(circ_int,eq_c1/2,0))/2)),IF(circ_int,0,eq_c1/2)+(s_0+10*s_r+IF(circ_int,eq_c1/2,0))*COS((((0+0.5)*(4*IF(circ_int,0,eq_c1/2)+4*IF(circ_int,0,eq_c2/2)+2*PI()*(s_0+10*s_r+IF(circ_int,eq_c1/2,0)))/INDEX(lk_legs,11))-(2*IF(circ_int,0,eq_c2/2)))/(s_0+10*s_r+IF(circ_int,eq_c1/2,0))),IF(((0+0.5)*(4*IF(circ_int,0,eq_c1/2)+4*IF(circ_int,0,eq_c2/2)+2*PI()*(s_0+10*s_r+IF(circ_int,eq_c1/2,0)))/INDEX(lk_legs,11))&lt;(((2*IF(circ_int,0,eq_c2/2))+(PI()*(s_0+10*s_r+IF(circ_int,eq_c1/2,0))/2))+2*IF(circ_int,0,eq_c1/2)),IF(circ_int,0,eq_c1/2)-(((0+0.5)*(4*IF(circ_int,0,eq_c1/2)+4*IF(circ_int,0,eq_c2/2)+2*PI()*(s_0+10*s_r+IF(circ_int,eq_c1/2,0)))/INDEX(lk_legs,11))-((2*IF(circ_int,0,eq_c2/2))+(PI()*(s_0+10*s_r+IF(circ_int,eq_c1/2,0))/2))),IF(((0+0.5)*(4*IF(circ_int,0,eq_c1/2)+4*IF(circ_int,0,eq_c2/2)+2*PI()*(s_0+10*s_r+IF(circ_int,eq_c1/2,0)))/INDEX(lk_legs,11))&lt;((((2*IF(circ_int,0,eq_c2/2))+(PI()*(s_0+10*s_r+IF(circ_int,eq_c1/2,0))/2))+2*IF(circ_int,0,eq_c1/2))+(PI()*(s_0+10*s_r+IF(circ_int,eq_c1/2,0))/2)),-IF(circ_int,0,eq_c1/2)+(s_0+10*s_r+IF(circ_int,eq_c1/2,0))*COS(PI()/2+(((0+0.5)*(4*IF(circ_int,0,eq_c1/2)+4*IF(circ_int,0,eq_c2/2)+2*PI()*(s_0+10*s_r+IF(circ_int,eq_c1/2,0)))/INDEX(lk_legs,11))-(((2*IF(circ_int,0,eq_c2/2))+(PI()*(s_0+10*s_r+IF(circ_int,eq_c1/2,0))/2))+2*IF(circ_int,0,eq_c1/2)))/(s_0+10*s_r+IF(circ_int,eq_c1/2,0))),IF(((0+0.5)*(4*IF(circ_int,0,eq_c1/2)+4*IF(circ_int,0,eq_c2/2)+2*PI()*(s_0+10*s_r+IF(circ_int,eq_c1/2,0)))/INDEX(lk_legs,11))&lt;(((((2*IF(circ_int,0,eq_c2/2))+(PI()*(s_0+10*s_r+IF(circ_int,eq_c1/2,0))/2))+2*IF(circ_int,0,eq_c1/2))+(PI()*(s_0+10*s_r+IF(circ_int,eq_c1/2,0))/2))+2*IF(circ_int,0,eq_c2/2)),-IF(circ_int,0,eq_c1/2)-(s_0+10*s_r+IF(circ_int,eq_c1/2,0)),IF(((0+0.5)*(4*IF(circ_int,0,eq_c1/2)+4*IF(circ_int,0,eq_c2/2)+2*PI()*(s_0+10*s_r+IF(circ_int,eq_c1/2,0)))/INDEX(lk_legs,11))&lt;((((((2*IF(circ_int,0,eq_c2/2))+(PI()*(s_0+10*s_r+IF(circ_int,eq_c1/2,0))/2))+2*IF(circ_int,0,eq_c1/2))+(PI()*(s_0+10*s_r+IF(circ_int,eq_c1/2,0))/2))+2*IF(circ_int,0,eq_c2/2))+(PI()*(s_0+10*s_r+IF(circ_int,eq_c1/2,0))/2)),-IF(circ_int,0,eq_c1/2)+(s_0+10*s_r+IF(circ_int,eq_c1/2,0))*COS(PI()+(((0+0.5)*(4*IF(circ_int,0,eq_c1/2)+4*IF(circ_int,0,eq_c2/2)+2*PI()*(s_0+10*s_r+IF(circ_int,eq_c1/2,0)))/INDEX(lk_legs,11))-(((((2*IF(circ_int,0,eq_c2/2))+(PI()*(s_0+10*s_r+IF(circ_int,eq_c1/2,0))/2))+2*IF(circ_int,0,eq_c1/2))+(PI()*(s_0+10*s_r+IF(circ_int,eq_c1/2,0))/2))+2*IF(circ_int,0,eq_c2/2)))/(s_0+10*s_r+IF(circ_int,eq_c1/2,0))),IF(((0+0.5)*(4*IF(circ_int,0,eq_c1/2)+4*IF(circ_int,0,eq_c2/2)+2*PI()*(s_0+10*s_r+IF(circ_int,eq_c1/2,0)))/INDEX(lk_legs,11))&lt;(((((((2*IF(circ_int,0,eq_c2/2))+(PI()*(s_0+10*s_r+IF(circ_int,eq_c1/2,0))/2))+2*IF(circ_int,0,eq_c1/2))+(PI()*(s_0+10*s_r+IF(circ_int,eq_c1/2,0))/2))+2*IF(circ_int,0,eq_c2/2))+(PI()*(s_0+10*s_r+IF(circ_int,eq_c1/2,0))/2))+2*IF(circ_int,0,eq_c1/2)),-IF(circ_int,0,eq_c1/2)+(((0+0.5)*(4*IF(circ_int,0,eq_c1/2)+4*IF(circ_int,0,eq_c2/2)+2*PI()*(s_0+10*s_r+IF(circ_int,eq_c1/2,0)))/INDEX(lk_legs,11))-((((((2*IF(circ_int,0,eq_c2/2))+(PI()*(s_0+10*s_r+IF(circ_int,eq_c1/2,0))/2))+2*IF(circ_int,0,eq_c1/2))+(PI()*(s_0+10*s_r+IF(circ_int,eq_c1/2,0))/2))+2*IF(circ_int,0,eq_c2/2))+(PI()*(s_0+10*s_r+IF(circ_int,eq_c1/2,0))/2))),IF(circ_int,0,eq_c1/2)+(s_0+10*s_r+IF(circ_int,eq_c1/2,0))*COS(3*PI()/2+(((0+0.5)*(4*IF(circ_int,0,eq_c1/2)+4*IF(circ_int,0,eq_c2/2)+2*PI()*(s_0+10*s_r+IF(circ_int,eq_c1/2,0)))/INDEX(lk_legs,11))-(((((((2*IF(circ_int,0,eq_c2/2))+(PI()*(s_0+10*s_r+IF(circ_int,eq_c1/2,0))/2))+2*IF(circ_int,0,eq_c1/2))+(PI()*(s_0+10*s_r+IF(circ_int,eq_c1/2,0))/2))+2*IF(circ_int,0,eq_c2/2))+(PI()*(s_0+10*s_r+IF(circ_int,eq_c1/2,0))/2))+2*IF(circ_int,0,eq_c1/2)))/(s_0+10*s_r+IF(circ_int,eq_c1/2,0)))))))))),NA())</f>
        <v/>
      </c>
      <c r="DI3">
        <f>IF(AND(AND(links_on,11&lt;=n_per),INDEX(lk_kind,11)=1,0&lt;INDEX(lk_legs,11)),g_oy+IF(((0+0.5)*(4*IF(circ_int,0,eq_c1/2)+4*IF(circ_int,0,eq_c2/2)+2*PI()*(s_0+10*s_r+IF(circ_int,eq_c1/2,0)))/INDEX(lk_legs,11))&lt;(2*IF(circ_int,0,eq_c2/2)),-IF(circ_int,0,eq_c2/2)+((0+0.5)*(4*IF(circ_int,0,eq_c1/2)+4*IF(circ_int,0,eq_c2/2)+2*PI()*(s_0+10*s_r+IF(circ_int,eq_c1/2,0)))/INDEX(lk_legs,11)),IF(((0+0.5)*(4*IF(circ_int,0,eq_c1/2)+4*IF(circ_int,0,eq_c2/2)+2*PI()*(s_0+10*s_r+IF(circ_int,eq_c1/2,0)))/INDEX(lk_legs,11))&lt;((2*IF(circ_int,0,eq_c2/2))+(PI()*(s_0+10*s_r+IF(circ_int,eq_c1/2,0))/2)),IF(circ_int,0,eq_c2/2)+(s_0+10*s_r+IF(circ_int,eq_c1/2,0))*SIN((((0+0.5)*(4*IF(circ_int,0,eq_c1/2)+4*IF(circ_int,0,eq_c2/2)+2*PI()*(s_0+10*s_r+IF(circ_int,eq_c1/2,0)))/INDEX(lk_legs,11))-(2*IF(circ_int,0,eq_c2/2)))/(s_0+10*s_r+IF(circ_int,eq_c1/2,0))),IF(((0+0.5)*(4*IF(circ_int,0,eq_c1/2)+4*IF(circ_int,0,eq_c2/2)+2*PI()*(s_0+10*s_r+IF(circ_int,eq_c1/2,0)))/INDEX(lk_legs,11))&lt;(((2*IF(circ_int,0,eq_c2/2))+(PI()*(s_0+10*s_r+IF(circ_int,eq_c1/2,0))/2))+2*IF(circ_int,0,eq_c1/2)),IF(circ_int,0,eq_c2/2)+(s_0+10*s_r+IF(circ_int,eq_c1/2,0)),IF(((0+0.5)*(4*IF(circ_int,0,eq_c1/2)+4*IF(circ_int,0,eq_c2/2)+2*PI()*(s_0+10*s_r+IF(circ_int,eq_c1/2,0)))/INDEX(lk_legs,11))&lt;((((2*IF(circ_int,0,eq_c2/2))+(PI()*(s_0+10*s_r+IF(circ_int,eq_c1/2,0))/2))+2*IF(circ_int,0,eq_c1/2))+(PI()*(s_0+10*s_r+IF(circ_int,eq_c1/2,0))/2)),IF(circ_int,0,eq_c2/2)+(s_0+10*s_r+IF(circ_int,eq_c1/2,0))*SIN(PI()/2+(((0+0.5)*(4*IF(circ_int,0,eq_c1/2)+4*IF(circ_int,0,eq_c2/2)+2*PI()*(s_0+10*s_r+IF(circ_int,eq_c1/2,0)))/INDEX(lk_legs,11))-(((2*IF(circ_int,0,eq_c2/2))+(PI()*(s_0+10*s_r+IF(circ_int,eq_c1/2,0))/2))+2*IF(circ_int,0,eq_c1/2)))/(s_0+10*s_r+IF(circ_int,eq_c1/2,0))),IF(((0+0.5)*(4*IF(circ_int,0,eq_c1/2)+4*IF(circ_int,0,eq_c2/2)+2*PI()*(s_0+10*s_r+IF(circ_int,eq_c1/2,0)))/INDEX(lk_legs,11))&lt;(((((2*IF(circ_int,0,eq_c2/2))+(PI()*(s_0+10*s_r+IF(circ_int,eq_c1/2,0))/2))+2*IF(circ_int,0,eq_c1/2))+(PI()*(s_0+10*s_r+IF(circ_int,eq_c1/2,0))/2))+2*IF(circ_int,0,eq_c2/2)),IF(circ_int,0,eq_c2/2)-(((0+0.5)*(4*IF(circ_int,0,eq_c1/2)+4*IF(circ_int,0,eq_c2/2)+2*PI()*(s_0+10*s_r+IF(circ_int,eq_c1/2,0)))/INDEX(lk_legs,11))-((((2*IF(circ_int,0,eq_c2/2))+(PI()*(s_0+10*s_r+IF(circ_int,eq_c1/2,0))/2))+2*IF(circ_int,0,eq_c1/2))+(PI()*(s_0+10*s_r+IF(circ_int,eq_c1/2,0))/2))),IF(((0+0.5)*(4*IF(circ_int,0,eq_c1/2)+4*IF(circ_int,0,eq_c2/2)+2*PI()*(s_0+10*s_r+IF(circ_int,eq_c1/2,0)))/INDEX(lk_legs,11))&lt;((((((2*IF(circ_int,0,eq_c2/2))+(PI()*(s_0+10*s_r+IF(circ_int,eq_c1/2,0))/2))+2*IF(circ_int,0,eq_c1/2))+(PI()*(s_0+10*s_r+IF(circ_int,eq_c1/2,0))/2))+2*IF(circ_int,0,eq_c2/2))+(PI()*(s_0+10*s_r+IF(circ_int,eq_c1/2,0))/2)),-IF(circ_int,0,eq_c2/2)+(s_0+10*s_r+IF(circ_int,eq_c1/2,0))*SIN(PI()+(((0+0.5)*(4*IF(circ_int,0,eq_c1/2)+4*IF(circ_int,0,eq_c2/2)+2*PI()*(s_0+10*s_r+IF(circ_int,eq_c1/2,0)))/INDEX(lk_legs,11))-(((((2*IF(circ_int,0,eq_c2/2))+(PI()*(s_0+10*s_r+IF(circ_int,eq_c1/2,0))/2))+2*IF(circ_int,0,eq_c1/2))+(PI()*(s_0+10*s_r+IF(circ_int,eq_c1/2,0))/2))+2*IF(circ_int,0,eq_c2/2)))/(s_0+10*s_r+IF(circ_int,eq_c1/2,0))),IF(((0+0.5)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(0+0.5)*(4*IF(circ_int,0,eq_c1/2)+4*IF(circ_int,0,eq_c2/2)+2*PI()*(s_0+10*s_r+IF(circ_int,eq_c1/2,0)))/INDEX(lk_legs,11))-(((((((2*IF(circ_int,0,eq_c2/2))+(PI()*(s_0+10*s_r+IF(circ_int,eq_c1/2,0))/2))+2*IF(circ_int,0,eq_c1/2))+(PI()*(s_0+10*s_r+IF(circ_int,eq_c1/2,0))/2))+2*IF(circ_int,0,eq_c2/2))+(PI()*(s_0+10*s_r+IF(circ_int,eq_c1/2,0))/2))+2*IF(circ_int,0,eq_c1/2)))/(s_0+10*s_r+IF(circ_int,eq_c1/2,0)))))))))),NA())</f>
        <v/>
      </c>
      <c r="DK3">
        <f>IF(AND(links_on,12&lt;=n_per),IF(circ_int,(g_ox)+(c_1/2+(s_0+11*s_r))*1.000000,CHOOSE(INDEX(lk_kind,12),(g_ox+eq_c1/2)+((s_0+11*s_r))*1.000000,0,0,eq_a1-(s_0+11*s_r))),NA())</f>
        <v/>
      </c>
      <c r="DL3">
        <f>IF(AND(links_on,12&lt;=n_per),IF(circ_int,(g_oy)+(c_1/2+(s_0+11*s_r))*0.000000,CHOOSE(INDEX(lk_kind,12),(g_oy+eq_c2/2)+((s_0+11*s_r))*0.000000,g_oy+eq_c2/2+(s_0+11*s_r),eq_a2+eq_c2+(s_0+11*s_r),0)),NA())</f>
        <v/>
      </c>
      <c r="DN3">
        <f>IF(AND(AND(links_on,12&lt;=n_per),INDEX(lk_kind,12)=1,0&lt;INDEX(lk_legs,12)),g_ox+IF(((0+0.5)*(4*IF(circ_int,0,eq_c1/2)+4*IF(circ_int,0,eq_c2/2)+2*PI()*(s_0+11*s_r+IF(circ_int,eq_c1/2,0)))/INDEX(lk_legs,12))&lt;(2*IF(circ_int,0,eq_c2/2)),IF(circ_int,0,eq_c1/2)+(s_0+11*s_r+IF(circ_int,eq_c1/2,0)),IF(((0+0.5)*(4*IF(circ_int,0,eq_c1/2)+4*IF(circ_int,0,eq_c2/2)+2*PI()*(s_0+11*s_r+IF(circ_int,eq_c1/2,0)))/INDEX(lk_legs,12))&lt;((2*IF(circ_int,0,eq_c2/2))+(PI()*(s_0+11*s_r+IF(circ_int,eq_c1/2,0))/2)),IF(circ_int,0,eq_c1/2)+(s_0+11*s_r+IF(circ_int,eq_c1/2,0))*COS((((0+0.5)*(4*IF(circ_int,0,eq_c1/2)+4*IF(circ_int,0,eq_c2/2)+2*PI()*(s_0+11*s_r+IF(circ_int,eq_c1/2,0)))/INDEX(lk_legs,12))-(2*IF(circ_int,0,eq_c2/2)))/(s_0+11*s_r+IF(circ_int,eq_c1/2,0))),IF(((0+0.5)*(4*IF(circ_int,0,eq_c1/2)+4*IF(circ_int,0,eq_c2/2)+2*PI()*(s_0+11*s_r+IF(circ_int,eq_c1/2,0)))/INDEX(lk_legs,12))&lt;(((2*IF(circ_int,0,eq_c2/2))+(PI()*(s_0+11*s_r+IF(circ_int,eq_c1/2,0))/2))+2*IF(circ_int,0,eq_c1/2)),IF(circ_int,0,eq_c1/2)-(((0+0.5)*(4*IF(circ_int,0,eq_c1/2)+4*IF(circ_int,0,eq_c2/2)+2*PI()*(s_0+11*s_r+IF(circ_int,eq_c1/2,0)))/INDEX(lk_legs,12))-((2*IF(circ_int,0,eq_c2/2))+(PI()*(s_0+11*s_r+IF(circ_int,eq_c1/2,0))/2))),IF(((0+0.5)*(4*IF(circ_int,0,eq_c1/2)+4*IF(circ_int,0,eq_c2/2)+2*PI()*(s_0+11*s_r+IF(circ_int,eq_c1/2,0)))/INDEX(lk_legs,12))&lt;((((2*IF(circ_int,0,eq_c2/2))+(PI()*(s_0+11*s_r+IF(circ_int,eq_c1/2,0))/2))+2*IF(circ_int,0,eq_c1/2))+(PI()*(s_0+11*s_r+IF(circ_int,eq_c1/2,0))/2)),-IF(circ_int,0,eq_c1/2)+(s_0+11*s_r+IF(circ_int,eq_c1/2,0))*COS(PI()/2+(((0+0.5)*(4*IF(circ_int,0,eq_c1/2)+4*IF(circ_int,0,eq_c2/2)+2*PI()*(s_0+11*s_r+IF(circ_int,eq_c1/2,0)))/INDEX(lk_legs,12))-(((2*IF(circ_int,0,eq_c2/2))+(PI()*(s_0+11*s_r+IF(circ_int,eq_c1/2,0))/2))+2*IF(circ_int,0,eq_c1/2)))/(s_0+11*s_r+IF(circ_int,eq_c1/2,0))),IF(((0+0.5)*(4*IF(circ_int,0,eq_c1/2)+4*IF(circ_int,0,eq_c2/2)+2*PI()*(s_0+11*s_r+IF(circ_int,eq_c1/2,0)))/INDEX(lk_legs,12))&lt;(((((2*IF(circ_int,0,eq_c2/2))+(PI()*(s_0+11*s_r+IF(circ_int,eq_c1/2,0))/2))+2*IF(circ_int,0,eq_c1/2))+(PI()*(s_0+11*s_r+IF(circ_int,eq_c1/2,0))/2))+2*IF(circ_int,0,eq_c2/2)),-IF(circ_int,0,eq_c1/2)-(s_0+11*s_r+IF(circ_int,eq_c1/2,0)),IF(((0+0.5)*(4*IF(circ_int,0,eq_c1/2)+4*IF(circ_int,0,eq_c2/2)+2*PI()*(s_0+11*s_r+IF(circ_int,eq_c1/2,0)))/INDEX(lk_legs,12))&lt;((((((2*IF(circ_int,0,eq_c2/2))+(PI()*(s_0+11*s_r+IF(circ_int,eq_c1/2,0))/2))+2*IF(circ_int,0,eq_c1/2))+(PI()*(s_0+11*s_r+IF(circ_int,eq_c1/2,0))/2))+2*IF(circ_int,0,eq_c2/2))+(PI()*(s_0+11*s_r+IF(circ_int,eq_c1/2,0))/2)),-IF(circ_int,0,eq_c1/2)+(s_0+11*s_r+IF(circ_int,eq_c1/2,0))*COS(PI()+(((0+0.5)*(4*IF(circ_int,0,eq_c1/2)+4*IF(circ_int,0,eq_c2/2)+2*PI()*(s_0+11*s_r+IF(circ_int,eq_c1/2,0)))/INDEX(lk_legs,12))-(((((2*IF(circ_int,0,eq_c2/2))+(PI()*(s_0+11*s_r+IF(circ_int,eq_c1/2,0))/2))+2*IF(circ_int,0,eq_c1/2))+(PI()*(s_0+11*s_r+IF(circ_int,eq_c1/2,0))/2))+2*IF(circ_int,0,eq_c2/2)))/(s_0+11*s_r+IF(circ_int,eq_c1/2,0))),IF(((0+0.5)*(4*IF(circ_int,0,eq_c1/2)+4*IF(circ_int,0,eq_c2/2)+2*PI()*(s_0+11*s_r+IF(circ_int,eq_c1/2,0)))/INDEX(lk_legs,12))&lt;(((((((2*IF(circ_int,0,eq_c2/2))+(PI()*(s_0+11*s_r+IF(circ_int,eq_c1/2,0))/2))+2*IF(circ_int,0,eq_c1/2))+(PI()*(s_0+11*s_r+IF(circ_int,eq_c1/2,0))/2))+2*IF(circ_int,0,eq_c2/2))+(PI()*(s_0+11*s_r+IF(circ_int,eq_c1/2,0))/2))+2*IF(circ_int,0,eq_c1/2)),-IF(circ_int,0,eq_c1/2)+(((0+0.5)*(4*IF(circ_int,0,eq_c1/2)+4*IF(circ_int,0,eq_c2/2)+2*PI()*(s_0+11*s_r+IF(circ_int,eq_c1/2,0)))/INDEX(lk_legs,12))-((((((2*IF(circ_int,0,eq_c2/2))+(PI()*(s_0+11*s_r+IF(circ_int,eq_c1/2,0))/2))+2*IF(circ_int,0,eq_c1/2))+(PI()*(s_0+11*s_r+IF(circ_int,eq_c1/2,0))/2))+2*IF(circ_int,0,eq_c2/2))+(PI()*(s_0+11*s_r+IF(circ_int,eq_c1/2,0))/2))),IF(circ_int,0,eq_c1/2)+(s_0+11*s_r+IF(circ_int,eq_c1/2,0))*COS(3*PI()/2+(((0+0.5)*(4*IF(circ_int,0,eq_c1/2)+4*IF(circ_int,0,eq_c2/2)+2*PI()*(s_0+11*s_r+IF(circ_int,eq_c1/2,0)))/INDEX(lk_legs,12))-(((((((2*IF(circ_int,0,eq_c2/2))+(PI()*(s_0+11*s_r+IF(circ_int,eq_c1/2,0))/2))+2*IF(circ_int,0,eq_c1/2))+(PI()*(s_0+11*s_r+IF(circ_int,eq_c1/2,0))/2))+2*IF(circ_int,0,eq_c2/2))+(PI()*(s_0+11*s_r+IF(circ_int,eq_c1/2,0))/2))+2*IF(circ_int,0,eq_c1/2)))/(s_0+11*s_r+IF(circ_int,eq_c1/2,0)))))))))),NA())</f>
        <v/>
      </c>
      <c r="DO3">
        <f>IF(AND(AND(links_on,12&lt;=n_per),INDEX(lk_kind,12)=1,0&lt;INDEX(lk_legs,12)),g_oy+IF(((0+0.5)*(4*IF(circ_int,0,eq_c1/2)+4*IF(circ_int,0,eq_c2/2)+2*PI()*(s_0+11*s_r+IF(circ_int,eq_c1/2,0)))/INDEX(lk_legs,12))&lt;(2*IF(circ_int,0,eq_c2/2)),-IF(circ_int,0,eq_c2/2)+((0+0.5)*(4*IF(circ_int,0,eq_c1/2)+4*IF(circ_int,0,eq_c2/2)+2*PI()*(s_0+11*s_r+IF(circ_int,eq_c1/2,0)))/INDEX(lk_legs,12)),IF(((0+0.5)*(4*IF(circ_int,0,eq_c1/2)+4*IF(circ_int,0,eq_c2/2)+2*PI()*(s_0+11*s_r+IF(circ_int,eq_c1/2,0)))/INDEX(lk_legs,12))&lt;((2*IF(circ_int,0,eq_c2/2))+(PI()*(s_0+11*s_r+IF(circ_int,eq_c1/2,0))/2)),IF(circ_int,0,eq_c2/2)+(s_0+11*s_r+IF(circ_int,eq_c1/2,0))*SIN((((0+0.5)*(4*IF(circ_int,0,eq_c1/2)+4*IF(circ_int,0,eq_c2/2)+2*PI()*(s_0+11*s_r+IF(circ_int,eq_c1/2,0)))/INDEX(lk_legs,12))-(2*IF(circ_int,0,eq_c2/2)))/(s_0+11*s_r+IF(circ_int,eq_c1/2,0))),IF(((0+0.5)*(4*IF(circ_int,0,eq_c1/2)+4*IF(circ_int,0,eq_c2/2)+2*PI()*(s_0+11*s_r+IF(circ_int,eq_c1/2,0)))/INDEX(lk_legs,12))&lt;(((2*IF(circ_int,0,eq_c2/2))+(PI()*(s_0+11*s_r+IF(circ_int,eq_c1/2,0))/2))+2*IF(circ_int,0,eq_c1/2)),IF(circ_int,0,eq_c2/2)+(s_0+11*s_r+IF(circ_int,eq_c1/2,0)),IF(((0+0.5)*(4*IF(circ_int,0,eq_c1/2)+4*IF(circ_int,0,eq_c2/2)+2*PI()*(s_0+11*s_r+IF(circ_int,eq_c1/2,0)))/INDEX(lk_legs,12))&lt;((((2*IF(circ_int,0,eq_c2/2))+(PI()*(s_0+11*s_r+IF(circ_int,eq_c1/2,0))/2))+2*IF(circ_int,0,eq_c1/2))+(PI()*(s_0+11*s_r+IF(circ_int,eq_c1/2,0))/2)),IF(circ_int,0,eq_c2/2)+(s_0+11*s_r+IF(circ_int,eq_c1/2,0))*SIN(PI()/2+(((0+0.5)*(4*IF(circ_int,0,eq_c1/2)+4*IF(circ_int,0,eq_c2/2)+2*PI()*(s_0+11*s_r+IF(circ_int,eq_c1/2,0)))/INDEX(lk_legs,12))-(((2*IF(circ_int,0,eq_c2/2))+(PI()*(s_0+11*s_r+IF(circ_int,eq_c1/2,0))/2))+2*IF(circ_int,0,eq_c1/2)))/(s_0+11*s_r+IF(circ_int,eq_c1/2,0))),IF(((0+0.5)*(4*IF(circ_int,0,eq_c1/2)+4*IF(circ_int,0,eq_c2/2)+2*PI()*(s_0+11*s_r+IF(circ_int,eq_c1/2,0)))/INDEX(lk_legs,12))&lt;(((((2*IF(circ_int,0,eq_c2/2))+(PI()*(s_0+11*s_r+IF(circ_int,eq_c1/2,0))/2))+2*IF(circ_int,0,eq_c1/2))+(PI()*(s_0+11*s_r+IF(circ_int,eq_c1/2,0))/2))+2*IF(circ_int,0,eq_c2/2)),IF(circ_int,0,eq_c2/2)-(((0+0.5)*(4*IF(circ_int,0,eq_c1/2)+4*IF(circ_int,0,eq_c2/2)+2*PI()*(s_0+11*s_r+IF(circ_int,eq_c1/2,0)))/INDEX(lk_legs,12))-((((2*IF(circ_int,0,eq_c2/2))+(PI()*(s_0+11*s_r+IF(circ_int,eq_c1/2,0))/2))+2*IF(circ_int,0,eq_c1/2))+(PI()*(s_0+11*s_r+IF(circ_int,eq_c1/2,0))/2))),IF(((0+0.5)*(4*IF(circ_int,0,eq_c1/2)+4*IF(circ_int,0,eq_c2/2)+2*PI()*(s_0+11*s_r+IF(circ_int,eq_c1/2,0)))/INDEX(lk_legs,12))&lt;((((((2*IF(circ_int,0,eq_c2/2))+(PI()*(s_0+11*s_r+IF(circ_int,eq_c1/2,0))/2))+2*IF(circ_int,0,eq_c1/2))+(PI()*(s_0+11*s_r+IF(circ_int,eq_c1/2,0))/2))+2*IF(circ_int,0,eq_c2/2))+(PI()*(s_0+11*s_r+IF(circ_int,eq_c1/2,0))/2)),-IF(circ_int,0,eq_c2/2)+(s_0+11*s_r+IF(circ_int,eq_c1/2,0))*SIN(PI()+(((0+0.5)*(4*IF(circ_int,0,eq_c1/2)+4*IF(circ_int,0,eq_c2/2)+2*PI()*(s_0+11*s_r+IF(circ_int,eq_c1/2,0)))/INDEX(lk_legs,12))-(((((2*IF(circ_int,0,eq_c2/2))+(PI()*(s_0+11*s_r+IF(circ_int,eq_c1/2,0))/2))+2*IF(circ_int,0,eq_c1/2))+(PI()*(s_0+11*s_r+IF(circ_int,eq_c1/2,0))/2))+2*IF(circ_int,0,eq_c2/2)))/(s_0+11*s_r+IF(circ_int,eq_c1/2,0))),IF(((0+0.5)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(0+0.5)*(4*IF(circ_int,0,eq_c1/2)+4*IF(circ_int,0,eq_c2/2)+2*PI()*(s_0+11*s_r+IF(circ_int,eq_c1/2,0)))/INDEX(lk_legs,12))-(((((((2*IF(circ_int,0,eq_c2/2))+(PI()*(s_0+11*s_r+IF(circ_int,eq_c1/2,0))/2))+2*IF(circ_int,0,eq_c1/2))+(PI()*(s_0+11*s_r+IF(circ_int,eq_c1/2,0))/2))+2*IF(circ_int,0,eq_c2/2))+(PI()*(s_0+11*s_r+IF(circ_int,eq_c1/2,0))/2))+2*IF(circ_int,0,eq_c1/2)))/(s_0+11*s_r+IF(circ_int,eq_c1/2,0)))))))))),NA())</f>
        <v/>
      </c>
      <c r="DQ3">
        <f>g_ox</f>
        <v/>
      </c>
      <c r="DR3">
        <f>g_oy</f>
        <v/>
      </c>
      <c r="DT3">
        <f>g_ox+eq_c1/2+2*d_eff</f>
        <v/>
      </c>
      <c r="DU3">
        <f>g_oy</f>
        <v/>
      </c>
      <c r="DW3">
        <f>IF(AND(inputs_ok,punch_ok,A_sw&gt;0),g_ox+eq_c1/2+r_out,NA())</f>
        <v/>
      </c>
      <c r="DX3">
        <f>g_oy</f>
        <v/>
      </c>
      <c r="DZ3">
        <f>IF(pos_idx&gt;1,0,NA())</f>
        <v/>
      </c>
      <c r="EA3">
        <f>IF(pos_idx&gt;1,(g_oy+eq_c2/2+1.3*g_rmax),NA())</f>
        <v/>
      </c>
      <c r="EC3">
        <f>((IF(pos_idx=1,-(g_ox+eq_c1/2+g_rmax),-0.12*(g_ox+eq_c1/2+g_rmax)))+((g_ox+eq_c1/2+g_rmax)))/2-MAX(((g_oy+eq_c2/2+g_rmax))-(IF(pos_idx=3,-0.12*(g_oy+eq_c2/2+g_rmax),-(g_oy+eq_c2/2+g_rmax))),(((g_ox+eq_c1/2+g_rmax))-(IF(pos_idx=1,-(g_ox+eq_c1/2+g_rmax),-0.12*(g_ox+eq_c1/2+g_rmax))))/1.55)*0.58*1.55</f>
        <v/>
      </c>
      <c r="ED3">
        <f>((IF(pos_idx=3,-0.12*(g_oy+eq_c2/2+g_rmax),-(g_oy+eq_c2/2+g_rmax)))+((g_oy+eq_c2/2+g_rmax)))/2-MAX(((g_oy+eq_c2/2+g_rmax))-(IF(pos_idx=3,-0.12*(g_oy+eq_c2/2+g_rmax),-(g_oy+eq_c2/2+g_rmax))),(((g_ox+eq_c1/2+g_rmax))-(IF(pos_idx=1,-(g_ox+eq_c1/2+g_rmax),-0.12*(g_ox+eq_c1/2+g_rmax))))/1.55)*0.58</f>
        <v/>
      </c>
    </row>
    <row r="4">
      <c r="A4">
        <f>IF(shape="Circular",(g_ox)+(c_1/2+0)*0.992709,CHOOSE(1,(g_ox+eq_c1/2)+(0)*0.991445,(eq_a1+eq_c1)+(0)*0.000000,(eq_a1+eq_c1)+(0)*0.000000,(eq_a1)+(0)*-1.000000))</f>
        <v/>
      </c>
      <c r="B4">
        <f>IF(shape="Circular",(g_oy)+(c_1/2+0)*0.120537,CHOOSE(1,(g_oy+eq_c2/2)+(0)*0.130526,(g_oy+eq_c2/2)+(0)*1.000000,(eq_a2+eq_c2)+(0)*1.000000,(eq_a2+eq_c2)+(0)*0.000000))</f>
        <v/>
      </c>
      <c r="D4">
        <f>IF(circ_int,(g_ox)+(c_1/2+2*d_eff)*0.992709,CHOOSE(geo_idx,(g_ox+eq_c1/2)+(2*d_eff)*0.991445,(eq_a1+eq_c1)+(2*d_eff)*0.000000,(eq_a1+eq_c1)+(2*d_eff)*0.000000,(eq_a1)+(2*d_eff)*-1.000000))</f>
        <v/>
      </c>
      <c r="E4">
        <f>IF(circ_int,(g_oy)+(c_1/2+2*d_eff)*0.120537,CHOOSE(geo_idx,(g_oy+eq_c2/2)+(2*d_eff)*0.130526,(g_oy+eq_c2/2)+(2*d_eff)*1.000000,(eq_a2+eq_c2)+(2*d_eff)*1.000000,(eq_a2+eq_c2)+(2*d_eff)*0.000000))</f>
        <v/>
      </c>
      <c r="G4">
        <f>IF(AND(inputs_ok,punch_ok,A_sw&gt;0),IF(circ_int,(g_ox)+(c_1/2+r_out)*0.992709,CHOOSE(kind_out,(g_ox+eq_c1/2)+(r_out)*0.991445,(eq_a1+eq_c1)+(r_out)*0.000000,(eq_a1+eq_c1)+(r_out)*0.000000,(eq_a1)+(r_out)*-1.000000)),NA())</f>
        <v/>
      </c>
      <c r="H4">
        <f>IF(AND(inputs_ok,punch_ok,A_sw&gt;0),IF(circ_int,(g_oy)+(c_1/2+r_out)*0.120537,CHOOSE(kind_out,(g_oy+eq_c2/2)+(r_out)*0.130526,(g_oy+eq_c2/2)+(r_out)*1.000000,(eq_a2+eq_c2)+(r_out)*1.000000,(eq_a2+eq_c2)+(r_out)*0.000000)),NA())</f>
        <v/>
      </c>
      <c r="J4">
        <f>CHOOSE(pos_idx,NA(),0,0)</f>
        <v/>
      </c>
      <c r="K4">
        <f>CHOOSE(pos_idx,NA(),(g_oy+eq_c2/2+1.3*g_rmax),0)</f>
        <v/>
      </c>
      <c r="M4">
        <f>IF(NOT(shape="Circular"),g_ox+eq_c1/2,NA())</f>
        <v/>
      </c>
      <c r="N4">
        <f>IF(NOT(shape="Circular"),g_oy-eq_c2/2-0.15*d_eff,NA())</f>
        <v/>
      </c>
      <c r="S4">
        <f>IF(NOT(shape="Circular"),g_ox+eq_c1/2+0.15*d_eff,NA())</f>
        <v/>
      </c>
      <c r="T4">
        <f>IF(NOT(shape="Circular"),g_oy+eq_c2/2,NA())</f>
        <v/>
      </c>
      <c r="Y4">
        <f>IF(shape="Circular",g_ox+c_1/2,NA())</f>
        <v/>
      </c>
      <c r="Z4">
        <f>IF(shape="Circular",g_oy,NA())</f>
        <v/>
      </c>
      <c r="AE4">
        <f>IF(TRUE,g_ox,NA())</f>
        <v/>
      </c>
      <c r="AF4">
        <f>IF(TRUE,g_oy+eq_c2/2+2*d_eff,NA())</f>
        <v/>
      </c>
      <c r="AK4">
        <f>IF(AND(pos_idx&gt;1,eq_a1&gt;0),eq_a1,NA())</f>
        <v/>
      </c>
      <c r="AL4">
        <f>IF(AND(pos_idx&gt;1,eq_a1&gt;0),g_oy,NA())</f>
        <v/>
      </c>
      <c r="AQ4">
        <f>IF(AND(pos_idx=3,eq_a2&gt;0),IF(eq_a1&gt;0,eq_a1/2,g_ox+0.35*eq_c1),NA())</f>
        <v/>
      </c>
      <c r="AR4">
        <f>IF(AND(pos_idx=3,eq_a2&gt;0),eq_a2,NA())</f>
        <v/>
      </c>
      <c r="AW4">
        <f>IF(AND(links_on,1&lt;=n_per),IF(circ_int,(g_ox)+(c_1/2+(s_0+0*s_r))*0.992709,CHOOSE(INDEX(lk_kind,1),(g_ox+eq_c1/2)+((s_0+0*s_r))*0.991445,(eq_a1+eq_c1)+((s_0+0*s_r))*0.000000,(eq_a1+eq_c1)+((s_0+0*s_r))*0.000000,(eq_a1)+((s_0+0*s_r))*-1.000000)),NA())</f>
        <v/>
      </c>
      <c r="AX4">
        <f>IF(AND(links_on,1&lt;=n_per),IF(circ_int,(g_oy)+(c_1/2+(s_0+0*s_r))*0.120537,CHOOSE(INDEX(lk_kind,1),(g_oy+eq_c2/2)+((s_0+0*s_r))*0.130526,(g_oy+eq_c2/2)+((s_0+0*s_r))*1.000000,(eq_a2+eq_c2)+((s_0+0*s_r))*1.000000,(eq_a2+eq_c2)+((s_0+0*s_r))*0.000000)),NA())</f>
        <v/>
      </c>
      <c r="AZ4">
        <f>IF(AND(AND(links_on,1&lt;=n_per),INDEX(lk_kind,1)=1,1&lt;INDEX(lk_legs,1)),g_ox+IF(((1+0.5)*(4*IF(circ_int,0,eq_c1/2)+4*IF(circ_int,0,eq_c2/2)+2*PI()*(s_0+0*s_r+IF(circ_int,eq_c1/2,0)))/INDEX(lk_legs,1))&lt;(2*IF(circ_int,0,eq_c2/2)),IF(circ_int,0,eq_c1/2)+(s_0+0*s_r+IF(circ_int,eq_c1/2,0)),IF(((1+0.5)*(4*IF(circ_int,0,eq_c1/2)+4*IF(circ_int,0,eq_c2/2)+2*PI()*(s_0+0*s_r+IF(circ_int,eq_c1/2,0)))/INDEX(lk_legs,1))&lt;((2*IF(circ_int,0,eq_c2/2))+(PI()*(s_0+0*s_r+IF(circ_int,eq_c1/2,0))/2)),IF(circ_int,0,eq_c1/2)+(s_0+0*s_r+IF(circ_int,eq_c1/2,0))*COS((((1+0.5)*(4*IF(circ_int,0,eq_c1/2)+4*IF(circ_int,0,eq_c2/2)+2*PI()*(s_0+0*s_r+IF(circ_int,eq_c1/2,0)))/INDEX(lk_legs,1))-(2*IF(circ_int,0,eq_c2/2)))/(s_0+0*s_r+IF(circ_int,eq_c1/2,0))),IF(((1+0.5)*(4*IF(circ_int,0,eq_c1/2)+4*IF(circ_int,0,eq_c2/2)+2*PI()*(s_0+0*s_r+IF(circ_int,eq_c1/2,0)))/INDEX(lk_legs,1))&lt;(((2*IF(circ_int,0,eq_c2/2))+(PI()*(s_0+0*s_r+IF(circ_int,eq_c1/2,0))/2))+2*IF(circ_int,0,eq_c1/2)),IF(circ_int,0,eq_c1/2)-(((1+0.5)*(4*IF(circ_int,0,eq_c1/2)+4*IF(circ_int,0,eq_c2/2)+2*PI()*(s_0+0*s_r+IF(circ_int,eq_c1/2,0)))/INDEX(lk_legs,1))-((2*IF(circ_int,0,eq_c2/2))+(PI()*(s_0+0*s_r+IF(circ_int,eq_c1/2,0))/2))),IF(((1+0.5)*(4*IF(circ_int,0,eq_c1/2)+4*IF(circ_int,0,eq_c2/2)+2*PI()*(s_0+0*s_r+IF(circ_int,eq_c1/2,0)))/INDEX(lk_legs,1))&lt;((((2*IF(circ_int,0,eq_c2/2))+(PI()*(s_0+0*s_r+IF(circ_int,eq_c1/2,0))/2))+2*IF(circ_int,0,eq_c1/2))+(PI()*(s_0+0*s_r+IF(circ_int,eq_c1/2,0))/2)),-IF(circ_int,0,eq_c1/2)+(s_0+0*s_r+IF(circ_int,eq_c1/2,0))*COS(PI()/2+(((1+0.5)*(4*IF(circ_int,0,eq_c1/2)+4*IF(circ_int,0,eq_c2/2)+2*PI()*(s_0+0*s_r+IF(circ_int,eq_c1/2,0)))/INDEX(lk_legs,1))-(((2*IF(circ_int,0,eq_c2/2))+(PI()*(s_0+0*s_r+IF(circ_int,eq_c1/2,0))/2))+2*IF(circ_int,0,eq_c1/2)))/(s_0+0*s_r+IF(circ_int,eq_c1/2,0))),IF(((1+0.5)*(4*IF(circ_int,0,eq_c1/2)+4*IF(circ_int,0,eq_c2/2)+2*PI()*(s_0+0*s_r+IF(circ_int,eq_c1/2,0)))/INDEX(lk_legs,1))&lt;(((((2*IF(circ_int,0,eq_c2/2))+(PI()*(s_0+0*s_r+IF(circ_int,eq_c1/2,0))/2))+2*IF(circ_int,0,eq_c1/2))+(PI()*(s_0+0*s_r+IF(circ_int,eq_c1/2,0))/2))+2*IF(circ_int,0,eq_c2/2)),-IF(circ_int,0,eq_c1/2)-(s_0+0*s_r+IF(circ_int,eq_c1/2,0)),IF(((1+0.5)*(4*IF(circ_int,0,eq_c1/2)+4*IF(circ_int,0,eq_c2/2)+2*PI()*(s_0+0*s_r+IF(circ_int,eq_c1/2,0)))/INDEX(lk_legs,1))&lt;((((((2*IF(circ_int,0,eq_c2/2))+(PI()*(s_0+0*s_r+IF(circ_int,eq_c1/2,0))/2))+2*IF(circ_int,0,eq_c1/2))+(PI()*(s_0+0*s_r+IF(circ_int,eq_c1/2,0))/2))+2*IF(circ_int,0,eq_c2/2))+(PI()*(s_0+0*s_r+IF(circ_int,eq_c1/2,0))/2)),-IF(circ_int,0,eq_c1/2)+(s_0+0*s_r+IF(circ_int,eq_c1/2,0))*COS(PI()+(((1+0.5)*(4*IF(circ_int,0,eq_c1/2)+4*IF(circ_int,0,eq_c2/2)+2*PI()*(s_0+0*s_r+IF(circ_int,eq_c1/2,0)))/INDEX(lk_legs,1))-(((((2*IF(circ_int,0,eq_c2/2))+(PI()*(s_0+0*s_r+IF(circ_int,eq_c1/2,0))/2))+2*IF(circ_int,0,eq_c1/2))+(PI()*(s_0+0*s_r+IF(circ_int,eq_c1/2,0))/2))+2*IF(circ_int,0,eq_c2/2)))/(s_0+0*s_r+IF(circ_int,eq_c1/2,0))),IF(((1+0.5)*(4*IF(circ_int,0,eq_c1/2)+4*IF(circ_int,0,eq_c2/2)+2*PI()*(s_0+0*s_r+IF(circ_int,eq_c1/2,0)))/INDEX(lk_legs,1))&lt;(((((((2*IF(circ_int,0,eq_c2/2))+(PI()*(s_0+0*s_r+IF(circ_int,eq_c1/2,0))/2))+2*IF(circ_int,0,eq_c1/2))+(PI()*(s_0+0*s_r+IF(circ_int,eq_c1/2,0))/2))+2*IF(circ_int,0,eq_c2/2))+(PI()*(s_0+0*s_r+IF(circ_int,eq_c1/2,0))/2))+2*IF(circ_int,0,eq_c1/2)),-IF(circ_int,0,eq_c1/2)+(((1+0.5)*(4*IF(circ_int,0,eq_c1/2)+4*IF(circ_int,0,eq_c2/2)+2*PI()*(s_0+0*s_r+IF(circ_int,eq_c1/2,0)))/INDEX(lk_legs,1))-((((((2*IF(circ_int,0,eq_c2/2))+(PI()*(s_0+0*s_r+IF(circ_int,eq_c1/2,0))/2))+2*IF(circ_int,0,eq_c1/2))+(PI()*(s_0+0*s_r+IF(circ_int,eq_c1/2,0))/2))+2*IF(circ_int,0,eq_c2/2))+(PI()*(s_0+0*s_r+IF(circ_int,eq_c1/2,0))/2))),IF(circ_int,0,eq_c1/2)+(s_0+0*s_r+IF(circ_int,eq_c1/2,0))*COS(3*PI()/2+(((1+0.5)*(4*IF(circ_int,0,eq_c1/2)+4*IF(circ_int,0,eq_c2/2)+2*PI()*(s_0+0*s_r+IF(circ_int,eq_c1/2,0)))/INDEX(lk_legs,1))-(((((((2*IF(circ_int,0,eq_c2/2))+(PI()*(s_0+0*s_r+IF(circ_int,eq_c1/2,0))/2))+2*IF(circ_int,0,eq_c1/2))+(PI()*(s_0+0*s_r+IF(circ_int,eq_c1/2,0))/2))+2*IF(circ_int,0,eq_c2/2))+(PI()*(s_0+0*s_r+IF(circ_int,eq_c1/2,0))/2))+2*IF(circ_int,0,eq_c1/2)))/(s_0+0*s_r+IF(circ_int,eq_c1/2,0)))))))))),NA())</f>
        <v/>
      </c>
      <c r="BA4">
        <f>IF(AND(AND(links_on,1&lt;=n_per),INDEX(lk_kind,1)=1,1&lt;INDEX(lk_legs,1)),g_oy+IF(((1+0.5)*(4*IF(circ_int,0,eq_c1/2)+4*IF(circ_int,0,eq_c2/2)+2*PI()*(s_0+0*s_r+IF(circ_int,eq_c1/2,0)))/INDEX(lk_legs,1))&lt;(2*IF(circ_int,0,eq_c2/2)),-IF(circ_int,0,eq_c2/2)+((1+0.5)*(4*IF(circ_int,0,eq_c1/2)+4*IF(circ_int,0,eq_c2/2)+2*PI()*(s_0+0*s_r+IF(circ_int,eq_c1/2,0)))/INDEX(lk_legs,1)),IF(((1+0.5)*(4*IF(circ_int,0,eq_c1/2)+4*IF(circ_int,0,eq_c2/2)+2*PI()*(s_0+0*s_r+IF(circ_int,eq_c1/2,0)))/INDEX(lk_legs,1))&lt;((2*IF(circ_int,0,eq_c2/2))+(PI()*(s_0+0*s_r+IF(circ_int,eq_c1/2,0))/2)),IF(circ_int,0,eq_c2/2)+(s_0+0*s_r+IF(circ_int,eq_c1/2,0))*SIN((((1+0.5)*(4*IF(circ_int,0,eq_c1/2)+4*IF(circ_int,0,eq_c2/2)+2*PI()*(s_0+0*s_r+IF(circ_int,eq_c1/2,0)))/INDEX(lk_legs,1))-(2*IF(circ_int,0,eq_c2/2)))/(s_0+0*s_r+IF(circ_int,eq_c1/2,0))),IF(((1+0.5)*(4*IF(circ_int,0,eq_c1/2)+4*IF(circ_int,0,eq_c2/2)+2*PI()*(s_0+0*s_r+IF(circ_int,eq_c1/2,0)))/INDEX(lk_legs,1))&lt;(((2*IF(circ_int,0,eq_c2/2))+(PI()*(s_0+0*s_r+IF(circ_int,eq_c1/2,0))/2))+2*IF(circ_int,0,eq_c1/2)),IF(circ_int,0,eq_c2/2)+(s_0+0*s_r+IF(circ_int,eq_c1/2,0)),IF(((1+0.5)*(4*IF(circ_int,0,eq_c1/2)+4*IF(circ_int,0,eq_c2/2)+2*PI()*(s_0+0*s_r+IF(circ_int,eq_c1/2,0)))/INDEX(lk_legs,1))&lt;((((2*IF(circ_int,0,eq_c2/2))+(PI()*(s_0+0*s_r+IF(circ_int,eq_c1/2,0))/2))+2*IF(circ_int,0,eq_c1/2))+(PI()*(s_0+0*s_r+IF(circ_int,eq_c1/2,0))/2)),IF(circ_int,0,eq_c2/2)+(s_0+0*s_r+IF(circ_int,eq_c1/2,0))*SIN(PI()/2+(((1+0.5)*(4*IF(circ_int,0,eq_c1/2)+4*IF(circ_int,0,eq_c2/2)+2*PI()*(s_0+0*s_r+IF(circ_int,eq_c1/2,0)))/INDEX(lk_legs,1))-(((2*IF(circ_int,0,eq_c2/2))+(PI()*(s_0+0*s_r+IF(circ_int,eq_c1/2,0))/2))+2*IF(circ_int,0,eq_c1/2)))/(s_0+0*s_r+IF(circ_int,eq_c1/2,0))),IF(((1+0.5)*(4*IF(circ_int,0,eq_c1/2)+4*IF(circ_int,0,eq_c2/2)+2*PI()*(s_0+0*s_r+IF(circ_int,eq_c1/2,0)))/INDEX(lk_legs,1))&lt;(((((2*IF(circ_int,0,eq_c2/2))+(PI()*(s_0+0*s_r+IF(circ_int,eq_c1/2,0))/2))+2*IF(circ_int,0,eq_c1/2))+(PI()*(s_0+0*s_r+IF(circ_int,eq_c1/2,0))/2))+2*IF(circ_int,0,eq_c2/2)),IF(circ_int,0,eq_c2/2)-(((1+0.5)*(4*IF(circ_int,0,eq_c1/2)+4*IF(circ_int,0,eq_c2/2)+2*PI()*(s_0+0*s_r+IF(circ_int,eq_c1/2,0)))/INDEX(lk_legs,1))-((((2*IF(circ_int,0,eq_c2/2))+(PI()*(s_0+0*s_r+IF(circ_int,eq_c1/2,0))/2))+2*IF(circ_int,0,eq_c1/2))+(PI()*(s_0+0*s_r+IF(circ_int,eq_c1/2,0))/2))),IF(((1+0.5)*(4*IF(circ_int,0,eq_c1/2)+4*IF(circ_int,0,eq_c2/2)+2*PI()*(s_0+0*s_r+IF(circ_int,eq_c1/2,0)))/INDEX(lk_legs,1))&lt;((((((2*IF(circ_int,0,eq_c2/2))+(PI()*(s_0+0*s_r+IF(circ_int,eq_c1/2,0))/2))+2*IF(circ_int,0,eq_c1/2))+(PI()*(s_0+0*s_r+IF(circ_int,eq_c1/2,0))/2))+2*IF(circ_int,0,eq_c2/2))+(PI()*(s_0+0*s_r+IF(circ_int,eq_c1/2,0))/2)),-IF(circ_int,0,eq_c2/2)+(s_0+0*s_r+IF(circ_int,eq_c1/2,0))*SIN(PI()+(((1+0.5)*(4*IF(circ_int,0,eq_c1/2)+4*IF(circ_int,0,eq_c2/2)+2*PI()*(s_0+0*s_r+IF(circ_int,eq_c1/2,0)))/INDEX(lk_legs,1))-(((((2*IF(circ_int,0,eq_c2/2))+(PI()*(s_0+0*s_r+IF(circ_int,eq_c1/2,0))/2))+2*IF(circ_int,0,eq_c1/2))+(PI()*(s_0+0*s_r+IF(circ_int,eq_c1/2,0))/2))+2*IF(circ_int,0,eq_c2/2)))/(s_0+0*s_r+IF(circ_int,eq_c1/2,0))),IF(((1+0.5)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(1+0.5)*(4*IF(circ_int,0,eq_c1/2)+4*IF(circ_int,0,eq_c2/2)+2*PI()*(s_0+0*s_r+IF(circ_int,eq_c1/2,0)))/INDEX(lk_legs,1))-(((((((2*IF(circ_int,0,eq_c2/2))+(PI()*(s_0+0*s_r+IF(circ_int,eq_c1/2,0))/2))+2*IF(circ_int,0,eq_c1/2))+(PI()*(s_0+0*s_r+IF(circ_int,eq_c1/2,0))/2))+2*IF(circ_int,0,eq_c2/2))+(PI()*(s_0+0*s_r+IF(circ_int,eq_c1/2,0))/2))+2*IF(circ_int,0,eq_c1/2)))/(s_0+0*s_r+IF(circ_int,eq_c1/2,0)))))))))),NA())</f>
        <v/>
      </c>
      <c r="BC4">
        <f>IF(AND(links_on,2&lt;=n_per),IF(circ_int,(g_ox)+(c_1/2+(s_0+1*s_r))*0.992709,CHOOSE(INDEX(lk_kind,2),(g_ox+eq_c1/2)+((s_0+1*s_r))*0.991445,(eq_a1+eq_c1)+((s_0+1*s_r))*0.000000,(eq_a1+eq_c1)+((s_0+1*s_r))*0.000000,(eq_a1)+((s_0+1*s_r))*-1.000000)),NA())</f>
        <v/>
      </c>
      <c r="BD4">
        <f>IF(AND(links_on,2&lt;=n_per),IF(circ_int,(g_oy)+(c_1/2+(s_0+1*s_r))*0.120537,CHOOSE(INDEX(lk_kind,2),(g_oy+eq_c2/2)+((s_0+1*s_r))*0.130526,(g_oy+eq_c2/2)+((s_0+1*s_r))*1.000000,(eq_a2+eq_c2)+((s_0+1*s_r))*1.000000,(eq_a2+eq_c2)+((s_0+1*s_r))*0.000000)),NA())</f>
        <v/>
      </c>
      <c r="BF4">
        <f>IF(AND(AND(links_on,2&lt;=n_per),INDEX(lk_kind,2)=1,1&lt;INDEX(lk_legs,2)),g_ox+IF(((1+0.5)*(4*IF(circ_int,0,eq_c1/2)+4*IF(circ_int,0,eq_c2/2)+2*PI()*(s_0+1*s_r+IF(circ_int,eq_c1/2,0)))/INDEX(lk_legs,2))&lt;(2*IF(circ_int,0,eq_c2/2)),IF(circ_int,0,eq_c1/2)+(s_0+1*s_r+IF(circ_int,eq_c1/2,0)),IF(((1+0.5)*(4*IF(circ_int,0,eq_c1/2)+4*IF(circ_int,0,eq_c2/2)+2*PI()*(s_0+1*s_r+IF(circ_int,eq_c1/2,0)))/INDEX(lk_legs,2))&lt;((2*IF(circ_int,0,eq_c2/2))+(PI()*(s_0+1*s_r+IF(circ_int,eq_c1/2,0))/2)),IF(circ_int,0,eq_c1/2)+(s_0+1*s_r+IF(circ_int,eq_c1/2,0))*COS((((1+0.5)*(4*IF(circ_int,0,eq_c1/2)+4*IF(circ_int,0,eq_c2/2)+2*PI()*(s_0+1*s_r+IF(circ_int,eq_c1/2,0)))/INDEX(lk_legs,2))-(2*IF(circ_int,0,eq_c2/2)))/(s_0+1*s_r+IF(circ_int,eq_c1/2,0))),IF(((1+0.5)*(4*IF(circ_int,0,eq_c1/2)+4*IF(circ_int,0,eq_c2/2)+2*PI()*(s_0+1*s_r+IF(circ_int,eq_c1/2,0)))/INDEX(lk_legs,2))&lt;(((2*IF(circ_int,0,eq_c2/2))+(PI()*(s_0+1*s_r+IF(circ_int,eq_c1/2,0))/2))+2*IF(circ_int,0,eq_c1/2)),IF(circ_int,0,eq_c1/2)-(((1+0.5)*(4*IF(circ_int,0,eq_c1/2)+4*IF(circ_int,0,eq_c2/2)+2*PI()*(s_0+1*s_r+IF(circ_int,eq_c1/2,0)))/INDEX(lk_legs,2))-((2*IF(circ_int,0,eq_c2/2))+(PI()*(s_0+1*s_r+IF(circ_int,eq_c1/2,0))/2))),IF(((1+0.5)*(4*IF(circ_int,0,eq_c1/2)+4*IF(circ_int,0,eq_c2/2)+2*PI()*(s_0+1*s_r+IF(circ_int,eq_c1/2,0)))/INDEX(lk_legs,2))&lt;((((2*IF(circ_int,0,eq_c2/2))+(PI()*(s_0+1*s_r+IF(circ_int,eq_c1/2,0))/2))+2*IF(circ_int,0,eq_c1/2))+(PI()*(s_0+1*s_r+IF(circ_int,eq_c1/2,0))/2)),-IF(circ_int,0,eq_c1/2)+(s_0+1*s_r+IF(circ_int,eq_c1/2,0))*COS(PI()/2+(((1+0.5)*(4*IF(circ_int,0,eq_c1/2)+4*IF(circ_int,0,eq_c2/2)+2*PI()*(s_0+1*s_r+IF(circ_int,eq_c1/2,0)))/INDEX(lk_legs,2))-(((2*IF(circ_int,0,eq_c2/2))+(PI()*(s_0+1*s_r+IF(circ_int,eq_c1/2,0))/2))+2*IF(circ_int,0,eq_c1/2)))/(s_0+1*s_r+IF(circ_int,eq_c1/2,0))),IF(((1+0.5)*(4*IF(circ_int,0,eq_c1/2)+4*IF(circ_int,0,eq_c2/2)+2*PI()*(s_0+1*s_r+IF(circ_int,eq_c1/2,0)))/INDEX(lk_legs,2))&lt;(((((2*IF(circ_int,0,eq_c2/2))+(PI()*(s_0+1*s_r+IF(circ_int,eq_c1/2,0))/2))+2*IF(circ_int,0,eq_c1/2))+(PI()*(s_0+1*s_r+IF(circ_int,eq_c1/2,0))/2))+2*IF(circ_int,0,eq_c2/2)),-IF(circ_int,0,eq_c1/2)-(s_0+1*s_r+IF(circ_int,eq_c1/2,0)),IF(((1+0.5)*(4*IF(circ_int,0,eq_c1/2)+4*IF(circ_int,0,eq_c2/2)+2*PI()*(s_0+1*s_r+IF(circ_int,eq_c1/2,0)))/INDEX(lk_legs,2))&lt;((((((2*IF(circ_int,0,eq_c2/2))+(PI()*(s_0+1*s_r+IF(circ_int,eq_c1/2,0))/2))+2*IF(circ_int,0,eq_c1/2))+(PI()*(s_0+1*s_r+IF(circ_int,eq_c1/2,0))/2))+2*IF(circ_int,0,eq_c2/2))+(PI()*(s_0+1*s_r+IF(circ_int,eq_c1/2,0))/2)),-IF(circ_int,0,eq_c1/2)+(s_0+1*s_r+IF(circ_int,eq_c1/2,0))*COS(PI()+(((1+0.5)*(4*IF(circ_int,0,eq_c1/2)+4*IF(circ_int,0,eq_c2/2)+2*PI()*(s_0+1*s_r+IF(circ_int,eq_c1/2,0)))/INDEX(lk_legs,2))-(((((2*IF(circ_int,0,eq_c2/2))+(PI()*(s_0+1*s_r+IF(circ_int,eq_c1/2,0))/2))+2*IF(circ_int,0,eq_c1/2))+(PI()*(s_0+1*s_r+IF(circ_int,eq_c1/2,0))/2))+2*IF(circ_int,0,eq_c2/2)))/(s_0+1*s_r+IF(circ_int,eq_c1/2,0))),IF(((1+0.5)*(4*IF(circ_int,0,eq_c1/2)+4*IF(circ_int,0,eq_c2/2)+2*PI()*(s_0+1*s_r+IF(circ_int,eq_c1/2,0)))/INDEX(lk_legs,2))&lt;(((((((2*IF(circ_int,0,eq_c2/2))+(PI()*(s_0+1*s_r+IF(circ_int,eq_c1/2,0))/2))+2*IF(circ_int,0,eq_c1/2))+(PI()*(s_0+1*s_r+IF(circ_int,eq_c1/2,0))/2))+2*IF(circ_int,0,eq_c2/2))+(PI()*(s_0+1*s_r+IF(circ_int,eq_c1/2,0))/2))+2*IF(circ_int,0,eq_c1/2)),-IF(circ_int,0,eq_c1/2)+(((1+0.5)*(4*IF(circ_int,0,eq_c1/2)+4*IF(circ_int,0,eq_c2/2)+2*PI()*(s_0+1*s_r+IF(circ_int,eq_c1/2,0)))/INDEX(lk_legs,2))-((((((2*IF(circ_int,0,eq_c2/2))+(PI()*(s_0+1*s_r+IF(circ_int,eq_c1/2,0))/2))+2*IF(circ_int,0,eq_c1/2))+(PI()*(s_0+1*s_r+IF(circ_int,eq_c1/2,0))/2))+2*IF(circ_int,0,eq_c2/2))+(PI()*(s_0+1*s_r+IF(circ_int,eq_c1/2,0))/2))),IF(circ_int,0,eq_c1/2)+(s_0+1*s_r+IF(circ_int,eq_c1/2,0))*COS(3*PI()/2+(((1+0.5)*(4*IF(circ_int,0,eq_c1/2)+4*IF(circ_int,0,eq_c2/2)+2*PI()*(s_0+1*s_r+IF(circ_int,eq_c1/2,0)))/INDEX(lk_legs,2))-(((((((2*IF(circ_int,0,eq_c2/2))+(PI()*(s_0+1*s_r+IF(circ_int,eq_c1/2,0))/2))+2*IF(circ_int,0,eq_c1/2))+(PI()*(s_0+1*s_r+IF(circ_int,eq_c1/2,0))/2))+2*IF(circ_int,0,eq_c2/2))+(PI()*(s_0+1*s_r+IF(circ_int,eq_c1/2,0))/2))+2*IF(circ_int,0,eq_c1/2)))/(s_0+1*s_r+IF(circ_int,eq_c1/2,0)))))))))),NA())</f>
        <v/>
      </c>
      <c r="BG4">
        <f>IF(AND(AND(links_on,2&lt;=n_per),INDEX(lk_kind,2)=1,1&lt;INDEX(lk_legs,2)),g_oy+IF(((1+0.5)*(4*IF(circ_int,0,eq_c1/2)+4*IF(circ_int,0,eq_c2/2)+2*PI()*(s_0+1*s_r+IF(circ_int,eq_c1/2,0)))/INDEX(lk_legs,2))&lt;(2*IF(circ_int,0,eq_c2/2)),-IF(circ_int,0,eq_c2/2)+((1+0.5)*(4*IF(circ_int,0,eq_c1/2)+4*IF(circ_int,0,eq_c2/2)+2*PI()*(s_0+1*s_r+IF(circ_int,eq_c1/2,0)))/INDEX(lk_legs,2)),IF(((1+0.5)*(4*IF(circ_int,0,eq_c1/2)+4*IF(circ_int,0,eq_c2/2)+2*PI()*(s_0+1*s_r+IF(circ_int,eq_c1/2,0)))/INDEX(lk_legs,2))&lt;((2*IF(circ_int,0,eq_c2/2))+(PI()*(s_0+1*s_r+IF(circ_int,eq_c1/2,0))/2)),IF(circ_int,0,eq_c2/2)+(s_0+1*s_r+IF(circ_int,eq_c1/2,0))*SIN((((1+0.5)*(4*IF(circ_int,0,eq_c1/2)+4*IF(circ_int,0,eq_c2/2)+2*PI()*(s_0+1*s_r+IF(circ_int,eq_c1/2,0)))/INDEX(lk_legs,2))-(2*IF(circ_int,0,eq_c2/2)))/(s_0+1*s_r+IF(circ_int,eq_c1/2,0))),IF(((1+0.5)*(4*IF(circ_int,0,eq_c1/2)+4*IF(circ_int,0,eq_c2/2)+2*PI()*(s_0+1*s_r+IF(circ_int,eq_c1/2,0)))/INDEX(lk_legs,2))&lt;(((2*IF(circ_int,0,eq_c2/2))+(PI()*(s_0+1*s_r+IF(circ_int,eq_c1/2,0))/2))+2*IF(circ_int,0,eq_c1/2)),IF(circ_int,0,eq_c2/2)+(s_0+1*s_r+IF(circ_int,eq_c1/2,0)),IF(((1+0.5)*(4*IF(circ_int,0,eq_c1/2)+4*IF(circ_int,0,eq_c2/2)+2*PI()*(s_0+1*s_r+IF(circ_int,eq_c1/2,0)))/INDEX(lk_legs,2))&lt;((((2*IF(circ_int,0,eq_c2/2))+(PI()*(s_0+1*s_r+IF(circ_int,eq_c1/2,0))/2))+2*IF(circ_int,0,eq_c1/2))+(PI()*(s_0+1*s_r+IF(circ_int,eq_c1/2,0))/2)),IF(circ_int,0,eq_c2/2)+(s_0+1*s_r+IF(circ_int,eq_c1/2,0))*SIN(PI()/2+(((1+0.5)*(4*IF(circ_int,0,eq_c1/2)+4*IF(circ_int,0,eq_c2/2)+2*PI()*(s_0+1*s_r+IF(circ_int,eq_c1/2,0)))/INDEX(lk_legs,2))-(((2*IF(circ_int,0,eq_c2/2))+(PI()*(s_0+1*s_r+IF(circ_int,eq_c1/2,0))/2))+2*IF(circ_int,0,eq_c1/2)))/(s_0+1*s_r+IF(circ_int,eq_c1/2,0))),IF(((1+0.5)*(4*IF(circ_int,0,eq_c1/2)+4*IF(circ_int,0,eq_c2/2)+2*PI()*(s_0+1*s_r+IF(circ_int,eq_c1/2,0)))/INDEX(lk_legs,2))&lt;(((((2*IF(circ_int,0,eq_c2/2))+(PI()*(s_0+1*s_r+IF(circ_int,eq_c1/2,0))/2))+2*IF(circ_int,0,eq_c1/2))+(PI()*(s_0+1*s_r+IF(circ_int,eq_c1/2,0))/2))+2*IF(circ_int,0,eq_c2/2)),IF(circ_int,0,eq_c2/2)-(((1+0.5)*(4*IF(circ_int,0,eq_c1/2)+4*IF(circ_int,0,eq_c2/2)+2*PI()*(s_0+1*s_r+IF(circ_int,eq_c1/2,0)))/INDEX(lk_legs,2))-((((2*IF(circ_int,0,eq_c2/2))+(PI()*(s_0+1*s_r+IF(circ_int,eq_c1/2,0))/2))+2*IF(circ_int,0,eq_c1/2))+(PI()*(s_0+1*s_r+IF(circ_int,eq_c1/2,0))/2))),IF(((1+0.5)*(4*IF(circ_int,0,eq_c1/2)+4*IF(circ_int,0,eq_c2/2)+2*PI()*(s_0+1*s_r+IF(circ_int,eq_c1/2,0)))/INDEX(lk_legs,2))&lt;((((((2*IF(circ_int,0,eq_c2/2))+(PI()*(s_0+1*s_r+IF(circ_int,eq_c1/2,0))/2))+2*IF(circ_int,0,eq_c1/2))+(PI()*(s_0+1*s_r+IF(circ_int,eq_c1/2,0))/2))+2*IF(circ_int,0,eq_c2/2))+(PI()*(s_0+1*s_r+IF(circ_int,eq_c1/2,0))/2)),-IF(circ_int,0,eq_c2/2)+(s_0+1*s_r+IF(circ_int,eq_c1/2,0))*SIN(PI()+(((1+0.5)*(4*IF(circ_int,0,eq_c1/2)+4*IF(circ_int,0,eq_c2/2)+2*PI()*(s_0+1*s_r+IF(circ_int,eq_c1/2,0)))/INDEX(lk_legs,2))-(((((2*IF(circ_int,0,eq_c2/2))+(PI()*(s_0+1*s_r+IF(circ_int,eq_c1/2,0))/2))+2*IF(circ_int,0,eq_c1/2))+(PI()*(s_0+1*s_r+IF(circ_int,eq_c1/2,0))/2))+2*IF(circ_int,0,eq_c2/2)))/(s_0+1*s_r+IF(circ_int,eq_c1/2,0))),IF(((1+0.5)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(1+0.5)*(4*IF(circ_int,0,eq_c1/2)+4*IF(circ_int,0,eq_c2/2)+2*PI()*(s_0+1*s_r+IF(circ_int,eq_c1/2,0)))/INDEX(lk_legs,2))-(((((((2*IF(circ_int,0,eq_c2/2))+(PI()*(s_0+1*s_r+IF(circ_int,eq_c1/2,0))/2))+2*IF(circ_int,0,eq_c1/2))+(PI()*(s_0+1*s_r+IF(circ_int,eq_c1/2,0))/2))+2*IF(circ_int,0,eq_c2/2))+(PI()*(s_0+1*s_r+IF(circ_int,eq_c1/2,0))/2))+2*IF(circ_int,0,eq_c1/2)))/(s_0+1*s_r+IF(circ_int,eq_c1/2,0)))))))))),NA())</f>
        <v/>
      </c>
      <c r="BI4">
        <f>IF(AND(links_on,3&lt;=n_per),IF(circ_int,(g_ox)+(c_1/2+(s_0+2*s_r))*0.992709,CHOOSE(INDEX(lk_kind,3),(g_ox+eq_c1/2)+((s_0+2*s_r))*0.991445,(eq_a1+eq_c1)+((s_0+2*s_r))*0.000000,(eq_a1+eq_c1)+((s_0+2*s_r))*0.000000,(eq_a1)+((s_0+2*s_r))*-1.000000)),NA())</f>
        <v/>
      </c>
      <c r="BJ4">
        <f>IF(AND(links_on,3&lt;=n_per),IF(circ_int,(g_oy)+(c_1/2+(s_0+2*s_r))*0.120537,CHOOSE(INDEX(lk_kind,3),(g_oy+eq_c2/2)+((s_0+2*s_r))*0.130526,(g_oy+eq_c2/2)+((s_0+2*s_r))*1.000000,(eq_a2+eq_c2)+((s_0+2*s_r))*1.000000,(eq_a2+eq_c2)+((s_0+2*s_r))*0.000000)),NA())</f>
        <v/>
      </c>
      <c r="BL4">
        <f>IF(AND(AND(links_on,3&lt;=n_per),INDEX(lk_kind,3)=1,1&lt;INDEX(lk_legs,3)),g_ox+IF(((1+0.5)*(4*IF(circ_int,0,eq_c1/2)+4*IF(circ_int,0,eq_c2/2)+2*PI()*(s_0+2*s_r+IF(circ_int,eq_c1/2,0)))/INDEX(lk_legs,3))&lt;(2*IF(circ_int,0,eq_c2/2)),IF(circ_int,0,eq_c1/2)+(s_0+2*s_r+IF(circ_int,eq_c1/2,0)),IF(((1+0.5)*(4*IF(circ_int,0,eq_c1/2)+4*IF(circ_int,0,eq_c2/2)+2*PI()*(s_0+2*s_r+IF(circ_int,eq_c1/2,0)))/INDEX(lk_legs,3))&lt;((2*IF(circ_int,0,eq_c2/2))+(PI()*(s_0+2*s_r+IF(circ_int,eq_c1/2,0))/2)),IF(circ_int,0,eq_c1/2)+(s_0+2*s_r+IF(circ_int,eq_c1/2,0))*COS((((1+0.5)*(4*IF(circ_int,0,eq_c1/2)+4*IF(circ_int,0,eq_c2/2)+2*PI()*(s_0+2*s_r+IF(circ_int,eq_c1/2,0)))/INDEX(lk_legs,3))-(2*IF(circ_int,0,eq_c2/2)))/(s_0+2*s_r+IF(circ_int,eq_c1/2,0))),IF(((1+0.5)*(4*IF(circ_int,0,eq_c1/2)+4*IF(circ_int,0,eq_c2/2)+2*PI()*(s_0+2*s_r+IF(circ_int,eq_c1/2,0)))/INDEX(lk_legs,3))&lt;(((2*IF(circ_int,0,eq_c2/2))+(PI()*(s_0+2*s_r+IF(circ_int,eq_c1/2,0))/2))+2*IF(circ_int,0,eq_c1/2)),IF(circ_int,0,eq_c1/2)-(((1+0.5)*(4*IF(circ_int,0,eq_c1/2)+4*IF(circ_int,0,eq_c2/2)+2*PI()*(s_0+2*s_r+IF(circ_int,eq_c1/2,0)))/INDEX(lk_legs,3))-((2*IF(circ_int,0,eq_c2/2))+(PI()*(s_0+2*s_r+IF(circ_int,eq_c1/2,0))/2))),IF(((1+0.5)*(4*IF(circ_int,0,eq_c1/2)+4*IF(circ_int,0,eq_c2/2)+2*PI()*(s_0+2*s_r+IF(circ_int,eq_c1/2,0)))/INDEX(lk_legs,3))&lt;((((2*IF(circ_int,0,eq_c2/2))+(PI()*(s_0+2*s_r+IF(circ_int,eq_c1/2,0))/2))+2*IF(circ_int,0,eq_c1/2))+(PI()*(s_0+2*s_r+IF(circ_int,eq_c1/2,0))/2)),-IF(circ_int,0,eq_c1/2)+(s_0+2*s_r+IF(circ_int,eq_c1/2,0))*COS(PI()/2+(((1+0.5)*(4*IF(circ_int,0,eq_c1/2)+4*IF(circ_int,0,eq_c2/2)+2*PI()*(s_0+2*s_r+IF(circ_int,eq_c1/2,0)))/INDEX(lk_legs,3))-(((2*IF(circ_int,0,eq_c2/2))+(PI()*(s_0+2*s_r+IF(circ_int,eq_c1/2,0))/2))+2*IF(circ_int,0,eq_c1/2)))/(s_0+2*s_r+IF(circ_int,eq_c1/2,0))),IF(((1+0.5)*(4*IF(circ_int,0,eq_c1/2)+4*IF(circ_int,0,eq_c2/2)+2*PI()*(s_0+2*s_r+IF(circ_int,eq_c1/2,0)))/INDEX(lk_legs,3))&lt;(((((2*IF(circ_int,0,eq_c2/2))+(PI()*(s_0+2*s_r+IF(circ_int,eq_c1/2,0))/2))+2*IF(circ_int,0,eq_c1/2))+(PI()*(s_0+2*s_r+IF(circ_int,eq_c1/2,0))/2))+2*IF(circ_int,0,eq_c2/2)),-IF(circ_int,0,eq_c1/2)-(s_0+2*s_r+IF(circ_int,eq_c1/2,0)),IF(((1+0.5)*(4*IF(circ_int,0,eq_c1/2)+4*IF(circ_int,0,eq_c2/2)+2*PI()*(s_0+2*s_r+IF(circ_int,eq_c1/2,0)))/INDEX(lk_legs,3))&lt;((((((2*IF(circ_int,0,eq_c2/2))+(PI()*(s_0+2*s_r+IF(circ_int,eq_c1/2,0))/2))+2*IF(circ_int,0,eq_c1/2))+(PI()*(s_0+2*s_r+IF(circ_int,eq_c1/2,0))/2))+2*IF(circ_int,0,eq_c2/2))+(PI()*(s_0+2*s_r+IF(circ_int,eq_c1/2,0))/2)),-IF(circ_int,0,eq_c1/2)+(s_0+2*s_r+IF(circ_int,eq_c1/2,0))*COS(PI()+(((1+0.5)*(4*IF(circ_int,0,eq_c1/2)+4*IF(circ_int,0,eq_c2/2)+2*PI()*(s_0+2*s_r+IF(circ_int,eq_c1/2,0)))/INDEX(lk_legs,3))-(((((2*IF(circ_int,0,eq_c2/2))+(PI()*(s_0+2*s_r+IF(circ_int,eq_c1/2,0))/2))+2*IF(circ_int,0,eq_c1/2))+(PI()*(s_0+2*s_r+IF(circ_int,eq_c1/2,0))/2))+2*IF(circ_int,0,eq_c2/2)))/(s_0+2*s_r+IF(circ_int,eq_c1/2,0))),IF(((1+0.5)*(4*IF(circ_int,0,eq_c1/2)+4*IF(circ_int,0,eq_c2/2)+2*PI()*(s_0+2*s_r+IF(circ_int,eq_c1/2,0)))/INDEX(lk_legs,3))&lt;(((((((2*IF(circ_int,0,eq_c2/2))+(PI()*(s_0+2*s_r+IF(circ_int,eq_c1/2,0))/2))+2*IF(circ_int,0,eq_c1/2))+(PI()*(s_0+2*s_r+IF(circ_int,eq_c1/2,0))/2))+2*IF(circ_int,0,eq_c2/2))+(PI()*(s_0+2*s_r+IF(circ_int,eq_c1/2,0))/2))+2*IF(circ_int,0,eq_c1/2)),-IF(circ_int,0,eq_c1/2)+(((1+0.5)*(4*IF(circ_int,0,eq_c1/2)+4*IF(circ_int,0,eq_c2/2)+2*PI()*(s_0+2*s_r+IF(circ_int,eq_c1/2,0)))/INDEX(lk_legs,3))-((((((2*IF(circ_int,0,eq_c2/2))+(PI()*(s_0+2*s_r+IF(circ_int,eq_c1/2,0))/2))+2*IF(circ_int,0,eq_c1/2))+(PI()*(s_0+2*s_r+IF(circ_int,eq_c1/2,0))/2))+2*IF(circ_int,0,eq_c2/2))+(PI()*(s_0+2*s_r+IF(circ_int,eq_c1/2,0))/2))),IF(circ_int,0,eq_c1/2)+(s_0+2*s_r+IF(circ_int,eq_c1/2,0))*COS(3*PI()/2+(((1+0.5)*(4*IF(circ_int,0,eq_c1/2)+4*IF(circ_int,0,eq_c2/2)+2*PI()*(s_0+2*s_r+IF(circ_int,eq_c1/2,0)))/INDEX(lk_legs,3))-(((((((2*IF(circ_int,0,eq_c2/2))+(PI()*(s_0+2*s_r+IF(circ_int,eq_c1/2,0))/2))+2*IF(circ_int,0,eq_c1/2))+(PI()*(s_0+2*s_r+IF(circ_int,eq_c1/2,0))/2))+2*IF(circ_int,0,eq_c2/2))+(PI()*(s_0+2*s_r+IF(circ_int,eq_c1/2,0))/2))+2*IF(circ_int,0,eq_c1/2)))/(s_0+2*s_r+IF(circ_int,eq_c1/2,0)))))))))),NA())</f>
        <v/>
      </c>
      <c r="BM4">
        <f>IF(AND(AND(links_on,3&lt;=n_per),INDEX(lk_kind,3)=1,1&lt;INDEX(lk_legs,3)),g_oy+IF(((1+0.5)*(4*IF(circ_int,0,eq_c1/2)+4*IF(circ_int,0,eq_c2/2)+2*PI()*(s_0+2*s_r+IF(circ_int,eq_c1/2,0)))/INDEX(lk_legs,3))&lt;(2*IF(circ_int,0,eq_c2/2)),-IF(circ_int,0,eq_c2/2)+((1+0.5)*(4*IF(circ_int,0,eq_c1/2)+4*IF(circ_int,0,eq_c2/2)+2*PI()*(s_0+2*s_r+IF(circ_int,eq_c1/2,0)))/INDEX(lk_legs,3)),IF(((1+0.5)*(4*IF(circ_int,0,eq_c1/2)+4*IF(circ_int,0,eq_c2/2)+2*PI()*(s_0+2*s_r+IF(circ_int,eq_c1/2,0)))/INDEX(lk_legs,3))&lt;((2*IF(circ_int,0,eq_c2/2))+(PI()*(s_0+2*s_r+IF(circ_int,eq_c1/2,0))/2)),IF(circ_int,0,eq_c2/2)+(s_0+2*s_r+IF(circ_int,eq_c1/2,0))*SIN((((1+0.5)*(4*IF(circ_int,0,eq_c1/2)+4*IF(circ_int,0,eq_c2/2)+2*PI()*(s_0+2*s_r+IF(circ_int,eq_c1/2,0)))/INDEX(lk_legs,3))-(2*IF(circ_int,0,eq_c2/2)))/(s_0+2*s_r+IF(circ_int,eq_c1/2,0))),IF(((1+0.5)*(4*IF(circ_int,0,eq_c1/2)+4*IF(circ_int,0,eq_c2/2)+2*PI()*(s_0+2*s_r+IF(circ_int,eq_c1/2,0)))/INDEX(lk_legs,3))&lt;(((2*IF(circ_int,0,eq_c2/2))+(PI()*(s_0+2*s_r+IF(circ_int,eq_c1/2,0))/2))+2*IF(circ_int,0,eq_c1/2)),IF(circ_int,0,eq_c2/2)+(s_0+2*s_r+IF(circ_int,eq_c1/2,0)),IF(((1+0.5)*(4*IF(circ_int,0,eq_c1/2)+4*IF(circ_int,0,eq_c2/2)+2*PI()*(s_0+2*s_r+IF(circ_int,eq_c1/2,0)))/INDEX(lk_legs,3))&lt;((((2*IF(circ_int,0,eq_c2/2))+(PI()*(s_0+2*s_r+IF(circ_int,eq_c1/2,0))/2))+2*IF(circ_int,0,eq_c1/2))+(PI()*(s_0+2*s_r+IF(circ_int,eq_c1/2,0))/2)),IF(circ_int,0,eq_c2/2)+(s_0+2*s_r+IF(circ_int,eq_c1/2,0))*SIN(PI()/2+(((1+0.5)*(4*IF(circ_int,0,eq_c1/2)+4*IF(circ_int,0,eq_c2/2)+2*PI()*(s_0+2*s_r+IF(circ_int,eq_c1/2,0)))/INDEX(lk_legs,3))-(((2*IF(circ_int,0,eq_c2/2))+(PI()*(s_0+2*s_r+IF(circ_int,eq_c1/2,0))/2))+2*IF(circ_int,0,eq_c1/2)))/(s_0+2*s_r+IF(circ_int,eq_c1/2,0))),IF(((1+0.5)*(4*IF(circ_int,0,eq_c1/2)+4*IF(circ_int,0,eq_c2/2)+2*PI()*(s_0+2*s_r+IF(circ_int,eq_c1/2,0)))/INDEX(lk_legs,3))&lt;(((((2*IF(circ_int,0,eq_c2/2))+(PI()*(s_0+2*s_r+IF(circ_int,eq_c1/2,0))/2))+2*IF(circ_int,0,eq_c1/2))+(PI()*(s_0+2*s_r+IF(circ_int,eq_c1/2,0))/2))+2*IF(circ_int,0,eq_c2/2)),IF(circ_int,0,eq_c2/2)-(((1+0.5)*(4*IF(circ_int,0,eq_c1/2)+4*IF(circ_int,0,eq_c2/2)+2*PI()*(s_0+2*s_r+IF(circ_int,eq_c1/2,0)))/INDEX(lk_legs,3))-((((2*IF(circ_int,0,eq_c2/2))+(PI()*(s_0+2*s_r+IF(circ_int,eq_c1/2,0))/2))+2*IF(circ_int,0,eq_c1/2))+(PI()*(s_0+2*s_r+IF(circ_int,eq_c1/2,0))/2))),IF(((1+0.5)*(4*IF(circ_int,0,eq_c1/2)+4*IF(circ_int,0,eq_c2/2)+2*PI()*(s_0+2*s_r+IF(circ_int,eq_c1/2,0)))/INDEX(lk_legs,3))&lt;((((((2*IF(circ_int,0,eq_c2/2))+(PI()*(s_0+2*s_r+IF(circ_int,eq_c1/2,0))/2))+2*IF(circ_int,0,eq_c1/2))+(PI()*(s_0+2*s_r+IF(circ_int,eq_c1/2,0))/2))+2*IF(circ_int,0,eq_c2/2))+(PI()*(s_0+2*s_r+IF(circ_int,eq_c1/2,0))/2)),-IF(circ_int,0,eq_c2/2)+(s_0+2*s_r+IF(circ_int,eq_c1/2,0))*SIN(PI()+(((1+0.5)*(4*IF(circ_int,0,eq_c1/2)+4*IF(circ_int,0,eq_c2/2)+2*PI()*(s_0+2*s_r+IF(circ_int,eq_c1/2,0)))/INDEX(lk_legs,3))-(((((2*IF(circ_int,0,eq_c2/2))+(PI()*(s_0+2*s_r+IF(circ_int,eq_c1/2,0))/2))+2*IF(circ_int,0,eq_c1/2))+(PI()*(s_0+2*s_r+IF(circ_int,eq_c1/2,0))/2))+2*IF(circ_int,0,eq_c2/2)))/(s_0+2*s_r+IF(circ_int,eq_c1/2,0))),IF(((1+0.5)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(1+0.5)*(4*IF(circ_int,0,eq_c1/2)+4*IF(circ_int,0,eq_c2/2)+2*PI()*(s_0+2*s_r+IF(circ_int,eq_c1/2,0)))/INDEX(lk_legs,3))-(((((((2*IF(circ_int,0,eq_c2/2))+(PI()*(s_0+2*s_r+IF(circ_int,eq_c1/2,0))/2))+2*IF(circ_int,0,eq_c1/2))+(PI()*(s_0+2*s_r+IF(circ_int,eq_c1/2,0))/2))+2*IF(circ_int,0,eq_c2/2))+(PI()*(s_0+2*s_r+IF(circ_int,eq_c1/2,0))/2))+2*IF(circ_int,0,eq_c1/2)))/(s_0+2*s_r+IF(circ_int,eq_c1/2,0)))))))))),NA())</f>
        <v/>
      </c>
      <c r="BO4">
        <f>IF(AND(links_on,4&lt;=n_per),IF(circ_int,(g_ox)+(c_1/2+(s_0+3*s_r))*0.992709,CHOOSE(INDEX(lk_kind,4),(g_ox+eq_c1/2)+((s_0+3*s_r))*0.991445,(eq_a1+eq_c1)+((s_0+3*s_r))*0.000000,(eq_a1+eq_c1)+((s_0+3*s_r))*0.000000,(eq_a1)+((s_0+3*s_r))*-1.000000)),NA())</f>
        <v/>
      </c>
      <c r="BP4">
        <f>IF(AND(links_on,4&lt;=n_per),IF(circ_int,(g_oy)+(c_1/2+(s_0+3*s_r))*0.120537,CHOOSE(INDEX(lk_kind,4),(g_oy+eq_c2/2)+((s_0+3*s_r))*0.130526,(g_oy+eq_c2/2)+((s_0+3*s_r))*1.000000,(eq_a2+eq_c2)+((s_0+3*s_r))*1.000000,(eq_a2+eq_c2)+((s_0+3*s_r))*0.000000)),NA())</f>
        <v/>
      </c>
      <c r="BR4">
        <f>IF(AND(AND(links_on,4&lt;=n_per),INDEX(lk_kind,4)=1,1&lt;INDEX(lk_legs,4)),g_ox+IF(((1+0.5)*(4*IF(circ_int,0,eq_c1/2)+4*IF(circ_int,0,eq_c2/2)+2*PI()*(s_0+3*s_r+IF(circ_int,eq_c1/2,0)))/INDEX(lk_legs,4))&lt;(2*IF(circ_int,0,eq_c2/2)),IF(circ_int,0,eq_c1/2)+(s_0+3*s_r+IF(circ_int,eq_c1/2,0)),IF(((1+0.5)*(4*IF(circ_int,0,eq_c1/2)+4*IF(circ_int,0,eq_c2/2)+2*PI()*(s_0+3*s_r+IF(circ_int,eq_c1/2,0)))/INDEX(lk_legs,4))&lt;((2*IF(circ_int,0,eq_c2/2))+(PI()*(s_0+3*s_r+IF(circ_int,eq_c1/2,0))/2)),IF(circ_int,0,eq_c1/2)+(s_0+3*s_r+IF(circ_int,eq_c1/2,0))*COS((((1+0.5)*(4*IF(circ_int,0,eq_c1/2)+4*IF(circ_int,0,eq_c2/2)+2*PI()*(s_0+3*s_r+IF(circ_int,eq_c1/2,0)))/INDEX(lk_legs,4))-(2*IF(circ_int,0,eq_c2/2)))/(s_0+3*s_r+IF(circ_int,eq_c1/2,0))),IF(((1+0.5)*(4*IF(circ_int,0,eq_c1/2)+4*IF(circ_int,0,eq_c2/2)+2*PI()*(s_0+3*s_r+IF(circ_int,eq_c1/2,0)))/INDEX(lk_legs,4))&lt;(((2*IF(circ_int,0,eq_c2/2))+(PI()*(s_0+3*s_r+IF(circ_int,eq_c1/2,0))/2))+2*IF(circ_int,0,eq_c1/2)),IF(circ_int,0,eq_c1/2)-(((1+0.5)*(4*IF(circ_int,0,eq_c1/2)+4*IF(circ_int,0,eq_c2/2)+2*PI()*(s_0+3*s_r+IF(circ_int,eq_c1/2,0)))/INDEX(lk_legs,4))-((2*IF(circ_int,0,eq_c2/2))+(PI()*(s_0+3*s_r+IF(circ_int,eq_c1/2,0))/2))),IF(((1+0.5)*(4*IF(circ_int,0,eq_c1/2)+4*IF(circ_int,0,eq_c2/2)+2*PI()*(s_0+3*s_r+IF(circ_int,eq_c1/2,0)))/INDEX(lk_legs,4))&lt;((((2*IF(circ_int,0,eq_c2/2))+(PI()*(s_0+3*s_r+IF(circ_int,eq_c1/2,0))/2))+2*IF(circ_int,0,eq_c1/2))+(PI()*(s_0+3*s_r+IF(circ_int,eq_c1/2,0))/2)),-IF(circ_int,0,eq_c1/2)+(s_0+3*s_r+IF(circ_int,eq_c1/2,0))*COS(PI()/2+(((1+0.5)*(4*IF(circ_int,0,eq_c1/2)+4*IF(circ_int,0,eq_c2/2)+2*PI()*(s_0+3*s_r+IF(circ_int,eq_c1/2,0)))/INDEX(lk_legs,4))-(((2*IF(circ_int,0,eq_c2/2))+(PI()*(s_0+3*s_r+IF(circ_int,eq_c1/2,0))/2))+2*IF(circ_int,0,eq_c1/2)))/(s_0+3*s_r+IF(circ_int,eq_c1/2,0))),IF(((1+0.5)*(4*IF(circ_int,0,eq_c1/2)+4*IF(circ_int,0,eq_c2/2)+2*PI()*(s_0+3*s_r+IF(circ_int,eq_c1/2,0)))/INDEX(lk_legs,4))&lt;(((((2*IF(circ_int,0,eq_c2/2))+(PI()*(s_0+3*s_r+IF(circ_int,eq_c1/2,0))/2))+2*IF(circ_int,0,eq_c1/2))+(PI()*(s_0+3*s_r+IF(circ_int,eq_c1/2,0))/2))+2*IF(circ_int,0,eq_c2/2)),-IF(circ_int,0,eq_c1/2)-(s_0+3*s_r+IF(circ_int,eq_c1/2,0)),IF(((1+0.5)*(4*IF(circ_int,0,eq_c1/2)+4*IF(circ_int,0,eq_c2/2)+2*PI()*(s_0+3*s_r+IF(circ_int,eq_c1/2,0)))/INDEX(lk_legs,4))&lt;((((((2*IF(circ_int,0,eq_c2/2))+(PI()*(s_0+3*s_r+IF(circ_int,eq_c1/2,0))/2))+2*IF(circ_int,0,eq_c1/2))+(PI()*(s_0+3*s_r+IF(circ_int,eq_c1/2,0))/2))+2*IF(circ_int,0,eq_c2/2))+(PI()*(s_0+3*s_r+IF(circ_int,eq_c1/2,0))/2)),-IF(circ_int,0,eq_c1/2)+(s_0+3*s_r+IF(circ_int,eq_c1/2,0))*COS(PI()+(((1+0.5)*(4*IF(circ_int,0,eq_c1/2)+4*IF(circ_int,0,eq_c2/2)+2*PI()*(s_0+3*s_r+IF(circ_int,eq_c1/2,0)))/INDEX(lk_legs,4))-(((((2*IF(circ_int,0,eq_c2/2))+(PI()*(s_0+3*s_r+IF(circ_int,eq_c1/2,0))/2))+2*IF(circ_int,0,eq_c1/2))+(PI()*(s_0+3*s_r+IF(circ_int,eq_c1/2,0))/2))+2*IF(circ_int,0,eq_c2/2)))/(s_0+3*s_r+IF(circ_int,eq_c1/2,0))),IF(((1+0.5)*(4*IF(circ_int,0,eq_c1/2)+4*IF(circ_int,0,eq_c2/2)+2*PI()*(s_0+3*s_r+IF(circ_int,eq_c1/2,0)))/INDEX(lk_legs,4))&lt;(((((((2*IF(circ_int,0,eq_c2/2))+(PI()*(s_0+3*s_r+IF(circ_int,eq_c1/2,0))/2))+2*IF(circ_int,0,eq_c1/2))+(PI()*(s_0+3*s_r+IF(circ_int,eq_c1/2,0))/2))+2*IF(circ_int,0,eq_c2/2))+(PI()*(s_0+3*s_r+IF(circ_int,eq_c1/2,0))/2))+2*IF(circ_int,0,eq_c1/2)),-IF(circ_int,0,eq_c1/2)+(((1+0.5)*(4*IF(circ_int,0,eq_c1/2)+4*IF(circ_int,0,eq_c2/2)+2*PI()*(s_0+3*s_r+IF(circ_int,eq_c1/2,0)))/INDEX(lk_legs,4))-((((((2*IF(circ_int,0,eq_c2/2))+(PI()*(s_0+3*s_r+IF(circ_int,eq_c1/2,0))/2))+2*IF(circ_int,0,eq_c1/2))+(PI()*(s_0+3*s_r+IF(circ_int,eq_c1/2,0))/2))+2*IF(circ_int,0,eq_c2/2))+(PI()*(s_0+3*s_r+IF(circ_int,eq_c1/2,0))/2))),IF(circ_int,0,eq_c1/2)+(s_0+3*s_r+IF(circ_int,eq_c1/2,0))*COS(3*PI()/2+(((1+0.5)*(4*IF(circ_int,0,eq_c1/2)+4*IF(circ_int,0,eq_c2/2)+2*PI()*(s_0+3*s_r+IF(circ_int,eq_c1/2,0)))/INDEX(lk_legs,4))-(((((((2*IF(circ_int,0,eq_c2/2))+(PI()*(s_0+3*s_r+IF(circ_int,eq_c1/2,0))/2))+2*IF(circ_int,0,eq_c1/2))+(PI()*(s_0+3*s_r+IF(circ_int,eq_c1/2,0))/2))+2*IF(circ_int,0,eq_c2/2))+(PI()*(s_0+3*s_r+IF(circ_int,eq_c1/2,0))/2))+2*IF(circ_int,0,eq_c1/2)))/(s_0+3*s_r+IF(circ_int,eq_c1/2,0)))))))))),NA())</f>
        <v/>
      </c>
      <c r="BS4">
        <f>IF(AND(AND(links_on,4&lt;=n_per),INDEX(lk_kind,4)=1,1&lt;INDEX(lk_legs,4)),g_oy+IF(((1+0.5)*(4*IF(circ_int,0,eq_c1/2)+4*IF(circ_int,0,eq_c2/2)+2*PI()*(s_0+3*s_r+IF(circ_int,eq_c1/2,0)))/INDEX(lk_legs,4))&lt;(2*IF(circ_int,0,eq_c2/2)),-IF(circ_int,0,eq_c2/2)+((1+0.5)*(4*IF(circ_int,0,eq_c1/2)+4*IF(circ_int,0,eq_c2/2)+2*PI()*(s_0+3*s_r+IF(circ_int,eq_c1/2,0)))/INDEX(lk_legs,4)),IF(((1+0.5)*(4*IF(circ_int,0,eq_c1/2)+4*IF(circ_int,0,eq_c2/2)+2*PI()*(s_0+3*s_r+IF(circ_int,eq_c1/2,0)))/INDEX(lk_legs,4))&lt;((2*IF(circ_int,0,eq_c2/2))+(PI()*(s_0+3*s_r+IF(circ_int,eq_c1/2,0))/2)),IF(circ_int,0,eq_c2/2)+(s_0+3*s_r+IF(circ_int,eq_c1/2,0))*SIN((((1+0.5)*(4*IF(circ_int,0,eq_c1/2)+4*IF(circ_int,0,eq_c2/2)+2*PI()*(s_0+3*s_r+IF(circ_int,eq_c1/2,0)))/INDEX(lk_legs,4))-(2*IF(circ_int,0,eq_c2/2)))/(s_0+3*s_r+IF(circ_int,eq_c1/2,0))),IF(((1+0.5)*(4*IF(circ_int,0,eq_c1/2)+4*IF(circ_int,0,eq_c2/2)+2*PI()*(s_0+3*s_r+IF(circ_int,eq_c1/2,0)))/INDEX(lk_legs,4))&lt;(((2*IF(circ_int,0,eq_c2/2))+(PI()*(s_0+3*s_r+IF(circ_int,eq_c1/2,0))/2))+2*IF(circ_int,0,eq_c1/2)),IF(circ_int,0,eq_c2/2)+(s_0+3*s_r+IF(circ_int,eq_c1/2,0)),IF(((1+0.5)*(4*IF(circ_int,0,eq_c1/2)+4*IF(circ_int,0,eq_c2/2)+2*PI()*(s_0+3*s_r+IF(circ_int,eq_c1/2,0)))/INDEX(lk_legs,4))&lt;((((2*IF(circ_int,0,eq_c2/2))+(PI()*(s_0+3*s_r+IF(circ_int,eq_c1/2,0))/2))+2*IF(circ_int,0,eq_c1/2))+(PI()*(s_0+3*s_r+IF(circ_int,eq_c1/2,0))/2)),IF(circ_int,0,eq_c2/2)+(s_0+3*s_r+IF(circ_int,eq_c1/2,0))*SIN(PI()/2+(((1+0.5)*(4*IF(circ_int,0,eq_c1/2)+4*IF(circ_int,0,eq_c2/2)+2*PI()*(s_0+3*s_r+IF(circ_int,eq_c1/2,0)))/INDEX(lk_legs,4))-(((2*IF(circ_int,0,eq_c2/2))+(PI()*(s_0+3*s_r+IF(circ_int,eq_c1/2,0))/2))+2*IF(circ_int,0,eq_c1/2)))/(s_0+3*s_r+IF(circ_int,eq_c1/2,0))),IF(((1+0.5)*(4*IF(circ_int,0,eq_c1/2)+4*IF(circ_int,0,eq_c2/2)+2*PI()*(s_0+3*s_r+IF(circ_int,eq_c1/2,0)))/INDEX(lk_legs,4))&lt;(((((2*IF(circ_int,0,eq_c2/2))+(PI()*(s_0+3*s_r+IF(circ_int,eq_c1/2,0))/2))+2*IF(circ_int,0,eq_c1/2))+(PI()*(s_0+3*s_r+IF(circ_int,eq_c1/2,0))/2))+2*IF(circ_int,0,eq_c2/2)),IF(circ_int,0,eq_c2/2)-(((1+0.5)*(4*IF(circ_int,0,eq_c1/2)+4*IF(circ_int,0,eq_c2/2)+2*PI()*(s_0+3*s_r+IF(circ_int,eq_c1/2,0)))/INDEX(lk_legs,4))-((((2*IF(circ_int,0,eq_c2/2))+(PI()*(s_0+3*s_r+IF(circ_int,eq_c1/2,0))/2))+2*IF(circ_int,0,eq_c1/2))+(PI()*(s_0+3*s_r+IF(circ_int,eq_c1/2,0))/2))),IF(((1+0.5)*(4*IF(circ_int,0,eq_c1/2)+4*IF(circ_int,0,eq_c2/2)+2*PI()*(s_0+3*s_r+IF(circ_int,eq_c1/2,0)))/INDEX(lk_legs,4))&lt;((((((2*IF(circ_int,0,eq_c2/2))+(PI()*(s_0+3*s_r+IF(circ_int,eq_c1/2,0))/2))+2*IF(circ_int,0,eq_c1/2))+(PI()*(s_0+3*s_r+IF(circ_int,eq_c1/2,0))/2))+2*IF(circ_int,0,eq_c2/2))+(PI()*(s_0+3*s_r+IF(circ_int,eq_c1/2,0))/2)),-IF(circ_int,0,eq_c2/2)+(s_0+3*s_r+IF(circ_int,eq_c1/2,0))*SIN(PI()+(((1+0.5)*(4*IF(circ_int,0,eq_c1/2)+4*IF(circ_int,0,eq_c2/2)+2*PI()*(s_0+3*s_r+IF(circ_int,eq_c1/2,0)))/INDEX(lk_legs,4))-(((((2*IF(circ_int,0,eq_c2/2))+(PI()*(s_0+3*s_r+IF(circ_int,eq_c1/2,0))/2))+2*IF(circ_int,0,eq_c1/2))+(PI()*(s_0+3*s_r+IF(circ_int,eq_c1/2,0))/2))+2*IF(circ_int,0,eq_c2/2)))/(s_0+3*s_r+IF(circ_int,eq_c1/2,0))),IF(((1+0.5)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(1+0.5)*(4*IF(circ_int,0,eq_c1/2)+4*IF(circ_int,0,eq_c2/2)+2*PI()*(s_0+3*s_r+IF(circ_int,eq_c1/2,0)))/INDEX(lk_legs,4))-(((((((2*IF(circ_int,0,eq_c2/2))+(PI()*(s_0+3*s_r+IF(circ_int,eq_c1/2,0))/2))+2*IF(circ_int,0,eq_c1/2))+(PI()*(s_0+3*s_r+IF(circ_int,eq_c1/2,0))/2))+2*IF(circ_int,0,eq_c2/2))+(PI()*(s_0+3*s_r+IF(circ_int,eq_c1/2,0))/2))+2*IF(circ_int,0,eq_c1/2)))/(s_0+3*s_r+IF(circ_int,eq_c1/2,0)))))))))),NA())</f>
        <v/>
      </c>
      <c r="BU4">
        <f>IF(AND(links_on,5&lt;=n_per),IF(circ_int,(g_ox)+(c_1/2+(s_0+4*s_r))*0.992709,CHOOSE(INDEX(lk_kind,5),(g_ox+eq_c1/2)+((s_0+4*s_r))*0.991445,(eq_a1+eq_c1)+((s_0+4*s_r))*0.000000,(eq_a1+eq_c1)+((s_0+4*s_r))*0.000000,(eq_a1)+((s_0+4*s_r))*-1.000000)),NA())</f>
        <v/>
      </c>
      <c r="BV4">
        <f>IF(AND(links_on,5&lt;=n_per),IF(circ_int,(g_oy)+(c_1/2+(s_0+4*s_r))*0.120537,CHOOSE(INDEX(lk_kind,5),(g_oy+eq_c2/2)+((s_0+4*s_r))*0.130526,(g_oy+eq_c2/2)+((s_0+4*s_r))*1.000000,(eq_a2+eq_c2)+((s_0+4*s_r))*1.000000,(eq_a2+eq_c2)+((s_0+4*s_r))*0.000000)),NA())</f>
        <v/>
      </c>
      <c r="BX4">
        <f>IF(AND(AND(links_on,5&lt;=n_per),INDEX(lk_kind,5)=1,1&lt;INDEX(lk_legs,5)),g_ox+IF(((1+0.5)*(4*IF(circ_int,0,eq_c1/2)+4*IF(circ_int,0,eq_c2/2)+2*PI()*(s_0+4*s_r+IF(circ_int,eq_c1/2,0)))/INDEX(lk_legs,5))&lt;(2*IF(circ_int,0,eq_c2/2)),IF(circ_int,0,eq_c1/2)+(s_0+4*s_r+IF(circ_int,eq_c1/2,0)),IF(((1+0.5)*(4*IF(circ_int,0,eq_c1/2)+4*IF(circ_int,0,eq_c2/2)+2*PI()*(s_0+4*s_r+IF(circ_int,eq_c1/2,0)))/INDEX(lk_legs,5))&lt;((2*IF(circ_int,0,eq_c2/2))+(PI()*(s_0+4*s_r+IF(circ_int,eq_c1/2,0))/2)),IF(circ_int,0,eq_c1/2)+(s_0+4*s_r+IF(circ_int,eq_c1/2,0))*COS((((1+0.5)*(4*IF(circ_int,0,eq_c1/2)+4*IF(circ_int,0,eq_c2/2)+2*PI()*(s_0+4*s_r+IF(circ_int,eq_c1/2,0)))/INDEX(lk_legs,5))-(2*IF(circ_int,0,eq_c2/2)))/(s_0+4*s_r+IF(circ_int,eq_c1/2,0))),IF(((1+0.5)*(4*IF(circ_int,0,eq_c1/2)+4*IF(circ_int,0,eq_c2/2)+2*PI()*(s_0+4*s_r+IF(circ_int,eq_c1/2,0)))/INDEX(lk_legs,5))&lt;(((2*IF(circ_int,0,eq_c2/2))+(PI()*(s_0+4*s_r+IF(circ_int,eq_c1/2,0))/2))+2*IF(circ_int,0,eq_c1/2)),IF(circ_int,0,eq_c1/2)-(((1+0.5)*(4*IF(circ_int,0,eq_c1/2)+4*IF(circ_int,0,eq_c2/2)+2*PI()*(s_0+4*s_r+IF(circ_int,eq_c1/2,0)))/INDEX(lk_legs,5))-((2*IF(circ_int,0,eq_c2/2))+(PI()*(s_0+4*s_r+IF(circ_int,eq_c1/2,0))/2))),IF(((1+0.5)*(4*IF(circ_int,0,eq_c1/2)+4*IF(circ_int,0,eq_c2/2)+2*PI()*(s_0+4*s_r+IF(circ_int,eq_c1/2,0)))/INDEX(lk_legs,5))&lt;((((2*IF(circ_int,0,eq_c2/2))+(PI()*(s_0+4*s_r+IF(circ_int,eq_c1/2,0))/2))+2*IF(circ_int,0,eq_c1/2))+(PI()*(s_0+4*s_r+IF(circ_int,eq_c1/2,0))/2)),-IF(circ_int,0,eq_c1/2)+(s_0+4*s_r+IF(circ_int,eq_c1/2,0))*COS(PI()/2+(((1+0.5)*(4*IF(circ_int,0,eq_c1/2)+4*IF(circ_int,0,eq_c2/2)+2*PI()*(s_0+4*s_r+IF(circ_int,eq_c1/2,0)))/INDEX(lk_legs,5))-(((2*IF(circ_int,0,eq_c2/2))+(PI()*(s_0+4*s_r+IF(circ_int,eq_c1/2,0))/2))+2*IF(circ_int,0,eq_c1/2)))/(s_0+4*s_r+IF(circ_int,eq_c1/2,0))),IF(((1+0.5)*(4*IF(circ_int,0,eq_c1/2)+4*IF(circ_int,0,eq_c2/2)+2*PI()*(s_0+4*s_r+IF(circ_int,eq_c1/2,0)))/INDEX(lk_legs,5))&lt;(((((2*IF(circ_int,0,eq_c2/2))+(PI()*(s_0+4*s_r+IF(circ_int,eq_c1/2,0))/2))+2*IF(circ_int,0,eq_c1/2))+(PI()*(s_0+4*s_r+IF(circ_int,eq_c1/2,0))/2))+2*IF(circ_int,0,eq_c2/2)),-IF(circ_int,0,eq_c1/2)-(s_0+4*s_r+IF(circ_int,eq_c1/2,0)),IF(((1+0.5)*(4*IF(circ_int,0,eq_c1/2)+4*IF(circ_int,0,eq_c2/2)+2*PI()*(s_0+4*s_r+IF(circ_int,eq_c1/2,0)))/INDEX(lk_legs,5))&lt;((((((2*IF(circ_int,0,eq_c2/2))+(PI()*(s_0+4*s_r+IF(circ_int,eq_c1/2,0))/2))+2*IF(circ_int,0,eq_c1/2))+(PI()*(s_0+4*s_r+IF(circ_int,eq_c1/2,0))/2))+2*IF(circ_int,0,eq_c2/2))+(PI()*(s_0+4*s_r+IF(circ_int,eq_c1/2,0))/2)),-IF(circ_int,0,eq_c1/2)+(s_0+4*s_r+IF(circ_int,eq_c1/2,0))*COS(PI()+(((1+0.5)*(4*IF(circ_int,0,eq_c1/2)+4*IF(circ_int,0,eq_c2/2)+2*PI()*(s_0+4*s_r+IF(circ_int,eq_c1/2,0)))/INDEX(lk_legs,5))-(((((2*IF(circ_int,0,eq_c2/2))+(PI()*(s_0+4*s_r+IF(circ_int,eq_c1/2,0))/2))+2*IF(circ_int,0,eq_c1/2))+(PI()*(s_0+4*s_r+IF(circ_int,eq_c1/2,0))/2))+2*IF(circ_int,0,eq_c2/2)))/(s_0+4*s_r+IF(circ_int,eq_c1/2,0))),IF(((1+0.5)*(4*IF(circ_int,0,eq_c1/2)+4*IF(circ_int,0,eq_c2/2)+2*PI()*(s_0+4*s_r+IF(circ_int,eq_c1/2,0)))/INDEX(lk_legs,5))&lt;(((((((2*IF(circ_int,0,eq_c2/2))+(PI()*(s_0+4*s_r+IF(circ_int,eq_c1/2,0))/2))+2*IF(circ_int,0,eq_c1/2))+(PI()*(s_0+4*s_r+IF(circ_int,eq_c1/2,0))/2))+2*IF(circ_int,0,eq_c2/2))+(PI()*(s_0+4*s_r+IF(circ_int,eq_c1/2,0))/2))+2*IF(circ_int,0,eq_c1/2)),-IF(circ_int,0,eq_c1/2)+(((1+0.5)*(4*IF(circ_int,0,eq_c1/2)+4*IF(circ_int,0,eq_c2/2)+2*PI()*(s_0+4*s_r+IF(circ_int,eq_c1/2,0)))/INDEX(lk_legs,5))-((((((2*IF(circ_int,0,eq_c2/2))+(PI()*(s_0+4*s_r+IF(circ_int,eq_c1/2,0))/2))+2*IF(circ_int,0,eq_c1/2))+(PI()*(s_0+4*s_r+IF(circ_int,eq_c1/2,0))/2))+2*IF(circ_int,0,eq_c2/2))+(PI()*(s_0+4*s_r+IF(circ_int,eq_c1/2,0))/2))),IF(circ_int,0,eq_c1/2)+(s_0+4*s_r+IF(circ_int,eq_c1/2,0))*COS(3*PI()/2+(((1+0.5)*(4*IF(circ_int,0,eq_c1/2)+4*IF(circ_int,0,eq_c2/2)+2*PI()*(s_0+4*s_r+IF(circ_int,eq_c1/2,0)))/INDEX(lk_legs,5))-(((((((2*IF(circ_int,0,eq_c2/2))+(PI()*(s_0+4*s_r+IF(circ_int,eq_c1/2,0))/2))+2*IF(circ_int,0,eq_c1/2))+(PI()*(s_0+4*s_r+IF(circ_int,eq_c1/2,0))/2))+2*IF(circ_int,0,eq_c2/2))+(PI()*(s_0+4*s_r+IF(circ_int,eq_c1/2,0))/2))+2*IF(circ_int,0,eq_c1/2)))/(s_0+4*s_r+IF(circ_int,eq_c1/2,0)))))))))),NA())</f>
        <v/>
      </c>
      <c r="BY4">
        <f>IF(AND(AND(links_on,5&lt;=n_per),INDEX(lk_kind,5)=1,1&lt;INDEX(lk_legs,5)),g_oy+IF(((1+0.5)*(4*IF(circ_int,0,eq_c1/2)+4*IF(circ_int,0,eq_c2/2)+2*PI()*(s_0+4*s_r+IF(circ_int,eq_c1/2,0)))/INDEX(lk_legs,5))&lt;(2*IF(circ_int,0,eq_c2/2)),-IF(circ_int,0,eq_c2/2)+((1+0.5)*(4*IF(circ_int,0,eq_c1/2)+4*IF(circ_int,0,eq_c2/2)+2*PI()*(s_0+4*s_r+IF(circ_int,eq_c1/2,0)))/INDEX(lk_legs,5)),IF(((1+0.5)*(4*IF(circ_int,0,eq_c1/2)+4*IF(circ_int,0,eq_c2/2)+2*PI()*(s_0+4*s_r+IF(circ_int,eq_c1/2,0)))/INDEX(lk_legs,5))&lt;((2*IF(circ_int,0,eq_c2/2))+(PI()*(s_0+4*s_r+IF(circ_int,eq_c1/2,0))/2)),IF(circ_int,0,eq_c2/2)+(s_0+4*s_r+IF(circ_int,eq_c1/2,0))*SIN((((1+0.5)*(4*IF(circ_int,0,eq_c1/2)+4*IF(circ_int,0,eq_c2/2)+2*PI()*(s_0+4*s_r+IF(circ_int,eq_c1/2,0)))/INDEX(lk_legs,5))-(2*IF(circ_int,0,eq_c2/2)))/(s_0+4*s_r+IF(circ_int,eq_c1/2,0))),IF(((1+0.5)*(4*IF(circ_int,0,eq_c1/2)+4*IF(circ_int,0,eq_c2/2)+2*PI()*(s_0+4*s_r+IF(circ_int,eq_c1/2,0)))/INDEX(lk_legs,5))&lt;(((2*IF(circ_int,0,eq_c2/2))+(PI()*(s_0+4*s_r+IF(circ_int,eq_c1/2,0))/2))+2*IF(circ_int,0,eq_c1/2)),IF(circ_int,0,eq_c2/2)+(s_0+4*s_r+IF(circ_int,eq_c1/2,0)),IF(((1+0.5)*(4*IF(circ_int,0,eq_c1/2)+4*IF(circ_int,0,eq_c2/2)+2*PI()*(s_0+4*s_r+IF(circ_int,eq_c1/2,0)))/INDEX(lk_legs,5))&lt;((((2*IF(circ_int,0,eq_c2/2))+(PI()*(s_0+4*s_r+IF(circ_int,eq_c1/2,0))/2))+2*IF(circ_int,0,eq_c1/2))+(PI()*(s_0+4*s_r+IF(circ_int,eq_c1/2,0))/2)),IF(circ_int,0,eq_c2/2)+(s_0+4*s_r+IF(circ_int,eq_c1/2,0))*SIN(PI()/2+(((1+0.5)*(4*IF(circ_int,0,eq_c1/2)+4*IF(circ_int,0,eq_c2/2)+2*PI()*(s_0+4*s_r+IF(circ_int,eq_c1/2,0)))/INDEX(lk_legs,5))-(((2*IF(circ_int,0,eq_c2/2))+(PI()*(s_0+4*s_r+IF(circ_int,eq_c1/2,0))/2))+2*IF(circ_int,0,eq_c1/2)))/(s_0+4*s_r+IF(circ_int,eq_c1/2,0))),IF(((1+0.5)*(4*IF(circ_int,0,eq_c1/2)+4*IF(circ_int,0,eq_c2/2)+2*PI()*(s_0+4*s_r+IF(circ_int,eq_c1/2,0)))/INDEX(lk_legs,5))&lt;(((((2*IF(circ_int,0,eq_c2/2))+(PI()*(s_0+4*s_r+IF(circ_int,eq_c1/2,0))/2))+2*IF(circ_int,0,eq_c1/2))+(PI()*(s_0+4*s_r+IF(circ_int,eq_c1/2,0))/2))+2*IF(circ_int,0,eq_c2/2)),IF(circ_int,0,eq_c2/2)-(((1+0.5)*(4*IF(circ_int,0,eq_c1/2)+4*IF(circ_int,0,eq_c2/2)+2*PI()*(s_0+4*s_r+IF(circ_int,eq_c1/2,0)))/INDEX(lk_legs,5))-((((2*IF(circ_int,0,eq_c2/2))+(PI()*(s_0+4*s_r+IF(circ_int,eq_c1/2,0))/2))+2*IF(circ_int,0,eq_c1/2))+(PI()*(s_0+4*s_r+IF(circ_int,eq_c1/2,0))/2))),IF(((1+0.5)*(4*IF(circ_int,0,eq_c1/2)+4*IF(circ_int,0,eq_c2/2)+2*PI()*(s_0+4*s_r+IF(circ_int,eq_c1/2,0)))/INDEX(lk_legs,5))&lt;((((((2*IF(circ_int,0,eq_c2/2))+(PI()*(s_0+4*s_r+IF(circ_int,eq_c1/2,0))/2))+2*IF(circ_int,0,eq_c1/2))+(PI()*(s_0+4*s_r+IF(circ_int,eq_c1/2,0))/2))+2*IF(circ_int,0,eq_c2/2))+(PI()*(s_0+4*s_r+IF(circ_int,eq_c1/2,0))/2)),-IF(circ_int,0,eq_c2/2)+(s_0+4*s_r+IF(circ_int,eq_c1/2,0))*SIN(PI()+(((1+0.5)*(4*IF(circ_int,0,eq_c1/2)+4*IF(circ_int,0,eq_c2/2)+2*PI()*(s_0+4*s_r+IF(circ_int,eq_c1/2,0)))/INDEX(lk_legs,5))-(((((2*IF(circ_int,0,eq_c2/2))+(PI()*(s_0+4*s_r+IF(circ_int,eq_c1/2,0))/2))+2*IF(circ_int,0,eq_c1/2))+(PI()*(s_0+4*s_r+IF(circ_int,eq_c1/2,0))/2))+2*IF(circ_int,0,eq_c2/2)))/(s_0+4*s_r+IF(circ_int,eq_c1/2,0))),IF(((1+0.5)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(1+0.5)*(4*IF(circ_int,0,eq_c1/2)+4*IF(circ_int,0,eq_c2/2)+2*PI()*(s_0+4*s_r+IF(circ_int,eq_c1/2,0)))/INDEX(lk_legs,5))-(((((((2*IF(circ_int,0,eq_c2/2))+(PI()*(s_0+4*s_r+IF(circ_int,eq_c1/2,0))/2))+2*IF(circ_int,0,eq_c1/2))+(PI()*(s_0+4*s_r+IF(circ_int,eq_c1/2,0))/2))+2*IF(circ_int,0,eq_c2/2))+(PI()*(s_0+4*s_r+IF(circ_int,eq_c1/2,0))/2))+2*IF(circ_int,0,eq_c1/2)))/(s_0+4*s_r+IF(circ_int,eq_c1/2,0)))))))))),NA())</f>
        <v/>
      </c>
      <c r="CA4">
        <f>IF(AND(links_on,6&lt;=n_per),IF(circ_int,(g_ox)+(c_1/2+(s_0+5*s_r))*0.992709,CHOOSE(INDEX(lk_kind,6),(g_ox+eq_c1/2)+((s_0+5*s_r))*0.991445,(eq_a1+eq_c1)+((s_0+5*s_r))*0.000000,(eq_a1+eq_c1)+((s_0+5*s_r))*0.000000,(eq_a1)+((s_0+5*s_r))*-1.000000)),NA())</f>
        <v/>
      </c>
      <c r="CB4">
        <f>IF(AND(links_on,6&lt;=n_per),IF(circ_int,(g_oy)+(c_1/2+(s_0+5*s_r))*0.120537,CHOOSE(INDEX(lk_kind,6),(g_oy+eq_c2/2)+((s_0+5*s_r))*0.130526,(g_oy+eq_c2/2)+((s_0+5*s_r))*1.000000,(eq_a2+eq_c2)+((s_0+5*s_r))*1.000000,(eq_a2+eq_c2)+((s_0+5*s_r))*0.000000)),NA())</f>
        <v/>
      </c>
      <c r="CD4">
        <f>IF(AND(AND(links_on,6&lt;=n_per),INDEX(lk_kind,6)=1,1&lt;INDEX(lk_legs,6)),g_ox+IF(((1+0.5)*(4*IF(circ_int,0,eq_c1/2)+4*IF(circ_int,0,eq_c2/2)+2*PI()*(s_0+5*s_r+IF(circ_int,eq_c1/2,0)))/INDEX(lk_legs,6))&lt;(2*IF(circ_int,0,eq_c2/2)),IF(circ_int,0,eq_c1/2)+(s_0+5*s_r+IF(circ_int,eq_c1/2,0)),IF(((1+0.5)*(4*IF(circ_int,0,eq_c1/2)+4*IF(circ_int,0,eq_c2/2)+2*PI()*(s_0+5*s_r+IF(circ_int,eq_c1/2,0)))/INDEX(lk_legs,6))&lt;((2*IF(circ_int,0,eq_c2/2))+(PI()*(s_0+5*s_r+IF(circ_int,eq_c1/2,0))/2)),IF(circ_int,0,eq_c1/2)+(s_0+5*s_r+IF(circ_int,eq_c1/2,0))*COS((((1+0.5)*(4*IF(circ_int,0,eq_c1/2)+4*IF(circ_int,0,eq_c2/2)+2*PI()*(s_0+5*s_r+IF(circ_int,eq_c1/2,0)))/INDEX(lk_legs,6))-(2*IF(circ_int,0,eq_c2/2)))/(s_0+5*s_r+IF(circ_int,eq_c1/2,0))),IF(((1+0.5)*(4*IF(circ_int,0,eq_c1/2)+4*IF(circ_int,0,eq_c2/2)+2*PI()*(s_0+5*s_r+IF(circ_int,eq_c1/2,0)))/INDEX(lk_legs,6))&lt;(((2*IF(circ_int,0,eq_c2/2))+(PI()*(s_0+5*s_r+IF(circ_int,eq_c1/2,0))/2))+2*IF(circ_int,0,eq_c1/2)),IF(circ_int,0,eq_c1/2)-(((1+0.5)*(4*IF(circ_int,0,eq_c1/2)+4*IF(circ_int,0,eq_c2/2)+2*PI()*(s_0+5*s_r+IF(circ_int,eq_c1/2,0)))/INDEX(lk_legs,6))-((2*IF(circ_int,0,eq_c2/2))+(PI()*(s_0+5*s_r+IF(circ_int,eq_c1/2,0))/2))),IF(((1+0.5)*(4*IF(circ_int,0,eq_c1/2)+4*IF(circ_int,0,eq_c2/2)+2*PI()*(s_0+5*s_r+IF(circ_int,eq_c1/2,0)))/INDEX(lk_legs,6))&lt;((((2*IF(circ_int,0,eq_c2/2))+(PI()*(s_0+5*s_r+IF(circ_int,eq_c1/2,0))/2))+2*IF(circ_int,0,eq_c1/2))+(PI()*(s_0+5*s_r+IF(circ_int,eq_c1/2,0))/2)),-IF(circ_int,0,eq_c1/2)+(s_0+5*s_r+IF(circ_int,eq_c1/2,0))*COS(PI()/2+(((1+0.5)*(4*IF(circ_int,0,eq_c1/2)+4*IF(circ_int,0,eq_c2/2)+2*PI()*(s_0+5*s_r+IF(circ_int,eq_c1/2,0)))/INDEX(lk_legs,6))-(((2*IF(circ_int,0,eq_c2/2))+(PI()*(s_0+5*s_r+IF(circ_int,eq_c1/2,0))/2))+2*IF(circ_int,0,eq_c1/2)))/(s_0+5*s_r+IF(circ_int,eq_c1/2,0))),IF(((1+0.5)*(4*IF(circ_int,0,eq_c1/2)+4*IF(circ_int,0,eq_c2/2)+2*PI()*(s_0+5*s_r+IF(circ_int,eq_c1/2,0)))/INDEX(lk_legs,6))&lt;(((((2*IF(circ_int,0,eq_c2/2))+(PI()*(s_0+5*s_r+IF(circ_int,eq_c1/2,0))/2))+2*IF(circ_int,0,eq_c1/2))+(PI()*(s_0+5*s_r+IF(circ_int,eq_c1/2,0))/2))+2*IF(circ_int,0,eq_c2/2)),-IF(circ_int,0,eq_c1/2)-(s_0+5*s_r+IF(circ_int,eq_c1/2,0)),IF(((1+0.5)*(4*IF(circ_int,0,eq_c1/2)+4*IF(circ_int,0,eq_c2/2)+2*PI()*(s_0+5*s_r+IF(circ_int,eq_c1/2,0)))/INDEX(lk_legs,6))&lt;((((((2*IF(circ_int,0,eq_c2/2))+(PI()*(s_0+5*s_r+IF(circ_int,eq_c1/2,0))/2))+2*IF(circ_int,0,eq_c1/2))+(PI()*(s_0+5*s_r+IF(circ_int,eq_c1/2,0))/2))+2*IF(circ_int,0,eq_c2/2))+(PI()*(s_0+5*s_r+IF(circ_int,eq_c1/2,0))/2)),-IF(circ_int,0,eq_c1/2)+(s_0+5*s_r+IF(circ_int,eq_c1/2,0))*COS(PI()+(((1+0.5)*(4*IF(circ_int,0,eq_c1/2)+4*IF(circ_int,0,eq_c2/2)+2*PI()*(s_0+5*s_r+IF(circ_int,eq_c1/2,0)))/INDEX(lk_legs,6))-(((((2*IF(circ_int,0,eq_c2/2))+(PI()*(s_0+5*s_r+IF(circ_int,eq_c1/2,0))/2))+2*IF(circ_int,0,eq_c1/2))+(PI()*(s_0+5*s_r+IF(circ_int,eq_c1/2,0))/2))+2*IF(circ_int,0,eq_c2/2)))/(s_0+5*s_r+IF(circ_int,eq_c1/2,0))),IF(((1+0.5)*(4*IF(circ_int,0,eq_c1/2)+4*IF(circ_int,0,eq_c2/2)+2*PI()*(s_0+5*s_r+IF(circ_int,eq_c1/2,0)))/INDEX(lk_legs,6))&lt;(((((((2*IF(circ_int,0,eq_c2/2))+(PI()*(s_0+5*s_r+IF(circ_int,eq_c1/2,0))/2))+2*IF(circ_int,0,eq_c1/2))+(PI()*(s_0+5*s_r+IF(circ_int,eq_c1/2,0))/2))+2*IF(circ_int,0,eq_c2/2))+(PI()*(s_0+5*s_r+IF(circ_int,eq_c1/2,0))/2))+2*IF(circ_int,0,eq_c1/2)),-IF(circ_int,0,eq_c1/2)+(((1+0.5)*(4*IF(circ_int,0,eq_c1/2)+4*IF(circ_int,0,eq_c2/2)+2*PI()*(s_0+5*s_r+IF(circ_int,eq_c1/2,0)))/INDEX(lk_legs,6))-((((((2*IF(circ_int,0,eq_c2/2))+(PI()*(s_0+5*s_r+IF(circ_int,eq_c1/2,0))/2))+2*IF(circ_int,0,eq_c1/2))+(PI()*(s_0+5*s_r+IF(circ_int,eq_c1/2,0))/2))+2*IF(circ_int,0,eq_c2/2))+(PI()*(s_0+5*s_r+IF(circ_int,eq_c1/2,0))/2))),IF(circ_int,0,eq_c1/2)+(s_0+5*s_r+IF(circ_int,eq_c1/2,0))*COS(3*PI()/2+(((1+0.5)*(4*IF(circ_int,0,eq_c1/2)+4*IF(circ_int,0,eq_c2/2)+2*PI()*(s_0+5*s_r+IF(circ_int,eq_c1/2,0)))/INDEX(lk_legs,6))-(((((((2*IF(circ_int,0,eq_c2/2))+(PI()*(s_0+5*s_r+IF(circ_int,eq_c1/2,0))/2))+2*IF(circ_int,0,eq_c1/2))+(PI()*(s_0+5*s_r+IF(circ_int,eq_c1/2,0))/2))+2*IF(circ_int,0,eq_c2/2))+(PI()*(s_0+5*s_r+IF(circ_int,eq_c1/2,0))/2))+2*IF(circ_int,0,eq_c1/2)))/(s_0+5*s_r+IF(circ_int,eq_c1/2,0)))))))))),NA())</f>
        <v/>
      </c>
      <c r="CE4">
        <f>IF(AND(AND(links_on,6&lt;=n_per),INDEX(lk_kind,6)=1,1&lt;INDEX(lk_legs,6)),g_oy+IF(((1+0.5)*(4*IF(circ_int,0,eq_c1/2)+4*IF(circ_int,0,eq_c2/2)+2*PI()*(s_0+5*s_r+IF(circ_int,eq_c1/2,0)))/INDEX(lk_legs,6))&lt;(2*IF(circ_int,0,eq_c2/2)),-IF(circ_int,0,eq_c2/2)+((1+0.5)*(4*IF(circ_int,0,eq_c1/2)+4*IF(circ_int,0,eq_c2/2)+2*PI()*(s_0+5*s_r+IF(circ_int,eq_c1/2,0)))/INDEX(lk_legs,6)),IF(((1+0.5)*(4*IF(circ_int,0,eq_c1/2)+4*IF(circ_int,0,eq_c2/2)+2*PI()*(s_0+5*s_r+IF(circ_int,eq_c1/2,0)))/INDEX(lk_legs,6))&lt;((2*IF(circ_int,0,eq_c2/2))+(PI()*(s_0+5*s_r+IF(circ_int,eq_c1/2,0))/2)),IF(circ_int,0,eq_c2/2)+(s_0+5*s_r+IF(circ_int,eq_c1/2,0))*SIN((((1+0.5)*(4*IF(circ_int,0,eq_c1/2)+4*IF(circ_int,0,eq_c2/2)+2*PI()*(s_0+5*s_r+IF(circ_int,eq_c1/2,0)))/INDEX(lk_legs,6))-(2*IF(circ_int,0,eq_c2/2)))/(s_0+5*s_r+IF(circ_int,eq_c1/2,0))),IF(((1+0.5)*(4*IF(circ_int,0,eq_c1/2)+4*IF(circ_int,0,eq_c2/2)+2*PI()*(s_0+5*s_r+IF(circ_int,eq_c1/2,0)))/INDEX(lk_legs,6))&lt;(((2*IF(circ_int,0,eq_c2/2))+(PI()*(s_0+5*s_r+IF(circ_int,eq_c1/2,0))/2))+2*IF(circ_int,0,eq_c1/2)),IF(circ_int,0,eq_c2/2)+(s_0+5*s_r+IF(circ_int,eq_c1/2,0)),IF(((1+0.5)*(4*IF(circ_int,0,eq_c1/2)+4*IF(circ_int,0,eq_c2/2)+2*PI()*(s_0+5*s_r+IF(circ_int,eq_c1/2,0)))/INDEX(lk_legs,6))&lt;((((2*IF(circ_int,0,eq_c2/2))+(PI()*(s_0+5*s_r+IF(circ_int,eq_c1/2,0))/2))+2*IF(circ_int,0,eq_c1/2))+(PI()*(s_0+5*s_r+IF(circ_int,eq_c1/2,0))/2)),IF(circ_int,0,eq_c2/2)+(s_0+5*s_r+IF(circ_int,eq_c1/2,0))*SIN(PI()/2+(((1+0.5)*(4*IF(circ_int,0,eq_c1/2)+4*IF(circ_int,0,eq_c2/2)+2*PI()*(s_0+5*s_r+IF(circ_int,eq_c1/2,0)))/INDEX(lk_legs,6))-(((2*IF(circ_int,0,eq_c2/2))+(PI()*(s_0+5*s_r+IF(circ_int,eq_c1/2,0))/2))+2*IF(circ_int,0,eq_c1/2)))/(s_0+5*s_r+IF(circ_int,eq_c1/2,0))),IF(((1+0.5)*(4*IF(circ_int,0,eq_c1/2)+4*IF(circ_int,0,eq_c2/2)+2*PI()*(s_0+5*s_r+IF(circ_int,eq_c1/2,0)))/INDEX(lk_legs,6))&lt;(((((2*IF(circ_int,0,eq_c2/2))+(PI()*(s_0+5*s_r+IF(circ_int,eq_c1/2,0))/2))+2*IF(circ_int,0,eq_c1/2))+(PI()*(s_0+5*s_r+IF(circ_int,eq_c1/2,0))/2))+2*IF(circ_int,0,eq_c2/2)),IF(circ_int,0,eq_c2/2)-(((1+0.5)*(4*IF(circ_int,0,eq_c1/2)+4*IF(circ_int,0,eq_c2/2)+2*PI()*(s_0+5*s_r+IF(circ_int,eq_c1/2,0)))/INDEX(lk_legs,6))-((((2*IF(circ_int,0,eq_c2/2))+(PI()*(s_0+5*s_r+IF(circ_int,eq_c1/2,0))/2))+2*IF(circ_int,0,eq_c1/2))+(PI()*(s_0+5*s_r+IF(circ_int,eq_c1/2,0))/2))),IF(((1+0.5)*(4*IF(circ_int,0,eq_c1/2)+4*IF(circ_int,0,eq_c2/2)+2*PI()*(s_0+5*s_r+IF(circ_int,eq_c1/2,0)))/INDEX(lk_legs,6))&lt;((((((2*IF(circ_int,0,eq_c2/2))+(PI()*(s_0+5*s_r+IF(circ_int,eq_c1/2,0))/2))+2*IF(circ_int,0,eq_c1/2))+(PI()*(s_0+5*s_r+IF(circ_int,eq_c1/2,0))/2))+2*IF(circ_int,0,eq_c2/2))+(PI()*(s_0+5*s_r+IF(circ_int,eq_c1/2,0))/2)),-IF(circ_int,0,eq_c2/2)+(s_0+5*s_r+IF(circ_int,eq_c1/2,0))*SIN(PI()+(((1+0.5)*(4*IF(circ_int,0,eq_c1/2)+4*IF(circ_int,0,eq_c2/2)+2*PI()*(s_0+5*s_r+IF(circ_int,eq_c1/2,0)))/INDEX(lk_legs,6))-(((((2*IF(circ_int,0,eq_c2/2))+(PI()*(s_0+5*s_r+IF(circ_int,eq_c1/2,0))/2))+2*IF(circ_int,0,eq_c1/2))+(PI()*(s_0+5*s_r+IF(circ_int,eq_c1/2,0))/2))+2*IF(circ_int,0,eq_c2/2)))/(s_0+5*s_r+IF(circ_int,eq_c1/2,0))),IF(((1+0.5)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(1+0.5)*(4*IF(circ_int,0,eq_c1/2)+4*IF(circ_int,0,eq_c2/2)+2*PI()*(s_0+5*s_r+IF(circ_int,eq_c1/2,0)))/INDEX(lk_legs,6))-(((((((2*IF(circ_int,0,eq_c2/2))+(PI()*(s_0+5*s_r+IF(circ_int,eq_c1/2,0))/2))+2*IF(circ_int,0,eq_c1/2))+(PI()*(s_0+5*s_r+IF(circ_int,eq_c1/2,0))/2))+2*IF(circ_int,0,eq_c2/2))+(PI()*(s_0+5*s_r+IF(circ_int,eq_c1/2,0))/2))+2*IF(circ_int,0,eq_c1/2)))/(s_0+5*s_r+IF(circ_int,eq_c1/2,0)))))))))),NA())</f>
        <v/>
      </c>
      <c r="CG4">
        <f>IF(AND(links_on,7&lt;=n_per),IF(circ_int,(g_ox)+(c_1/2+(s_0+6*s_r))*0.992709,CHOOSE(INDEX(lk_kind,7),(g_ox+eq_c1/2)+((s_0+6*s_r))*0.991445,(eq_a1+eq_c1)+((s_0+6*s_r))*0.000000,(eq_a1+eq_c1)+((s_0+6*s_r))*0.000000,(eq_a1)+((s_0+6*s_r))*-1.000000)),NA())</f>
        <v/>
      </c>
      <c r="CH4">
        <f>IF(AND(links_on,7&lt;=n_per),IF(circ_int,(g_oy)+(c_1/2+(s_0+6*s_r))*0.120537,CHOOSE(INDEX(lk_kind,7),(g_oy+eq_c2/2)+((s_0+6*s_r))*0.130526,(g_oy+eq_c2/2)+((s_0+6*s_r))*1.000000,(eq_a2+eq_c2)+((s_0+6*s_r))*1.000000,(eq_a2+eq_c2)+((s_0+6*s_r))*0.000000)),NA())</f>
        <v/>
      </c>
      <c r="CJ4">
        <f>IF(AND(AND(links_on,7&lt;=n_per),INDEX(lk_kind,7)=1,1&lt;INDEX(lk_legs,7)),g_ox+IF(((1+0.5)*(4*IF(circ_int,0,eq_c1/2)+4*IF(circ_int,0,eq_c2/2)+2*PI()*(s_0+6*s_r+IF(circ_int,eq_c1/2,0)))/INDEX(lk_legs,7))&lt;(2*IF(circ_int,0,eq_c2/2)),IF(circ_int,0,eq_c1/2)+(s_0+6*s_r+IF(circ_int,eq_c1/2,0)),IF(((1+0.5)*(4*IF(circ_int,0,eq_c1/2)+4*IF(circ_int,0,eq_c2/2)+2*PI()*(s_0+6*s_r+IF(circ_int,eq_c1/2,0)))/INDEX(lk_legs,7))&lt;((2*IF(circ_int,0,eq_c2/2))+(PI()*(s_0+6*s_r+IF(circ_int,eq_c1/2,0))/2)),IF(circ_int,0,eq_c1/2)+(s_0+6*s_r+IF(circ_int,eq_c1/2,0))*COS((((1+0.5)*(4*IF(circ_int,0,eq_c1/2)+4*IF(circ_int,0,eq_c2/2)+2*PI()*(s_0+6*s_r+IF(circ_int,eq_c1/2,0)))/INDEX(lk_legs,7))-(2*IF(circ_int,0,eq_c2/2)))/(s_0+6*s_r+IF(circ_int,eq_c1/2,0))),IF(((1+0.5)*(4*IF(circ_int,0,eq_c1/2)+4*IF(circ_int,0,eq_c2/2)+2*PI()*(s_0+6*s_r+IF(circ_int,eq_c1/2,0)))/INDEX(lk_legs,7))&lt;(((2*IF(circ_int,0,eq_c2/2))+(PI()*(s_0+6*s_r+IF(circ_int,eq_c1/2,0))/2))+2*IF(circ_int,0,eq_c1/2)),IF(circ_int,0,eq_c1/2)-(((1+0.5)*(4*IF(circ_int,0,eq_c1/2)+4*IF(circ_int,0,eq_c2/2)+2*PI()*(s_0+6*s_r+IF(circ_int,eq_c1/2,0)))/INDEX(lk_legs,7))-((2*IF(circ_int,0,eq_c2/2))+(PI()*(s_0+6*s_r+IF(circ_int,eq_c1/2,0))/2))),IF(((1+0.5)*(4*IF(circ_int,0,eq_c1/2)+4*IF(circ_int,0,eq_c2/2)+2*PI()*(s_0+6*s_r+IF(circ_int,eq_c1/2,0)))/INDEX(lk_legs,7))&lt;((((2*IF(circ_int,0,eq_c2/2))+(PI()*(s_0+6*s_r+IF(circ_int,eq_c1/2,0))/2))+2*IF(circ_int,0,eq_c1/2))+(PI()*(s_0+6*s_r+IF(circ_int,eq_c1/2,0))/2)),-IF(circ_int,0,eq_c1/2)+(s_0+6*s_r+IF(circ_int,eq_c1/2,0))*COS(PI()/2+(((1+0.5)*(4*IF(circ_int,0,eq_c1/2)+4*IF(circ_int,0,eq_c2/2)+2*PI()*(s_0+6*s_r+IF(circ_int,eq_c1/2,0)))/INDEX(lk_legs,7))-(((2*IF(circ_int,0,eq_c2/2))+(PI()*(s_0+6*s_r+IF(circ_int,eq_c1/2,0))/2))+2*IF(circ_int,0,eq_c1/2)))/(s_0+6*s_r+IF(circ_int,eq_c1/2,0))),IF(((1+0.5)*(4*IF(circ_int,0,eq_c1/2)+4*IF(circ_int,0,eq_c2/2)+2*PI()*(s_0+6*s_r+IF(circ_int,eq_c1/2,0)))/INDEX(lk_legs,7))&lt;(((((2*IF(circ_int,0,eq_c2/2))+(PI()*(s_0+6*s_r+IF(circ_int,eq_c1/2,0))/2))+2*IF(circ_int,0,eq_c1/2))+(PI()*(s_0+6*s_r+IF(circ_int,eq_c1/2,0))/2))+2*IF(circ_int,0,eq_c2/2)),-IF(circ_int,0,eq_c1/2)-(s_0+6*s_r+IF(circ_int,eq_c1/2,0)),IF(((1+0.5)*(4*IF(circ_int,0,eq_c1/2)+4*IF(circ_int,0,eq_c2/2)+2*PI()*(s_0+6*s_r+IF(circ_int,eq_c1/2,0)))/INDEX(lk_legs,7))&lt;((((((2*IF(circ_int,0,eq_c2/2))+(PI()*(s_0+6*s_r+IF(circ_int,eq_c1/2,0))/2))+2*IF(circ_int,0,eq_c1/2))+(PI()*(s_0+6*s_r+IF(circ_int,eq_c1/2,0))/2))+2*IF(circ_int,0,eq_c2/2))+(PI()*(s_0+6*s_r+IF(circ_int,eq_c1/2,0))/2)),-IF(circ_int,0,eq_c1/2)+(s_0+6*s_r+IF(circ_int,eq_c1/2,0))*COS(PI()+(((1+0.5)*(4*IF(circ_int,0,eq_c1/2)+4*IF(circ_int,0,eq_c2/2)+2*PI()*(s_0+6*s_r+IF(circ_int,eq_c1/2,0)))/INDEX(lk_legs,7))-(((((2*IF(circ_int,0,eq_c2/2))+(PI()*(s_0+6*s_r+IF(circ_int,eq_c1/2,0))/2))+2*IF(circ_int,0,eq_c1/2))+(PI()*(s_0+6*s_r+IF(circ_int,eq_c1/2,0))/2))+2*IF(circ_int,0,eq_c2/2)))/(s_0+6*s_r+IF(circ_int,eq_c1/2,0))),IF(((1+0.5)*(4*IF(circ_int,0,eq_c1/2)+4*IF(circ_int,0,eq_c2/2)+2*PI()*(s_0+6*s_r+IF(circ_int,eq_c1/2,0)))/INDEX(lk_legs,7))&lt;(((((((2*IF(circ_int,0,eq_c2/2))+(PI()*(s_0+6*s_r+IF(circ_int,eq_c1/2,0))/2))+2*IF(circ_int,0,eq_c1/2))+(PI()*(s_0+6*s_r+IF(circ_int,eq_c1/2,0))/2))+2*IF(circ_int,0,eq_c2/2))+(PI()*(s_0+6*s_r+IF(circ_int,eq_c1/2,0))/2))+2*IF(circ_int,0,eq_c1/2)),-IF(circ_int,0,eq_c1/2)+(((1+0.5)*(4*IF(circ_int,0,eq_c1/2)+4*IF(circ_int,0,eq_c2/2)+2*PI()*(s_0+6*s_r+IF(circ_int,eq_c1/2,0)))/INDEX(lk_legs,7))-((((((2*IF(circ_int,0,eq_c2/2))+(PI()*(s_0+6*s_r+IF(circ_int,eq_c1/2,0))/2))+2*IF(circ_int,0,eq_c1/2))+(PI()*(s_0+6*s_r+IF(circ_int,eq_c1/2,0))/2))+2*IF(circ_int,0,eq_c2/2))+(PI()*(s_0+6*s_r+IF(circ_int,eq_c1/2,0))/2))),IF(circ_int,0,eq_c1/2)+(s_0+6*s_r+IF(circ_int,eq_c1/2,0))*COS(3*PI()/2+(((1+0.5)*(4*IF(circ_int,0,eq_c1/2)+4*IF(circ_int,0,eq_c2/2)+2*PI()*(s_0+6*s_r+IF(circ_int,eq_c1/2,0)))/INDEX(lk_legs,7))-(((((((2*IF(circ_int,0,eq_c2/2))+(PI()*(s_0+6*s_r+IF(circ_int,eq_c1/2,0))/2))+2*IF(circ_int,0,eq_c1/2))+(PI()*(s_0+6*s_r+IF(circ_int,eq_c1/2,0))/2))+2*IF(circ_int,0,eq_c2/2))+(PI()*(s_0+6*s_r+IF(circ_int,eq_c1/2,0))/2))+2*IF(circ_int,0,eq_c1/2)))/(s_0+6*s_r+IF(circ_int,eq_c1/2,0)))))))))),NA())</f>
        <v/>
      </c>
      <c r="CK4">
        <f>IF(AND(AND(links_on,7&lt;=n_per),INDEX(lk_kind,7)=1,1&lt;INDEX(lk_legs,7)),g_oy+IF(((1+0.5)*(4*IF(circ_int,0,eq_c1/2)+4*IF(circ_int,0,eq_c2/2)+2*PI()*(s_0+6*s_r+IF(circ_int,eq_c1/2,0)))/INDEX(lk_legs,7))&lt;(2*IF(circ_int,0,eq_c2/2)),-IF(circ_int,0,eq_c2/2)+((1+0.5)*(4*IF(circ_int,0,eq_c1/2)+4*IF(circ_int,0,eq_c2/2)+2*PI()*(s_0+6*s_r+IF(circ_int,eq_c1/2,0)))/INDEX(lk_legs,7)),IF(((1+0.5)*(4*IF(circ_int,0,eq_c1/2)+4*IF(circ_int,0,eq_c2/2)+2*PI()*(s_0+6*s_r+IF(circ_int,eq_c1/2,0)))/INDEX(lk_legs,7))&lt;((2*IF(circ_int,0,eq_c2/2))+(PI()*(s_0+6*s_r+IF(circ_int,eq_c1/2,0))/2)),IF(circ_int,0,eq_c2/2)+(s_0+6*s_r+IF(circ_int,eq_c1/2,0))*SIN((((1+0.5)*(4*IF(circ_int,0,eq_c1/2)+4*IF(circ_int,0,eq_c2/2)+2*PI()*(s_0+6*s_r+IF(circ_int,eq_c1/2,0)))/INDEX(lk_legs,7))-(2*IF(circ_int,0,eq_c2/2)))/(s_0+6*s_r+IF(circ_int,eq_c1/2,0))),IF(((1+0.5)*(4*IF(circ_int,0,eq_c1/2)+4*IF(circ_int,0,eq_c2/2)+2*PI()*(s_0+6*s_r+IF(circ_int,eq_c1/2,0)))/INDEX(lk_legs,7))&lt;(((2*IF(circ_int,0,eq_c2/2))+(PI()*(s_0+6*s_r+IF(circ_int,eq_c1/2,0))/2))+2*IF(circ_int,0,eq_c1/2)),IF(circ_int,0,eq_c2/2)+(s_0+6*s_r+IF(circ_int,eq_c1/2,0)),IF(((1+0.5)*(4*IF(circ_int,0,eq_c1/2)+4*IF(circ_int,0,eq_c2/2)+2*PI()*(s_0+6*s_r+IF(circ_int,eq_c1/2,0)))/INDEX(lk_legs,7))&lt;((((2*IF(circ_int,0,eq_c2/2))+(PI()*(s_0+6*s_r+IF(circ_int,eq_c1/2,0))/2))+2*IF(circ_int,0,eq_c1/2))+(PI()*(s_0+6*s_r+IF(circ_int,eq_c1/2,0))/2)),IF(circ_int,0,eq_c2/2)+(s_0+6*s_r+IF(circ_int,eq_c1/2,0))*SIN(PI()/2+(((1+0.5)*(4*IF(circ_int,0,eq_c1/2)+4*IF(circ_int,0,eq_c2/2)+2*PI()*(s_0+6*s_r+IF(circ_int,eq_c1/2,0)))/INDEX(lk_legs,7))-(((2*IF(circ_int,0,eq_c2/2))+(PI()*(s_0+6*s_r+IF(circ_int,eq_c1/2,0))/2))+2*IF(circ_int,0,eq_c1/2)))/(s_0+6*s_r+IF(circ_int,eq_c1/2,0))),IF(((1+0.5)*(4*IF(circ_int,0,eq_c1/2)+4*IF(circ_int,0,eq_c2/2)+2*PI()*(s_0+6*s_r+IF(circ_int,eq_c1/2,0)))/INDEX(lk_legs,7))&lt;(((((2*IF(circ_int,0,eq_c2/2))+(PI()*(s_0+6*s_r+IF(circ_int,eq_c1/2,0))/2))+2*IF(circ_int,0,eq_c1/2))+(PI()*(s_0+6*s_r+IF(circ_int,eq_c1/2,0))/2))+2*IF(circ_int,0,eq_c2/2)),IF(circ_int,0,eq_c2/2)-(((1+0.5)*(4*IF(circ_int,0,eq_c1/2)+4*IF(circ_int,0,eq_c2/2)+2*PI()*(s_0+6*s_r+IF(circ_int,eq_c1/2,0)))/INDEX(lk_legs,7))-((((2*IF(circ_int,0,eq_c2/2))+(PI()*(s_0+6*s_r+IF(circ_int,eq_c1/2,0))/2))+2*IF(circ_int,0,eq_c1/2))+(PI()*(s_0+6*s_r+IF(circ_int,eq_c1/2,0))/2))),IF(((1+0.5)*(4*IF(circ_int,0,eq_c1/2)+4*IF(circ_int,0,eq_c2/2)+2*PI()*(s_0+6*s_r+IF(circ_int,eq_c1/2,0)))/INDEX(lk_legs,7))&lt;((((((2*IF(circ_int,0,eq_c2/2))+(PI()*(s_0+6*s_r+IF(circ_int,eq_c1/2,0))/2))+2*IF(circ_int,0,eq_c1/2))+(PI()*(s_0+6*s_r+IF(circ_int,eq_c1/2,0))/2))+2*IF(circ_int,0,eq_c2/2))+(PI()*(s_0+6*s_r+IF(circ_int,eq_c1/2,0))/2)),-IF(circ_int,0,eq_c2/2)+(s_0+6*s_r+IF(circ_int,eq_c1/2,0))*SIN(PI()+(((1+0.5)*(4*IF(circ_int,0,eq_c1/2)+4*IF(circ_int,0,eq_c2/2)+2*PI()*(s_0+6*s_r+IF(circ_int,eq_c1/2,0)))/INDEX(lk_legs,7))-(((((2*IF(circ_int,0,eq_c2/2))+(PI()*(s_0+6*s_r+IF(circ_int,eq_c1/2,0))/2))+2*IF(circ_int,0,eq_c1/2))+(PI()*(s_0+6*s_r+IF(circ_int,eq_c1/2,0))/2))+2*IF(circ_int,0,eq_c2/2)))/(s_0+6*s_r+IF(circ_int,eq_c1/2,0))),IF(((1+0.5)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(1+0.5)*(4*IF(circ_int,0,eq_c1/2)+4*IF(circ_int,0,eq_c2/2)+2*PI()*(s_0+6*s_r+IF(circ_int,eq_c1/2,0)))/INDEX(lk_legs,7))-(((((((2*IF(circ_int,0,eq_c2/2))+(PI()*(s_0+6*s_r+IF(circ_int,eq_c1/2,0))/2))+2*IF(circ_int,0,eq_c1/2))+(PI()*(s_0+6*s_r+IF(circ_int,eq_c1/2,0))/2))+2*IF(circ_int,0,eq_c2/2))+(PI()*(s_0+6*s_r+IF(circ_int,eq_c1/2,0))/2))+2*IF(circ_int,0,eq_c1/2)))/(s_0+6*s_r+IF(circ_int,eq_c1/2,0)))))))))),NA())</f>
        <v/>
      </c>
      <c r="CM4">
        <f>IF(AND(links_on,8&lt;=n_per),IF(circ_int,(g_ox)+(c_1/2+(s_0+7*s_r))*0.992709,CHOOSE(INDEX(lk_kind,8),(g_ox+eq_c1/2)+((s_0+7*s_r))*0.991445,(eq_a1+eq_c1)+((s_0+7*s_r))*0.000000,(eq_a1+eq_c1)+((s_0+7*s_r))*0.000000,(eq_a1)+((s_0+7*s_r))*-1.000000)),NA())</f>
        <v/>
      </c>
      <c r="CN4">
        <f>IF(AND(links_on,8&lt;=n_per),IF(circ_int,(g_oy)+(c_1/2+(s_0+7*s_r))*0.120537,CHOOSE(INDEX(lk_kind,8),(g_oy+eq_c2/2)+((s_0+7*s_r))*0.130526,(g_oy+eq_c2/2)+((s_0+7*s_r))*1.000000,(eq_a2+eq_c2)+((s_0+7*s_r))*1.000000,(eq_a2+eq_c2)+((s_0+7*s_r))*0.000000)),NA())</f>
        <v/>
      </c>
      <c r="CP4">
        <f>IF(AND(AND(links_on,8&lt;=n_per),INDEX(lk_kind,8)=1,1&lt;INDEX(lk_legs,8)),g_ox+IF(((1+0.5)*(4*IF(circ_int,0,eq_c1/2)+4*IF(circ_int,0,eq_c2/2)+2*PI()*(s_0+7*s_r+IF(circ_int,eq_c1/2,0)))/INDEX(lk_legs,8))&lt;(2*IF(circ_int,0,eq_c2/2)),IF(circ_int,0,eq_c1/2)+(s_0+7*s_r+IF(circ_int,eq_c1/2,0)),IF(((1+0.5)*(4*IF(circ_int,0,eq_c1/2)+4*IF(circ_int,0,eq_c2/2)+2*PI()*(s_0+7*s_r+IF(circ_int,eq_c1/2,0)))/INDEX(lk_legs,8))&lt;((2*IF(circ_int,0,eq_c2/2))+(PI()*(s_0+7*s_r+IF(circ_int,eq_c1/2,0))/2)),IF(circ_int,0,eq_c1/2)+(s_0+7*s_r+IF(circ_int,eq_c1/2,0))*COS((((1+0.5)*(4*IF(circ_int,0,eq_c1/2)+4*IF(circ_int,0,eq_c2/2)+2*PI()*(s_0+7*s_r+IF(circ_int,eq_c1/2,0)))/INDEX(lk_legs,8))-(2*IF(circ_int,0,eq_c2/2)))/(s_0+7*s_r+IF(circ_int,eq_c1/2,0))),IF(((1+0.5)*(4*IF(circ_int,0,eq_c1/2)+4*IF(circ_int,0,eq_c2/2)+2*PI()*(s_0+7*s_r+IF(circ_int,eq_c1/2,0)))/INDEX(lk_legs,8))&lt;(((2*IF(circ_int,0,eq_c2/2))+(PI()*(s_0+7*s_r+IF(circ_int,eq_c1/2,0))/2))+2*IF(circ_int,0,eq_c1/2)),IF(circ_int,0,eq_c1/2)-(((1+0.5)*(4*IF(circ_int,0,eq_c1/2)+4*IF(circ_int,0,eq_c2/2)+2*PI()*(s_0+7*s_r+IF(circ_int,eq_c1/2,0)))/INDEX(lk_legs,8))-((2*IF(circ_int,0,eq_c2/2))+(PI()*(s_0+7*s_r+IF(circ_int,eq_c1/2,0))/2))),IF(((1+0.5)*(4*IF(circ_int,0,eq_c1/2)+4*IF(circ_int,0,eq_c2/2)+2*PI()*(s_0+7*s_r+IF(circ_int,eq_c1/2,0)))/INDEX(lk_legs,8))&lt;((((2*IF(circ_int,0,eq_c2/2))+(PI()*(s_0+7*s_r+IF(circ_int,eq_c1/2,0))/2))+2*IF(circ_int,0,eq_c1/2))+(PI()*(s_0+7*s_r+IF(circ_int,eq_c1/2,0))/2)),-IF(circ_int,0,eq_c1/2)+(s_0+7*s_r+IF(circ_int,eq_c1/2,0))*COS(PI()/2+(((1+0.5)*(4*IF(circ_int,0,eq_c1/2)+4*IF(circ_int,0,eq_c2/2)+2*PI()*(s_0+7*s_r+IF(circ_int,eq_c1/2,0)))/INDEX(lk_legs,8))-(((2*IF(circ_int,0,eq_c2/2))+(PI()*(s_0+7*s_r+IF(circ_int,eq_c1/2,0))/2))+2*IF(circ_int,0,eq_c1/2)))/(s_0+7*s_r+IF(circ_int,eq_c1/2,0))),IF(((1+0.5)*(4*IF(circ_int,0,eq_c1/2)+4*IF(circ_int,0,eq_c2/2)+2*PI()*(s_0+7*s_r+IF(circ_int,eq_c1/2,0)))/INDEX(lk_legs,8))&lt;(((((2*IF(circ_int,0,eq_c2/2))+(PI()*(s_0+7*s_r+IF(circ_int,eq_c1/2,0))/2))+2*IF(circ_int,0,eq_c1/2))+(PI()*(s_0+7*s_r+IF(circ_int,eq_c1/2,0))/2))+2*IF(circ_int,0,eq_c2/2)),-IF(circ_int,0,eq_c1/2)-(s_0+7*s_r+IF(circ_int,eq_c1/2,0)),IF(((1+0.5)*(4*IF(circ_int,0,eq_c1/2)+4*IF(circ_int,0,eq_c2/2)+2*PI()*(s_0+7*s_r+IF(circ_int,eq_c1/2,0)))/INDEX(lk_legs,8))&lt;((((((2*IF(circ_int,0,eq_c2/2))+(PI()*(s_0+7*s_r+IF(circ_int,eq_c1/2,0))/2))+2*IF(circ_int,0,eq_c1/2))+(PI()*(s_0+7*s_r+IF(circ_int,eq_c1/2,0))/2))+2*IF(circ_int,0,eq_c2/2))+(PI()*(s_0+7*s_r+IF(circ_int,eq_c1/2,0))/2)),-IF(circ_int,0,eq_c1/2)+(s_0+7*s_r+IF(circ_int,eq_c1/2,0))*COS(PI()+(((1+0.5)*(4*IF(circ_int,0,eq_c1/2)+4*IF(circ_int,0,eq_c2/2)+2*PI()*(s_0+7*s_r+IF(circ_int,eq_c1/2,0)))/INDEX(lk_legs,8))-(((((2*IF(circ_int,0,eq_c2/2))+(PI()*(s_0+7*s_r+IF(circ_int,eq_c1/2,0))/2))+2*IF(circ_int,0,eq_c1/2))+(PI()*(s_0+7*s_r+IF(circ_int,eq_c1/2,0))/2))+2*IF(circ_int,0,eq_c2/2)))/(s_0+7*s_r+IF(circ_int,eq_c1/2,0))),IF(((1+0.5)*(4*IF(circ_int,0,eq_c1/2)+4*IF(circ_int,0,eq_c2/2)+2*PI()*(s_0+7*s_r+IF(circ_int,eq_c1/2,0)))/INDEX(lk_legs,8))&lt;(((((((2*IF(circ_int,0,eq_c2/2))+(PI()*(s_0+7*s_r+IF(circ_int,eq_c1/2,0))/2))+2*IF(circ_int,0,eq_c1/2))+(PI()*(s_0+7*s_r+IF(circ_int,eq_c1/2,0))/2))+2*IF(circ_int,0,eq_c2/2))+(PI()*(s_0+7*s_r+IF(circ_int,eq_c1/2,0))/2))+2*IF(circ_int,0,eq_c1/2)),-IF(circ_int,0,eq_c1/2)+(((1+0.5)*(4*IF(circ_int,0,eq_c1/2)+4*IF(circ_int,0,eq_c2/2)+2*PI()*(s_0+7*s_r+IF(circ_int,eq_c1/2,0)))/INDEX(lk_legs,8))-((((((2*IF(circ_int,0,eq_c2/2))+(PI()*(s_0+7*s_r+IF(circ_int,eq_c1/2,0))/2))+2*IF(circ_int,0,eq_c1/2))+(PI()*(s_0+7*s_r+IF(circ_int,eq_c1/2,0))/2))+2*IF(circ_int,0,eq_c2/2))+(PI()*(s_0+7*s_r+IF(circ_int,eq_c1/2,0))/2))),IF(circ_int,0,eq_c1/2)+(s_0+7*s_r+IF(circ_int,eq_c1/2,0))*COS(3*PI()/2+(((1+0.5)*(4*IF(circ_int,0,eq_c1/2)+4*IF(circ_int,0,eq_c2/2)+2*PI()*(s_0+7*s_r+IF(circ_int,eq_c1/2,0)))/INDEX(lk_legs,8))-(((((((2*IF(circ_int,0,eq_c2/2))+(PI()*(s_0+7*s_r+IF(circ_int,eq_c1/2,0))/2))+2*IF(circ_int,0,eq_c1/2))+(PI()*(s_0+7*s_r+IF(circ_int,eq_c1/2,0))/2))+2*IF(circ_int,0,eq_c2/2))+(PI()*(s_0+7*s_r+IF(circ_int,eq_c1/2,0))/2))+2*IF(circ_int,0,eq_c1/2)))/(s_0+7*s_r+IF(circ_int,eq_c1/2,0)))))))))),NA())</f>
        <v/>
      </c>
      <c r="CQ4">
        <f>IF(AND(AND(links_on,8&lt;=n_per),INDEX(lk_kind,8)=1,1&lt;INDEX(lk_legs,8)),g_oy+IF(((1+0.5)*(4*IF(circ_int,0,eq_c1/2)+4*IF(circ_int,0,eq_c2/2)+2*PI()*(s_0+7*s_r+IF(circ_int,eq_c1/2,0)))/INDEX(lk_legs,8))&lt;(2*IF(circ_int,0,eq_c2/2)),-IF(circ_int,0,eq_c2/2)+((1+0.5)*(4*IF(circ_int,0,eq_c1/2)+4*IF(circ_int,0,eq_c2/2)+2*PI()*(s_0+7*s_r+IF(circ_int,eq_c1/2,0)))/INDEX(lk_legs,8)),IF(((1+0.5)*(4*IF(circ_int,0,eq_c1/2)+4*IF(circ_int,0,eq_c2/2)+2*PI()*(s_0+7*s_r+IF(circ_int,eq_c1/2,0)))/INDEX(lk_legs,8))&lt;((2*IF(circ_int,0,eq_c2/2))+(PI()*(s_0+7*s_r+IF(circ_int,eq_c1/2,0))/2)),IF(circ_int,0,eq_c2/2)+(s_0+7*s_r+IF(circ_int,eq_c1/2,0))*SIN((((1+0.5)*(4*IF(circ_int,0,eq_c1/2)+4*IF(circ_int,0,eq_c2/2)+2*PI()*(s_0+7*s_r+IF(circ_int,eq_c1/2,0)))/INDEX(lk_legs,8))-(2*IF(circ_int,0,eq_c2/2)))/(s_0+7*s_r+IF(circ_int,eq_c1/2,0))),IF(((1+0.5)*(4*IF(circ_int,0,eq_c1/2)+4*IF(circ_int,0,eq_c2/2)+2*PI()*(s_0+7*s_r+IF(circ_int,eq_c1/2,0)))/INDEX(lk_legs,8))&lt;(((2*IF(circ_int,0,eq_c2/2))+(PI()*(s_0+7*s_r+IF(circ_int,eq_c1/2,0))/2))+2*IF(circ_int,0,eq_c1/2)),IF(circ_int,0,eq_c2/2)+(s_0+7*s_r+IF(circ_int,eq_c1/2,0)),IF(((1+0.5)*(4*IF(circ_int,0,eq_c1/2)+4*IF(circ_int,0,eq_c2/2)+2*PI()*(s_0+7*s_r+IF(circ_int,eq_c1/2,0)))/INDEX(lk_legs,8))&lt;((((2*IF(circ_int,0,eq_c2/2))+(PI()*(s_0+7*s_r+IF(circ_int,eq_c1/2,0))/2))+2*IF(circ_int,0,eq_c1/2))+(PI()*(s_0+7*s_r+IF(circ_int,eq_c1/2,0))/2)),IF(circ_int,0,eq_c2/2)+(s_0+7*s_r+IF(circ_int,eq_c1/2,0))*SIN(PI()/2+(((1+0.5)*(4*IF(circ_int,0,eq_c1/2)+4*IF(circ_int,0,eq_c2/2)+2*PI()*(s_0+7*s_r+IF(circ_int,eq_c1/2,0)))/INDEX(lk_legs,8))-(((2*IF(circ_int,0,eq_c2/2))+(PI()*(s_0+7*s_r+IF(circ_int,eq_c1/2,0))/2))+2*IF(circ_int,0,eq_c1/2)))/(s_0+7*s_r+IF(circ_int,eq_c1/2,0))),IF(((1+0.5)*(4*IF(circ_int,0,eq_c1/2)+4*IF(circ_int,0,eq_c2/2)+2*PI()*(s_0+7*s_r+IF(circ_int,eq_c1/2,0)))/INDEX(lk_legs,8))&lt;(((((2*IF(circ_int,0,eq_c2/2))+(PI()*(s_0+7*s_r+IF(circ_int,eq_c1/2,0))/2))+2*IF(circ_int,0,eq_c1/2))+(PI()*(s_0+7*s_r+IF(circ_int,eq_c1/2,0))/2))+2*IF(circ_int,0,eq_c2/2)),IF(circ_int,0,eq_c2/2)-(((1+0.5)*(4*IF(circ_int,0,eq_c1/2)+4*IF(circ_int,0,eq_c2/2)+2*PI()*(s_0+7*s_r+IF(circ_int,eq_c1/2,0)))/INDEX(lk_legs,8))-((((2*IF(circ_int,0,eq_c2/2))+(PI()*(s_0+7*s_r+IF(circ_int,eq_c1/2,0))/2))+2*IF(circ_int,0,eq_c1/2))+(PI()*(s_0+7*s_r+IF(circ_int,eq_c1/2,0))/2))),IF(((1+0.5)*(4*IF(circ_int,0,eq_c1/2)+4*IF(circ_int,0,eq_c2/2)+2*PI()*(s_0+7*s_r+IF(circ_int,eq_c1/2,0)))/INDEX(lk_legs,8))&lt;((((((2*IF(circ_int,0,eq_c2/2))+(PI()*(s_0+7*s_r+IF(circ_int,eq_c1/2,0))/2))+2*IF(circ_int,0,eq_c1/2))+(PI()*(s_0+7*s_r+IF(circ_int,eq_c1/2,0))/2))+2*IF(circ_int,0,eq_c2/2))+(PI()*(s_0+7*s_r+IF(circ_int,eq_c1/2,0))/2)),-IF(circ_int,0,eq_c2/2)+(s_0+7*s_r+IF(circ_int,eq_c1/2,0))*SIN(PI()+(((1+0.5)*(4*IF(circ_int,0,eq_c1/2)+4*IF(circ_int,0,eq_c2/2)+2*PI()*(s_0+7*s_r+IF(circ_int,eq_c1/2,0)))/INDEX(lk_legs,8))-(((((2*IF(circ_int,0,eq_c2/2))+(PI()*(s_0+7*s_r+IF(circ_int,eq_c1/2,0))/2))+2*IF(circ_int,0,eq_c1/2))+(PI()*(s_0+7*s_r+IF(circ_int,eq_c1/2,0))/2))+2*IF(circ_int,0,eq_c2/2)))/(s_0+7*s_r+IF(circ_int,eq_c1/2,0))),IF(((1+0.5)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(1+0.5)*(4*IF(circ_int,0,eq_c1/2)+4*IF(circ_int,0,eq_c2/2)+2*PI()*(s_0+7*s_r+IF(circ_int,eq_c1/2,0)))/INDEX(lk_legs,8))-(((((((2*IF(circ_int,0,eq_c2/2))+(PI()*(s_0+7*s_r+IF(circ_int,eq_c1/2,0))/2))+2*IF(circ_int,0,eq_c1/2))+(PI()*(s_0+7*s_r+IF(circ_int,eq_c1/2,0))/2))+2*IF(circ_int,0,eq_c2/2))+(PI()*(s_0+7*s_r+IF(circ_int,eq_c1/2,0))/2))+2*IF(circ_int,0,eq_c1/2)))/(s_0+7*s_r+IF(circ_int,eq_c1/2,0)))))))))),NA())</f>
        <v/>
      </c>
      <c r="CS4">
        <f>IF(AND(links_on,9&lt;=n_per),IF(circ_int,(g_ox)+(c_1/2+(s_0+8*s_r))*0.992709,CHOOSE(INDEX(lk_kind,9),(g_ox+eq_c1/2)+((s_0+8*s_r))*0.991445,(eq_a1+eq_c1)+((s_0+8*s_r))*0.000000,(eq_a1+eq_c1)+((s_0+8*s_r))*0.000000,(eq_a1)+((s_0+8*s_r))*-1.000000)),NA())</f>
        <v/>
      </c>
      <c r="CT4">
        <f>IF(AND(links_on,9&lt;=n_per),IF(circ_int,(g_oy)+(c_1/2+(s_0+8*s_r))*0.120537,CHOOSE(INDEX(lk_kind,9),(g_oy+eq_c2/2)+((s_0+8*s_r))*0.130526,(g_oy+eq_c2/2)+((s_0+8*s_r))*1.000000,(eq_a2+eq_c2)+((s_0+8*s_r))*1.000000,(eq_a2+eq_c2)+((s_0+8*s_r))*0.000000)),NA())</f>
        <v/>
      </c>
      <c r="CV4">
        <f>IF(AND(AND(links_on,9&lt;=n_per),INDEX(lk_kind,9)=1,1&lt;INDEX(lk_legs,9)),g_ox+IF(((1+0.5)*(4*IF(circ_int,0,eq_c1/2)+4*IF(circ_int,0,eq_c2/2)+2*PI()*(s_0+8*s_r+IF(circ_int,eq_c1/2,0)))/INDEX(lk_legs,9))&lt;(2*IF(circ_int,0,eq_c2/2)),IF(circ_int,0,eq_c1/2)+(s_0+8*s_r+IF(circ_int,eq_c1/2,0)),IF(((1+0.5)*(4*IF(circ_int,0,eq_c1/2)+4*IF(circ_int,0,eq_c2/2)+2*PI()*(s_0+8*s_r+IF(circ_int,eq_c1/2,0)))/INDEX(lk_legs,9))&lt;((2*IF(circ_int,0,eq_c2/2))+(PI()*(s_0+8*s_r+IF(circ_int,eq_c1/2,0))/2)),IF(circ_int,0,eq_c1/2)+(s_0+8*s_r+IF(circ_int,eq_c1/2,0))*COS((((1+0.5)*(4*IF(circ_int,0,eq_c1/2)+4*IF(circ_int,0,eq_c2/2)+2*PI()*(s_0+8*s_r+IF(circ_int,eq_c1/2,0)))/INDEX(lk_legs,9))-(2*IF(circ_int,0,eq_c2/2)))/(s_0+8*s_r+IF(circ_int,eq_c1/2,0))),IF(((1+0.5)*(4*IF(circ_int,0,eq_c1/2)+4*IF(circ_int,0,eq_c2/2)+2*PI()*(s_0+8*s_r+IF(circ_int,eq_c1/2,0)))/INDEX(lk_legs,9))&lt;(((2*IF(circ_int,0,eq_c2/2))+(PI()*(s_0+8*s_r+IF(circ_int,eq_c1/2,0))/2))+2*IF(circ_int,0,eq_c1/2)),IF(circ_int,0,eq_c1/2)-(((1+0.5)*(4*IF(circ_int,0,eq_c1/2)+4*IF(circ_int,0,eq_c2/2)+2*PI()*(s_0+8*s_r+IF(circ_int,eq_c1/2,0)))/INDEX(lk_legs,9))-((2*IF(circ_int,0,eq_c2/2))+(PI()*(s_0+8*s_r+IF(circ_int,eq_c1/2,0))/2))),IF(((1+0.5)*(4*IF(circ_int,0,eq_c1/2)+4*IF(circ_int,0,eq_c2/2)+2*PI()*(s_0+8*s_r+IF(circ_int,eq_c1/2,0)))/INDEX(lk_legs,9))&lt;((((2*IF(circ_int,0,eq_c2/2))+(PI()*(s_0+8*s_r+IF(circ_int,eq_c1/2,0))/2))+2*IF(circ_int,0,eq_c1/2))+(PI()*(s_0+8*s_r+IF(circ_int,eq_c1/2,0))/2)),-IF(circ_int,0,eq_c1/2)+(s_0+8*s_r+IF(circ_int,eq_c1/2,0))*COS(PI()/2+(((1+0.5)*(4*IF(circ_int,0,eq_c1/2)+4*IF(circ_int,0,eq_c2/2)+2*PI()*(s_0+8*s_r+IF(circ_int,eq_c1/2,0)))/INDEX(lk_legs,9))-(((2*IF(circ_int,0,eq_c2/2))+(PI()*(s_0+8*s_r+IF(circ_int,eq_c1/2,0))/2))+2*IF(circ_int,0,eq_c1/2)))/(s_0+8*s_r+IF(circ_int,eq_c1/2,0))),IF(((1+0.5)*(4*IF(circ_int,0,eq_c1/2)+4*IF(circ_int,0,eq_c2/2)+2*PI()*(s_0+8*s_r+IF(circ_int,eq_c1/2,0)))/INDEX(lk_legs,9))&lt;(((((2*IF(circ_int,0,eq_c2/2))+(PI()*(s_0+8*s_r+IF(circ_int,eq_c1/2,0))/2))+2*IF(circ_int,0,eq_c1/2))+(PI()*(s_0+8*s_r+IF(circ_int,eq_c1/2,0))/2))+2*IF(circ_int,0,eq_c2/2)),-IF(circ_int,0,eq_c1/2)-(s_0+8*s_r+IF(circ_int,eq_c1/2,0)),IF(((1+0.5)*(4*IF(circ_int,0,eq_c1/2)+4*IF(circ_int,0,eq_c2/2)+2*PI()*(s_0+8*s_r+IF(circ_int,eq_c1/2,0)))/INDEX(lk_legs,9))&lt;((((((2*IF(circ_int,0,eq_c2/2))+(PI()*(s_0+8*s_r+IF(circ_int,eq_c1/2,0))/2))+2*IF(circ_int,0,eq_c1/2))+(PI()*(s_0+8*s_r+IF(circ_int,eq_c1/2,0))/2))+2*IF(circ_int,0,eq_c2/2))+(PI()*(s_0+8*s_r+IF(circ_int,eq_c1/2,0))/2)),-IF(circ_int,0,eq_c1/2)+(s_0+8*s_r+IF(circ_int,eq_c1/2,0))*COS(PI()+(((1+0.5)*(4*IF(circ_int,0,eq_c1/2)+4*IF(circ_int,0,eq_c2/2)+2*PI()*(s_0+8*s_r+IF(circ_int,eq_c1/2,0)))/INDEX(lk_legs,9))-(((((2*IF(circ_int,0,eq_c2/2))+(PI()*(s_0+8*s_r+IF(circ_int,eq_c1/2,0))/2))+2*IF(circ_int,0,eq_c1/2))+(PI()*(s_0+8*s_r+IF(circ_int,eq_c1/2,0))/2))+2*IF(circ_int,0,eq_c2/2)))/(s_0+8*s_r+IF(circ_int,eq_c1/2,0))),IF(((1+0.5)*(4*IF(circ_int,0,eq_c1/2)+4*IF(circ_int,0,eq_c2/2)+2*PI()*(s_0+8*s_r+IF(circ_int,eq_c1/2,0)))/INDEX(lk_legs,9))&lt;(((((((2*IF(circ_int,0,eq_c2/2))+(PI()*(s_0+8*s_r+IF(circ_int,eq_c1/2,0))/2))+2*IF(circ_int,0,eq_c1/2))+(PI()*(s_0+8*s_r+IF(circ_int,eq_c1/2,0))/2))+2*IF(circ_int,0,eq_c2/2))+(PI()*(s_0+8*s_r+IF(circ_int,eq_c1/2,0))/2))+2*IF(circ_int,0,eq_c1/2)),-IF(circ_int,0,eq_c1/2)+(((1+0.5)*(4*IF(circ_int,0,eq_c1/2)+4*IF(circ_int,0,eq_c2/2)+2*PI()*(s_0+8*s_r+IF(circ_int,eq_c1/2,0)))/INDEX(lk_legs,9))-((((((2*IF(circ_int,0,eq_c2/2))+(PI()*(s_0+8*s_r+IF(circ_int,eq_c1/2,0))/2))+2*IF(circ_int,0,eq_c1/2))+(PI()*(s_0+8*s_r+IF(circ_int,eq_c1/2,0))/2))+2*IF(circ_int,0,eq_c2/2))+(PI()*(s_0+8*s_r+IF(circ_int,eq_c1/2,0))/2))),IF(circ_int,0,eq_c1/2)+(s_0+8*s_r+IF(circ_int,eq_c1/2,0))*COS(3*PI()/2+(((1+0.5)*(4*IF(circ_int,0,eq_c1/2)+4*IF(circ_int,0,eq_c2/2)+2*PI()*(s_0+8*s_r+IF(circ_int,eq_c1/2,0)))/INDEX(lk_legs,9))-(((((((2*IF(circ_int,0,eq_c2/2))+(PI()*(s_0+8*s_r+IF(circ_int,eq_c1/2,0))/2))+2*IF(circ_int,0,eq_c1/2))+(PI()*(s_0+8*s_r+IF(circ_int,eq_c1/2,0))/2))+2*IF(circ_int,0,eq_c2/2))+(PI()*(s_0+8*s_r+IF(circ_int,eq_c1/2,0))/2))+2*IF(circ_int,0,eq_c1/2)))/(s_0+8*s_r+IF(circ_int,eq_c1/2,0)))))))))),NA())</f>
        <v/>
      </c>
      <c r="CW4">
        <f>IF(AND(AND(links_on,9&lt;=n_per),INDEX(lk_kind,9)=1,1&lt;INDEX(lk_legs,9)),g_oy+IF(((1+0.5)*(4*IF(circ_int,0,eq_c1/2)+4*IF(circ_int,0,eq_c2/2)+2*PI()*(s_0+8*s_r+IF(circ_int,eq_c1/2,0)))/INDEX(lk_legs,9))&lt;(2*IF(circ_int,0,eq_c2/2)),-IF(circ_int,0,eq_c2/2)+((1+0.5)*(4*IF(circ_int,0,eq_c1/2)+4*IF(circ_int,0,eq_c2/2)+2*PI()*(s_0+8*s_r+IF(circ_int,eq_c1/2,0)))/INDEX(lk_legs,9)),IF(((1+0.5)*(4*IF(circ_int,0,eq_c1/2)+4*IF(circ_int,0,eq_c2/2)+2*PI()*(s_0+8*s_r+IF(circ_int,eq_c1/2,0)))/INDEX(lk_legs,9))&lt;((2*IF(circ_int,0,eq_c2/2))+(PI()*(s_0+8*s_r+IF(circ_int,eq_c1/2,0))/2)),IF(circ_int,0,eq_c2/2)+(s_0+8*s_r+IF(circ_int,eq_c1/2,0))*SIN((((1+0.5)*(4*IF(circ_int,0,eq_c1/2)+4*IF(circ_int,0,eq_c2/2)+2*PI()*(s_0+8*s_r+IF(circ_int,eq_c1/2,0)))/INDEX(lk_legs,9))-(2*IF(circ_int,0,eq_c2/2)))/(s_0+8*s_r+IF(circ_int,eq_c1/2,0))),IF(((1+0.5)*(4*IF(circ_int,0,eq_c1/2)+4*IF(circ_int,0,eq_c2/2)+2*PI()*(s_0+8*s_r+IF(circ_int,eq_c1/2,0)))/INDEX(lk_legs,9))&lt;(((2*IF(circ_int,0,eq_c2/2))+(PI()*(s_0+8*s_r+IF(circ_int,eq_c1/2,0))/2))+2*IF(circ_int,0,eq_c1/2)),IF(circ_int,0,eq_c2/2)+(s_0+8*s_r+IF(circ_int,eq_c1/2,0)),IF(((1+0.5)*(4*IF(circ_int,0,eq_c1/2)+4*IF(circ_int,0,eq_c2/2)+2*PI()*(s_0+8*s_r+IF(circ_int,eq_c1/2,0)))/INDEX(lk_legs,9))&lt;((((2*IF(circ_int,0,eq_c2/2))+(PI()*(s_0+8*s_r+IF(circ_int,eq_c1/2,0))/2))+2*IF(circ_int,0,eq_c1/2))+(PI()*(s_0+8*s_r+IF(circ_int,eq_c1/2,0))/2)),IF(circ_int,0,eq_c2/2)+(s_0+8*s_r+IF(circ_int,eq_c1/2,0))*SIN(PI()/2+(((1+0.5)*(4*IF(circ_int,0,eq_c1/2)+4*IF(circ_int,0,eq_c2/2)+2*PI()*(s_0+8*s_r+IF(circ_int,eq_c1/2,0)))/INDEX(lk_legs,9))-(((2*IF(circ_int,0,eq_c2/2))+(PI()*(s_0+8*s_r+IF(circ_int,eq_c1/2,0))/2))+2*IF(circ_int,0,eq_c1/2)))/(s_0+8*s_r+IF(circ_int,eq_c1/2,0))),IF(((1+0.5)*(4*IF(circ_int,0,eq_c1/2)+4*IF(circ_int,0,eq_c2/2)+2*PI()*(s_0+8*s_r+IF(circ_int,eq_c1/2,0)))/INDEX(lk_legs,9))&lt;(((((2*IF(circ_int,0,eq_c2/2))+(PI()*(s_0+8*s_r+IF(circ_int,eq_c1/2,0))/2))+2*IF(circ_int,0,eq_c1/2))+(PI()*(s_0+8*s_r+IF(circ_int,eq_c1/2,0))/2))+2*IF(circ_int,0,eq_c2/2)),IF(circ_int,0,eq_c2/2)-(((1+0.5)*(4*IF(circ_int,0,eq_c1/2)+4*IF(circ_int,0,eq_c2/2)+2*PI()*(s_0+8*s_r+IF(circ_int,eq_c1/2,0)))/INDEX(lk_legs,9))-((((2*IF(circ_int,0,eq_c2/2))+(PI()*(s_0+8*s_r+IF(circ_int,eq_c1/2,0))/2))+2*IF(circ_int,0,eq_c1/2))+(PI()*(s_0+8*s_r+IF(circ_int,eq_c1/2,0))/2))),IF(((1+0.5)*(4*IF(circ_int,0,eq_c1/2)+4*IF(circ_int,0,eq_c2/2)+2*PI()*(s_0+8*s_r+IF(circ_int,eq_c1/2,0)))/INDEX(lk_legs,9))&lt;((((((2*IF(circ_int,0,eq_c2/2))+(PI()*(s_0+8*s_r+IF(circ_int,eq_c1/2,0))/2))+2*IF(circ_int,0,eq_c1/2))+(PI()*(s_0+8*s_r+IF(circ_int,eq_c1/2,0))/2))+2*IF(circ_int,0,eq_c2/2))+(PI()*(s_0+8*s_r+IF(circ_int,eq_c1/2,0))/2)),-IF(circ_int,0,eq_c2/2)+(s_0+8*s_r+IF(circ_int,eq_c1/2,0))*SIN(PI()+(((1+0.5)*(4*IF(circ_int,0,eq_c1/2)+4*IF(circ_int,0,eq_c2/2)+2*PI()*(s_0+8*s_r+IF(circ_int,eq_c1/2,0)))/INDEX(lk_legs,9))-(((((2*IF(circ_int,0,eq_c2/2))+(PI()*(s_0+8*s_r+IF(circ_int,eq_c1/2,0))/2))+2*IF(circ_int,0,eq_c1/2))+(PI()*(s_0+8*s_r+IF(circ_int,eq_c1/2,0))/2))+2*IF(circ_int,0,eq_c2/2)))/(s_0+8*s_r+IF(circ_int,eq_c1/2,0))),IF(((1+0.5)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(1+0.5)*(4*IF(circ_int,0,eq_c1/2)+4*IF(circ_int,0,eq_c2/2)+2*PI()*(s_0+8*s_r+IF(circ_int,eq_c1/2,0)))/INDEX(lk_legs,9))-(((((((2*IF(circ_int,0,eq_c2/2))+(PI()*(s_0+8*s_r+IF(circ_int,eq_c1/2,0))/2))+2*IF(circ_int,0,eq_c1/2))+(PI()*(s_0+8*s_r+IF(circ_int,eq_c1/2,0))/2))+2*IF(circ_int,0,eq_c2/2))+(PI()*(s_0+8*s_r+IF(circ_int,eq_c1/2,0))/2))+2*IF(circ_int,0,eq_c1/2)))/(s_0+8*s_r+IF(circ_int,eq_c1/2,0)))))))))),NA())</f>
        <v/>
      </c>
      <c r="CY4">
        <f>IF(AND(links_on,10&lt;=n_per),IF(circ_int,(g_ox)+(c_1/2+(s_0+9*s_r))*0.992709,CHOOSE(INDEX(lk_kind,10),(g_ox+eq_c1/2)+((s_0+9*s_r))*0.991445,(eq_a1+eq_c1)+((s_0+9*s_r))*0.000000,(eq_a1+eq_c1)+((s_0+9*s_r))*0.000000,(eq_a1)+((s_0+9*s_r))*-1.000000)),NA())</f>
        <v/>
      </c>
      <c r="CZ4">
        <f>IF(AND(links_on,10&lt;=n_per),IF(circ_int,(g_oy)+(c_1/2+(s_0+9*s_r))*0.120537,CHOOSE(INDEX(lk_kind,10),(g_oy+eq_c2/2)+((s_0+9*s_r))*0.130526,(g_oy+eq_c2/2)+((s_0+9*s_r))*1.000000,(eq_a2+eq_c2)+((s_0+9*s_r))*1.000000,(eq_a2+eq_c2)+((s_0+9*s_r))*0.000000)),NA())</f>
        <v/>
      </c>
      <c r="DB4">
        <f>IF(AND(AND(links_on,10&lt;=n_per),INDEX(lk_kind,10)=1,1&lt;INDEX(lk_legs,10)),g_ox+IF(((1+0.5)*(4*IF(circ_int,0,eq_c1/2)+4*IF(circ_int,0,eq_c2/2)+2*PI()*(s_0+9*s_r+IF(circ_int,eq_c1/2,0)))/INDEX(lk_legs,10))&lt;(2*IF(circ_int,0,eq_c2/2)),IF(circ_int,0,eq_c1/2)+(s_0+9*s_r+IF(circ_int,eq_c1/2,0)),IF(((1+0.5)*(4*IF(circ_int,0,eq_c1/2)+4*IF(circ_int,0,eq_c2/2)+2*PI()*(s_0+9*s_r+IF(circ_int,eq_c1/2,0)))/INDEX(lk_legs,10))&lt;((2*IF(circ_int,0,eq_c2/2))+(PI()*(s_0+9*s_r+IF(circ_int,eq_c1/2,0))/2)),IF(circ_int,0,eq_c1/2)+(s_0+9*s_r+IF(circ_int,eq_c1/2,0))*COS((((1+0.5)*(4*IF(circ_int,0,eq_c1/2)+4*IF(circ_int,0,eq_c2/2)+2*PI()*(s_0+9*s_r+IF(circ_int,eq_c1/2,0)))/INDEX(lk_legs,10))-(2*IF(circ_int,0,eq_c2/2)))/(s_0+9*s_r+IF(circ_int,eq_c1/2,0))),IF(((1+0.5)*(4*IF(circ_int,0,eq_c1/2)+4*IF(circ_int,0,eq_c2/2)+2*PI()*(s_0+9*s_r+IF(circ_int,eq_c1/2,0)))/INDEX(lk_legs,10))&lt;(((2*IF(circ_int,0,eq_c2/2))+(PI()*(s_0+9*s_r+IF(circ_int,eq_c1/2,0))/2))+2*IF(circ_int,0,eq_c1/2)),IF(circ_int,0,eq_c1/2)-(((1+0.5)*(4*IF(circ_int,0,eq_c1/2)+4*IF(circ_int,0,eq_c2/2)+2*PI()*(s_0+9*s_r+IF(circ_int,eq_c1/2,0)))/INDEX(lk_legs,10))-((2*IF(circ_int,0,eq_c2/2))+(PI()*(s_0+9*s_r+IF(circ_int,eq_c1/2,0))/2))),IF(((1+0.5)*(4*IF(circ_int,0,eq_c1/2)+4*IF(circ_int,0,eq_c2/2)+2*PI()*(s_0+9*s_r+IF(circ_int,eq_c1/2,0)))/INDEX(lk_legs,10))&lt;((((2*IF(circ_int,0,eq_c2/2))+(PI()*(s_0+9*s_r+IF(circ_int,eq_c1/2,0))/2))+2*IF(circ_int,0,eq_c1/2))+(PI()*(s_0+9*s_r+IF(circ_int,eq_c1/2,0))/2)),-IF(circ_int,0,eq_c1/2)+(s_0+9*s_r+IF(circ_int,eq_c1/2,0))*COS(PI()/2+(((1+0.5)*(4*IF(circ_int,0,eq_c1/2)+4*IF(circ_int,0,eq_c2/2)+2*PI()*(s_0+9*s_r+IF(circ_int,eq_c1/2,0)))/INDEX(lk_legs,10))-(((2*IF(circ_int,0,eq_c2/2))+(PI()*(s_0+9*s_r+IF(circ_int,eq_c1/2,0))/2))+2*IF(circ_int,0,eq_c1/2)))/(s_0+9*s_r+IF(circ_int,eq_c1/2,0))),IF(((1+0.5)*(4*IF(circ_int,0,eq_c1/2)+4*IF(circ_int,0,eq_c2/2)+2*PI()*(s_0+9*s_r+IF(circ_int,eq_c1/2,0)))/INDEX(lk_legs,10))&lt;(((((2*IF(circ_int,0,eq_c2/2))+(PI()*(s_0+9*s_r+IF(circ_int,eq_c1/2,0))/2))+2*IF(circ_int,0,eq_c1/2))+(PI()*(s_0+9*s_r+IF(circ_int,eq_c1/2,0))/2))+2*IF(circ_int,0,eq_c2/2)),-IF(circ_int,0,eq_c1/2)-(s_0+9*s_r+IF(circ_int,eq_c1/2,0)),IF(((1+0.5)*(4*IF(circ_int,0,eq_c1/2)+4*IF(circ_int,0,eq_c2/2)+2*PI()*(s_0+9*s_r+IF(circ_int,eq_c1/2,0)))/INDEX(lk_legs,10))&lt;((((((2*IF(circ_int,0,eq_c2/2))+(PI()*(s_0+9*s_r+IF(circ_int,eq_c1/2,0))/2))+2*IF(circ_int,0,eq_c1/2))+(PI()*(s_0+9*s_r+IF(circ_int,eq_c1/2,0))/2))+2*IF(circ_int,0,eq_c2/2))+(PI()*(s_0+9*s_r+IF(circ_int,eq_c1/2,0))/2)),-IF(circ_int,0,eq_c1/2)+(s_0+9*s_r+IF(circ_int,eq_c1/2,0))*COS(PI()+(((1+0.5)*(4*IF(circ_int,0,eq_c1/2)+4*IF(circ_int,0,eq_c2/2)+2*PI()*(s_0+9*s_r+IF(circ_int,eq_c1/2,0)))/INDEX(lk_legs,10))-(((((2*IF(circ_int,0,eq_c2/2))+(PI()*(s_0+9*s_r+IF(circ_int,eq_c1/2,0))/2))+2*IF(circ_int,0,eq_c1/2))+(PI()*(s_0+9*s_r+IF(circ_int,eq_c1/2,0))/2))+2*IF(circ_int,0,eq_c2/2)))/(s_0+9*s_r+IF(circ_int,eq_c1/2,0))),IF(((1+0.5)*(4*IF(circ_int,0,eq_c1/2)+4*IF(circ_int,0,eq_c2/2)+2*PI()*(s_0+9*s_r+IF(circ_int,eq_c1/2,0)))/INDEX(lk_legs,10))&lt;(((((((2*IF(circ_int,0,eq_c2/2))+(PI()*(s_0+9*s_r+IF(circ_int,eq_c1/2,0))/2))+2*IF(circ_int,0,eq_c1/2))+(PI()*(s_0+9*s_r+IF(circ_int,eq_c1/2,0))/2))+2*IF(circ_int,0,eq_c2/2))+(PI()*(s_0+9*s_r+IF(circ_int,eq_c1/2,0))/2))+2*IF(circ_int,0,eq_c1/2)),-IF(circ_int,0,eq_c1/2)+(((1+0.5)*(4*IF(circ_int,0,eq_c1/2)+4*IF(circ_int,0,eq_c2/2)+2*PI()*(s_0+9*s_r+IF(circ_int,eq_c1/2,0)))/INDEX(lk_legs,10))-((((((2*IF(circ_int,0,eq_c2/2))+(PI()*(s_0+9*s_r+IF(circ_int,eq_c1/2,0))/2))+2*IF(circ_int,0,eq_c1/2))+(PI()*(s_0+9*s_r+IF(circ_int,eq_c1/2,0))/2))+2*IF(circ_int,0,eq_c2/2))+(PI()*(s_0+9*s_r+IF(circ_int,eq_c1/2,0))/2))),IF(circ_int,0,eq_c1/2)+(s_0+9*s_r+IF(circ_int,eq_c1/2,0))*COS(3*PI()/2+(((1+0.5)*(4*IF(circ_int,0,eq_c1/2)+4*IF(circ_int,0,eq_c2/2)+2*PI()*(s_0+9*s_r+IF(circ_int,eq_c1/2,0)))/INDEX(lk_legs,10))-(((((((2*IF(circ_int,0,eq_c2/2))+(PI()*(s_0+9*s_r+IF(circ_int,eq_c1/2,0))/2))+2*IF(circ_int,0,eq_c1/2))+(PI()*(s_0+9*s_r+IF(circ_int,eq_c1/2,0))/2))+2*IF(circ_int,0,eq_c2/2))+(PI()*(s_0+9*s_r+IF(circ_int,eq_c1/2,0))/2))+2*IF(circ_int,0,eq_c1/2)))/(s_0+9*s_r+IF(circ_int,eq_c1/2,0)))))))))),NA())</f>
        <v/>
      </c>
      <c r="DC4">
        <f>IF(AND(AND(links_on,10&lt;=n_per),INDEX(lk_kind,10)=1,1&lt;INDEX(lk_legs,10)),g_oy+IF(((1+0.5)*(4*IF(circ_int,0,eq_c1/2)+4*IF(circ_int,0,eq_c2/2)+2*PI()*(s_0+9*s_r+IF(circ_int,eq_c1/2,0)))/INDEX(lk_legs,10))&lt;(2*IF(circ_int,0,eq_c2/2)),-IF(circ_int,0,eq_c2/2)+((1+0.5)*(4*IF(circ_int,0,eq_c1/2)+4*IF(circ_int,0,eq_c2/2)+2*PI()*(s_0+9*s_r+IF(circ_int,eq_c1/2,0)))/INDEX(lk_legs,10)),IF(((1+0.5)*(4*IF(circ_int,0,eq_c1/2)+4*IF(circ_int,0,eq_c2/2)+2*PI()*(s_0+9*s_r+IF(circ_int,eq_c1/2,0)))/INDEX(lk_legs,10))&lt;((2*IF(circ_int,0,eq_c2/2))+(PI()*(s_0+9*s_r+IF(circ_int,eq_c1/2,0))/2)),IF(circ_int,0,eq_c2/2)+(s_0+9*s_r+IF(circ_int,eq_c1/2,0))*SIN((((1+0.5)*(4*IF(circ_int,0,eq_c1/2)+4*IF(circ_int,0,eq_c2/2)+2*PI()*(s_0+9*s_r+IF(circ_int,eq_c1/2,0)))/INDEX(lk_legs,10))-(2*IF(circ_int,0,eq_c2/2)))/(s_0+9*s_r+IF(circ_int,eq_c1/2,0))),IF(((1+0.5)*(4*IF(circ_int,0,eq_c1/2)+4*IF(circ_int,0,eq_c2/2)+2*PI()*(s_0+9*s_r+IF(circ_int,eq_c1/2,0)))/INDEX(lk_legs,10))&lt;(((2*IF(circ_int,0,eq_c2/2))+(PI()*(s_0+9*s_r+IF(circ_int,eq_c1/2,0))/2))+2*IF(circ_int,0,eq_c1/2)),IF(circ_int,0,eq_c2/2)+(s_0+9*s_r+IF(circ_int,eq_c1/2,0)),IF(((1+0.5)*(4*IF(circ_int,0,eq_c1/2)+4*IF(circ_int,0,eq_c2/2)+2*PI()*(s_0+9*s_r+IF(circ_int,eq_c1/2,0)))/INDEX(lk_legs,10))&lt;((((2*IF(circ_int,0,eq_c2/2))+(PI()*(s_0+9*s_r+IF(circ_int,eq_c1/2,0))/2))+2*IF(circ_int,0,eq_c1/2))+(PI()*(s_0+9*s_r+IF(circ_int,eq_c1/2,0))/2)),IF(circ_int,0,eq_c2/2)+(s_0+9*s_r+IF(circ_int,eq_c1/2,0))*SIN(PI()/2+(((1+0.5)*(4*IF(circ_int,0,eq_c1/2)+4*IF(circ_int,0,eq_c2/2)+2*PI()*(s_0+9*s_r+IF(circ_int,eq_c1/2,0)))/INDEX(lk_legs,10))-(((2*IF(circ_int,0,eq_c2/2))+(PI()*(s_0+9*s_r+IF(circ_int,eq_c1/2,0))/2))+2*IF(circ_int,0,eq_c1/2)))/(s_0+9*s_r+IF(circ_int,eq_c1/2,0))),IF(((1+0.5)*(4*IF(circ_int,0,eq_c1/2)+4*IF(circ_int,0,eq_c2/2)+2*PI()*(s_0+9*s_r+IF(circ_int,eq_c1/2,0)))/INDEX(lk_legs,10))&lt;(((((2*IF(circ_int,0,eq_c2/2))+(PI()*(s_0+9*s_r+IF(circ_int,eq_c1/2,0))/2))+2*IF(circ_int,0,eq_c1/2))+(PI()*(s_0+9*s_r+IF(circ_int,eq_c1/2,0))/2))+2*IF(circ_int,0,eq_c2/2)),IF(circ_int,0,eq_c2/2)-(((1+0.5)*(4*IF(circ_int,0,eq_c1/2)+4*IF(circ_int,0,eq_c2/2)+2*PI()*(s_0+9*s_r+IF(circ_int,eq_c1/2,0)))/INDEX(lk_legs,10))-((((2*IF(circ_int,0,eq_c2/2))+(PI()*(s_0+9*s_r+IF(circ_int,eq_c1/2,0))/2))+2*IF(circ_int,0,eq_c1/2))+(PI()*(s_0+9*s_r+IF(circ_int,eq_c1/2,0))/2))),IF(((1+0.5)*(4*IF(circ_int,0,eq_c1/2)+4*IF(circ_int,0,eq_c2/2)+2*PI()*(s_0+9*s_r+IF(circ_int,eq_c1/2,0)))/INDEX(lk_legs,10))&lt;((((((2*IF(circ_int,0,eq_c2/2))+(PI()*(s_0+9*s_r+IF(circ_int,eq_c1/2,0))/2))+2*IF(circ_int,0,eq_c1/2))+(PI()*(s_0+9*s_r+IF(circ_int,eq_c1/2,0))/2))+2*IF(circ_int,0,eq_c2/2))+(PI()*(s_0+9*s_r+IF(circ_int,eq_c1/2,0))/2)),-IF(circ_int,0,eq_c2/2)+(s_0+9*s_r+IF(circ_int,eq_c1/2,0))*SIN(PI()+(((1+0.5)*(4*IF(circ_int,0,eq_c1/2)+4*IF(circ_int,0,eq_c2/2)+2*PI()*(s_0+9*s_r+IF(circ_int,eq_c1/2,0)))/INDEX(lk_legs,10))-(((((2*IF(circ_int,0,eq_c2/2))+(PI()*(s_0+9*s_r+IF(circ_int,eq_c1/2,0))/2))+2*IF(circ_int,0,eq_c1/2))+(PI()*(s_0+9*s_r+IF(circ_int,eq_c1/2,0))/2))+2*IF(circ_int,0,eq_c2/2)))/(s_0+9*s_r+IF(circ_int,eq_c1/2,0))),IF(((1+0.5)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(1+0.5)*(4*IF(circ_int,0,eq_c1/2)+4*IF(circ_int,0,eq_c2/2)+2*PI()*(s_0+9*s_r+IF(circ_int,eq_c1/2,0)))/INDEX(lk_legs,10))-(((((((2*IF(circ_int,0,eq_c2/2))+(PI()*(s_0+9*s_r+IF(circ_int,eq_c1/2,0))/2))+2*IF(circ_int,0,eq_c1/2))+(PI()*(s_0+9*s_r+IF(circ_int,eq_c1/2,0))/2))+2*IF(circ_int,0,eq_c2/2))+(PI()*(s_0+9*s_r+IF(circ_int,eq_c1/2,0))/2))+2*IF(circ_int,0,eq_c1/2)))/(s_0+9*s_r+IF(circ_int,eq_c1/2,0)))))))))),NA())</f>
        <v/>
      </c>
      <c r="DE4">
        <f>IF(AND(links_on,11&lt;=n_per),IF(circ_int,(g_ox)+(c_1/2+(s_0+10*s_r))*0.992709,CHOOSE(INDEX(lk_kind,11),(g_ox+eq_c1/2)+((s_0+10*s_r))*0.991445,(eq_a1+eq_c1)+((s_0+10*s_r))*0.000000,(eq_a1+eq_c1)+((s_0+10*s_r))*0.000000,(eq_a1)+((s_0+10*s_r))*-1.000000)),NA())</f>
        <v/>
      </c>
      <c r="DF4">
        <f>IF(AND(links_on,11&lt;=n_per),IF(circ_int,(g_oy)+(c_1/2+(s_0+10*s_r))*0.120537,CHOOSE(INDEX(lk_kind,11),(g_oy+eq_c2/2)+((s_0+10*s_r))*0.130526,(g_oy+eq_c2/2)+((s_0+10*s_r))*1.000000,(eq_a2+eq_c2)+((s_0+10*s_r))*1.000000,(eq_a2+eq_c2)+((s_0+10*s_r))*0.000000)),NA())</f>
        <v/>
      </c>
      <c r="DH4">
        <f>IF(AND(AND(links_on,11&lt;=n_per),INDEX(lk_kind,11)=1,1&lt;INDEX(lk_legs,11)),g_ox+IF(((1+0.5)*(4*IF(circ_int,0,eq_c1/2)+4*IF(circ_int,0,eq_c2/2)+2*PI()*(s_0+10*s_r+IF(circ_int,eq_c1/2,0)))/INDEX(lk_legs,11))&lt;(2*IF(circ_int,0,eq_c2/2)),IF(circ_int,0,eq_c1/2)+(s_0+10*s_r+IF(circ_int,eq_c1/2,0)),IF(((1+0.5)*(4*IF(circ_int,0,eq_c1/2)+4*IF(circ_int,0,eq_c2/2)+2*PI()*(s_0+10*s_r+IF(circ_int,eq_c1/2,0)))/INDEX(lk_legs,11))&lt;((2*IF(circ_int,0,eq_c2/2))+(PI()*(s_0+10*s_r+IF(circ_int,eq_c1/2,0))/2)),IF(circ_int,0,eq_c1/2)+(s_0+10*s_r+IF(circ_int,eq_c1/2,0))*COS((((1+0.5)*(4*IF(circ_int,0,eq_c1/2)+4*IF(circ_int,0,eq_c2/2)+2*PI()*(s_0+10*s_r+IF(circ_int,eq_c1/2,0)))/INDEX(lk_legs,11))-(2*IF(circ_int,0,eq_c2/2)))/(s_0+10*s_r+IF(circ_int,eq_c1/2,0))),IF(((1+0.5)*(4*IF(circ_int,0,eq_c1/2)+4*IF(circ_int,0,eq_c2/2)+2*PI()*(s_0+10*s_r+IF(circ_int,eq_c1/2,0)))/INDEX(lk_legs,11))&lt;(((2*IF(circ_int,0,eq_c2/2))+(PI()*(s_0+10*s_r+IF(circ_int,eq_c1/2,0))/2))+2*IF(circ_int,0,eq_c1/2)),IF(circ_int,0,eq_c1/2)-(((1+0.5)*(4*IF(circ_int,0,eq_c1/2)+4*IF(circ_int,0,eq_c2/2)+2*PI()*(s_0+10*s_r+IF(circ_int,eq_c1/2,0)))/INDEX(lk_legs,11))-((2*IF(circ_int,0,eq_c2/2))+(PI()*(s_0+10*s_r+IF(circ_int,eq_c1/2,0))/2))),IF(((1+0.5)*(4*IF(circ_int,0,eq_c1/2)+4*IF(circ_int,0,eq_c2/2)+2*PI()*(s_0+10*s_r+IF(circ_int,eq_c1/2,0)))/INDEX(lk_legs,11))&lt;((((2*IF(circ_int,0,eq_c2/2))+(PI()*(s_0+10*s_r+IF(circ_int,eq_c1/2,0))/2))+2*IF(circ_int,0,eq_c1/2))+(PI()*(s_0+10*s_r+IF(circ_int,eq_c1/2,0))/2)),-IF(circ_int,0,eq_c1/2)+(s_0+10*s_r+IF(circ_int,eq_c1/2,0))*COS(PI()/2+(((1+0.5)*(4*IF(circ_int,0,eq_c1/2)+4*IF(circ_int,0,eq_c2/2)+2*PI()*(s_0+10*s_r+IF(circ_int,eq_c1/2,0)))/INDEX(lk_legs,11))-(((2*IF(circ_int,0,eq_c2/2))+(PI()*(s_0+10*s_r+IF(circ_int,eq_c1/2,0))/2))+2*IF(circ_int,0,eq_c1/2)))/(s_0+10*s_r+IF(circ_int,eq_c1/2,0))),IF(((1+0.5)*(4*IF(circ_int,0,eq_c1/2)+4*IF(circ_int,0,eq_c2/2)+2*PI()*(s_0+10*s_r+IF(circ_int,eq_c1/2,0)))/INDEX(lk_legs,11))&lt;(((((2*IF(circ_int,0,eq_c2/2))+(PI()*(s_0+10*s_r+IF(circ_int,eq_c1/2,0))/2))+2*IF(circ_int,0,eq_c1/2))+(PI()*(s_0+10*s_r+IF(circ_int,eq_c1/2,0))/2))+2*IF(circ_int,0,eq_c2/2)),-IF(circ_int,0,eq_c1/2)-(s_0+10*s_r+IF(circ_int,eq_c1/2,0)),IF(((1+0.5)*(4*IF(circ_int,0,eq_c1/2)+4*IF(circ_int,0,eq_c2/2)+2*PI()*(s_0+10*s_r+IF(circ_int,eq_c1/2,0)))/INDEX(lk_legs,11))&lt;((((((2*IF(circ_int,0,eq_c2/2))+(PI()*(s_0+10*s_r+IF(circ_int,eq_c1/2,0))/2))+2*IF(circ_int,0,eq_c1/2))+(PI()*(s_0+10*s_r+IF(circ_int,eq_c1/2,0))/2))+2*IF(circ_int,0,eq_c2/2))+(PI()*(s_0+10*s_r+IF(circ_int,eq_c1/2,0))/2)),-IF(circ_int,0,eq_c1/2)+(s_0+10*s_r+IF(circ_int,eq_c1/2,0))*COS(PI()+(((1+0.5)*(4*IF(circ_int,0,eq_c1/2)+4*IF(circ_int,0,eq_c2/2)+2*PI()*(s_0+10*s_r+IF(circ_int,eq_c1/2,0)))/INDEX(lk_legs,11))-(((((2*IF(circ_int,0,eq_c2/2))+(PI()*(s_0+10*s_r+IF(circ_int,eq_c1/2,0))/2))+2*IF(circ_int,0,eq_c1/2))+(PI()*(s_0+10*s_r+IF(circ_int,eq_c1/2,0))/2))+2*IF(circ_int,0,eq_c2/2)))/(s_0+10*s_r+IF(circ_int,eq_c1/2,0))),IF(((1+0.5)*(4*IF(circ_int,0,eq_c1/2)+4*IF(circ_int,0,eq_c2/2)+2*PI()*(s_0+10*s_r+IF(circ_int,eq_c1/2,0)))/INDEX(lk_legs,11))&lt;(((((((2*IF(circ_int,0,eq_c2/2))+(PI()*(s_0+10*s_r+IF(circ_int,eq_c1/2,0))/2))+2*IF(circ_int,0,eq_c1/2))+(PI()*(s_0+10*s_r+IF(circ_int,eq_c1/2,0))/2))+2*IF(circ_int,0,eq_c2/2))+(PI()*(s_0+10*s_r+IF(circ_int,eq_c1/2,0))/2))+2*IF(circ_int,0,eq_c1/2)),-IF(circ_int,0,eq_c1/2)+(((1+0.5)*(4*IF(circ_int,0,eq_c1/2)+4*IF(circ_int,0,eq_c2/2)+2*PI()*(s_0+10*s_r+IF(circ_int,eq_c1/2,0)))/INDEX(lk_legs,11))-((((((2*IF(circ_int,0,eq_c2/2))+(PI()*(s_0+10*s_r+IF(circ_int,eq_c1/2,0))/2))+2*IF(circ_int,0,eq_c1/2))+(PI()*(s_0+10*s_r+IF(circ_int,eq_c1/2,0))/2))+2*IF(circ_int,0,eq_c2/2))+(PI()*(s_0+10*s_r+IF(circ_int,eq_c1/2,0))/2))),IF(circ_int,0,eq_c1/2)+(s_0+10*s_r+IF(circ_int,eq_c1/2,0))*COS(3*PI()/2+(((1+0.5)*(4*IF(circ_int,0,eq_c1/2)+4*IF(circ_int,0,eq_c2/2)+2*PI()*(s_0+10*s_r+IF(circ_int,eq_c1/2,0)))/INDEX(lk_legs,11))-(((((((2*IF(circ_int,0,eq_c2/2))+(PI()*(s_0+10*s_r+IF(circ_int,eq_c1/2,0))/2))+2*IF(circ_int,0,eq_c1/2))+(PI()*(s_0+10*s_r+IF(circ_int,eq_c1/2,0))/2))+2*IF(circ_int,0,eq_c2/2))+(PI()*(s_0+10*s_r+IF(circ_int,eq_c1/2,0))/2))+2*IF(circ_int,0,eq_c1/2)))/(s_0+10*s_r+IF(circ_int,eq_c1/2,0)))))))))),NA())</f>
        <v/>
      </c>
      <c r="DI4">
        <f>IF(AND(AND(links_on,11&lt;=n_per),INDEX(lk_kind,11)=1,1&lt;INDEX(lk_legs,11)),g_oy+IF(((1+0.5)*(4*IF(circ_int,0,eq_c1/2)+4*IF(circ_int,0,eq_c2/2)+2*PI()*(s_0+10*s_r+IF(circ_int,eq_c1/2,0)))/INDEX(lk_legs,11))&lt;(2*IF(circ_int,0,eq_c2/2)),-IF(circ_int,0,eq_c2/2)+((1+0.5)*(4*IF(circ_int,0,eq_c1/2)+4*IF(circ_int,0,eq_c2/2)+2*PI()*(s_0+10*s_r+IF(circ_int,eq_c1/2,0)))/INDEX(lk_legs,11)),IF(((1+0.5)*(4*IF(circ_int,0,eq_c1/2)+4*IF(circ_int,0,eq_c2/2)+2*PI()*(s_0+10*s_r+IF(circ_int,eq_c1/2,0)))/INDEX(lk_legs,11))&lt;((2*IF(circ_int,0,eq_c2/2))+(PI()*(s_0+10*s_r+IF(circ_int,eq_c1/2,0))/2)),IF(circ_int,0,eq_c2/2)+(s_0+10*s_r+IF(circ_int,eq_c1/2,0))*SIN((((1+0.5)*(4*IF(circ_int,0,eq_c1/2)+4*IF(circ_int,0,eq_c2/2)+2*PI()*(s_0+10*s_r+IF(circ_int,eq_c1/2,0)))/INDEX(lk_legs,11))-(2*IF(circ_int,0,eq_c2/2)))/(s_0+10*s_r+IF(circ_int,eq_c1/2,0))),IF(((1+0.5)*(4*IF(circ_int,0,eq_c1/2)+4*IF(circ_int,0,eq_c2/2)+2*PI()*(s_0+10*s_r+IF(circ_int,eq_c1/2,0)))/INDEX(lk_legs,11))&lt;(((2*IF(circ_int,0,eq_c2/2))+(PI()*(s_0+10*s_r+IF(circ_int,eq_c1/2,0))/2))+2*IF(circ_int,0,eq_c1/2)),IF(circ_int,0,eq_c2/2)+(s_0+10*s_r+IF(circ_int,eq_c1/2,0)),IF(((1+0.5)*(4*IF(circ_int,0,eq_c1/2)+4*IF(circ_int,0,eq_c2/2)+2*PI()*(s_0+10*s_r+IF(circ_int,eq_c1/2,0)))/INDEX(lk_legs,11))&lt;((((2*IF(circ_int,0,eq_c2/2))+(PI()*(s_0+10*s_r+IF(circ_int,eq_c1/2,0))/2))+2*IF(circ_int,0,eq_c1/2))+(PI()*(s_0+10*s_r+IF(circ_int,eq_c1/2,0))/2)),IF(circ_int,0,eq_c2/2)+(s_0+10*s_r+IF(circ_int,eq_c1/2,0))*SIN(PI()/2+(((1+0.5)*(4*IF(circ_int,0,eq_c1/2)+4*IF(circ_int,0,eq_c2/2)+2*PI()*(s_0+10*s_r+IF(circ_int,eq_c1/2,0)))/INDEX(lk_legs,11))-(((2*IF(circ_int,0,eq_c2/2))+(PI()*(s_0+10*s_r+IF(circ_int,eq_c1/2,0))/2))+2*IF(circ_int,0,eq_c1/2)))/(s_0+10*s_r+IF(circ_int,eq_c1/2,0))),IF(((1+0.5)*(4*IF(circ_int,0,eq_c1/2)+4*IF(circ_int,0,eq_c2/2)+2*PI()*(s_0+10*s_r+IF(circ_int,eq_c1/2,0)))/INDEX(lk_legs,11))&lt;(((((2*IF(circ_int,0,eq_c2/2))+(PI()*(s_0+10*s_r+IF(circ_int,eq_c1/2,0))/2))+2*IF(circ_int,0,eq_c1/2))+(PI()*(s_0+10*s_r+IF(circ_int,eq_c1/2,0))/2))+2*IF(circ_int,0,eq_c2/2)),IF(circ_int,0,eq_c2/2)-(((1+0.5)*(4*IF(circ_int,0,eq_c1/2)+4*IF(circ_int,0,eq_c2/2)+2*PI()*(s_0+10*s_r+IF(circ_int,eq_c1/2,0)))/INDEX(lk_legs,11))-((((2*IF(circ_int,0,eq_c2/2))+(PI()*(s_0+10*s_r+IF(circ_int,eq_c1/2,0))/2))+2*IF(circ_int,0,eq_c1/2))+(PI()*(s_0+10*s_r+IF(circ_int,eq_c1/2,0))/2))),IF(((1+0.5)*(4*IF(circ_int,0,eq_c1/2)+4*IF(circ_int,0,eq_c2/2)+2*PI()*(s_0+10*s_r+IF(circ_int,eq_c1/2,0)))/INDEX(lk_legs,11))&lt;((((((2*IF(circ_int,0,eq_c2/2))+(PI()*(s_0+10*s_r+IF(circ_int,eq_c1/2,0))/2))+2*IF(circ_int,0,eq_c1/2))+(PI()*(s_0+10*s_r+IF(circ_int,eq_c1/2,0))/2))+2*IF(circ_int,0,eq_c2/2))+(PI()*(s_0+10*s_r+IF(circ_int,eq_c1/2,0))/2)),-IF(circ_int,0,eq_c2/2)+(s_0+10*s_r+IF(circ_int,eq_c1/2,0))*SIN(PI()+(((1+0.5)*(4*IF(circ_int,0,eq_c1/2)+4*IF(circ_int,0,eq_c2/2)+2*PI()*(s_0+10*s_r+IF(circ_int,eq_c1/2,0)))/INDEX(lk_legs,11))-(((((2*IF(circ_int,0,eq_c2/2))+(PI()*(s_0+10*s_r+IF(circ_int,eq_c1/2,0))/2))+2*IF(circ_int,0,eq_c1/2))+(PI()*(s_0+10*s_r+IF(circ_int,eq_c1/2,0))/2))+2*IF(circ_int,0,eq_c2/2)))/(s_0+10*s_r+IF(circ_int,eq_c1/2,0))),IF(((1+0.5)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(1+0.5)*(4*IF(circ_int,0,eq_c1/2)+4*IF(circ_int,0,eq_c2/2)+2*PI()*(s_0+10*s_r+IF(circ_int,eq_c1/2,0)))/INDEX(lk_legs,11))-(((((((2*IF(circ_int,0,eq_c2/2))+(PI()*(s_0+10*s_r+IF(circ_int,eq_c1/2,0))/2))+2*IF(circ_int,0,eq_c1/2))+(PI()*(s_0+10*s_r+IF(circ_int,eq_c1/2,0))/2))+2*IF(circ_int,0,eq_c2/2))+(PI()*(s_0+10*s_r+IF(circ_int,eq_c1/2,0))/2))+2*IF(circ_int,0,eq_c1/2)))/(s_0+10*s_r+IF(circ_int,eq_c1/2,0)))))))))),NA())</f>
        <v/>
      </c>
      <c r="DK4">
        <f>IF(AND(links_on,12&lt;=n_per),IF(circ_int,(g_ox)+(c_1/2+(s_0+11*s_r))*0.992709,CHOOSE(INDEX(lk_kind,12),(g_ox+eq_c1/2)+((s_0+11*s_r))*0.991445,(eq_a1+eq_c1)+((s_0+11*s_r))*0.000000,(eq_a1+eq_c1)+((s_0+11*s_r))*0.000000,(eq_a1)+((s_0+11*s_r))*-1.000000)),NA())</f>
        <v/>
      </c>
      <c r="DL4">
        <f>IF(AND(links_on,12&lt;=n_per),IF(circ_int,(g_oy)+(c_1/2+(s_0+11*s_r))*0.120537,CHOOSE(INDEX(lk_kind,12),(g_oy+eq_c2/2)+((s_0+11*s_r))*0.130526,(g_oy+eq_c2/2)+((s_0+11*s_r))*1.000000,(eq_a2+eq_c2)+((s_0+11*s_r))*1.000000,(eq_a2+eq_c2)+((s_0+11*s_r))*0.000000)),NA())</f>
        <v/>
      </c>
      <c r="DN4">
        <f>IF(AND(AND(links_on,12&lt;=n_per),INDEX(lk_kind,12)=1,1&lt;INDEX(lk_legs,12)),g_ox+IF(((1+0.5)*(4*IF(circ_int,0,eq_c1/2)+4*IF(circ_int,0,eq_c2/2)+2*PI()*(s_0+11*s_r+IF(circ_int,eq_c1/2,0)))/INDEX(lk_legs,12))&lt;(2*IF(circ_int,0,eq_c2/2)),IF(circ_int,0,eq_c1/2)+(s_0+11*s_r+IF(circ_int,eq_c1/2,0)),IF(((1+0.5)*(4*IF(circ_int,0,eq_c1/2)+4*IF(circ_int,0,eq_c2/2)+2*PI()*(s_0+11*s_r+IF(circ_int,eq_c1/2,0)))/INDEX(lk_legs,12))&lt;((2*IF(circ_int,0,eq_c2/2))+(PI()*(s_0+11*s_r+IF(circ_int,eq_c1/2,0))/2)),IF(circ_int,0,eq_c1/2)+(s_0+11*s_r+IF(circ_int,eq_c1/2,0))*COS((((1+0.5)*(4*IF(circ_int,0,eq_c1/2)+4*IF(circ_int,0,eq_c2/2)+2*PI()*(s_0+11*s_r+IF(circ_int,eq_c1/2,0)))/INDEX(lk_legs,12))-(2*IF(circ_int,0,eq_c2/2)))/(s_0+11*s_r+IF(circ_int,eq_c1/2,0))),IF(((1+0.5)*(4*IF(circ_int,0,eq_c1/2)+4*IF(circ_int,0,eq_c2/2)+2*PI()*(s_0+11*s_r+IF(circ_int,eq_c1/2,0)))/INDEX(lk_legs,12))&lt;(((2*IF(circ_int,0,eq_c2/2))+(PI()*(s_0+11*s_r+IF(circ_int,eq_c1/2,0))/2))+2*IF(circ_int,0,eq_c1/2)),IF(circ_int,0,eq_c1/2)-(((1+0.5)*(4*IF(circ_int,0,eq_c1/2)+4*IF(circ_int,0,eq_c2/2)+2*PI()*(s_0+11*s_r+IF(circ_int,eq_c1/2,0)))/INDEX(lk_legs,12))-((2*IF(circ_int,0,eq_c2/2))+(PI()*(s_0+11*s_r+IF(circ_int,eq_c1/2,0))/2))),IF(((1+0.5)*(4*IF(circ_int,0,eq_c1/2)+4*IF(circ_int,0,eq_c2/2)+2*PI()*(s_0+11*s_r+IF(circ_int,eq_c1/2,0)))/INDEX(lk_legs,12))&lt;((((2*IF(circ_int,0,eq_c2/2))+(PI()*(s_0+11*s_r+IF(circ_int,eq_c1/2,0))/2))+2*IF(circ_int,0,eq_c1/2))+(PI()*(s_0+11*s_r+IF(circ_int,eq_c1/2,0))/2)),-IF(circ_int,0,eq_c1/2)+(s_0+11*s_r+IF(circ_int,eq_c1/2,0))*COS(PI()/2+(((1+0.5)*(4*IF(circ_int,0,eq_c1/2)+4*IF(circ_int,0,eq_c2/2)+2*PI()*(s_0+11*s_r+IF(circ_int,eq_c1/2,0)))/INDEX(lk_legs,12))-(((2*IF(circ_int,0,eq_c2/2))+(PI()*(s_0+11*s_r+IF(circ_int,eq_c1/2,0))/2))+2*IF(circ_int,0,eq_c1/2)))/(s_0+11*s_r+IF(circ_int,eq_c1/2,0))),IF(((1+0.5)*(4*IF(circ_int,0,eq_c1/2)+4*IF(circ_int,0,eq_c2/2)+2*PI()*(s_0+11*s_r+IF(circ_int,eq_c1/2,0)))/INDEX(lk_legs,12))&lt;(((((2*IF(circ_int,0,eq_c2/2))+(PI()*(s_0+11*s_r+IF(circ_int,eq_c1/2,0))/2))+2*IF(circ_int,0,eq_c1/2))+(PI()*(s_0+11*s_r+IF(circ_int,eq_c1/2,0))/2))+2*IF(circ_int,0,eq_c2/2)),-IF(circ_int,0,eq_c1/2)-(s_0+11*s_r+IF(circ_int,eq_c1/2,0)),IF(((1+0.5)*(4*IF(circ_int,0,eq_c1/2)+4*IF(circ_int,0,eq_c2/2)+2*PI()*(s_0+11*s_r+IF(circ_int,eq_c1/2,0)))/INDEX(lk_legs,12))&lt;((((((2*IF(circ_int,0,eq_c2/2))+(PI()*(s_0+11*s_r+IF(circ_int,eq_c1/2,0))/2))+2*IF(circ_int,0,eq_c1/2))+(PI()*(s_0+11*s_r+IF(circ_int,eq_c1/2,0))/2))+2*IF(circ_int,0,eq_c2/2))+(PI()*(s_0+11*s_r+IF(circ_int,eq_c1/2,0))/2)),-IF(circ_int,0,eq_c1/2)+(s_0+11*s_r+IF(circ_int,eq_c1/2,0))*COS(PI()+(((1+0.5)*(4*IF(circ_int,0,eq_c1/2)+4*IF(circ_int,0,eq_c2/2)+2*PI()*(s_0+11*s_r+IF(circ_int,eq_c1/2,0)))/INDEX(lk_legs,12))-(((((2*IF(circ_int,0,eq_c2/2))+(PI()*(s_0+11*s_r+IF(circ_int,eq_c1/2,0))/2))+2*IF(circ_int,0,eq_c1/2))+(PI()*(s_0+11*s_r+IF(circ_int,eq_c1/2,0))/2))+2*IF(circ_int,0,eq_c2/2)))/(s_0+11*s_r+IF(circ_int,eq_c1/2,0))),IF(((1+0.5)*(4*IF(circ_int,0,eq_c1/2)+4*IF(circ_int,0,eq_c2/2)+2*PI()*(s_0+11*s_r+IF(circ_int,eq_c1/2,0)))/INDEX(lk_legs,12))&lt;(((((((2*IF(circ_int,0,eq_c2/2))+(PI()*(s_0+11*s_r+IF(circ_int,eq_c1/2,0))/2))+2*IF(circ_int,0,eq_c1/2))+(PI()*(s_0+11*s_r+IF(circ_int,eq_c1/2,0))/2))+2*IF(circ_int,0,eq_c2/2))+(PI()*(s_0+11*s_r+IF(circ_int,eq_c1/2,0))/2))+2*IF(circ_int,0,eq_c1/2)),-IF(circ_int,0,eq_c1/2)+(((1+0.5)*(4*IF(circ_int,0,eq_c1/2)+4*IF(circ_int,0,eq_c2/2)+2*PI()*(s_0+11*s_r+IF(circ_int,eq_c1/2,0)))/INDEX(lk_legs,12))-((((((2*IF(circ_int,0,eq_c2/2))+(PI()*(s_0+11*s_r+IF(circ_int,eq_c1/2,0))/2))+2*IF(circ_int,0,eq_c1/2))+(PI()*(s_0+11*s_r+IF(circ_int,eq_c1/2,0))/2))+2*IF(circ_int,0,eq_c2/2))+(PI()*(s_0+11*s_r+IF(circ_int,eq_c1/2,0))/2))),IF(circ_int,0,eq_c1/2)+(s_0+11*s_r+IF(circ_int,eq_c1/2,0))*COS(3*PI()/2+(((1+0.5)*(4*IF(circ_int,0,eq_c1/2)+4*IF(circ_int,0,eq_c2/2)+2*PI()*(s_0+11*s_r+IF(circ_int,eq_c1/2,0)))/INDEX(lk_legs,12))-(((((((2*IF(circ_int,0,eq_c2/2))+(PI()*(s_0+11*s_r+IF(circ_int,eq_c1/2,0))/2))+2*IF(circ_int,0,eq_c1/2))+(PI()*(s_0+11*s_r+IF(circ_int,eq_c1/2,0))/2))+2*IF(circ_int,0,eq_c2/2))+(PI()*(s_0+11*s_r+IF(circ_int,eq_c1/2,0))/2))+2*IF(circ_int,0,eq_c1/2)))/(s_0+11*s_r+IF(circ_int,eq_c1/2,0)))))))))),NA())</f>
        <v/>
      </c>
      <c r="DO4">
        <f>IF(AND(AND(links_on,12&lt;=n_per),INDEX(lk_kind,12)=1,1&lt;INDEX(lk_legs,12)),g_oy+IF(((1+0.5)*(4*IF(circ_int,0,eq_c1/2)+4*IF(circ_int,0,eq_c2/2)+2*PI()*(s_0+11*s_r+IF(circ_int,eq_c1/2,0)))/INDEX(lk_legs,12))&lt;(2*IF(circ_int,0,eq_c2/2)),-IF(circ_int,0,eq_c2/2)+((1+0.5)*(4*IF(circ_int,0,eq_c1/2)+4*IF(circ_int,0,eq_c2/2)+2*PI()*(s_0+11*s_r+IF(circ_int,eq_c1/2,0)))/INDEX(lk_legs,12)),IF(((1+0.5)*(4*IF(circ_int,0,eq_c1/2)+4*IF(circ_int,0,eq_c2/2)+2*PI()*(s_0+11*s_r+IF(circ_int,eq_c1/2,0)))/INDEX(lk_legs,12))&lt;((2*IF(circ_int,0,eq_c2/2))+(PI()*(s_0+11*s_r+IF(circ_int,eq_c1/2,0))/2)),IF(circ_int,0,eq_c2/2)+(s_0+11*s_r+IF(circ_int,eq_c1/2,0))*SIN((((1+0.5)*(4*IF(circ_int,0,eq_c1/2)+4*IF(circ_int,0,eq_c2/2)+2*PI()*(s_0+11*s_r+IF(circ_int,eq_c1/2,0)))/INDEX(lk_legs,12))-(2*IF(circ_int,0,eq_c2/2)))/(s_0+11*s_r+IF(circ_int,eq_c1/2,0))),IF(((1+0.5)*(4*IF(circ_int,0,eq_c1/2)+4*IF(circ_int,0,eq_c2/2)+2*PI()*(s_0+11*s_r+IF(circ_int,eq_c1/2,0)))/INDEX(lk_legs,12))&lt;(((2*IF(circ_int,0,eq_c2/2))+(PI()*(s_0+11*s_r+IF(circ_int,eq_c1/2,0))/2))+2*IF(circ_int,0,eq_c1/2)),IF(circ_int,0,eq_c2/2)+(s_0+11*s_r+IF(circ_int,eq_c1/2,0)),IF(((1+0.5)*(4*IF(circ_int,0,eq_c1/2)+4*IF(circ_int,0,eq_c2/2)+2*PI()*(s_0+11*s_r+IF(circ_int,eq_c1/2,0)))/INDEX(lk_legs,12))&lt;((((2*IF(circ_int,0,eq_c2/2))+(PI()*(s_0+11*s_r+IF(circ_int,eq_c1/2,0))/2))+2*IF(circ_int,0,eq_c1/2))+(PI()*(s_0+11*s_r+IF(circ_int,eq_c1/2,0))/2)),IF(circ_int,0,eq_c2/2)+(s_0+11*s_r+IF(circ_int,eq_c1/2,0))*SIN(PI()/2+(((1+0.5)*(4*IF(circ_int,0,eq_c1/2)+4*IF(circ_int,0,eq_c2/2)+2*PI()*(s_0+11*s_r+IF(circ_int,eq_c1/2,0)))/INDEX(lk_legs,12))-(((2*IF(circ_int,0,eq_c2/2))+(PI()*(s_0+11*s_r+IF(circ_int,eq_c1/2,0))/2))+2*IF(circ_int,0,eq_c1/2)))/(s_0+11*s_r+IF(circ_int,eq_c1/2,0))),IF(((1+0.5)*(4*IF(circ_int,0,eq_c1/2)+4*IF(circ_int,0,eq_c2/2)+2*PI()*(s_0+11*s_r+IF(circ_int,eq_c1/2,0)))/INDEX(lk_legs,12))&lt;(((((2*IF(circ_int,0,eq_c2/2))+(PI()*(s_0+11*s_r+IF(circ_int,eq_c1/2,0))/2))+2*IF(circ_int,0,eq_c1/2))+(PI()*(s_0+11*s_r+IF(circ_int,eq_c1/2,0))/2))+2*IF(circ_int,0,eq_c2/2)),IF(circ_int,0,eq_c2/2)-(((1+0.5)*(4*IF(circ_int,0,eq_c1/2)+4*IF(circ_int,0,eq_c2/2)+2*PI()*(s_0+11*s_r+IF(circ_int,eq_c1/2,0)))/INDEX(lk_legs,12))-((((2*IF(circ_int,0,eq_c2/2))+(PI()*(s_0+11*s_r+IF(circ_int,eq_c1/2,0))/2))+2*IF(circ_int,0,eq_c1/2))+(PI()*(s_0+11*s_r+IF(circ_int,eq_c1/2,0))/2))),IF(((1+0.5)*(4*IF(circ_int,0,eq_c1/2)+4*IF(circ_int,0,eq_c2/2)+2*PI()*(s_0+11*s_r+IF(circ_int,eq_c1/2,0)))/INDEX(lk_legs,12))&lt;((((((2*IF(circ_int,0,eq_c2/2))+(PI()*(s_0+11*s_r+IF(circ_int,eq_c1/2,0))/2))+2*IF(circ_int,0,eq_c1/2))+(PI()*(s_0+11*s_r+IF(circ_int,eq_c1/2,0))/2))+2*IF(circ_int,0,eq_c2/2))+(PI()*(s_0+11*s_r+IF(circ_int,eq_c1/2,0))/2)),-IF(circ_int,0,eq_c2/2)+(s_0+11*s_r+IF(circ_int,eq_c1/2,0))*SIN(PI()+(((1+0.5)*(4*IF(circ_int,0,eq_c1/2)+4*IF(circ_int,0,eq_c2/2)+2*PI()*(s_0+11*s_r+IF(circ_int,eq_c1/2,0)))/INDEX(lk_legs,12))-(((((2*IF(circ_int,0,eq_c2/2))+(PI()*(s_0+11*s_r+IF(circ_int,eq_c1/2,0))/2))+2*IF(circ_int,0,eq_c1/2))+(PI()*(s_0+11*s_r+IF(circ_int,eq_c1/2,0))/2))+2*IF(circ_int,0,eq_c2/2)))/(s_0+11*s_r+IF(circ_int,eq_c1/2,0))),IF(((1+0.5)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(1+0.5)*(4*IF(circ_int,0,eq_c1/2)+4*IF(circ_int,0,eq_c2/2)+2*PI()*(s_0+11*s_r+IF(circ_int,eq_c1/2,0)))/INDEX(lk_legs,12))-(((((((2*IF(circ_int,0,eq_c2/2))+(PI()*(s_0+11*s_r+IF(circ_int,eq_c1/2,0))/2))+2*IF(circ_int,0,eq_c1/2))+(PI()*(s_0+11*s_r+IF(circ_int,eq_c1/2,0))/2))+2*IF(circ_int,0,eq_c2/2))+(PI()*(s_0+11*s_r+IF(circ_int,eq_c1/2,0))/2))+2*IF(circ_int,0,eq_c1/2)))/(s_0+11*s_r+IF(circ_int,eq_c1/2,0)))))))))),NA())</f>
        <v/>
      </c>
      <c r="EC4">
        <f>((IF(pos_idx=1,-(g_ox+eq_c1/2+g_rmax),-0.12*(g_ox+eq_c1/2+g_rmax)))+((g_ox+eq_c1/2+g_rmax)))/2+MAX(((g_oy+eq_c2/2+g_rmax))-(IF(pos_idx=3,-0.12*(g_oy+eq_c2/2+g_rmax),-(g_oy+eq_c2/2+g_rmax))),(((g_ox+eq_c1/2+g_rmax))-(IF(pos_idx=1,-(g_ox+eq_c1/2+g_rmax),-0.12*(g_ox+eq_c1/2+g_rmax))))/1.55)*0.58*1.55</f>
        <v/>
      </c>
      <c r="ED4">
        <f>((IF(pos_idx=3,-0.12*(g_oy+eq_c2/2+g_rmax),-(g_oy+eq_c2/2+g_rmax)))+((g_oy+eq_c2/2+g_rmax)))/2+MAX(((g_oy+eq_c2/2+g_rmax))-(IF(pos_idx=3,-0.12*(g_oy+eq_c2/2+g_rmax),-(g_oy+eq_c2/2+g_rmax))),(((g_ox+eq_c1/2+g_rmax))-(IF(pos_idx=1,-(g_ox+eq_c1/2+g_rmax),-0.12*(g_ox+eq_c1/2+g_rmax))))/1.55)*0.58</f>
        <v/>
      </c>
    </row>
    <row r="5">
      <c r="A5">
        <f>IF(shape="Circular",(g_ox)+(c_1/2+0)*0.970942,CHOOSE(1,(g_ox+eq_c1/2)+(0)*0.965926,(eq_a1+eq_c1)+(0)*0.130526,(eq_a1+eq_c1)+(0)*0.130526,(eq_a1)+(0)*-0.991445))</f>
        <v/>
      </c>
      <c r="B5">
        <f>IF(shape="Circular",(g_oy)+(c_1/2+0)*0.239316,CHOOSE(1,(g_oy+eq_c2/2)+(0)*0.258819,(g_oy+eq_c2/2)+(0)*0.991445,(eq_a2+eq_c2)+(0)*0.991445,(eq_a2+eq_c2)+(0)*0.130526))</f>
        <v/>
      </c>
      <c r="D5">
        <f>IF(circ_int,(g_ox)+(c_1/2+2*d_eff)*0.970942,CHOOSE(geo_idx,(g_ox+eq_c1/2)+(2*d_eff)*0.965926,(eq_a1+eq_c1)+(2*d_eff)*0.130526,(eq_a1+eq_c1)+(2*d_eff)*0.130526,(eq_a1)+(2*d_eff)*-0.991445))</f>
        <v/>
      </c>
      <c r="E5">
        <f>IF(circ_int,(g_oy)+(c_1/2+2*d_eff)*0.239316,CHOOSE(geo_idx,(g_oy+eq_c2/2)+(2*d_eff)*0.258819,(g_oy+eq_c2/2)+(2*d_eff)*0.991445,(eq_a2+eq_c2)+(2*d_eff)*0.991445,(eq_a2+eq_c2)+(2*d_eff)*0.130526))</f>
        <v/>
      </c>
      <c r="G5">
        <f>IF(AND(inputs_ok,punch_ok,A_sw&gt;0),IF(circ_int,(g_ox)+(c_1/2+r_out)*0.970942,CHOOSE(kind_out,(g_ox+eq_c1/2)+(r_out)*0.965926,(eq_a1+eq_c1)+(r_out)*0.130526,(eq_a1+eq_c1)+(r_out)*0.130526,(eq_a1)+(r_out)*-0.991445)),NA())</f>
        <v/>
      </c>
      <c r="H5">
        <f>IF(AND(inputs_ok,punch_ok,A_sw&gt;0),IF(circ_int,(g_oy)+(c_1/2+r_out)*0.239316,CHOOSE(kind_out,(g_oy+eq_c2/2)+(r_out)*0.258819,(g_oy+eq_c2/2)+(r_out)*0.991445,(eq_a2+eq_c2)+(r_out)*0.991445,(eq_a2+eq_c2)+(r_out)*0.130526)),NA())</f>
        <v/>
      </c>
      <c r="J5">
        <f>CHOOSE(pos_idx,NA(),0,(g_ox+eq_c1/2+1.3*g_rmax))</f>
        <v/>
      </c>
      <c r="K5">
        <f>CHOOSE(pos_idx,NA(),(g_oy+eq_c2/2+1.3*g_rmax),0)</f>
        <v/>
      </c>
      <c r="AW5">
        <f>IF(AND(links_on,1&lt;=n_per),IF(circ_int,(g_ox)+(c_1/2+(s_0+0*s_r))*0.970942,CHOOSE(INDEX(lk_kind,1),(g_ox+eq_c1/2)+((s_0+0*s_r))*0.965926,(eq_a1+eq_c1)+((s_0+0*s_r))*0.130526,(eq_a1+eq_c1)+((s_0+0*s_r))*0.130526,(eq_a1)+((s_0+0*s_r))*-0.991445)),NA())</f>
        <v/>
      </c>
      <c r="AX5">
        <f>IF(AND(links_on,1&lt;=n_per),IF(circ_int,(g_oy)+(c_1/2+(s_0+0*s_r))*0.239316,CHOOSE(INDEX(lk_kind,1),(g_oy+eq_c2/2)+((s_0+0*s_r))*0.258819,(g_oy+eq_c2/2)+((s_0+0*s_r))*0.991445,(eq_a2+eq_c2)+((s_0+0*s_r))*0.991445,(eq_a2+eq_c2)+((s_0+0*s_r))*0.130526)),NA())</f>
        <v/>
      </c>
      <c r="AZ5">
        <f>IF(AND(AND(links_on,1&lt;=n_per),INDEX(lk_kind,1)=1,2&lt;INDEX(lk_legs,1)),g_ox+IF(((2+0.5)*(4*IF(circ_int,0,eq_c1/2)+4*IF(circ_int,0,eq_c2/2)+2*PI()*(s_0+0*s_r+IF(circ_int,eq_c1/2,0)))/INDEX(lk_legs,1))&lt;(2*IF(circ_int,0,eq_c2/2)),IF(circ_int,0,eq_c1/2)+(s_0+0*s_r+IF(circ_int,eq_c1/2,0)),IF(((2+0.5)*(4*IF(circ_int,0,eq_c1/2)+4*IF(circ_int,0,eq_c2/2)+2*PI()*(s_0+0*s_r+IF(circ_int,eq_c1/2,0)))/INDEX(lk_legs,1))&lt;((2*IF(circ_int,0,eq_c2/2))+(PI()*(s_0+0*s_r+IF(circ_int,eq_c1/2,0))/2)),IF(circ_int,0,eq_c1/2)+(s_0+0*s_r+IF(circ_int,eq_c1/2,0))*COS((((2+0.5)*(4*IF(circ_int,0,eq_c1/2)+4*IF(circ_int,0,eq_c2/2)+2*PI()*(s_0+0*s_r+IF(circ_int,eq_c1/2,0)))/INDEX(lk_legs,1))-(2*IF(circ_int,0,eq_c2/2)))/(s_0+0*s_r+IF(circ_int,eq_c1/2,0))),IF(((2+0.5)*(4*IF(circ_int,0,eq_c1/2)+4*IF(circ_int,0,eq_c2/2)+2*PI()*(s_0+0*s_r+IF(circ_int,eq_c1/2,0)))/INDEX(lk_legs,1))&lt;(((2*IF(circ_int,0,eq_c2/2))+(PI()*(s_0+0*s_r+IF(circ_int,eq_c1/2,0))/2))+2*IF(circ_int,0,eq_c1/2)),IF(circ_int,0,eq_c1/2)-(((2+0.5)*(4*IF(circ_int,0,eq_c1/2)+4*IF(circ_int,0,eq_c2/2)+2*PI()*(s_0+0*s_r+IF(circ_int,eq_c1/2,0)))/INDEX(lk_legs,1))-((2*IF(circ_int,0,eq_c2/2))+(PI()*(s_0+0*s_r+IF(circ_int,eq_c1/2,0))/2))),IF(((2+0.5)*(4*IF(circ_int,0,eq_c1/2)+4*IF(circ_int,0,eq_c2/2)+2*PI()*(s_0+0*s_r+IF(circ_int,eq_c1/2,0)))/INDEX(lk_legs,1))&lt;((((2*IF(circ_int,0,eq_c2/2))+(PI()*(s_0+0*s_r+IF(circ_int,eq_c1/2,0))/2))+2*IF(circ_int,0,eq_c1/2))+(PI()*(s_0+0*s_r+IF(circ_int,eq_c1/2,0))/2)),-IF(circ_int,0,eq_c1/2)+(s_0+0*s_r+IF(circ_int,eq_c1/2,0))*COS(PI()/2+(((2+0.5)*(4*IF(circ_int,0,eq_c1/2)+4*IF(circ_int,0,eq_c2/2)+2*PI()*(s_0+0*s_r+IF(circ_int,eq_c1/2,0)))/INDEX(lk_legs,1))-(((2*IF(circ_int,0,eq_c2/2))+(PI()*(s_0+0*s_r+IF(circ_int,eq_c1/2,0))/2))+2*IF(circ_int,0,eq_c1/2)))/(s_0+0*s_r+IF(circ_int,eq_c1/2,0))),IF(((2+0.5)*(4*IF(circ_int,0,eq_c1/2)+4*IF(circ_int,0,eq_c2/2)+2*PI()*(s_0+0*s_r+IF(circ_int,eq_c1/2,0)))/INDEX(lk_legs,1))&lt;(((((2*IF(circ_int,0,eq_c2/2))+(PI()*(s_0+0*s_r+IF(circ_int,eq_c1/2,0))/2))+2*IF(circ_int,0,eq_c1/2))+(PI()*(s_0+0*s_r+IF(circ_int,eq_c1/2,0))/2))+2*IF(circ_int,0,eq_c2/2)),-IF(circ_int,0,eq_c1/2)-(s_0+0*s_r+IF(circ_int,eq_c1/2,0)),IF(((2+0.5)*(4*IF(circ_int,0,eq_c1/2)+4*IF(circ_int,0,eq_c2/2)+2*PI()*(s_0+0*s_r+IF(circ_int,eq_c1/2,0)))/INDEX(lk_legs,1))&lt;((((((2*IF(circ_int,0,eq_c2/2))+(PI()*(s_0+0*s_r+IF(circ_int,eq_c1/2,0))/2))+2*IF(circ_int,0,eq_c1/2))+(PI()*(s_0+0*s_r+IF(circ_int,eq_c1/2,0))/2))+2*IF(circ_int,0,eq_c2/2))+(PI()*(s_0+0*s_r+IF(circ_int,eq_c1/2,0))/2)),-IF(circ_int,0,eq_c1/2)+(s_0+0*s_r+IF(circ_int,eq_c1/2,0))*COS(PI()+(((2+0.5)*(4*IF(circ_int,0,eq_c1/2)+4*IF(circ_int,0,eq_c2/2)+2*PI()*(s_0+0*s_r+IF(circ_int,eq_c1/2,0)))/INDEX(lk_legs,1))-(((((2*IF(circ_int,0,eq_c2/2))+(PI()*(s_0+0*s_r+IF(circ_int,eq_c1/2,0))/2))+2*IF(circ_int,0,eq_c1/2))+(PI()*(s_0+0*s_r+IF(circ_int,eq_c1/2,0))/2))+2*IF(circ_int,0,eq_c2/2)))/(s_0+0*s_r+IF(circ_int,eq_c1/2,0))),IF(((2+0.5)*(4*IF(circ_int,0,eq_c1/2)+4*IF(circ_int,0,eq_c2/2)+2*PI()*(s_0+0*s_r+IF(circ_int,eq_c1/2,0)))/INDEX(lk_legs,1))&lt;(((((((2*IF(circ_int,0,eq_c2/2))+(PI()*(s_0+0*s_r+IF(circ_int,eq_c1/2,0))/2))+2*IF(circ_int,0,eq_c1/2))+(PI()*(s_0+0*s_r+IF(circ_int,eq_c1/2,0))/2))+2*IF(circ_int,0,eq_c2/2))+(PI()*(s_0+0*s_r+IF(circ_int,eq_c1/2,0))/2))+2*IF(circ_int,0,eq_c1/2)),-IF(circ_int,0,eq_c1/2)+(((2+0.5)*(4*IF(circ_int,0,eq_c1/2)+4*IF(circ_int,0,eq_c2/2)+2*PI()*(s_0+0*s_r+IF(circ_int,eq_c1/2,0)))/INDEX(lk_legs,1))-((((((2*IF(circ_int,0,eq_c2/2))+(PI()*(s_0+0*s_r+IF(circ_int,eq_c1/2,0))/2))+2*IF(circ_int,0,eq_c1/2))+(PI()*(s_0+0*s_r+IF(circ_int,eq_c1/2,0))/2))+2*IF(circ_int,0,eq_c2/2))+(PI()*(s_0+0*s_r+IF(circ_int,eq_c1/2,0))/2))),IF(circ_int,0,eq_c1/2)+(s_0+0*s_r+IF(circ_int,eq_c1/2,0))*COS(3*PI()/2+(((2+0.5)*(4*IF(circ_int,0,eq_c1/2)+4*IF(circ_int,0,eq_c2/2)+2*PI()*(s_0+0*s_r+IF(circ_int,eq_c1/2,0)))/INDEX(lk_legs,1))-(((((((2*IF(circ_int,0,eq_c2/2))+(PI()*(s_0+0*s_r+IF(circ_int,eq_c1/2,0))/2))+2*IF(circ_int,0,eq_c1/2))+(PI()*(s_0+0*s_r+IF(circ_int,eq_c1/2,0))/2))+2*IF(circ_int,0,eq_c2/2))+(PI()*(s_0+0*s_r+IF(circ_int,eq_c1/2,0))/2))+2*IF(circ_int,0,eq_c1/2)))/(s_0+0*s_r+IF(circ_int,eq_c1/2,0)))))))))),NA())</f>
        <v/>
      </c>
      <c r="BA5">
        <f>IF(AND(AND(links_on,1&lt;=n_per),INDEX(lk_kind,1)=1,2&lt;INDEX(lk_legs,1)),g_oy+IF(((2+0.5)*(4*IF(circ_int,0,eq_c1/2)+4*IF(circ_int,0,eq_c2/2)+2*PI()*(s_0+0*s_r+IF(circ_int,eq_c1/2,0)))/INDEX(lk_legs,1))&lt;(2*IF(circ_int,0,eq_c2/2)),-IF(circ_int,0,eq_c2/2)+((2+0.5)*(4*IF(circ_int,0,eq_c1/2)+4*IF(circ_int,0,eq_c2/2)+2*PI()*(s_0+0*s_r+IF(circ_int,eq_c1/2,0)))/INDEX(lk_legs,1)),IF(((2+0.5)*(4*IF(circ_int,0,eq_c1/2)+4*IF(circ_int,0,eq_c2/2)+2*PI()*(s_0+0*s_r+IF(circ_int,eq_c1/2,0)))/INDEX(lk_legs,1))&lt;((2*IF(circ_int,0,eq_c2/2))+(PI()*(s_0+0*s_r+IF(circ_int,eq_c1/2,0))/2)),IF(circ_int,0,eq_c2/2)+(s_0+0*s_r+IF(circ_int,eq_c1/2,0))*SIN((((2+0.5)*(4*IF(circ_int,0,eq_c1/2)+4*IF(circ_int,0,eq_c2/2)+2*PI()*(s_0+0*s_r+IF(circ_int,eq_c1/2,0)))/INDEX(lk_legs,1))-(2*IF(circ_int,0,eq_c2/2)))/(s_0+0*s_r+IF(circ_int,eq_c1/2,0))),IF(((2+0.5)*(4*IF(circ_int,0,eq_c1/2)+4*IF(circ_int,0,eq_c2/2)+2*PI()*(s_0+0*s_r+IF(circ_int,eq_c1/2,0)))/INDEX(lk_legs,1))&lt;(((2*IF(circ_int,0,eq_c2/2))+(PI()*(s_0+0*s_r+IF(circ_int,eq_c1/2,0))/2))+2*IF(circ_int,0,eq_c1/2)),IF(circ_int,0,eq_c2/2)+(s_0+0*s_r+IF(circ_int,eq_c1/2,0)),IF(((2+0.5)*(4*IF(circ_int,0,eq_c1/2)+4*IF(circ_int,0,eq_c2/2)+2*PI()*(s_0+0*s_r+IF(circ_int,eq_c1/2,0)))/INDEX(lk_legs,1))&lt;((((2*IF(circ_int,0,eq_c2/2))+(PI()*(s_0+0*s_r+IF(circ_int,eq_c1/2,0))/2))+2*IF(circ_int,0,eq_c1/2))+(PI()*(s_0+0*s_r+IF(circ_int,eq_c1/2,0))/2)),IF(circ_int,0,eq_c2/2)+(s_0+0*s_r+IF(circ_int,eq_c1/2,0))*SIN(PI()/2+(((2+0.5)*(4*IF(circ_int,0,eq_c1/2)+4*IF(circ_int,0,eq_c2/2)+2*PI()*(s_0+0*s_r+IF(circ_int,eq_c1/2,0)))/INDEX(lk_legs,1))-(((2*IF(circ_int,0,eq_c2/2))+(PI()*(s_0+0*s_r+IF(circ_int,eq_c1/2,0))/2))+2*IF(circ_int,0,eq_c1/2)))/(s_0+0*s_r+IF(circ_int,eq_c1/2,0))),IF(((2+0.5)*(4*IF(circ_int,0,eq_c1/2)+4*IF(circ_int,0,eq_c2/2)+2*PI()*(s_0+0*s_r+IF(circ_int,eq_c1/2,0)))/INDEX(lk_legs,1))&lt;(((((2*IF(circ_int,0,eq_c2/2))+(PI()*(s_0+0*s_r+IF(circ_int,eq_c1/2,0))/2))+2*IF(circ_int,0,eq_c1/2))+(PI()*(s_0+0*s_r+IF(circ_int,eq_c1/2,0))/2))+2*IF(circ_int,0,eq_c2/2)),IF(circ_int,0,eq_c2/2)-(((2+0.5)*(4*IF(circ_int,0,eq_c1/2)+4*IF(circ_int,0,eq_c2/2)+2*PI()*(s_0+0*s_r+IF(circ_int,eq_c1/2,0)))/INDEX(lk_legs,1))-((((2*IF(circ_int,0,eq_c2/2))+(PI()*(s_0+0*s_r+IF(circ_int,eq_c1/2,0))/2))+2*IF(circ_int,0,eq_c1/2))+(PI()*(s_0+0*s_r+IF(circ_int,eq_c1/2,0))/2))),IF(((2+0.5)*(4*IF(circ_int,0,eq_c1/2)+4*IF(circ_int,0,eq_c2/2)+2*PI()*(s_0+0*s_r+IF(circ_int,eq_c1/2,0)))/INDEX(lk_legs,1))&lt;((((((2*IF(circ_int,0,eq_c2/2))+(PI()*(s_0+0*s_r+IF(circ_int,eq_c1/2,0))/2))+2*IF(circ_int,0,eq_c1/2))+(PI()*(s_0+0*s_r+IF(circ_int,eq_c1/2,0))/2))+2*IF(circ_int,0,eq_c2/2))+(PI()*(s_0+0*s_r+IF(circ_int,eq_c1/2,0))/2)),-IF(circ_int,0,eq_c2/2)+(s_0+0*s_r+IF(circ_int,eq_c1/2,0))*SIN(PI()+(((2+0.5)*(4*IF(circ_int,0,eq_c1/2)+4*IF(circ_int,0,eq_c2/2)+2*PI()*(s_0+0*s_r+IF(circ_int,eq_c1/2,0)))/INDEX(lk_legs,1))-(((((2*IF(circ_int,0,eq_c2/2))+(PI()*(s_0+0*s_r+IF(circ_int,eq_c1/2,0))/2))+2*IF(circ_int,0,eq_c1/2))+(PI()*(s_0+0*s_r+IF(circ_int,eq_c1/2,0))/2))+2*IF(circ_int,0,eq_c2/2)))/(s_0+0*s_r+IF(circ_int,eq_c1/2,0))),IF(((2+0.5)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(2+0.5)*(4*IF(circ_int,0,eq_c1/2)+4*IF(circ_int,0,eq_c2/2)+2*PI()*(s_0+0*s_r+IF(circ_int,eq_c1/2,0)))/INDEX(lk_legs,1))-(((((((2*IF(circ_int,0,eq_c2/2))+(PI()*(s_0+0*s_r+IF(circ_int,eq_c1/2,0))/2))+2*IF(circ_int,0,eq_c1/2))+(PI()*(s_0+0*s_r+IF(circ_int,eq_c1/2,0))/2))+2*IF(circ_int,0,eq_c2/2))+(PI()*(s_0+0*s_r+IF(circ_int,eq_c1/2,0))/2))+2*IF(circ_int,0,eq_c1/2)))/(s_0+0*s_r+IF(circ_int,eq_c1/2,0)))))))))),NA())</f>
        <v/>
      </c>
      <c r="BC5">
        <f>IF(AND(links_on,2&lt;=n_per),IF(circ_int,(g_ox)+(c_1/2+(s_0+1*s_r))*0.970942,CHOOSE(INDEX(lk_kind,2),(g_ox+eq_c1/2)+((s_0+1*s_r))*0.965926,(eq_a1+eq_c1)+((s_0+1*s_r))*0.130526,(eq_a1+eq_c1)+((s_0+1*s_r))*0.130526,(eq_a1)+((s_0+1*s_r))*-0.991445)),NA())</f>
        <v/>
      </c>
      <c r="BD5">
        <f>IF(AND(links_on,2&lt;=n_per),IF(circ_int,(g_oy)+(c_1/2+(s_0+1*s_r))*0.239316,CHOOSE(INDEX(lk_kind,2),(g_oy+eq_c2/2)+((s_0+1*s_r))*0.258819,(g_oy+eq_c2/2)+((s_0+1*s_r))*0.991445,(eq_a2+eq_c2)+((s_0+1*s_r))*0.991445,(eq_a2+eq_c2)+((s_0+1*s_r))*0.130526)),NA())</f>
        <v/>
      </c>
      <c r="BF5">
        <f>IF(AND(AND(links_on,2&lt;=n_per),INDEX(lk_kind,2)=1,2&lt;INDEX(lk_legs,2)),g_ox+IF(((2+0.5)*(4*IF(circ_int,0,eq_c1/2)+4*IF(circ_int,0,eq_c2/2)+2*PI()*(s_0+1*s_r+IF(circ_int,eq_c1/2,0)))/INDEX(lk_legs,2))&lt;(2*IF(circ_int,0,eq_c2/2)),IF(circ_int,0,eq_c1/2)+(s_0+1*s_r+IF(circ_int,eq_c1/2,0)),IF(((2+0.5)*(4*IF(circ_int,0,eq_c1/2)+4*IF(circ_int,0,eq_c2/2)+2*PI()*(s_0+1*s_r+IF(circ_int,eq_c1/2,0)))/INDEX(lk_legs,2))&lt;((2*IF(circ_int,0,eq_c2/2))+(PI()*(s_0+1*s_r+IF(circ_int,eq_c1/2,0))/2)),IF(circ_int,0,eq_c1/2)+(s_0+1*s_r+IF(circ_int,eq_c1/2,0))*COS((((2+0.5)*(4*IF(circ_int,0,eq_c1/2)+4*IF(circ_int,0,eq_c2/2)+2*PI()*(s_0+1*s_r+IF(circ_int,eq_c1/2,0)))/INDEX(lk_legs,2))-(2*IF(circ_int,0,eq_c2/2)))/(s_0+1*s_r+IF(circ_int,eq_c1/2,0))),IF(((2+0.5)*(4*IF(circ_int,0,eq_c1/2)+4*IF(circ_int,0,eq_c2/2)+2*PI()*(s_0+1*s_r+IF(circ_int,eq_c1/2,0)))/INDEX(lk_legs,2))&lt;(((2*IF(circ_int,0,eq_c2/2))+(PI()*(s_0+1*s_r+IF(circ_int,eq_c1/2,0))/2))+2*IF(circ_int,0,eq_c1/2)),IF(circ_int,0,eq_c1/2)-(((2+0.5)*(4*IF(circ_int,0,eq_c1/2)+4*IF(circ_int,0,eq_c2/2)+2*PI()*(s_0+1*s_r+IF(circ_int,eq_c1/2,0)))/INDEX(lk_legs,2))-((2*IF(circ_int,0,eq_c2/2))+(PI()*(s_0+1*s_r+IF(circ_int,eq_c1/2,0))/2))),IF(((2+0.5)*(4*IF(circ_int,0,eq_c1/2)+4*IF(circ_int,0,eq_c2/2)+2*PI()*(s_0+1*s_r+IF(circ_int,eq_c1/2,0)))/INDEX(lk_legs,2))&lt;((((2*IF(circ_int,0,eq_c2/2))+(PI()*(s_0+1*s_r+IF(circ_int,eq_c1/2,0))/2))+2*IF(circ_int,0,eq_c1/2))+(PI()*(s_0+1*s_r+IF(circ_int,eq_c1/2,0))/2)),-IF(circ_int,0,eq_c1/2)+(s_0+1*s_r+IF(circ_int,eq_c1/2,0))*COS(PI()/2+(((2+0.5)*(4*IF(circ_int,0,eq_c1/2)+4*IF(circ_int,0,eq_c2/2)+2*PI()*(s_0+1*s_r+IF(circ_int,eq_c1/2,0)))/INDEX(lk_legs,2))-(((2*IF(circ_int,0,eq_c2/2))+(PI()*(s_0+1*s_r+IF(circ_int,eq_c1/2,0))/2))+2*IF(circ_int,0,eq_c1/2)))/(s_0+1*s_r+IF(circ_int,eq_c1/2,0))),IF(((2+0.5)*(4*IF(circ_int,0,eq_c1/2)+4*IF(circ_int,0,eq_c2/2)+2*PI()*(s_0+1*s_r+IF(circ_int,eq_c1/2,0)))/INDEX(lk_legs,2))&lt;(((((2*IF(circ_int,0,eq_c2/2))+(PI()*(s_0+1*s_r+IF(circ_int,eq_c1/2,0))/2))+2*IF(circ_int,0,eq_c1/2))+(PI()*(s_0+1*s_r+IF(circ_int,eq_c1/2,0))/2))+2*IF(circ_int,0,eq_c2/2)),-IF(circ_int,0,eq_c1/2)-(s_0+1*s_r+IF(circ_int,eq_c1/2,0)),IF(((2+0.5)*(4*IF(circ_int,0,eq_c1/2)+4*IF(circ_int,0,eq_c2/2)+2*PI()*(s_0+1*s_r+IF(circ_int,eq_c1/2,0)))/INDEX(lk_legs,2))&lt;((((((2*IF(circ_int,0,eq_c2/2))+(PI()*(s_0+1*s_r+IF(circ_int,eq_c1/2,0))/2))+2*IF(circ_int,0,eq_c1/2))+(PI()*(s_0+1*s_r+IF(circ_int,eq_c1/2,0))/2))+2*IF(circ_int,0,eq_c2/2))+(PI()*(s_0+1*s_r+IF(circ_int,eq_c1/2,0))/2)),-IF(circ_int,0,eq_c1/2)+(s_0+1*s_r+IF(circ_int,eq_c1/2,0))*COS(PI()+(((2+0.5)*(4*IF(circ_int,0,eq_c1/2)+4*IF(circ_int,0,eq_c2/2)+2*PI()*(s_0+1*s_r+IF(circ_int,eq_c1/2,0)))/INDEX(lk_legs,2))-(((((2*IF(circ_int,0,eq_c2/2))+(PI()*(s_0+1*s_r+IF(circ_int,eq_c1/2,0))/2))+2*IF(circ_int,0,eq_c1/2))+(PI()*(s_0+1*s_r+IF(circ_int,eq_c1/2,0))/2))+2*IF(circ_int,0,eq_c2/2)))/(s_0+1*s_r+IF(circ_int,eq_c1/2,0))),IF(((2+0.5)*(4*IF(circ_int,0,eq_c1/2)+4*IF(circ_int,0,eq_c2/2)+2*PI()*(s_0+1*s_r+IF(circ_int,eq_c1/2,0)))/INDEX(lk_legs,2))&lt;(((((((2*IF(circ_int,0,eq_c2/2))+(PI()*(s_0+1*s_r+IF(circ_int,eq_c1/2,0))/2))+2*IF(circ_int,0,eq_c1/2))+(PI()*(s_0+1*s_r+IF(circ_int,eq_c1/2,0))/2))+2*IF(circ_int,0,eq_c2/2))+(PI()*(s_0+1*s_r+IF(circ_int,eq_c1/2,0))/2))+2*IF(circ_int,0,eq_c1/2)),-IF(circ_int,0,eq_c1/2)+(((2+0.5)*(4*IF(circ_int,0,eq_c1/2)+4*IF(circ_int,0,eq_c2/2)+2*PI()*(s_0+1*s_r+IF(circ_int,eq_c1/2,0)))/INDEX(lk_legs,2))-((((((2*IF(circ_int,0,eq_c2/2))+(PI()*(s_0+1*s_r+IF(circ_int,eq_c1/2,0))/2))+2*IF(circ_int,0,eq_c1/2))+(PI()*(s_0+1*s_r+IF(circ_int,eq_c1/2,0))/2))+2*IF(circ_int,0,eq_c2/2))+(PI()*(s_0+1*s_r+IF(circ_int,eq_c1/2,0))/2))),IF(circ_int,0,eq_c1/2)+(s_0+1*s_r+IF(circ_int,eq_c1/2,0))*COS(3*PI()/2+(((2+0.5)*(4*IF(circ_int,0,eq_c1/2)+4*IF(circ_int,0,eq_c2/2)+2*PI()*(s_0+1*s_r+IF(circ_int,eq_c1/2,0)))/INDEX(lk_legs,2))-(((((((2*IF(circ_int,0,eq_c2/2))+(PI()*(s_0+1*s_r+IF(circ_int,eq_c1/2,0))/2))+2*IF(circ_int,0,eq_c1/2))+(PI()*(s_0+1*s_r+IF(circ_int,eq_c1/2,0))/2))+2*IF(circ_int,0,eq_c2/2))+(PI()*(s_0+1*s_r+IF(circ_int,eq_c1/2,0))/2))+2*IF(circ_int,0,eq_c1/2)))/(s_0+1*s_r+IF(circ_int,eq_c1/2,0)))))))))),NA())</f>
        <v/>
      </c>
      <c r="BG5">
        <f>IF(AND(AND(links_on,2&lt;=n_per),INDEX(lk_kind,2)=1,2&lt;INDEX(lk_legs,2)),g_oy+IF(((2+0.5)*(4*IF(circ_int,0,eq_c1/2)+4*IF(circ_int,0,eq_c2/2)+2*PI()*(s_0+1*s_r+IF(circ_int,eq_c1/2,0)))/INDEX(lk_legs,2))&lt;(2*IF(circ_int,0,eq_c2/2)),-IF(circ_int,0,eq_c2/2)+((2+0.5)*(4*IF(circ_int,0,eq_c1/2)+4*IF(circ_int,0,eq_c2/2)+2*PI()*(s_0+1*s_r+IF(circ_int,eq_c1/2,0)))/INDEX(lk_legs,2)),IF(((2+0.5)*(4*IF(circ_int,0,eq_c1/2)+4*IF(circ_int,0,eq_c2/2)+2*PI()*(s_0+1*s_r+IF(circ_int,eq_c1/2,0)))/INDEX(lk_legs,2))&lt;((2*IF(circ_int,0,eq_c2/2))+(PI()*(s_0+1*s_r+IF(circ_int,eq_c1/2,0))/2)),IF(circ_int,0,eq_c2/2)+(s_0+1*s_r+IF(circ_int,eq_c1/2,0))*SIN((((2+0.5)*(4*IF(circ_int,0,eq_c1/2)+4*IF(circ_int,0,eq_c2/2)+2*PI()*(s_0+1*s_r+IF(circ_int,eq_c1/2,0)))/INDEX(lk_legs,2))-(2*IF(circ_int,0,eq_c2/2)))/(s_0+1*s_r+IF(circ_int,eq_c1/2,0))),IF(((2+0.5)*(4*IF(circ_int,0,eq_c1/2)+4*IF(circ_int,0,eq_c2/2)+2*PI()*(s_0+1*s_r+IF(circ_int,eq_c1/2,0)))/INDEX(lk_legs,2))&lt;(((2*IF(circ_int,0,eq_c2/2))+(PI()*(s_0+1*s_r+IF(circ_int,eq_c1/2,0))/2))+2*IF(circ_int,0,eq_c1/2)),IF(circ_int,0,eq_c2/2)+(s_0+1*s_r+IF(circ_int,eq_c1/2,0)),IF(((2+0.5)*(4*IF(circ_int,0,eq_c1/2)+4*IF(circ_int,0,eq_c2/2)+2*PI()*(s_0+1*s_r+IF(circ_int,eq_c1/2,0)))/INDEX(lk_legs,2))&lt;((((2*IF(circ_int,0,eq_c2/2))+(PI()*(s_0+1*s_r+IF(circ_int,eq_c1/2,0))/2))+2*IF(circ_int,0,eq_c1/2))+(PI()*(s_0+1*s_r+IF(circ_int,eq_c1/2,0))/2)),IF(circ_int,0,eq_c2/2)+(s_0+1*s_r+IF(circ_int,eq_c1/2,0))*SIN(PI()/2+(((2+0.5)*(4*IF(circ_int,0,eq_c1/2)+4*IF(circ_int,0,eq_c2/2)+2*PI()*(s_0+1*s_r+IF(circ_int,eq_c1/2,0)))/INDEX(lk_legs,2))-(((2*IF(circ_int,0,eq_c2/2))+(PI()*(s_0+1*s_r+IF(circ_int,eq_c1/2,0))/2))+2*IF(circ_int,0,eq_c1/2)))/(s_0+1*s_r+IF(circ_int,eq_c1/2,0))),IF(((2+0.5)*(4*IF(circ_int,0,eq_c1/2)+4*IF(circ_int,0,eq_c2/2)+2*PI()*(s_0+1*s_r+IF(circ_int,eq_c1/2,0)))/INDEX(lk_legs,2))&lt;(((((2*IF(circ_int,0,eq_c2/2))+(PI()*(s_0+1*s_r+IF(circ_int,eq_c1/2,0))/2))+2*IF(circ_int,0,eq_c1/2))+(PI()*(s_0+1*s_r+IF(circ_int,eq_c1/2,0))/2))+2*IF(circ_int,0,eq_c2/2)),IF(circ_int,0,eq_c2/2)-(((2+0.5)*(4*IF(circ_int,0,eq_c1/2)+4*IF(circ_int,0,eq_c2/2)+2*PI()*(s_0+1*s_r+IF(circ_int,eq_c1/2,0)))/INDEX(lk_legs,2))-((((2*IF(circ_int,0,eq_c2/2))+(PI()*(s_0+1*s_r+IF(circ_int,eq_c1/2,0))/2))+2*IF(circ_int,0,eq_c1/2))+(PI()*(s_0+1*s_r+IF(circ_int,eq_c1/2,0))/2))),IF(((2+0.5)*(4*IF(circ_int,0,eq_c1/2)+4*IF(circ_int,0,eq_c2/2)+2*PI()*(s_0+1*s_r+IF(circ_int,eq_c1/2,0)))/INDEX(lk_legs,2))&lt;((((((2*IF(circ_int,0,eq_c2/2))+(PI()*(s_0+1*s_r+IF(circ_int,eq_c1/2,0))/2))+2*IF(circ_int,0,eq_c1/2))+(PI()*(s_0+1*s_r+IF(circ_int,eq_c1/2,0))/2))+2*IF(circ_int,0,eq_c2/2))+(PI()*(s_0+1*s_r+IF(circ_int,eq_c1/2,0))/2)),-IF(circ_int,0,eq_c2/2)+(s_0+1*s_r+IF(circ_int,eq_c1/2,0))*SIN(PI()+(((2+0.5)*(4*IF(circ_int,0,eq_c1/2)+4*IF(circ_int,0,eq_c2/2)+2*PI()*(s_0+1*s_r+IF(circ_int,eq_c1/2,0)))/INDEX(lk_legs,2))-(((((2*IF(circ_int,0,eq_c2/2))+(PI()*(s_0+1*s_r+IF(circ_int,eq_c1/2,0))/2))+2*IF(circ_int,0,eq_c1/2))+(PI()*(s_0+1*s_r+IF(circ_int,eq_c1/2,0))/2))+2*IF(circ_int,0,eq_c2/2)))/(s_0+1*s_r+IF(circ_int,eq_c1/2,0))),IF(((2+0.5)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(2+0.5)*(4*IF(circ_int,0,eq_c1/2)+4*IF(circ_int,0,eq_c2/2)+2*PI()*(s_0+1*s_r+IF(circ_int,eq_c1/2,0)))/INDEX(lk_legs,2))-(((((((2*IF(circ_int,0,eq_c2/2))+(PI()*(s_0+1*s_r+IF(circ_int,eq_c1/2,0))/2))+2*IF(circ_int,0,eq_c1/2))+(PI()*(s_0+1*s_r+IF(circ_int,eq_c1/2,0))/2))+2*IF(circ_int,0,eq_c2/2))+(PI()*(s_0+1*s_r+IF(circ_int,eq_c1/2,0))/2))+2*IF(circ_int,0,eq_c1/2)))/(s_0+1*s_r+IF(circ_int,eq_c1/2,0)))))))))),NA())</f>
        <v/>
      </c>
      <c r="BI5">
        <f>IF(AND(links_on,3&lt;=n_per),IF(circ_int,(g_ox)+(c_1/2+(s_0+2*s_r))*0.970942,CHOOSE(INDEX(lk_kind,3),(g_ox+eq_c1/2)+((s_0+2*s_r))*0.965926,(eq_a1+eq_c1)+((s_0+2*s_r))*0.130526,(eq_a1+eq_c1)+((s_0+2*s_r))*0.130526,(eq_a1)+((s_0+2*s_r))*-0.991445)),NA())</f>
        <v/>
      </c>
      <c r="BJ5">
        <f>IF(AND(links_on,3&lt;=n_per),IF(circ_int,(g_oy)+(c_1/2+(s_0+2*s_r))*0.239316,CHOOSE(INDEX(lk_kind,3),(g_oy+eq_c2/2)+((s_0+2*s_r))*0.258819,(g_oy+eq_c2/2)+((s_0+2*s_r))*0.991445,(eq_a2+eq_c2)+((s_0+2*s_r))*0.991445,(eq_a2+eq_c2)+((s_0+2*s_r))*0.130526)),NA())</f>
        <v/>
      </c>
      <c r="BL5">
        <f>IF(AND(AND(links_on,3&lt;=n_per),INDEX(lk_kind,3)=1,2&lt;INDEX(lk_legs,3)),g_ox+IF(((2+0.5)*(4*IF(circ_int,0,eq_c1/2)+4*IF(circ_int,0,eq_c2/2)+2*PI()*(s_0+2*s_r+IF(circ_int,eq_c1/2,0)))/INDEX(lk_legs,3))&lt;(2*IF(circ_int,0,eq_c2/2)),IF(circ_int,0,eq_c1/2)+(s_0+2*s_r+IF(circ_int,eq_c1/2,0)),IF(((2+0.5)*(4*IF(circ_int,0,eq_c1/2)+4*IF(circ_int,0,eq_c2/2)+2*PI()*(s_0+2*s_r+IF(circ_int,eq_c1/2,0)))/INDEX(lk_legs,3))&lt;((2*IF(circ_int,0,eq_c2/2))+(PI()*(s_0+2*s_r+IF(circ_int,eq_c1/2,0))/2)),IF(circ_int,0,eq_c1/2)+(s_0+2*s_r+IF(circ_int,eq_c1/2,0))*COS((((2+0.5)*(4*IF(circ_int,0,eq_c1/2)+4*IF(circ_int,0,eq_c2/2)+2*PI()*(s_0+2*s_r+IF(circ_int,eq_c1/2,0)))/INDEX(lk_legs,3))-(2*IF(circ_int,0,eq_c2/2)))/(s_0+2*s_r+IF(circ_int,eq_c1/2,0))),IF(((2+0.5)*(4*IF(circ_int,0,eq_c1/2)+4*IF(circ_int,0,eq_c2/2)+2*PI()*(s_0+2*s_r+IF(circ_int,eq_c1/2,0)))/INDEX(lk_legs,3))&lt;(((2*IF(circ_int,0,eq_c2/2))+(PI()*(s_0+2*s_r+IF(circ_int,eq_c1/2,0))/2))+2*IF(circ_int,0,eq_c1/2)),IF(circ_int,0,eq_c1/2)-(((2+0.5)*(4*IF(circ_int,0,eq_c1/2)+4*IF(circ_int,0,eq_c2/2)+2*PI()*(s_0+2*s_r+IF(circ_int,eq_c1/2,0)))/INDEX(lk_legs,3))-((2*IF(circ_int,0,eq_c2/2))+(PI()*(s_0+2*s_r+IF(circ_int,eq_c1/2,0))/2))),IF(((2+0.5)*(4*IF(circ_int,0,eq_c1/2)+4*IF(circ_int,0,eq_c2/2)+2*PI()*(s_0+2*s_r+IF(circ_int,eq_c1/2,0)))/INDEX(lk_legs,3))&lt;((((2*IF(circ_int,0,eq_c2/2))+(PI()*(s_0+2*s_r+IF(circ_int,eq_c1/2,0))/2))+2*IF(circ_int,0,eq_c1/2))+(PI()*(s_0+2*s_r+IF(circ_int,eq_c1/2,0))/2)),-IF(circ_int,0,eq_c1/2)+(s_0+2*s_r+IF(circ_int,eq_c1/2,0))*COS(PI()/2+(((2+0.5)*(4*IF(circ_int,0,eq_c1/2)+4*IF(circ_int,0,eq_c2/2)+2*PI()*(s_0+2*s_r+IF(circ_int,eq_c1/2,0)))/INDEX(lk_legs,3))-(((2*IF(circ_int,0,eq_c2/2))+(PI()*(s_0+2*s_r+IF(circ_int,eq_c1/2,0))/2))+2*IF(circ_int,0,eq_c1/2)))/(s_0+2*s_r+IF(circ_int,eq_c1/2,0))),IF(((2+0.5)*(4*IF(circ_int,0,eq_c1/2)+4*IF(circ_int,0,eq_c2/2)+2*PI()*(s_0+2*s_r+IF(circ_int,eq_c1/2,0)))/INDEX(lk_legs,3))&lt;(((((2*IF(circ_int,0,eq_c2/2))+(PI()*(s_0+2*s_r+IF(circ_int,eq_c1/2,0))/2))+2*IF(circ_int,0,eq_c1/2))+(PI()*(s_0+2*s_r+IF(circ_int,eq_c1/2,0))/2))+2*IF(circ_int,0,eq_c2/2)),-IF(circ_int,0,eq_c1/2)-(s_0+2*s_r+IF(circ_int,eq_c1/2,0)),IF(((2+0.5)*(4*IF(circ_int,0,eq_c1/2)+4*IF(circ_int,0,eq_c2/2)+2*PI()*(s_0+2*s_r+IF(circ_int,eq_c1/2,0)))/INDEX(lk_legs,3))&lt;((((((2*IF(circ_int,0,eq_c2/2))+(PI()*(s_0+2*s_r+IF(circ_int,eq_c1/2,0))/2))+2*IF(circ_int,0,eq_c1/2))+(PI()*(s_0+2*s_r+IF(circ_int,eq_c1/2,0))/2))+2*IF(circ_int,0,eq_c2/2))+(PI()*(s_0+2*s_r+IF(circ_int,eq_c1/2,0))/2)),-IF(circ_int,0,eq_c1/2)+(s_0+2*s_r+IF(circ_int,eq_c1/2,0))*COS(PI()+(((2+0.5)*(4*IF(circ_int,0,eq_c1/2)+4*IF(circ_int,0,eq_c2/2)+2*PI()*(s_0+2*s_r+IF(circ_int,eq_c1/2,0)))/INDEX(lk_legs,3))-(((((2*IF(circ_int,0,eq_c2/2))+(PI()*(s_0+2*s_r+IF(circ_int,eq_c1/2,0))/2))+2*IF(circ_int,0,eq_c1/2))+(PI()*(s_0+2*s_r+IF(circ_int,eq_c1/2,0))/2))+2*IF(circ_int,0,eq_c2/2)))/(s_0+2*s_r+IF(circ_int,eq_c1/2,0))),IF(((2+0.5)*(4*IF(circ_int,0,eq_c1/2)+4*IF(circ_int,0,eq_c2/2)+2*PI()*(s_0+2*s_r+IF(circ_int,eq_c1/2,0)))/INDEX(lk_legs,3))&lt;(((((((2*IF(circ_int,0,eq_c2/2))+(PI()*(s_0+2*s_r+IF(circ_int,eq_c1/2,0))/2))+2*IF(circ_int,0,eq_c1/2))+(PI()*(s_0+2*s_r+IF(circ_int,eq_c1/2,0))/2))+2*IF(circ_int,0,eq_c2/2))+(PI()*(s_0+2*s_r+IF(circ_int,eq_c1/2,0))/2))+2*IF(circ_int,0,eq_c1/2)),-IF(circ_int,0,eq_c1/2)+(((2+0.5)*(4*IF(circ_int,0,eq_c1/2)+4*IF(circ_int,0,eq_c2/2)+2*PI()*(s_0+2*s_r+IF(circ_int,eq_c1/2,0)))/INDEX(lk_legs,3))-((((((2*IF(circ_int,0,eq_c2/2))+(PI()*(s_0+2*s_r+IF(circ_int,eq_c1/2,0))/2))+2*IF(circ_int,0,eq_c1/2))+(PI()*(s_0+2*s_r+IF(circ_int,eq_c1/2,0))/2))+2*IF(circ_int,0,eq_c2/2))+(PI()*(s_0+2*s_r+IF(circ_int,eq_c1/2,0))/2))),IF(circ_int,0,eq_c1/2)+(s_0+2*s_r+IF(circ_int,eq_c1/2,0))*COS(3*PI()/2+(((2+0.5)*(4*IF(circ_int,0,eq_c1/2)+4*IF(circ_int,0,eq_c2/2)+2*PI()*(s_0+2*s_r+IF(circ_int,eq_c1/2,0)))/INDEX(lk_legs,3))-(((((((2*IF(circ_int,0,eq_c2/2))+(PI()*(s_0+2*s_r+IF(circ_int,eq_c1/2,0))/2))+2*IF(circ_int,0,eq_c1/2))+(PI()*(s_0+2*s_r+IF(circ_int,eq_c1/2,0))/2))+2*IF(circ_int,0,eq_c2/2))+(PI()*(s_0+2*s_r+IF(circ_int,eq_c1/2,0))/2))+2*IF(circ_int,0,eq_c1/2)))/(s_0+2*s_r+IF(circ_int,eq_c1/2,0)))))))))),NA())</f>
        <v/>
      </c>
      <c r="BM5">
        <f>IF(AND(AND(links_on,3&lt;=n_per),INDEX(lk_kind,3)=1,2&lt;INDEX(lk_legs,3)),g_oy+IF(((2+0.5)*(4*IF(circ_int,0,eq_c1/2)+4*IF(circ_int,0,eq_c2/2)+2*PI()*(s_0+2*s_r+IF(circ_int,eq_c1/2,0)))/INDEX(lk_legs,3))&lt;(2*IF(circ_int,0,eq_c2/2)),-IF(circ_int,0,eq_c2/2)+((2+0.5)*(4*IF(circ_int,0,eq_c1/2)+4*IF(circ_int,0,eq_c2/2)+2*PI()*(s_0+2*s_r+IF(circ_int,eq_c1/2,0)))/INDEX(lk_legs,3)),IF(((2+0.5)*(4*IF(circ_int,0,eq_c1/2)+4*IF(circ_int,0,eq_c2/2)+2*PI()*(s_0+2*s_r+IF(circ_int,eq_c1/2,0)))/INDEX(lk_legs,3))&lt;((2*IF(circ_int,0,eq_c2/2))+(PI()*(s_0+2*s_r+IF(circ_int,eq_c1/2,0))/2)),IF(circ_int,0,eq_c2/2)+(s_0+2*s_r+IF(circ_int,eq_c1/2,0))*SIN((((2+0.5)*(4*IF(circ_int,0,eq_c1/2)+4*IF(circ_int,0,eq_c2/2)+2*PI()*(s_0+2*s_r+IF(circ_int,eq_c1/2,0)))/INDEX(lk_legs,3))-(2*IF(circ_int,0,eq_c2/2)))/(s_0+2*s_r+IF(circ_int,eq_c1/2,0))),IF(((2+0.5)*(4*IF(circ_int,0,eq_c1/2)+4*IF(circ_int,0,eq_c2/2)+2*PI()*(s_0+2*s_r+IF(circ_int,eq_c1/2,0)))/INDEX(lk_legs,3))&lt;(((2*IF(circ_int,0,eq_c2/2))+(PI()*(s_0+2*s_r+IF(circ_int,eq_c1/2,0))/2))+2*IF(circ_int,0,eq_c1/2)),IF(circ_int,0,eq_c2/2)+(s_0+2*s_r+IF(circ_int,eq_c1/2,0)),IF(((2+0.5)*(4*IF(circ_int,0,eq_c1/2)+4*IF(circ_int,0,eq_c2/2)+2*PI()*(s_0+2*s_r+IF(circ_int,eq_c1/2,0)))/INDEX(lk_legs,3))&lt;((((2*IF(circ_int,0,eq_c2/2))+(PI()*(s_0+2*s_r+IF(circ_int,eq_c1/2,0))/2))+2*IF(circ_int,0,eq_c1/2))+(PI()*(s_0+2*s_r+IF(circ_int,eq_c1/2,0))/2)),IF(circ_int,0,eq_c2/2)+(s_0+2*s_r+IF(circ_int,eq_c1/2,0))*SIN(PI()/2+(((2+0.5)*(4*IF(circ_int,0,eq_c1/2)+4*IF(circ_int,0,eq_c2/2)+2*PI()*(s_0+2*s_r+IF(circ_int,eq_c1/2,0)))/INDEX(lk_legs,3))-(((2*IF(circ_int,0,eq_c2/2))+(PI()*(s_0+2*s_r+IF(circ_int,eq_c1/2,0))/2))+2*IF(circ_int,0,eq_c1/2)))/(s_0+2*s_r+IF(circ_int,eq_c1/2,0))),IF(((2+0.5)*(4*IF(circ_int,0,eq_c1/2)+4*IF(circ_int,0,eq_c2/2)+2*PI()*(s_0+2*s_r+IF(circ_int,eq_c1/2,0)))/INDEX(lk_legs,3))&lt;(((((2*IF(circ_int,0,eq_c2/2))+(PI()*(s_0+2*s_r+IF(circ_int,eq_c1/2,0))/2))+2*IF(circ_int,0,eq_c1/2))+(PI()*(s_0+2*s_r+IF(circ_int,eq_c1/2,0))/2))+2*IF(circ_int,0,eq_c2/2)),IF(circ_int,0,eq_c2/2)-(((2+0.5)*(4*IF(circ_int,0,eq_c1/2)+4*IF(circ_int,0,eq_c2/2)+2*PI()*(s_0+2*s_r+IF(circ_int,eq_c1/2,0)))/INDEX(lk_legs,3))-((((2*IF(circ_int,0,eq_c2/2))+(PI()*(s_0+2*s_r+IF(circ_int,eq_c1/2,0))/2))+2*IF(circ_int,0,eq_c1/2))+(PI()*(s_0+2*s_r+IF(circ_int,eq_c1/2,0))/2))),IF(((2+0.5)*(4*IF(circ_int,0,eq_c1/2)+4*IF(circ_int,0,eq_c2/2)+2*PI()*(s_0+2*s_r+IF(circ_int,eq_c1/2,0)))/INDEX(lk_legs,3))&lt;((((((2*IF(circ_int,0,eq_c2/2))+(PI()*(s_0+2*s_r+IF(circ_int,eq_c1/2,0))/2))+2*IF(circ_int,0,eq_c1/2))+(PI()*(s_0+2*s_r+IF(circ_int,eq_c1/2,0))/2))+2*IF(circ_int,0,eq_c2/2))+(PI()*(s_0+2*s_r+IF(circ_int,eq_c1/2,0))/2)),-IF(circ_int,0,eq_c2/2)+(s_0+2*s_r+IF(circ_int,eq_c1/2,0))*SIN(PI()+(((2+0.5)*(4*IF(circ_int,0,eq_c1/2)+4*IF(circ_int,0,eq_c2/2)+2*PI()*(s_0+2*s_r+IF(circ_int,eq_c1/2,0)))/INDEX(lk_legs,3))-(((((2*IF(circ_int,0,eq_c2/2))+(PI()*(s_0+2*s_r+IF(circ_int,eq_c1/2,0))/2))+2*IF(circ_int,0,eq_c1/2))+(PI()*(s_0+2*s_r+IF(circ_int,eq_c1/2,0))/2))+2*IF(circ_int,0,eq_c2/2)))/(s_0+2*s_r+IF(circ_int,eq_c1/2,0))),IF(((2+0.5)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(2+0.5)*(4*IF(circ_int,0,eq_c1/2)+4*IF(circ_int,0,eq_c2/2)+2*PI()*(s_0+2*s_r+IF(circ_int,eq_c1/2,0)))/INDEX(lk_legs,3))-(((((((2*IF(circ_int,0,eq_c2/2))+(PI()*(s_0+2*s_r+IF(circ_int,eq_c1/2,0))/2))+2*IF(circ_int,0,eq_c1/2))+(PI()*(s_0+2*s_r+IF(circ_int,eq_c1/2,0))/2))+2*IF(circ_int,0,eq_c2/2))+(PI()*(s_0+2*s_r+IF(circ_int,eq_c1/2,0))/2))+2*IF(circ_int,0,eq_c1/2)))/(s_0+2*s_r+IF(circ_int,eq_c1/2,0)))))))))),NA())</f>
        <v/>
      </c>
      <c r="BO5">
        <f>IF(AND(links_on,4&lt;=n_per),IF(circ_int,(g_ox)+(c_1/2+(s_0+3*s_r))*0.970942,CHOOSE(INDEX(lk_kind,4),(g_ox+eq_c1/2)+((s_0+3*s_r))*0.965926,(eq_a1+eq_c1)+((s_0+3*s_r))*0.130526,(eq_a1+eq_c1)+((s_0+3*s_r))*0.130526,(eq_a1)+((s_0+3*s_r))*-0.991445)),NA())</f>
        <v/>
      </c>
      <c r="BP5">
        <f>IF(AND(links_on,4&lt;=n_per),IF(circ_int,(g_oy)+(c_1/2+(s_0+3*s_r))*0.239316,CHOOSE(INDEX(lk_kind,4),(g_oy+eq_c2/2)+((s_0+3*s_r))*0.258819,(g_oy+eq_c2/2)+((s_0+3*s_r))*0.991445,(eq_a2+eq_c2)+((s_0+3*s_r))*0.991445,(eq_a2+eq_c2)+((s_0+3*s_r))*0.130526)),NA())</f>
        <v/>
      </c>
      <c r="BR5">
        <f>IF(AND(AND(links_on,4&lt;=n_per),INDEX(lk_kind,4)=1,2&lt;INDEX(lk_legs,4)),g_ox+IF(((2+0.5)*(4*IF(circ_int,0,eq_c1/2)+4*IF(circ_int,0,eq_c2/2)+2*PI()*(s_0+3*s_r+IF(circ_int,eq_c1/2,0)))/INDEX(lk_legs,4))&lt;(2*IF(circ_int,0,eq_c2/2)),IF(circ_int,0,eq_c1/2)+(s_0+3*s_r+IF(circ_int,eq_c1/2,0)),IF(((2+0.5)*(4*IF(circ_int,0,eq_c1/2)+4*IF(circ_int,0,eq_c2/2)+2*PI()*(s_0+3*s_r+IF(circ_int,eq_c1/2,0)))/INDEX(lk_legs,4))&lt;((2*IF(circ_int,0,eq_c2/2))+(PI()*(s_0+3*s_r+IF(circ_int,eq_c1/2,0))/2)),IF(circ_int,0,eq_c1/2)+(s_0+3*s_r+IF(circ_int,eq_c1/2,0))*COS((((2+0.5)*(4*IF(circ_int,0,eq_c1/2)+4*IF(circ_int,0,eq_c2/2)+2*PI()*(s_0+3*s_r+IF(circ_int,eq_c1/2,0)))/INDEX(lk_legs,4))-(2*IF(circ_int,0,eq_c2/2)))/(s_0+3*s_r+IF(circ_int,eq_c1/2,0))),IF(((2+0.5)*(4*IF(circ_int,0,eq_c1/2)+4*IF(circ_int,0,eq_c2/2)+2*PI()*(s_0+3*s_r+IF(circ_int,eq_c1/2,0)))/INDEX(lk_legs,4))&lt;(((2*IF(circ_int,0,eq_c2/2))+(PI()*(s_0+3*s_r+IF(circ_int,eq_c1/2,0))/2))+2*IF(circ_int,0,eq_c1/2)),IF(circ_int,0,eq_c1/2)-(((2+0.5)*(4*IF(circ_int,0,eq_c1/2)+4*IF(circ_int,0,eq_c2/2)+2*PI()*(s_0+3*s_r+IF(circ_int,eq_c1/2,0)))/INDEX(lk_legs,4))-((2*IF(circ_int,0,eq_c2/2))+(PI()*(s_0+3*s_r+IF(circ_int,eq_c1/2,0))/2))),IF(((2+0.5)*(4*IF(circ_int,0,eq_c1/2)+4*IF(circ_int,0,eq_c2/2)+2*PI()*(s_0+3*s_r+IF(circ_int,eq_c1/2,0)))/INDEX(lk_legs,4))&lt;((((2*IF(circ_int,0,eq_c2/2))+(PI()*(s_0+3*s_r+IF(circ_int,eq_c1/2,0))/2))+2*IF(circ_int,0,eq_c1/2))+(PI()*(s_0+3*s_r+IF(circ_int,eq_c1/2,0))/2)),-IF(circ_int,0,eq_c1/2)+(s_0+3*s_r+IF(circ_int,eq_c1/2,0))*COS(PI()/2+(((2+0.5)*(4*IF(circ_int,0,eq_c1/2)+4*IF(circ_int,0,eq_c2/2)+2*PI()*(s_0+3*s_r+IF(circ_int,eq_c1/2,0)))/INDEX(lk_legs,4))-(((2*IF(circ_int,0,eq_c2/2))+(PI()*(s_0+3*s_r+IF(circ_int,eq_c1/2,0))/2))+2*IF(circ_int,0,eq_c1/2)))/(s_0+3*s_r+IF(circ_int,eq_c1/2,0))),IF(((2+0.5)*(4*IF(circ_int,0,eq_c1/2)+4*IF(circ_int,0,eq_c2/2)+2*PI()*(s_0+3*s_r+IF(circ_int,eq_c1/2,0)))/INDEX(lk_legs,4))&lt;(((((2*IF(circ_int,0,eq_c2/2))+(PI()*(s_0+3*s_r+IF(circ_int,eq_c1/2,0))/2))+2*IF(circ_int,0,eq_c1/2))+(PI()*(s_0+3*s_r+IF(circ_int,eq_c1/2,0))/2))+2*IF(circ_int,0,eq_c2/2)),-IF(circ_int,0,eq_c1/2)-(s_0+3*s_r+IF(circ_int,eq_c1/2,0)),IF(((2+0.5)*(4*IF(circ_int,0,eq_c1/2)+4*IF(circ_int,0,eq_c2/2)+2*PI()*(s_0+3*s_r+IF(circ_int,eq_c1/2,0)))/INDEX(lk_legs,4))&lt;((((((2*IF(circ_int,0,eq_c2/2))+(PI()*(s_0+3*s_r+IF(circ_int,eq_c1/2,0))/2))+2*IF(circ_int,0,eq_c1/2))+(PI()*(s_0+3*s_r+IF(circ_int,eq_c1/2,0))/2))+2*IF(circ_int,0,eq_c2/2))+(PI()*(s_0+3*s_r+IF(circ_int,eq_c1/2,0))/2)),-IF(circ_int,0,eq_c1/2)+(s_0+3*s_r+IF(circ_int,eq_c1/2,0))*COS(PI()+(((2+0.5)*(4*IF(circ_int,0,eq_c1/2)+4*IF(circ_int,0,eq_c2/2)+2*PI()*(s_0+3*s_r+IF(circ_int,eq_c1/2,0)))/INDEX(lk_legs,4))-(((((2*IF(circ_int,0,eq_c2/2))+(PI()*(s_0+3*s_r+IF(circ_int,eq_c1/2,0))/2))+2*IF(circ_int,0,eq_c1/2))+(PI()*(s_0+3*s_r+IF(circ_int,eq_c1/2,0))/2))+2*IF(circ_int,0,eq_c2/2)))/(s_0+3*s_r+IF(circ_int,eq_c1/2,0))),IF(((2+0.5)*(4*IF(circ_int,0,eq_c1/2)+4*IF(circ_int,0,eq_c2/2)+2*PI()*(s_0+3*s_r+IF(circ_int,eq_c1/2,0)))/INDEX(lk_legs,4))&lt;(((((((2*IF(circ_int,0,eq_c2/2))+(PI()*(s_0+3*s_r+IF(circ_int,eq_c1/2,0))/2))+2*IF(circ_int,0,eq_c1/2))+(PI()*(s_0+3*s_r+IF(circ_int,eq_c1/2,0))/2))+2*IF(circ_int,0,eq_c2/2))+(PI()*(s_0+3*s_r+IF(circ_int,eq_c1/2,0))/2))+2*IF(circ_int,0,eq_c1/2)),-IF(circ_int,0,eq_c1/2)+(((2+0.5)*(4*IF(circ_int,0,eq_c1/2)+4*IF(circ_int,0,eq_c2/2)+2*PI()*(s_0+3*s_r+IF(circ_int,eq_c1/2,0)))/INDEX(lk_legs,4))-((((((2*IF(circ_int,0,eq_c2/2))+(PI()*(s_0+3*s_r+IF(circ_int,eq_c1/2,0))/2))+2*IF(circ_int,0,eq_c1/2))+(PI()*(s_0+3*s_r+IF(circ_int,eq_c1/2,0))/2))+2*IF(circ_int,0,eq_c2/2))+(PI()*(s_0+3*s_r+IF(circ_int,eq_c1/2,0))/2))),IF(circ_int,0,eq_c1/2)+(s_0+3*s_r+IF(circ_int,eq_c1/2,0))*COS(3*PI()/2+(((2+0.5)*(4*IF(circ_int,0,eq_c1/2)+4*IF(circ_int,0,eq_c2/2)+2*PI()*(s_0+3*s_r+IF(circ_int,eq_c1/2,0)))/INDEX(lk_legs,4))-(((((((2*IF(circ_int,0,eq_c2/2))+(PI()*(s_0+3*s_r+IF(circ_int,eq_c1/2,0))/2))+2*IF(circ_int,0,eq_c1/2))+(PI()*(s_0+3*s_r+IF(circ_int,eq_c1/2,0))/2))+2*IF(circ_int,0,eq_c2/2))+(PI()*(s_0+3*s_r+IF(circ_int,eq_c1/2,0))/2))+2*IF(circ_int,0,eq_c1/2)))/(s_0+3*s_r+IF(circ_int,eq_c1/2,0)))))))))),NA())</f>
        <v/>
      </c>
      <c r="BS5">
        <f>IF(AND(AND(links_on,4&lt;=n_per),INDEX(lk_kind,4)=1,2&lt;INDEX(lk_legs,4)),g_oy+IF(((2+0.5)*(4*IF(circ_int,0,eq_c1/2)+4*IF(circ_int,0,eq_c2/2)+2*PI()*(s_0+3*s_r+IF(circ_int,eq_c1/2,0)))/INDEX(lk_legs,4))&lt;(2*IF(circ_int,0,eq_c2/2)),-IF(circ_int,0,eq_c2/2)+((2+0.5)*(4*IF(circ_int,0,eq_c1/2)+4*IF(circ_int,0,eq_c2/2)+2*PI()*(s_0+3*s_r+IF(circ_int,eq_c1/2,0)))/INDEX(lk_legs,4)),IF(((2+0.5)*(4*IF(circ_int,0,eq_c1/2)+4*IF(circ_int,0,eq_c2/2)+2*PI()*(s_0+3*s_r+IF(circ_int,eq_c1/2,0)))/INDEX(lk_legs,4))&lt;((2*IF(circ_int,0,eq_c2/2))+(PI()*(s_0+3*s_r+IF(circ_int,eq_c1/2,0))/2)),IF(circ_int,0,eq_c2/2)+(s_0+3*s_r+IF(circ_int,eq_c1/2,0))*SIN((((2+0.5)*(4*IF(circ_int,0,eq_c1/2)+4*IF(circ_int,0,eq_c2/2)+2*PI()*(s_0+3*s_r+IF(circ_int,eq_c1/2,0)))/INDEX(lk_legs,4))-(2*IF(circ_int,0,eq_c2/2)))/(s_0+3*s_r+IF(circ_int,eq_c1/2,0))),IF(((2+0.5)*(4*IF(circ_int,0,eq_c1/2)+4*IF(circ_int,0,eq_c2/2)+2*PI()*(s_0+3*s_r+IF(circ_int,eq_c1/2,0)))/INDEX(lk_legs,4))&lt;(((2*IF(circ_int,0,eq_c2/2))+(PI()*(s_0+3*s_r+IF(circ_int,eq_c1/2,0))/2))+2*IF(circ_int,0,eq_c1/2)),IF(circ_int,0,eq_c2/2)+(s_0+3*s_r+IF(circ_int,eq_c1/2,0)),IF(((2+0.5)*(4*IF(circ_int,0,eq_c1/2)+4*IF(circ_int,0,eq_c2/2)+2*PI()*(s_0+3*s_r+IF(circ_int,eq_c1/2,0)))/INDEX(lk_legs,4))&lt;((((2*IF(circ_int,0,eq_c2/2))+(PI()*(s_0+3*s_r+IF(circ_int,eq_c1/2,0))/2))+2*IF(circ_int,0,eq_c1/2))+(PI()*(s_0+3*s_r+IF(circ_int,eq_c1/2,0))/2)),IF(circ_int,0,eq_c2/2)+(s_0+3*s_r+IF(circ_int,eq_c1/2,0))*SIN(PI()/2+(((2+0.5)*(4*IF(circ_int,0,eq_c1/2)+4*IF(circ_int,0,eq_c2/2)+2*PI()*(s_0+3*s_r+IF(circ_int,eq_c1/2,0)))/INDEX(lk_legs,4))-(((2*IF(circ_int,0,eq_c2/2))+(PI()*(s_0+3*s_r+IF(circ_int,eq_c1/2,0))/2))+2*IF(circ_int,0,eq_c1/2)))/(s_0+3*s_r+IF(circ_int,eq_c1/2,0))),IF(((2+0.5)*(4*IF(circ_int,0,eq_c1/2)+4*IF(circ_int,0,eq_c2/2)+2*PI()*(s_0+3*s_r+IF(circ_int,eq_c1/2,0)))/INDEX(lk_legs,4))&lt;(((((2*IF(circ_int,0,eq_c2/2))+(PI()*(s_0+3*s_r+IF(circ_int,eq_c1/2,0))/2))+2*IF(circ_int,0,eq_c1/2))+(PI()*(s_0+3*s_r+IF(circ_int,eq_c1/2,0))/2))+2*IF(circ_int,0,eq_c2/2)),IF(circ_int,0,eq_c2/2)-(((2+0.5)*(4*IF(circ_int,0,eq_c1/2)+4*IF(circ_int,0,eq_c2/2)+2*PI()*(s_0+3*s_r+IF(circ_int,eq_c1/2,0)))/INDEX(lk_legs,4))-((((2*IF(circ_int,0,eq_c2/2))+(PI()*(s_0+3*s_r+IF(circ_int,eq_c1/2,0))/2))+2*IF(circ_int,0,eq_c1/2))+(PI()*(s_0+3*s_r+IF(circ_int,eq_c1/2,0))/2))),IF(((2+0.5)*(4*IF(circ_int,0,eq_c1/2)+4*IF(circ_int,0,eq_c2/2)+2*PI()*(s_0+3*s_r+IF(circ_int,eq_c1/2,0)))/INDEX(lk_legs,4))&lt;((((((2*IF(circ_int,0,eq_c2/2))+(PI()*(s_0+3*s_r+IF(circ_int,eq_c1/2,0))/2))+2*IF(circ_int,0,eq_c1/2))+(PI()*(s_0+3*s_r+IF(circ_int,eq_c1/2,0))/2))+2*IF(circ_int,0,eq_c2/2))+(PI()*(s_0+3*s_r+IF(circ_int,eq_c1/2,0))/2)),-IF(circ_int,0,eq_c2/2)+(s_0+3*s_r+IF(circ_int,eq_c1/2,0))*SIN(PI()+(((2+0.5)*(4*IF(circ_int,0,eq_c1/2)+4*IF(circ_int,0,eq_c2/2)+2*PI()*(s_0+3*s_r+IF(circ_int,eq_c1/2,0)))/INDEX(lk_legs,4))-(((((2*IF(circ_int,0,eq_c2/2))+(PI()*(s_0+3*s_r+IF(circ_int,eq_c1/2,0))/2))+2*IF(circ_int,0,eq_c1/2))+(PI()*(s_0+3*s_r+IF(circ_int,eq_c1/2,0))/2))+2*IF(circ_int,0,eq_c2/2)))/(s_0+3*s_r+IF(circ_int,eq_c1/2,0))),IF(((2+0.5)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(2+0.5)*(4*IF(circ_int,0,eq_c1/2)+4*IF(circ_int,0,eq_c2/2)+2*PI()*(s_0+3*s_r+IF(circ_int,eq_c1/2,0)))/INDEX(lk_legs,4))-(((((((2*IF(circ_int,0,eq_c2/2))+(PI()*(s_0+3*s_r+IF(circ_int,eq_c1/2,0))/2))+2*IF(circ_int,0,eq_c1/2))+(PI()*(s_0+3*s_r+IF(circ_int,eq_c1/2,0))/2))+2*IF(circ_int,0,eq_c2/2))+(PI()*(s_0+3*s_r+IF(circ_int,eq_c1/2,0))/2))+2*IF(circ_int,0,eq_c1/2)))/(s_0+3*s_r+IF(circ_int,eq_c1/2,0)))))))))),NA())</f>
        <v/>
      </c>
      <c r="BU5">
        <f>IF(AND(links_on,5&lt;=n_per),IF(circ_int,(g_ox)+(c_1/2+(s_0+4*s_r))*0.970942,CHOOSE(INDEX(lk_kind,5),(g_ox+eq_c1/2)+((s_0+4*s_r))*0.965926,(eq_a1+eq_c1)+((s_0+4*s_r))*0.130526,(eq_a1+eq_c1)+((s_0+4*s_r))*0.130526,(eq_a1)+((s_0+4*s_r))*-0.991445)),NA())</f>
        <v/>
      </c>
      <c r="BV5">
        <f>IF(AND(links_on,5&lt;=n_per),IF(circ_int,(g_oy)+(c_1/2+(s_0+4*s_r))*0.239316,CHOOSE(INDEX(lk_kind,5),(g_oy+eq_c2/2)+((s_0+4*s_r))*0.258819,(g_oy+eq_c2/2)+((s_0+4*s_r))*0.991445,(eq_a2+eq_c2)+((s_0+4*s_r))*0.991445,(eq_a2+eq_c2)+((s_0+4*s_r))*0.130526)),NA())</f>
        <v/>
      </c>
      <c r="BX5">
        <f>IF(AND(AND(links_on,5&lt;=n_per),INDEX(lk_kind,5)=1,2&lt;INDEX(lk_legs,5)),g_ox+IF(((2+0.5)*(4*IF(circ_int,0,eq_c1/2)+4*IF(circ_int,0,eq_c2/2)+2*PI()*(s_0+4*s_r+IF(circ_int,eq_c1/2,0)))/INDEX(lk_legs,5))&lt;(2*IF(circ_int,0,eq_c2/2)),IF(circ_int,0,eq_c1/2)+(s_0+4*s_r+IF(circ_int,eq_c1/2,0)),IF(((2+0.5)*(4*IF(circ_int,0,eq_c1/2)+4*IF(circ_int,0,eq_c2/2)+2*PI()*(s_0+4*s_r+IF(circ_int,eq_c1/2,0)))/INDEX(lk_legs,5))&lt;((2*IF(circ_int,0,eq_c2/2))+(PI()*(s_0+4*s_r+IF(circ_int,eq_c1/2,0))/2)),IF(circ_int,0,eq_c1/2)+(s_0+4*s_r+IF(circ_int,eq_c1/2,0))*COS((((2+0.5)*(4*IF(circ_int,0,eq_c1/2)+4*IF(circ_int,0,eq_c2/2)+2*PI()*(s_0+4*s_r+IF(circ_int,eq_c1/2,0)))/INDEX(lk_legs,5))-(2*IF(circ_int,0,eq_c2/2)))/(s_0+4*s_r+IF(circ_int,eq_c1/2,0))),IF(((2+0.5)*(4*IF(circ_int,0,eq_c1/2)+4*IF(circ_int,0,eq_c2/2)+2*PI()*(s_0+4*s_r+IF(circ_int,eq_c1/2,0)))/INDEX(lk_legs,5))&lt;(((2*IF(circ_int,0,eq_c2/2))+(PI()*(s_0+4*s_r+IF(circ_int,eq_c1/2,0))/2))+2*IF(circ_int,0,eq_c1/2)),IF(circ_int,0,eq_c1/2)-(((2+0.5)*(4*IF(circ_int,0,eq_c1/2)+4*IF(circ_int,0,eq_c2/2)+2*PI()*(s_0+4*s_r+IF(circ_int,eq_c1/2,0)))/INDEX(lk_legs,5))-((2*IF(circ_int,0,eq_c2/2))+(PI()*(s_0+4*s_r+IF(circ_int,eq_c1/2,0))/2))),IF(((2+0.5)*(4*IF(circ_int,0,eq_c1/2)+4*IF(circ_int,0,eq_c2/2)+2*PI()*(s_0+4*s_r+IF(circ_int,eq_c1/2,0)))/INDEX(lk_legs,5))&lt;((((2*IF(circ_int,0,eq_c2/2))+(PI()*(s_0+4*s_r+IF(circ_int,eq_c1/2,0))/2))+2*IF(circ_int,0,eq_c1/2))+(PI()*(s_0+4*s_r+IF(circ_int,eq_c1/2,0))/2)),-IF(circ_int,0,eq_c1/2)+(s_0+4*s_r+IF(circ_int,eq_c1/2,0))*COS(PI()/2+(((2+0.5)*(4*IF(circ_int,0,eq_c1/2)+4*IF(circ_int,0,eq_c2/2)+2*PI()*(s_0+4*s_r+IF(circ_int,eq_c1/2,0)))/INDEX(lk_legs,5))-(((2*IF(circ_int,0,eq_c2/2))+(PI()*(s_0+4*s_r+IF(circ_int,eq_c1/2,0))/2))+2*IF(circ_int,0,eq_c1/2)))/(s_0+4*s_r+IF(circ_int,eq_c1/2,0))),IF(((2+0.5)*(4*IF(circ_int,0,eq_c1/2)+4*IF(circ_int,0,eq_c2/2)+2*PI()*(s_0+4*s_r+IF(circ_int,eq_c1/2,0)))/INDEX(lk_legs,5))&lt;(((((2*IF(circ_int,0,eq_c2/2))+(PI()*(s_0+4*s_r+IF(circ_int,eq_c1/2,0))/2))+2*IF(circ_int,0,eq_c1/2))+(PI()*(s_0+4*s_r+IF(circ_int,eq_c1/2,0))/2))+2*IF(circ_int,0,eq_c2/2)),-IF(circ_int,0,eq_c1/2)-(s_0+4*s_r+IF(circ_int,eq_c1/2,0)),IF(((2+0.5)*(4*IF(circ_int,0,eq_c1/2)+4*IF(circ_int,0,eq_c2/2)+2*PI()*(s_0+4*s_r+IF(circ_int,eq_c1/2,0)))/INDEX(lk_legs,5))&lt;((((((2*IF(circ_int,0,eq_c2/2))+(PI()*(s_0+4*s_r+IF(circ_int,eq_c1/2,0))/2))+2*IF(circ_int,0,eq_c1/2))+(PI()*(s_0+4*s_r+IF(circ_int,eq_c1/2,0))/2))+2*IF(circ_int,0,eq_c2/2))+(PI()*(s_0+4*s_r+IF(circ_int,eq_c1/2,0))/2)),-IF(circ_int,0,eq_c1/2)+(s_0+4*s_r+IF(circ_int,eq_c1/2,0))*COS(PI()+(((2+0.5)*(4*IF(circ_int,0,eq_c1/2)+4*IF(circ_int,0,eq_c2/2)+2*PI()*(s_0+4*s_r+IF(circ_int,eq_c1/2,0)))/INDEX(lk_legs,5))-(((((2*IF(circ_int,0,eq_c2/2))+(PI()*(s_0+4*s_r+IF(circ_int,eq_c1/2,0))/2))+2*IF(circ_int,0,eq_c1/2))+(PI()*(s_0+4*s_r+IF(circ_int,eq_c1/2,0))/2))+2*IF(circ_int,0,eq_c2/2)))/(s_0+4*s_r+IF(circ_int,eq_c1/2,0))),IF(((2+0.5)*(4*IF(circ_int,0,eq_c1/2)+4*IF(circ_int,0,eq_c2/2)+2*PI()*(s_0+4*s_r+IF(circ_int,eq_c1/2,0)))/INDEX(lk_legs,5))&lt;(((((((2*IF(circ_int,0,eq_c2/2))+(PI()*(s_0+4*s_r+IF(circ_int,eq_c1/2,0))/2))+2*IF(circ_int,0,eq_c1/2))+(PI()*(s_0+4*s_r+IF(circ_int,eq_c1/2,0))/2))+2*IF(circ_int,0,eq_c2/2))+(PI()*(s_0+4*s_r+IF(circ_int,eq_c1/2,0))/2))+2*IF(circ_int,0,eq_c1/2)),-IF(circ_int,0,eq_c1/2)+(((2+0.5)*(4*IF(circ_int,0,eq_c1/2)+4*IF(circ_int,0,eq_c2/2)+2*PI()*(s_0+4*s_r+IF(circ_int,eq_c1/2,0)))/INDEX(lk_legs,5))-((((((2*IF(circ_int,0,eq_c2/2))+(PI()*(s_0+4*s_r+IF(circ_int,eq_c1/2,0))/2))+2*IF(circ_int,0,eq_c1/2))+(PI()*(s_0+4*s_r+IF(circ_int,eq_c1/2,0))/2))+2*IF(circ_int,0,eq_c2/2))+(PI()*(s_0+4*s_r+IF(circ_int,eq_c1/2,0))/2))),IF(circ_int,0,eq_c1/2)+(s_0+4*s_r+IF(circ_int,eq_c1/2,0))*COS(3*PI()/2+(((2+0.5)*(4*IF(circ_int,0,eq_c1/2)+4*IF(circ_int,0,eq_c2/2)+2*PI()*(s_0+4*s_r+IF(circ_int,eq_c1/2,0)))/INDEX(lk_legs,5))-(((((((2*IF(circ_int,0,eq_c2/2))+(PI()*(s_0+4*s_r+IF(circ_int,eq_c1/2,0))/2))+2*IF(circ_int,0,eq_c1/2))+(PI()*(s_0+4*s_r+IF(circ_int,eq_c1/2,0))/2))+2*IF(circ_int,0,eq_c2/2))+(PI()*(s_0+4*s_r+IF(circ_int,eq_c1/2,0))/2))+2*IF(circ_int,0,eq_c1/2)))/(s_0+4*s_r+IF(circ_int,eq_c1/2,0)))))))))),NA())</f>
        <v/>
      </c>
      <c r="BY5">
        <f>IF(AND(AND(links_on,5&lt;=n_per),INDEX(lk_kind,5)=1,2&lt;INDEX(lk_legs,5)),g_oy+IF(((2+0.5)*(4*IF(circ_int,0,eq_c1/2)+4*IF(circ_int,0,eq_c2/2)+2*PI()*(s_0+4*s_r+IF(circ_int,eq_c1/2,0)))/INDEX(lk_legs,5))&lt;(2*IF(circ_int,0,eq_c2/2)),-IF(circ_int,0,eq_c2/2)+((2+0.5)*(4*IF(circ_int,0,eq_c1/2)+4*IF(circ_int,0,eq_c2/2)+2*PI()*(s_0+4*s_r+IF(circ_int,eq_c1/2,0)))/INDEX(lk_legs,5)),IF(((2+0.5)*(4*IF(circ_int,0,eq_c1/2)+4*IF(circ_int,0,eq_c2/2)+2*PI()*(s_0+4*s_r+IF(circ_int,eq_c1/2,0)))/INDEX(lk_legs,5))&lt;((2*IF(circ_int,0,eq_c2/2))+(PI()*(s_0+4*s_r+IF(circ_int,eq_c1/2,0))/2)),IF(circ_int,0,eq_c2/2)+(s_0+4*s_r+IF(circ_int,eq_c1/2,0))*SIN((((2+0.5)*(4*IF(circ_int,0,eq_c1/2)+4*IF(circ_int,0,eq_c2/2)+2*PI()*(s_0+4*s_r+IF(circ_int,eq_c1/2,0)))/INDEX(lk_legs,5))-(2*IF(circ_int,0,eq_c2/2)))/(s_0+4*s_r+IF(circ_int,eq_c1/2,0))),IF(((2+0.5)*(4*IF(circ_int,0,eq_c1/2)+4*IF(circ_int,0,eq_c2/2)+2*PI()*(s_0+4*s_r+IF(circ_int,eq_c1/2,0)))/INDEX(lk_legs,5))&lt;(((2*IF(circ_int,0,eq_c2/2))+(PI()*(s_0+4*s_r+IF(circ_int,eq_c1/2,0))/2))+2*IF(circ_int,0,eq_c1/2)),IF(circ_int,0,eq_c2/2)+(s_0+4*s_r+IF(circ_int,eq_c1/2,0)),IF(((2+0.5)*(4*IF(circ_int,0,eq_c1/2)+4*IF(circ_int,0,eq_c2/2)+2*PI()*(s_0+4*s_r+IF(circ_int,eq_c1/2,0)))/INDEX(lk_legs,5))&lt;((((2*IF(circ_int,0,eq_c2/2))+(PI()*(s_0+4*s_r+IF(circ_int,eq_c1/2,0))/2))+2*IF(circ_int,0,eq_c1/2))+(PI()*(s_0+4*s_r+IF(circ_int,eq_c1/2,0))/2)),IF(circ_int,0,eq_c2/2)+(s_0+4*s_r+IF(circ_int,eq_c1/2,0))*SIN(PI()/2+(((2+0.5)*(4*IF(circ_int,0,eq_c1/2)+4*IF(circ_int,0,eq_c2/2)+2*PI()*(s_0+4*s_r+IF(circ_int,eq_c1/2,0)))/INDEX(lk_legs,5))-(((2*IF(circ_int,0,eq_c2/2))+(PI()*(s_0+4*s_r+IF(circ_int,eq_c1/2,0))/2))+2*IF(circ_int,0,eq_c1/2)))/(s_0+4*s_r+IF(circ_int,eq_c1/2,0))),IF(((2+0.5)*(4*IF(circ_int,0,eq_c1/2)+4*IF(circ_int,0,eq_c2/2)+2*PI()*(s_0+4*s_r+IF(circ_int,eq_c1/2,0)))/INDEX(lk_legs,5))&lt;(((((2*IF(circ_int,0,eq_c2/2))+(PI()*(s_0+4*s_r+IF(circ_int,eq_c1/2,0))/2))+2*IF(circ_int,0,eq_c1/2))+(PI()*(s_0+4*s_r+IF(circ_int,eq_c1/2,0))/2))+2*IF(circ_int,0,eq_c2/2)),IF(circ_int,0,eq_c2/2)-(((2+0.5)*(4*IF(circ_int,0,eq_c1/2)+4*IF(circ_int,0,eq_c2/2)+2*PI()*(s_0+4*s_r+IF(circ_int,eq_c1/2,0)))/INDEX(lk_legs,5))-((((2*IF(circ_int,0,eq_c2/2))+(PI()*(s_0+4*s_r+IF(circ_int,eq_c1/2,0))/2))+2*IF(circ_int,0,eq_c1/2))+(PI()*(s_0+4*s_r+IF(circ_int,eq_c1/2,0))/2))),IF(((2+0.5)*(4*IF(circ_int,0,eq_c1/2)+4*IF(circ_int,0,eq_c2/2)+2*PI()*(s_0+4*s_r+IF(circ_int,eq_c1/2,0)))/INDEX(lk_legs,5))&lt;((((((2*IF(circ_int,0,eq_c2/2))+(PI()*(s_0+4*s_r+IF(circ_int,eq_c1/2,0))/2))+2*IF(circ_int,0,eq_c1/2))+(PI()*(s_0+4*s_r+IF(circ_int,eq_c1/2,0))/2))+2*IF(circ_int,0,eq_c2/2))+(PI()*(s_0+4*s_r+IF(circ_int,eq_c1/2,0))/2)),-IF(circ_int,0,eq_c2/2)+(s_0+4*s_r+IF(circ_int,eq_c1/2,0))*SIN(PI()+(((2+0.5)*(4*IF(circ_int,0,eq_c1/2)+4*IF(circ_int,0,eq_c2/2)+2*PI()*(s_0+4*s_r+IF(circ_int,eq_c1/2,0)))/INDEX(lk_legs,5))-(((((2*IF(circ_int,0,eq_c2/2))+(PI()*(s_0+4*s_r+IF(circ_int,eq_c1/2,0))/2))+2*IF(circ_int,0,eq_c1/2))+(PI()*(s_0+4*s_r+IF(circ_int,eq_c1/2,0))/2))+2*IF(circ_int,0,eq_c2/2)))/(s_0+4*s_r+IF(circ_int,eq_c1/2,0))),IF(((2+0.5)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(2+0.5)*(4*IF(circ_int,0,eq_c1/2)+4*IF(circ_int,0,eq_c2/2)+2*PI()*(s_0+4*s_r+IF(circ_int,eq_c1/2,0)))/INDEX(lk_legs,5))-(((((((2*IF(circ_int,0,eq_c2/2))+(PI()*(s_0+4*s_r+IF(circ_int,eq_c1/2,0))/2))+2*IF(circ_int,0,eq_c1/2))+(PI()*(s_0+4*s_r+IF(circ_int,eq_c1/2,0))/2))+2*IF(circ_int,0,eq_c2/2))+(PI()*(s_0+4*s_r+IF(circ_int,eq_c1/2,0))/2))+2*IF(circ_int,0,eq_c1/2)))/(s_0+4*s_r+IF(circ_int,eq_c1/2,0)))))))))),NA())</f>
        <v/>
      </c>
      <c r="CA5">
        <f>IF(AND(links_on,6&lt;=n_per),IF(circ_int,(g_ox)+(c_1/2+(s_0+5*s_r))*0.970942,CHOOSE(INDEX(lk_kind,6),(g_ox+eq_c1/2)+((s_0+5*s_r))*0.965926,(eq_a1+eq_c1)+((s_0+5*s_r))*0.130526,(eq_a1+eq_c1)+((s_0+5*s_r))*0.130526,(eq_a1)+((s_0+5*s_r))*-0.991445)),NA())</f>
        <v/>
      </c>
      <c r="CB5">
        <f>IF(AND(links_on,6&lt;=n_per),IF(circ_int,(g_oy)+(c_1/2+(s_0+5*s_r))*0.239316,CHOOSE(INDEX(lk_kind,6),(g_oy+eq_c2/2)+((s_0+5*s_r))*0.258819,(g_oy+eq_c2/2)+((s_0+5*s_r))*0.991445,(eq_a2+eq_c2)+((s_0+5*s_r))*0.991445,(eq_a2+eq_c2)+((s_0+5*s_r))*0.130526)),NA())</f>
        <v/>
      </c>
      <c r="CD5">
        <f>IF(AND(AND(links_on,6&lt;=n_per),INDEX(lk_kind,6)=1,2&lt;INDEX(lk_legs,6)),g_ox+IF(((2+0.5)*(4*IF(circ_int,0,eq_c1/2)+4*IF(circ_int,0,eq_c2/2)+2*PI()*(s_0+5*s_r+IF(circ_int,eq_c1/2,0)))/INDEX(lk_legs,6))&lt;(2*IF(circ_int,0,eq_c2/2)),IF(circ_int,0,eq_c1/2)+(s_0+5*s_r+IF(circ_int,eq_c1/2,0)),IF(((2+0.5)*(4*IF(circ_int,0,eq_c1/2)+4*IF(circ_int,0,eq_c2/2)+2*PI()*(s_0+5*s_r+IF(circ_int,eq_c1/2,0)))/INDEX(lk_legs,6))&lt;((2*IF(circ_int,0,eq_c2/2))+(PI()*(s_0+5*s_r+IF(circ_int,eq_c1/2,0))/2)),IF(circ_int,0,eq_c1/2)+(s_0+5*s_r+IF(circ_int,eq_c1/2,0))*COS((((2+0.5)*(4*IF(circ_int,0,eq_c1/2)+4*IF(circ_int,0,eq_c2/2)+2*PI()*(s_0+5*s_r+IF(circ_int,eq_c1/2,0)))/INDEX(lk_legs,6))-(2*IF(circ_int,0,eq_c2/2)))/(s_0+5*s_r+IF(circ_int,eq_c1/2,0))),IF(((2+0.5)*(4*IF(circ_int,0,eq_c1/2)+4*IF(circ_int,0,eq_c2/2)+2*PI()*(s_0+5*s_r+IF(circ_int,eq_c1/2,0)))/INDEX(lk_legs,6))&lt;(((2*IF(circ_int,0,eq_c2/2))+(PI()*(s_0+5*s_r+IF(circ_int,eq_c1/2,0))/2))+2*IF(circ_int,0,eq_c1/2)),IF(circ_int,0,eq_c1/2)-(((2+0.5)*(4*IF(circ_int,0,eq_c1/2)+4*IF(circ_int,0,eq_c2/2)+2*PI()*(s_0+5*s_r+IF(circ_int,eq_c1/2,0)))/INDEX(lk_legs,6))-((2*IF(circ_int,0,eq_c2/2))+(PI()*(s_0+5*s_r+IF(circ_int,eq_c1/2,0))/2))),IF(((2+0.5)*(4*IF(circ_int,0,eq_c1/2)+4*IF(circ_int,0,eq_c2/2)+2*PI()*(s_0+5*s_r+IF(circ_int,eq_c1/2,0)))/INDEX(lk_legs,6))&lt;((((2*IF(circ_int,0,eq_c2/2))+(PI()*(s_0+5*s_r+IF(circ_int,eq_c1/2,0))/2))+2*IF(circ_int,0,eq_c1/2))+(PI()*(s_0+5*s_r+IF(circ_int,eq_c1/2,0))/2)),-IF(circ_int,0,eq_c1/2)+(s_0+5*s_r+IF(circ_int,eq_c1/2,0))*COS(PI()/2+(((2+0.5)*(4*IF(circ_int,0,eq_c1/2)+4*IF(circ_int,0,eq_c2/2)+2*PI()*(s_0+5*s_r+IF(circ_int,eq_c1/2,0)))/INDEX(lk_legs,6))-(((2*IF(circ_int,0,eq_c2/2))+(PI()*(s_0+5*s_r+IF(circ_int,eq_c1/2,0))/2))+2*IF(circ_int,0,eq_c1/2)))/(s_0+5*s_r+IF(circ_int,eq_c1/2,0))),IF(((2+0.5)*(4*IF(circ_int,0,eq_c1/2)+4*IF(circ_int,0,eq_c2/2)+2*PI()*(s_0+5*s_r+IF(circ_int,eq_c1/2,0)))/INDEX(lk_legs,6))&lt;(((((2*IF(circ_int,0,eq_c2/2))+(PI()*(s_0+5*s_r+IF(circ_int,eq_c1/2,0))/2))+2*IF(circ_int,0,eq_c1/2))+(PI()*(s_0+5*s_r+IF(circ_int,eq_c1/2,0))/2))+2*IF(circ_int,0,eq_c2/2)),-IF(circ_int,0,eq_c1/2)-(s_0+5*s_r+IF(circ_int,eq_c1/2,0)),IF(((2+0.5)*(4*IF(circ_int,0,eq_c1/2)+4*IF(circ_int,0,eq_c2/2)+2*PI()*(s_0+5*s_r+IF(circ_int,eq_c1/2,0)))/INDEX(lk_legs,6))&lt;((((((2*IF(circ_int,0,eq_c2/2))+(PI()*(s_0+5*s_r+IF(circ_int,eq_c1/2,0))/2))+2*IF(circ_int,0,eq_c1/2))+(PI()*(s_0+5*s_r+IF(circ_int,eq_c1/2,0))/2))+2*IF(circ_int,0,eq_c2/2))+(PI()*(s_0+5*s_r+IF(circ_int,eq_c1/2,0))/2)),-IF(circ_int,0,eq_c1/2)+(s_0+5*s_r+IF(circ_int,eq_c1/2,0))*COS(PI()+(((2+0.5)*(4*IF(circ_int,0,eq_c1/2)+4*IF(circ_int,0,eq_c2/2)+2*PI()*(s_0+5*s_r+IF(circ_int,eq_c1/2,0)))/INDEX(lk_legs,6))-(((((2*IF(circ_int,0,eq_c2/2))+(PI()*(s_0+5*s_r+IF(circ_int,eq_c1/2,0))/2))+2*IF(circ_int,0,eq_c1/2))+(PI()*(s_0+5*s_r+IF(circ_int,eq_c1/2,0))/2))+2*IF(circ_int,0,eq_c2/2)))/(s_0+5*s_r+IF(circ_int,eq_c1/2,0))),IF(((2+0.5)*(4*IF(circ_int,0,eq_c1/2)+4*IF(circ_int,0,eq_c2/2)+2*PI()*(s_0+5*s_r+IF(circ_int,eq_c1/2,0)))/INDEX(lk_legs,6))&lt;(((((((2*IF(circ_int,0,eq_c2/2))+(PI()*(s_0+5*s_r+IF(circ_int,eq_c1/2,0))/2))+2*IF(circ_int,0,eq_c1/2))+(PI()*(s_0+5*s_r+IF(circ_int,eq_c1/2,0))/2))+2*IF(circ_int,0,eq_c2/2))+(PI()*(s_0+5*s_r+IF(circ_int,eq_c1/2,0))/2))+2*IF(circ_int,0,eq_c1/2)),-IF(circ_int,0,eq_c1/2)+(((2+0.5)*(4*IF(circ_int,0,eq_c1/2)+4*IF(circ_int,0,eq_c2/2)+2*PI()*(s_0+5*s_r+IF(circ_int,eq_c1/2,0)))/INDEX(lk_legs,6))-((((((2*IF(circ_int,0,eq_c2/2))+(PI()*(s_0+5*s_r+IF(circ_int,eq_c1/2,0))/2))+2*IF(circ_int,0,eq_c1/2))+(PI()*(s_0+5*s_r+IF(circ_int,eq_c1/2,0))/2))+2*IF(circ_int,0,eq_c2/2))+(PI()*(s_0+5*s_r+IF(circ_int,eq_c1/2,0))/2))),IF(circ_int,0,eq_c1/2)+(s_0+5*s_r+IF(circ_int,eq_c1/2,0))*COS(3*PI()/2+(((2+0.5)*(4*IF(circ_int,0,eq_c1/2)+4*IF(circ_int,0,eq_c2/2)+2*PI()*(s_0+5*s_r+IF(circ_int,eq_c1/2,0)))/INDEX(lk_legs,6))-(((((((2*IF(circ_int,0,eq_c2/2))+(PI()*(s_0+5*s_r+IF(circ_int,eq_c1/2,0))/2))+2*IF(circ_int,0,eq_c1/2))+(PI()*(s_0+5*s_r+IF(circ_int,eq_c1/2,0))/2))+2*IF(circ_int,0,eq_c2/2))+(PI()*(s_0+5*s_r+IF(circ_int,eq_c1/2,0))/2))+2*IF(circ_int,0,eq_c1/2)))/(s_0+5*s_r+IF(circ_int,eq_c1/2,0)))))))))),NA())</f>
        <v/>
      </c>
      <c r="CE5">
        <f>IF(AND(AND(links_on,6&lt;=n_per),INDEX(lk_kind,6)=1,2&lt;INDEX(lk_legs,6)),g_oy+IF(((2+0.5)*(4*IF(circ_int,0,eq_c1/2)+4*IF(circ_int,0,eq_c2/2)+2*PI()*(s_0+5*s_r+IF(circ_int,eq_c1/2,0)))/INDEX(lk_legs,6))&lt;(2*IF(circ_int,0,eq_c2/2)),-IF(circ_int,0,eq_c2/2)+((2+0.5)*(4*IF(circ_int,0,eq_c1/2)+4*IF(circ_int,0,eq_c2/2)+2*PI()*(s_0+5*s_r+IF(circ_int,eq_c1/2,0)))/INDEX(lk_legs,6)),IF(((2+0.5)*(4*IF(circ_int,0,eq_c1/2)+4*IF(circ_int,0,eq_c2/2)+2*PI()*(s_0+5*s_r+IF(circ_int,eq_c1/2,0)))/INDEX(lk_legs,6))&lt;((2*IF(circ_int,0,eq_c2/2))+(PI()*(s_0+5*s_r+IF(circ_int,eq_c1/2,0))/2)),IF(circ_int,0,eq_c2/2)+(s_0+5*s_r+IF(circ_int,eq_c1/2,0))*SIN((((2+0.5)*(4*IF(circ_int,0,eq_c1/2)+4*IF(circ_int,0,eq_c2/2)+2*PI()*(s_0+5*s_r+IF(circ_int,eq_c1/2,0)))/INDEX(lk_legs,6))-(2*IF(circ_int,0,eq_c2/2)))/(s_0+5*s_r+IF(circ_int,eq_c1/2,0))),IF(((2+0.5)*(4*IF(circ_int,0,eq_c1/2)+4*IF(circ_int,0,eq_c2/2)+2*PI()*(s_0+5*s_r+IF(circ_int,eq_c1/2,0)))/INDEX(lk_legs,6))&lt;(((2*IF(circ_int,0,eq_c2/2))+(PI()*(s_0+5*s_r+IF(circ_int,eq_c1/2,0))/2))+2*IF(circ_int,0,eq_c1/2)),IF(circ_int,0,eq_c2/2)+(s_0+5*s_r+IF(circ_int,eq_c1/2,0)),IF(((2+0.5)*(4*IF(circ_int,0,eq_c1/2)+4*IF(circ_int,0,eq_c2/2)+2*PI()*(s_0+5*s_r+IF(circ_int,eq_c1/2,0)))/INDEX(lk_legs,6))&lt;((((2*IF(circ_int,0,eq_c2/2))+(PI()*(s_0+5*s_r+IF(circ_int,eq_c1/2,0))/2))+2*IF(circ_int,0,eq_c1/2))+(PI()*(s_0+5*s_r+IF(circ_int,eq_c1/2,0))/2)),IF(circ_int,0,eq_c2/2)+(s_0+5*s_r+IF(circ_int,eq_c1/2,0))*SIN(PI()/2+(((2+0.5)*(4*IF(circ_int,0,eq_c1/2)+4*IF(circ_int,0,eq_c2/2)+2*PI()*(s_0+5*s_r+IF(circ_int,eq_c1/2,0)))/INDEX(lk_legs,6))-(((2*IF(circ_int,0,eq_c2/2))+(PI()*(s_0+5*s_r+IF(circ_int,eq_c1/2,0))/2))+2*IF(circ_int,0,eq_c1/2)))/(s_0+5*s_r+IF(circ_int,eq_c1/2,0))),IF(((2+0.5)*(4*IF(circ_int,0,eq_c1/2)+4*IF(circ_int,0,eq_c2/2)+2*PI()*(s_0+5*s_r+IF(circ_int,eq_c1/2,0)))/INDEX(lk_legs,6))&lt;(((((2*IF(circ_int,0,eq_c2/2))+(PI()*(s_0+5*s_r+IF(circ_int,eq_c1/2,0))/2))+2*IF(circ_int,0,eq_c1/2))+(PI()*(s_0+5*s_r+IF(circ_int,eq_c1/2,0))/2))+2*IF(circ_int,0,eq_c2/2)),IF(circ_int,0,eq_c2/2)-(((2+0.5)*(4*IF(circ_int,0,eq_c1/2)+4*IF(circ_int,0,eq_c2/2)+2*PI()*(s_0+5*s_r+IF(circ_int,eq_c1/2,0)))/INDEX(lk_legs,6))-((((2*IF(circ_int,0,eq_c2/2))+(PI()*(s_0+5*s_r+IF(circ_int,eq_c1/2,0))/2))+2*IF(circ_int,0,eq_c1/2))+(PI()*(s_0+5*s_r+IF(circ_int,eq_c1/2,0))/2))),IF(((2+0.5)*(4*IF(circ_int,0,eq_c1/2)+4*IF(circ_int,0,eq_c2/2)+2*PI()*(s_0+5*s_r+IF(circ_int,eq_c1/2,0)))/INDEX(lk_legs,6))&lt;((((((2*IF(circ_int,0,eq_c2/2))+(PI()*(s_0+5*s_r+IF(circ_int,eq_c1/2,0))/2))+2*IF(circ_int,0,eq_c1/2))+(PI()*(s_0+5*s_r+IF(circ_int,eq_c1/2,0))/2))+2*IF(circ_int,0,eq_c2/2))+(PI()*(s_0+5*s_r+IF(circ_int,eq_c1/2,0))/2)),-IF(circ_int,0,eq_c2/2)+(s_0+5*s_r+IF(circ_int,eq_c1/2,0))*SIN(PI()+(((2+0.5)*(4*IF(circ_int,0,eq_c1/2)+4*IF(circ_int,0,eq_c2/2)+2*PI()*(s_0+5*s_r+IF(circ_int,eq_c1/2,0)))/INDEX(lk_legs,6))-(((((2*IF(circ_int,0,eq_c2/2))+(PI()*(s_0+5*s_r+IF(circ_int,eq_c1/2,0))/2))+2*IF(circ_int,0,eq_c1/2))+(PI()*(s_0+5*s_r+IF(circ_int,eq_c1/2,0))/2))+2*IF(circ_int,0,eq_c2/2)))/(s_0+5*s_r+IF(circ_int,eq_c1/2,0))),IF(((2+0.5)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(2+0.5)*(4*IF(circ_int,0,eq_c1/2)+4*IF(circ_int,0,eq_c2/2)+2*PI()*(s_0+5*s_r+IF(circ_int,eq_c1/2,0)))/INDEX(lk_legs,6))-(((((((2*IF(circ_int,0,eq_c2/2))+(PI()*(s_0+5*s_r+IF(circ_int,eq_c1/2,0))/2))+2*IF(circ_int,0,eq_c1/2))+(PI()*(s_0+5*s_r+IF(circ_int,eq_c1/2,0))/2))+2*IF(circ_int,0,eq_c2/2))+(PI()*(s_0+5*s_r+IF(circ_int,eq_c1/2,0))/2))+2*IF(circ_int,0,eq_c1/2)))/(s_0+5*s_r+IF(circ_int,eq_c1/2,0)))))))))),NA())</f>
        <v/>
      </c>
      <c r="CG5">
        <f>IF(AND(links_on,7&lt;=n_per),IF(circ_int,(g_ox)+(c_1/2+(s_0+6*s_r))*0.970942,CHOOSE(INDEX(lk_kind,7),(g_ox+eq_c1/2)+((s_0+6*s_r))*0.965926,(eq_a1+eq_c1)+((s_0+6*s_r))*0.130526,(eq_a1+eq_c1)+((s_0+6*s_r))*0.130526,(eq_a1)+((s_0+6*s_r))*-0.991445)),NA())</f>
        <v/>
      </c>
      <c r="CH5">
        <f>IF(AND(links_on,7&lt;=n_per),IF(circ_int,(g_oy)+(c_1/2+(s_0+6*s_r))*0.239316,CHOOSE(INDEX(lk_kind,7),(g_oy+eq_c2/2)+((s_0+6*s_r))*0.258819,(g_oy+eq_c2/2)+((s_0+6*s_r))*0.991445,(eq_a2+eq_c2)+((s_0+6*s_r))*0.991445,(eq_a2+eq_c2)+((s_0+6*s_r))*0.130526)),NA())</f>
        <v/>
      </c>
      <c r="CJ5">
        <f>IF(AND(AND(links_on,7&lt;=n_per),INDEX(lk_kind,7)=1,2&lt;INDEX(lk_legs,7)),g_ox+IF(((2+0.5)*(4*IF(circ_int,0,eq_c1/2)+4*IF(circ_int,0,eq_c2/2)+2*PI()*(s_0+6*s_r+IF(circ_int,eq_c1/2,0)))/INDEX(lk_legs,7))&lt;(2*IF(circ_int,0,eq_c2/2)),IF(circ_int,0,eq_c1/2)+(s_0+6*s_r+IF(circ_int,eq_c1/2,0)),IF(((2+0.5)*(4*IF(circ_int,0,eq_c1/2)+4*IF(circ_int,0,eq_c2/2)+2*PI()*(s_0+6*s_r+IF(circ_int,eq_c1/2,0)))/INDEX(lk_legs,7))&lt;((2*IF(circ_int,0,eq_c2/2))+(PI()*(s_0+6*s_r+IF(circ_int,eq_c1/2,0))/2)),IF(circ_int,0,eq_c1/2)+(s_0+6*s_r+IF(circ_int,eq_c1/2,0))*COS((((2+0.5)*(4*IF(circ_int,0,eq_c1/2)+4*IF(circ_int,0,eq_c2/2)+2*PI()*(s_0+6*s_r+IF(circ_int,eq_c1/2,0)))/INDEX(lk_legs,7))-(2*IF(circ_int,0,eq_c2/2)))/(s_0+6*s_r+IF(circ_int,eq_c1/2,0))),IF(((2+0.5)*(4*IF(circ_int,0,eq_c1/2)+4*IF(circ_int,0,eq_c2/2)+2*PI()*(s_0+6*s_r+IF(circ_int,eq_c1/2,0)))/INDEX(lk_legs,7))&lt;(((2*IF(circ_int,0,eq_c2/2))+(PI()*(s_0+6*s_r+IF(circ_int,eq_c1/2,0))/2))+2*IF(circ_int,0,eq_c1/2)),IF(circ_int,0,eq_c1/2)-(((2+0.5)*(4*IF(circ_int,0,eq_c1/2)+4*IF(circ_int,0,eq_c2/2)+2*PI()*(s_0+6*s_r+IF(circ_int,eq_c1/2,0)))/INDEX(lk_legs,7))-((2*IF(circ_int,0,eq_c2/2))+(PI()*(s_0+6*s_r+IF(circ_int,eq_c1/2,0))/2))),IF(((2+0.5)*(4*IF(circ_int,0,eq_c1/2)+4*IF(circ_int,0,eq_c2/2)+2*PI()*(s_0+6*s_r+IF(circ_int,eq_c1/2,0)))/INDEX(lk_legs,7))&lt;((((2*IF(circ_int,0,eq_c2/2))+(PI()*(s_0+6*s_r+IF(circ_int,eq_c1/2,0))/2))+2*IF(circ_int,0,eq_c1/2))+(PI()*(s_0+6*s_r+IF(circ_int,eq_c1/2,0))/2)),-IF(circ_int,0,eq_c1/2)+(s_0+6*s_r+IF(circ_int,eq_c1/2,0))*COS(PI()/2+(((2+0.5)*(4*IF(circ_int,0,eq_c1/2)+4*IF(circ_int,0,eq_c2/2)+2*PI()*(s_0+6*s_r+IF(circ_int,eq_c1/2,0)))/INDEX(lk_legs,7))-(((2*IF(circ_int,0,eq_c2/2))+(PI()*(s_0+6*s_r+IF(circ_int,eq_c1/2,0))/2))+2*IF(circ_int,0,eq_c1/2)))/(s_0+6*s_r+IF(circ_int,eq_c1/2,0))),IF(((2+0.5)*(4*IF(circ_int,0,eq_c1/2)+4*IF(circ_int,0,eq_c2/2)+2*PI()*(s_0+6*s_r+IF(circ_int,eq_c1/2,0)))/INDEX(lk_legs,7))&lt;(((((2*IF(circ_int,0,eq_c2/2))+(PI()*(s_0+6*s_r+IF(circ_int,eq_c1/2,0))/2))+2*IF(circ_int,0,eq_c1/2))+(PI()*(s_0+6*s_r+IF(circ_int,eq_c1/2,0))/2))+2*IF(circ_int,0,eq_c2/2)),-IF(circ_int,0,eq_c1/2)-(s_0+6*s_r+IF(circ_int,eq_c1/2,0)),IF(((2+0.5)*(4*IF(circ_int,0,eq_c1/2)+4*IF(circ_int,0,eq_c2/2)+2*PI()*(s_0+6*s_r+IF(circ_int,eq_c1/2,0)))/INDEX(lk_legs,7))&lt;((((((2*IF(circ_int,0,eq_c2/2))+(PI()*(s_0+6*s_r+IF(circ_int,eq_c1/2,0))/2))+2*IF(circ_int,0,eq_c1/2))+(PI()*(s_0+6*s_r+IF(circ_int,eq_c1/2,0))/2))+2*IF(circ_int,0,eq_c2/2))+(PI()*(s_0+6*s_r+IF(circ_int,eq_c1/2,0))/2)),-IF(circ_int,0,eq_c1/2)+(s_0+6*s_r+IF(circ_int,eq_c1/2,0))*COS(PI()+(((2+0.5)*(4*IF(circ_int,0,eq_c1/2)+4*IF(circ_int,0,eq_c2/2)+2*PI()*(s_0+6*s_r+IF(circ_int,eq_c1/2,0)))/INDEX(lk_legs,7))-(((((2*IF(circ_int,0,eq_c2/2))+(PI()*(s_0+6*s_r+IF(circ_int,eq_c1/2,0))/2))+2*IF(circ_int,0,eq_c1/2))+(PI()*(s_0+6*s_r+IF(circ_int,eq_c1/2,0))/2))+2*IF(circ_int,0,eq_c2/2)))/(s_0+6*s_r+IF(circ_int,eq_c1/2,0))),IF(((2+0.5)*(4*IF(circ_int,0,eq_c1/2)+4*IF(circ_int,0,eq_c2/2)+2*PI()*(s_0+6*s_r+IF(circ_int,eq_c1/2,0)))/INDEX(lk_legs,7))&lt;(((((((2*IF(circ_int,0,eq_c2/2))+(PI()*(s_0+6*s_r+IF(circ_int,eq_c1/2,0))/2))+2*IF(circ_int,0,eq_c1/2))+(PI()*(s_0+6*s_r+IF(circ_int,eq_c1/2,0))/2))+2*IF(circ_int,0,eq_c2/2))+(PI()*(s_0+6*s_r+IF(circ_int,eq_c1/2,0))/2))+2*IF(circ_int,0,eq_c1/2)),-IF(circ_int,0,eq_c1/2)+(((2+0.5)*(4*IF(circ_int,0,eq_c1/2)+4*IF(circ_int,0,eq_c2/2)+2*PI()*(s_0+6*s_r+IF(circ_int,eq_c1/2,0)))/INDEX(lk_legs,7))-((((((2*IF(circ_int,0,eq_c2/2))+(PI()*(s_0+6*s_r+IF(circ_int,eq_c1/2,0))/2))+2*IF(circ_int,0,eq_c1/2))+(PI()*(s_0+6*s_r+IF(circ_int,eq_c1/2,0))/2))+2*IF(circ_int,0,eq_c2/2))+(PI()*(s_0+6*s_r+IF(circ_int,eq_c1/2,0))/2))),IF(circ_int,0,eq_c1/2)+(s_0+6*s_r+IF(circ_int,eq_c1/2,0))*COS(3*PI()/2+(((2+0.5)*(4*IF(circ_int,0,eq_c1/2)+4*IF(circ_int,0,eq_c2/2)+2*PI()*(s_0+6*s_r+IF(circ_int,eq_c1/2,0)))/INDEX(lk_legs,7))-(((((((2*IF(circ_int,0,eq_c2/2))+(PI()*(s_0+6*s_r+IF(circ_int,eq_c1/2,0))/2))+2*IF(circ_int,0,eq_c1/2))+(PI()*(s_0+6*s_r+IF(circ_int,eq_c1/2,0))/2))+2*IF(circ_int,0,eq_c2/2))+(PI()*(s_0+6*s_r+IF(circ_int,eq_c1/2,0))/2))+2*IF(circ_int,0,eq_c1/2)))/(s_0+6*s_r+IF(circ_int,eq_c1/2,0)))))))))),NA())</f>
        <v/>
      </c>
      <c r="CK5">
        <f>IF(AND(AND(links_on,7&lt;=n_per),INDEX(lk_kind,7)=1,2&lt;INDEX(lk_legs,7)),g_oy+IF(((2+0.5)*(4*IF(circ_int,0,eq_c1/2)+4*IF(circ_int,0,eq_c2/2)+2*PI()*(s_0+6*s_r+IF(circ_int,eq_c1/2,0)))/INDEX(lk_legs,7))&lt;(2*IF(circ_int,0,eq_c2/2)),-IF(circ_int,0,eq_c2/2)+((2+0.5)*(4*IF(circ_int,0,eq_c1/2)+4*IF(circ_int,0,eq_c2/2)+2*PI()*(s_0+6*s_r+IF(circ_int,eq_c1/2,0)))/INDEX(lk_legs,7)),IF(((2+0.5)*(4*IF(circ_int,0,eq_c1/2)+4*IF(circ_int,0,eq_c2/2)+2*PI()*(s_0+6*s_r+IF(circ_int,eq_c1/2,0)))/INDEX(lk_legs,7))&lt;((2*IF(circ_int,0,eq_c2/2))+(PI()*(s_0+6*s_r+IF(circ_int,eq_c1/2,0))/2)),IF(circ_int,0,eq_c2/2)+(s_0+6*s_r+IF(circ_int,eq_c1/2,0))*SIN((((2+0.5)*(4*IF(circ_int,0,eq_c1/2)+4*IF(circ_int,0,eq_c2/2)+2*PI()*(s_0+6*s_r+IF(circ_int,eq_c1/2,0)))/INDEX(lk_legs,7))-(2*IF(circ_int,0,eq_c2/2)))/(s_0+6*s_r+IF(circ_int,eq_c1/2,0))),IF(((2+0.5)*(4*IF(circ_int,0,eq_c1/2)+4*IF(circ_int,0,eq_c2/2)+2*PI()*(s_0+6*s_r+IF(circ_int,eq_c1/2,0)))/INDEX(lk_legs,7))&lt;(((2*IF(circ_int,0,eq_c2/2))+(PI()*(s_0+6*s_r+IF(circ_int,eq_c1/2,0))/2))+2*IF(circ_int,0,eq_c1/2)),IF(circ_int,0,eq_c2/2)+(s_0+6*s_r+IF(circ_int,eq_c1/2,0)),IF(((2+0.5)*(4*IF(circ_int,0,eq_c1/2)+4*IF(circ_int,0,eq_c2/2)+2*PI()*(s_0+6*s_r+IF(circ_int,eq_c1/2,0)))/INDEX(lk_legs,7))&lt;((((2*IF(circ_int,0,eq_c2/2))+(PI()*(s_0+6*s_r+IF(circ_int,eq_c1/2,0))/2))+2*IF(circ_int,0,eq_c1/2))+(PI()*(s_0+6*s_r+IF(circ_int,eq_c1/2,0))/2)),IF(circ_int,0,eq_c2/2)+(s_0+6*s_r+IF(circ_int,eq_c1/2,0))*SIN(PI()/2+(((2+0.5)*(4*IF(circ_int,0,eq_c1/2)+4*IF(circ_int,0,eq_c2/2)+2*PI()*(s_0+6*s_r+IF(circ_int,eq_c1/2,0)))/INDEX(lk_legs,7))-(((2*IF(circ_int,0,eq_c2/2))+(PI()*(s_0+6*s_r+IF(circ_int,eq_c1/2,0))/2))+2*IF(circ_int,0,eq_c1/2)))/(s_0+6*s_r+IF(circ_int,eq_c1/2,0))),IF(((2+0.5)*(4*IF(circ_int,0,eq_c1/2)+4*IF(circ_int,0,eq_c2/2)+2*PI()*(s_0+6*s_r+IF(circ_int,eq_c1/2,0)))/INDEX(lk_legs,7))&lt;(((((2*IF(circ_int,0,eq_c2/2))+(PI()*(s_0+6*s_r+IF(circ_int,eq_c1/2,0))/2))+2*IF(circ_int,0,eq_c1/2))+(PI()*(s_0+6*s_r+IF(circ_int,eq_c1/2,0))/2))+2*IF(circ_int,0,eq_c2/2)),IF(circ_int,0,eq_c2/2)-(((2+0.5)*(4*IF(circ_int,0,eq_c1/2)+4*IF(circ_int,0,eq_c2/2)+2*PI()*(s_0+6*s_r+IF(circ_int,eq_c1/2,0)))/INDEX(lk_legs,7))-((((2*IF(circ_int,0,eq_c2/2))+(PI()*(s_0+6*s_r+IF(circ_int,eq_c1/2,0))/2))+2*IF(circ_int,0,eq_c1/2))+(PI()*(s_0+6*s_r+IF(circ_int,eq_c1/2,0))/2))),IF(((2+0.5)*(4*IF(circ_int,0,eq_c1/2)+4*IF(circ_int,0,eq_c2/2)+2*PI()*(s_0+6*s_r+IF(circ_int,eq_c1/2,0)))/INDEX(lk_legs,7))&lt;((((((2*IF(circ_int,0,eq_c2/2))+(PI()*(s_0+6*s_r+IF(circ_int,eq_c1/2,0))/2))+2*IF(circ_int,0,eq_c1/2))+(PI()*(s_0+6*s_r+IF(circ_int,eq_c1/2,0))/2))+2*IF(circ_int,0,eq_c2/2))+(PI()*(s_0+6*s_r+IF(circ_int,eq_c1/2,0))/2)),-IF(circ_int,0,eq_c2/2)+(s_0+6*s_r+IF(circ_int,eq_c1/2,0))*SIN(PI()+(((2+0.5)*(4*IF(circ_int,0,eq_c1/2)+4*IF(circ_int,0,eq_c2/2)+2*PI()*(s_0+6*s_r+IF(circ_int,eq_c1/2,0)))/INDEX(lk_legs,7))-(((((2*IF(circ_int,0,eq_c2/2))+(PI()*(s_0+6*s_r+IF(circ_int,eq_c1/2,0))/2))+2*IF(circ_int,0,eq_c1/2))+(PI()*(s_0+6*s_r+IF(circ_int,eq_c1/2,0))/2))+2*IF(circ_int,0,eq_c2/2)))/(s_0+6*s_r+IF(circ_int,eq_c1/2,0))),IF(((2+0.5)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(2+0.5)*(4*IF(circ_int,0,eq_c1/2)+4*IF(circ_int,0,eq_c2/2)+2*PI()*(s_0+6*s_r+IF(circ_int,eq_c1/2,0)))/INDEX(lk_legs,7))-(((((((2*IF(circ_int,0,eq_c2/2))+(PI()*(s_0+6*s_r+IF(circ_int,eq_c1/2,0))/2))+2*IF(circ_int,0,eq_c1/2))+(PI()*(s_0+6*s_r+IF(circ_int,eq_c1/2,0))/2))+2*IF(circ_int,0,eq_c2/2))+(PI()*(s_0+6*s_r+IF(circ_int,eq_c1/2,0))/2))+2*IF(circ_int,0,eq_c1/2)))/(s_0+6*s_r+IF(circ_int,eq_c1/2,0)))))))))),NA())</f>
        <v/>
      </c>
      <c r="CM5">
        <f>IF(AND(links_on,8&lt;=n_per),IF(circ_int,(g_ox)+(c_1/2+(s_0+7*s_r))*0.970942,CHOOSE(INDEX(lk_kind,8),(g_ox+eq_c1/2)+((s_0+7*s_r))*0.965926,(eq_a1+eq_c1)+((s_0+7*s_r))*0.130526,(eq_a1+eq_c1)+((s_0+7*s_r))*0.130526,(eq_a1)+((s_0+7*s_r))*-0.991445)),NA())</f>
        <v/>
      </c>
      <c r="CN5">
        <f>IF(AND(links_on,8&lt;=n_per),IF(circ_int,(g_oy)+(c_1/2+(s_0+7*s_r))*0.239316,CHOOSE(INDEX(lk_kind,8),(g_oy+eq_c2/2)+((s_0+7*s_r))*0.258819,(g_oy+eq_c2/2)+((s_0+7*s_r))*0.991445,(eq_a2+eq_c2)+((s_0+7*s_r))*0.991445,(eq_a2+eq_c2)+((s_0+7*s_r))*0.130526)),NA())</f>
        <v/>
      </c>
      <c r="CP5">
        <f>IF(AND(AND(links_on,8&lt;=n_per),INDEX(lk_kind,8)=1,2&lt;INDEX(lk_legs,8)),g_ox+IF(((2+0.5)*(4*IF(circ_int,0,eq_c1/2)+4*IF(circ_int,0,eq_c2/2)+2*PI()*(s_0+7*s_r+IF(circ_int,eq_c1/2,0)))/INDEX(lk_legs,8))&lt;(2*IF(circ_int,0,eq_c2/2)),IF(circ_int,0,eq_c1/2)+(s_0+7*s_r+IF(circ_int,eq_c1/2,0)),IF(((2+0.5)*(4*IF(circ_int,0,eq_c1/2)+4*IF(circ_int,0,eq_c2/2)+2*PI()*(s_0+7*s_r+IF(circ_int,eq_c1/2,0)))/INDEX(lk_legs,8))&lt;((2*IF(circ_int,0,eq_c2/2))+(PI()*(s_0+7*s_r+IF(circ_int,eq_c1/2,0))/2)),IF(circ_int,0,eq_c1/2)+(s_0+7*s_r+IF(circ_int,eq_c1/2,0))*COS((((2+0.5)*(4*IF(circ_int,0,eq_c1/2)+4*IF(circ_int,0,eq_c2/2)+2*PI()*(s_0+7*s_r+IF(circ_int,eq_c1/2,0)))/INDEX(lk_legs,8))-(2*IF(circ_int,0,eq_c2/2)))/(s_0+7*s_r+IF(circ_int,eq_c1/2,0))),IF(((2+0.5)*(4*IF(circ_int,0,eq_c1/2)+4*IF(circ_int,0,eq_c2/2)+2*PI()*(s_0+7*s_r+IF(circ_int,eq_c1/2,0)))/INDEX(lk_legs,8))&lt;(((2*IF(circ_int,0,eq_c2/2))+(PI()*(s_0+7*s_r+IF(circ_int,eq_c1/2,0))/2))+2*IF(circ_int,0,eq_c1/2)),IF(circ_int,0,eq_c1/2)-(((2+0.5)*(4*IF(circ_int,0,eq_c1/2)+4*IF(circ_int,0,eq_c2/2)+2*PI()*(s_0+7*s_r+IF(circ_int,eq_c1/2,0)))/INDEX(lk_legs,8))-((2*IF(circ_int,0,eq_c2/2))+(PI()*(s_0+7*s_r+IF(circ_int,eq_c1/2,0))/2))),IF(((2+0.5)*(4*IF(circ_int,0,eq_c1/2)+4*IF(circ_int,0,eq_c2/2)+2*PI()*(s_0+7*s_r+IF(circ_int,eq_c1/2,0)))/INDEX(lk_legs,8))&lt;((((2*IF(circ_int,0,eq_c2/2))+(PI()*(s_0+7*s_r+IF(circ_int,eq_c1/2,0))/2))+2*IF(circ_int,0,eq_c1/2))+(PI()*(s_0+7*s_r+IF(circ_int,eq_c1/2,0))/2)),-IF(circ_int,0,eq_c1/2)+(s_0+7*s_r+IF(circ_int,eq_c1/2,0))*COS(PI()/2+(((2+0.5)*(4*IF(circ_int,0,eq_c1/2)+4*IF(circ_int,0,eq_c2/2)+2*PI()*(s_0+7*s_r+IF(circ_int,eq_c1/2,0)))/INDEX(lk_legs,8))-(((2*IF(circ_int,0,eq_c2/2))+(PI()*(s_0+7*s_r+IF(circ_int,eq_c1/2,0))/2))+2*IF(circ_int,0,eq_c1/2)))/(s_0+7*s_r+IF(circ_int,eq_c1/2,0))),IF(((2+0.5)*(4*IF(circ_int,0,eq_c1/2)+4*IF(circ_int,0,eq_c2/2)+2*PI()*(s_0+7*s_r+IF(circ_int,eq_c1/2,0)))/INDEX(lk_legs,8))&lt;(((((2*IF(circ_int,0,eq_c2/2))+(PI()*(s_0+7*s_r+IF(circ_int,eq_c1/2,0))/2))+2*IF(circ_int,0,eq_c1/2))+(PI()*(s_0+7*s_r+IF(circ_int,eq_c1/2,0))/2))+2*IF(circ_int,0,eq_c2/2)),-IF(circ_int,0,eq_c1/2)-(s_0+7*s_r+IF(circ_int,eq_c1/2,0)),IF(((2+0.5)*(4*IF(circ_int,0,eq_c1/2)+4*IF(circ_int,0,eq_c2/2)+2*PI()*(s_0+7*s_r+IF(circ_int,eq_c1/2,0)))/INDEX(lk_legs,8))&lt;((((((2*IF(circ_int,0,eq_c2/2))+(PI()*(s_0+7*s_r+IF(circ_int,eq_c1/2,0))/2))+2*IF(circ_int,0,eq_c1/2))+(PI()*(s_0+7*s_r+IF(circ_int,eq_c1/2,0))/2))+2*IF(circ_int,0,eq_c2/2))+(PI()*(s_0+7*s_r+IF(circ_int,eq_c1/2,0))/2)),-IF(circ_int,0,eq_c1/2)+(s_0+7*s_r+IF(circ_int,eq_c1/2,0))*COS(PI()+(((2+0.5)*(4*IF(circ_int,0,eq_c1/2)+4*IF(circ_int,0,eq_c2/2)+2*PI()*(s_0+7*s_r+IF(circ_int,eq_c1/2,0)))/INDEX(lk_legs,8))-(((((2*IF(circ_int,0,eq_c2/2))+(PI()*(s_0+7*s_r+IF(circ_int,eq_c1/2,0))/2))+2*IF(circ_int,0,eq_c1/2))+(PI()*(s_0+7*s_r+IF(circ_int,eq_c1/2,0))/2))+2*IF(circ_int,0,eq_c2/2)))/(s_0+7*s_r+IF(circ_int,eq_c1/2,0))),IF(((2+0.5)*(4*IF(circ_int,0,eq_c1/2)+4*IF(circ_int,0,eq_c2/2)+2*PI()*(s_0+7*s_r+IF(circ_int,eq_c1/2,0)))/INDEX(lk_legs,8))&lt;(((((((2*IF(circ_int,0,eq_c2/2))+(PI()*(s_0+7*s_r+IF(circ_int,eq_c1/2,0))/2))+2*IF(circ_int,0,eq_c1/2))+(PI()*(s_0+7*s_r+IF(circ_int,eq_c1/2,0))/2))+2*IF(circ_int,0,eq_c2/2))+(PI()*(s_0+7*s_r+IF(circ_int,eq_c1/2,0))/2))+2*IF(circ_int,0,eq_c1/2)),-IF(circ_int,0,eq_c1/2)+(((2+0.5)*(4*IF(circ_int,0,eq_c1/2)+4*IF(circ_int,0,eq_c2/2)+2*PI()*(s_0+7*s_r+IF(circ_int,eq_c1/2,0)))/INDEX(lk_legs,8))-((((((2*IF(circ_int,0,eq_c2/2))+(PI()*(s_0+7*s_r+IF(circ_int,eq_c1/2,0))/2))+2*IF(circ_int,0,eq_c1/2))+(PI()*(s_0+7*s_r+IF(circ_int,eq_c1/2,0))/2))+2*IF(circ_int,0,eq_c2/2))+(PI()*(s_0+7*s_r+IF(circ_int,eq_c1/2,0))/2))),IF(circ_int,0,eq_c1/2)+(s_0+7*s_r+IF(circ_int,eq_c1/2,0))*COS(3*PI()/2+(((2+0.5)*(4*IF(circ_int,0,eq_c1/2)+4*IF(circ_int,0,eq_c2/2)+2*PI()*(s_0+7*s_r+IF(circ_int,eq_c1/2,0)))/INDEX(lk_legs,8))-(((((((2*IF(circ_int,0,eq_c2/2))+(PI()*(s_0+7*s_r+IF(circ_int,eq_c1/2,0))/2))+2*IF(circ_int,0,eq_c1/2))+(PI()*(s_0+7*s_r+IF(circ_int,eq_c1/2,0))/2))+2*IF(circ_int,0,eq_c2/2))+(PI()*(s_0+7*s_r+IF(circ_int,eq_c1/2,0))/2))+2*IF(circ_int,0,eq_c1/2)))/(s_0+7*s_r+IF(circ_int,eq_c1/2,0)))))))))),NA())</f>
        <v/>
      </c>
      <c r="CQ5">
        <f>IF(AND(AND(links_on,8&lt;=n_per),INDEX(lk_kind,8)=1,2&lt;INDEX(lk_legs,8)),g_oy+IF(((2+0.5)*(4*IF(circ_int,0,eq_c1/2)+4*IF(circ_int,0,eq_c2/2)+2*PI()*(s_0+7*s_r+IF(circ_int,eq_c1/2,0)))/INDEX(lk_legs,8))&lt;(2*IF(circ_int,0,eq_c2/2)),-IF(circ_int,0,eq_c2/2)+((2+0.5)*(4*IF(circ_int,0,eq_c1/2)+4*IF(circ_int,0,eq_c2/2)+2*PI()*(s_0+7*s_r+IF(circ_int,eq_c1/2,0)))/INDEX(lk_legs,8)),IF(((2+0.5)*(4*IF(circ_int,0,eq_c1/2)+4*IF(circ_int,0,eq_c2/2)+2*PI()*(s_0+7*s_r+IF(circ_int,eq_c1/2,0)))/INDEX(lk_legs,8))&lt;((2*IF(circ_int,0,eq_c2/2))+(PI()*(s_0+7*s_r+IF(circ_int,eq_c1/2,0))/2)),IF(circ_int,0,eq_c2/2)+(s_0+7*s_r+IF(circ_int,eq_c1/2,0))*SIN((((2+0.5)*(4*IF(circ_int,0,eq_c1/2)+4*IF(circ_int,0,eq_c2/2)+2*PI()*(s_0+7*s_r+IF(circ_int,eq_c1/2,0)))/INDEX(lk_legs,8))-(2*IF(circ_int,0,eq_c2/2)))/(s_0+7*s_r+IF(circ_int,eq_c1/2,0))),IF(((2+0.5)*(4*IF(circ_int,0,eq_c1/2)+4*IF(circ_int,0,eq_c2/2)+2*PI()*(s_0+7*s_r+IF(circ_int,eq_c1/2,0)))/INDEX(lk_legs,8))&lt;(((2*IF(circ_int,0,eq_c2/2))+(PI()*(s_0+7*s_r+IF(circ_int,eq_c1/2,0))/2))+2*IF(circ_int,0,eq_c1/2)),IF(circ_int,0,eq_c2/2)+(s_0+7*s_r+IF(circ_int,eq_c1/2,0)),IF(((2+0.5)*(4*IF(circ_int,0,eq_c1/2)+4*IF(circ_int,0,eq_c2/2)+2*PI()*(s_0+7*s_r+IF(circ_int,eq_c1/2,0)))/INDEX(lk_legs,8))&lt;((((2*IF(circ_int,0,eq_c2/2))+(PI()*(s_0+7*s_r+IF(circ_int,eq_c1/2,0))/2))+2*IF(circ_int,0,eq_c1/2))+(PI()*(s_0+7*s_r+IF(circ_int,eq_c1/2,0))/2)),IF(circ_int,0,eq_c2/2)+(s_0+7*s_r+IF(circ_int,eq_c1/2,0))*SIN(PI()/2+(((2+0.5)*(4*IF(circ_int,0,eq_c1/2)+4*IF(circ_int,0,eq_c2/2)+2*PI()*(s_0+7*s_r+IF(circ_int,eq_c1/2,0)))/INDEX(lk_legs,8))-(((2*IF(circ_int,0,eq_c2/2))+(PI()*(s_0+7*s_r+IF(circ_int,eq_c1/2,0))/2))+2*IF(circ_int,0,eq_c1/2)))/(s_0+7*s_r+IF(circ_int,eq_c1/2,0))),IF(((2+0.5)*(4*IF(circ_int,0,eq_c1/2)+4*IF(circ_int,0,eq_c2/2)+2*PI()*(s_0+7*s_r+IF(circ_int,eq_c1/2,0)))/INDEX(lk_legs,8))&lt;(((((2*IF(circ_int,0,eq_c2/2))+(PI()*(s_0+7*s_r+IF(circ_int,eq_c1/2,0))/2))+2*IF(circ_int,0,eq_c1/2))+(PI()*(s_0+7*s_r+IF(circ_int,eq_c1/2,0))/2))+2*IF(circ_int,0,eq_c2/2)),IF(circ_int,0,eq_c2/2)-(((2+0.5)*(4*IF(circ_int,0,eq_c1/2)+4*IF(circ_int,0,eq_c2/2)+2*PI()*(s_0+7*s_r+IF(circ_int,eq_c1/2,0)))/INDEX(lk_legs,8))-((((2*IF(circ_int,0,eq_c2/2))+(PI()*(s_0+7*s_r+IF(circ_int,eq_c1/2,0))/2))+2*IF(circ_int,0,eq_c1/2))+(PI()*(s_0+7*s_r+IF(circ_int,eq_c1/2,0))/2))),IF(((2+0.5)*(4*IF(circ_int,0,eq_c1/2)+4*IF(circ_int,0,eq_c2/2)+2*PI()*(s_0+7*s_r+IF(circ_int,eq_c1/2,0)))/INDEX(lk_legs,8))&lt;((((((2*IF(circ_int,0,eq_c2/2))+(PI()*(s_0+7*s_r+IF(circ_int,eq_c1/2,0))/2))+2*IF(circ_int,0,eq_c1/2))+(PI()*(s_0+7*s_r+IF(circ_int,eq_c1/2,0))/2))+2*IF(circ_int,0,eq_c2/2))+(PI()*(s_0+7*s_r+IF(circ_int,eq_c1/2,0))/2)),-IF(circ_int,0,eq_c2/2)+(s_0+7*s_r+IF(circ_int,eq_c1/2,0))*SIN(PI()+(((2+0.5)*(4*IF(circ_int,0,eq_c1/2)+4*IF(circ_int,0,eq_c2/2)+2*PI()*(s_0+7*s_r+IF(circ_int,eq_c1/2,0)))/INDEX(lk_legs,8))-(((((2*IF(circ_int,0,eq_c2/2))+(PI()*(s_0+7*s_r+IF(circ_int,eq_c1/2,0))/2))+2*IF(circ_int,0,eq_c1/2))+(PI()*(s_0+7*s_r+IF(circ_int,eq_c1/2,0))/2))+2*IF(circ_int,0,eq_c2/2)))/(s_0+7*s_r+IF(circ_int,eq_c1/2,0))),IF(((2+0.5)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(2+0.5)*(4*IF(circ_int,0,eq_c1/2)+4*IF(circ_int,0,eq_c2/2)+2*PI()*(s_0+7*s_r+IF(circ_int,eq_c1/2,0)))/INDEX(lk_legs,8))-(((((((2*IF(circ_int,0,eq_c2/2))+(PI()*(s_0+7*s_r+IF(circ_int,eq_c1/2,0))/2))+2*IF(circ_int,0,eq_c1/2))+(PI()*(s_0+7*s_r+IF(circ_int,eq_c1/2,0))/2))+2*IF(circ_int,0,eq_c2/2))+(PI()*(s_0+7*s_r+IF(circ_int,eq_c1/2,0))/2))+2*IF(circ_int,0,eq_c1/2)))/(s_0+7*s_r+IF(circ_int,eq_c1/2,0)))))))))),NA())</f>
        <v/>
      </c>
      <c r="CS5">
        <f>IF(AND(links_on,9&lt;=n_per),IF(circ_int,(g_ox)+(c_1/2+(s_0+8*s_r))*0.970942,CHOOSE(INDEX(lk_kind,9),(g_ox+eq_c1/2)+((s_0+8*s_r))*0.965926,(eq_a1+eq_c1)+((s_0+8*s_r))*0.130526,(eq_a1+eq_c1)+((s_0+8*s_r))*0.130526,(eq_a1)+((s_0+8*s_r))*-0.991445)),NA())</f>
        <v/>
      </c>
      <c r="CT5">
        <f>IF(AND(links_on,9&lt;=n_per),IF(circ_int,(g_oy)+(c_1/2+(s_0+8*s_r))*0.239316,CHOOSE(INDEX(lk_kind,9),(g_oy+eq_c2/2)+((s_0+8*s_r))*0.258819,(g_oy+eq_c2/2)+((s_0+8*s_r))*0.991445,(eq_a2+eq_c2)+((s_0+8*s_r))*0.991445,(eq_a2+eq_c2)+((s_0+8*s_r))*0.130526)),NA())</f>
        <v/>
      </c>
      <c r="CV5">
        <f>IF(AND(AND(links_on,9&lt;=n_per),INDEX(lk_kind,9)=1,2&lt;INDEX(lk_legs,9)),g_ox+IF(((2+0.5)*(4*IF(circ_int,0,eq_c1/2)+4*IF(circ_int,0,eq_c2/2)+2*PI()*(s_0+8*s_r+IF(circ_int,eq_c1/2,0)))/INDEX(lk_legs,9))&lt;(2*IF(circ_int,0,eq_c2/2)),IF(circ_int,0,eq_c1/2)+(s_0+8*s_r+IF(circ_int,eq_c1/2,0)),IF(((2+0.5)*(4*IF(circ_int,0,eq_c1/2)+4*IF(circ_int,0,eq_c2/2)+2*PI()*(s_0+8*s_r+IF(circ_int,eq_c1/2,0)))/INDEX(lk_legs,9))&lt;((2*IF(circ_int,0,eq_c2/2))+(PI()*(s_0+8*s_r+IF(circ_int,eq_c1/2,0))/2)),IF(circ_int,0,eq_c1/2)+(s_0+8*s_r+IF(circ_int,eq_c1/2,0))*COS((((2+0.5)*(4*IF(circ_int,0,eq_c1/2)+4*IF(circ_int,0,eq_c2/2)+2*PI()*(s_0+8*s_r+IF(circ_int,eq_c1/2,0)))/INDEX(lk_legs,9))-(2*IF(circ_int,0,eq_c2/2)))/(s_0+8*s_r+IF(circ_int,eq_c1/2,0))),IF(((2+0.5)*(4*IF(circ_int,0,eq_c1/2)+4*IF(circ_int,0,eq_c2/2)+2*PI()*(s_0+8*s_r+IF(circ_int,eq_c1/2,0)))/INDEX(lk_legs,9))&lt;(((2*IF(circ_int,0,eq_c2/2))+(PI()*(s_0+8*s_r+IF(circ_int,eq_c1/2,0))/2))+2*IF(circ_int,0,eq_c1/2)),IF(circ_int,0,eq_c1/2)-(((2+0.5)*(4*IF(circ_int,0,eq_c1/2)+4*IF(circ_int,0,eq_c2/2)+2*PI()*(s_0+8*s_r+IF(circ_int,eq_c1/2,0)))/INDEX(lk_legs,9))-((2*IF(circ_int,0,eq_c2/2))+(PI()*(s_0+8*s_r+IF(circ_int,eq_c1/2,0))/2))),IF(((2+0.5)*(4*IF(circ_int,0,eq_c1/2)+4*IF(circ_int,0,eq_c2/2)+2*PI()*(s_0+8*s_r+IF(circ_int,eq_c1/2,0)))/INDEX(lk_legs,9))&lt;((((2*IF(circ_int,0,eq_c2/2))+(PI()*(s_0+8*s_r+IF(circ_int,eq_c1/2,0))/2))+2*IF(circ_int,0,eq_c1/2))+(PI()*(s_0+8*s_r+IF(circ_int,eq_c1/2,0))/2)),-IF(circ_int,0,eq_c1/2)+(s_0+8*s_r+IF(circ_int,eq_c1/2,0))*COS(PI()/2+(((2+0.5)*(4*IF(circ_int,0,eq_c1/2)+4*IF(circ_int,0,eq_c2/2)+2*PI()*(s_0+8*s_r+IF(circ_int,eq_c1/2,0)))/INDEX(lk_legs,9))-(((2*IF(circ_int,0,eq_c2/2))+(PI()*(s_0+8*s_r+IF(circ_int,eq_c1/2,0))/2))+2*IF(circ_int,0,eq_c1/2)))/(s_0+8*s_r+IF(circ_int,eq_c1/2,0))),IF(((2+0.5)*(4*IF(circ_int,0,eq_c1/2)+4*IF(circ_int,0,eq_c2/2)+2*PI()*(s_0+8*s_r+IF(circ_int,eq_c1/2,0)))/INDEX(lk_legs,9))&lt;(((((2*IF(circ_int,0,eq_c2/2))+(PI()*(s_0+8*s_r+IF(circ_int,eq_c1/2,0))/2))+2*IF(circ_int,0,eq_c1/2))+(PI()*(s_0+8*s_r+IF(circ_int,eq_c1/2,0))/2))+2*IF(circ_int,0,eq_c2/2)),-IF(circ_int,0,eq_c1/2)-(s_0+8*s_r+IF(circ_int,eq_c1/2,0)),IF(((2+0.5)*(4*IF(circ_int,0,eq_c1/2)+4*IF(circ_int,0,eq_c2/2)+2*PI()*(s_0+8*s_r+IF(circ_int,eq_c1/2,0)))/INDEX(lk_legs,9))&lt;((((((2*IF(circ_int,0,eq_c2/2))+(PI()*(s_0+8*s_r+IF(circ_int,eq_c1/2,0))/2))+2*IF(circ_int,0,eq_c1/2))+(PI()*(s_0+8*s_r+IF(circ_int,eq_c1/2,0))/2))+2*IF(circ_int,0,eq_c2/2))+(PI()*(s_0+8*s_r+IF(circ_int,eq_c1/2,0))/2)),-IF(circ_int,0,eq_c1/2)+(s_0+8*s_r+IF(circ_int,eq_c1/2,0))*COS(PI()+(((2+0.5)*(4*IF(circ_int,0,eq_c1/2)+4*IF(circ_int,0,eq_c2/2)+2*PI()*(s_0+8*s_r+IF(circ_int,eq_c1/2,0)))/INDEX(lk_legs,9))-(((((2*IF(circ_int,0,eq_c2/2))+(PI()*(s_0+8*s_r+IF(circ_int,eq_c1/2,0))/2))+2*IF(circ_int,0,eq_c1/2))+(PI()*(s_0+8*s_r+IF(circ_int,eq_c1/2,0))/2))+2*IF(circ_int,0,eq_c2/2)))/(s_0+8*s_r+IF(circ_int,eq_c1/2,0))),IF(((2+0.5)*(4*IF(circ_int,0,eq_c1/2)+4*IF(circ_int,0,eq_c2/2)+2*PI()*(s_0+8*s_r+IF(circ_int,eq_c1/2,0)))/INDEX(lk_legs,9))&lt;(((((((2*IF(circ_int,0,eq_c2/2))+(PI()*(s_0+8*s_r+IF(circ_int,eq_c1/2,0))/2))+2*IF(circ_int,0,eq_c1/2))+(PI()*(s_0+8*s_r+IF(circ_int,eq_c1/2,0))/2))+2*IF(circ_int,0,eq_c2/2))+(PI()*(s_0+8*s_r+IF(circ_int,eq_c1/2,0))/2))+2*IF(circ_int,0,eq_c1/2)),-IF(circ_int,0,eq_c1/2)+(((2+0.5)*(4*IF(circ_int,0,eq_c1/2)+4*IF(circ_int,0,eq_c2/2)+2*PI()*(s_0+8*s_r+IF(circ_int,eq_c1/2,0)))/INDEX(lk_legs,9))-((((((2*IF(circ_int,0,eq_c2/2))+(PI()*(s_0+8*s_r+IF(circ_int,eq_c1/2,0))/2))+2*IF(circ_int,0,eq_c1/2))+(PI()*(s_0+8*s_r+IF(circ_int,eq_c1/2,0))/2))+2*IF(circ_int,0,eq_c2/2))+(PI()*(s_0+8*s_r+IF(circ_int,eq_c1/2,0))/2))),IF(circ_int,0,eq_c1/2)+(s_0+8*s_r+IF(circ_int,eq_c1/2,0))*COS(3*PI()/2+(((2+0.5)*(4*IF(circ_int,0,eq_c1/2)+4*IF(circ_int,0,eq_c2/2)+2*PI()*(s_0+8*s_r+IF(circ_int,eq_c1/2,0)))/INDEX(lk_legs,9))-(((((((2*IF(circ_int,0,eq_c2/2))+(PI()*(s_0+8*s_r+IF(circ_int,eq_c1/2,0))/2))+2*IF(circ_int,0,eq_c1/2))+(PI()*(s_0+8*s_r+IF(circ_int,eq_c1/2,0))/2))+2*IF(circ_int,0,eq_c2/2))+(PI()*(s_0+8*s_r+IF(circ_int,eq_c1/2,0))/2))+2*IF(circ_int,0,eq_c1/2)))/(s_0+8*s_r+IF(circ_int,eq_c1/2,0)))))))))),NA())</f>
        <v/>
      </c>
      <c r="CW5">
        <f>IF(AND(AND(links_on,9&lt;=n_per),INDEX(lk_kind,9)=1,2&lt;INDEX(lk_legs,9)),g_oy+IF(((2+0.5)*(4*IF(circ_int,0,eq_c1/2)+4*IF(circ_int,0,eq_c2/2)+2*PI()*(s_0+8*s_r+IF(circ_int,eq_c1/2,0)))/INDEX(lk_legs,9))&lt;(2*IF(circ_int,0,eq_c2/2)),-IF(circ_int,0,eq_c2/2)+((2+0.5)*(4*IF(circ_int,0,eq_c1/2)+4*IF(circ_int,0,eq_c2/2)+2*PI()*(s_0+8*s_r+IF(circ_int,eq_c1/2,0)))/INDEX(lk_legs,9)),IF(((2+0.5)*(4*IF(circ_int,0,eq_c1/2)+4*IF(circ_int,0,eq_c2/2)+2*PI()*(s_0+8*s_r+IF(circ_int,eq_c1/2,0)))/INDEX(lk_legs,9))&lt;((2*IF(circ_int,0,eq_c2/2))+(PI()*(s_0+8*s_r+IF(circ_int,eq_c1/2,0))/2)),IF(circ_int,0,eq_c2/2)+(s_0+8*s_r+IF(circ_int,eq_c1/2,0))*SIN((((2+0.5)*(4*IF(circ_int,0,eq_c1/2)+4*IF(circ_int,0,eq_c2/2)+2*PI()*(s_0+8*s_r+IF(circ_int,eq_c1/2,0)))/INDEX(lk_legs,9))-(2*IF(circ_int,0,eq_c2/2)))/(s_0+8*s_r+IF(circ_int,eq_c1/2,0))),IF(((2+0.5)*(4*IF(circ_int,0,eq_c1/2)+4*IF(circ_int,0,eq_c2/2)+2*PI()*(s_0+8*s_r+IF(circ_int,eq_c1/2,0)))/INDEX(lk_legs,9))&lt;(((2*IF(circ_int,0,eq_c2/2))+(PI()*(s_0+8*s_r+IF(circ_int,eq_c1/2,0))/2))+2*IF(circ_int,0,eq_c1/2)),IF(circ_int,0,eq_c2/2)+(s_0+8*s_r+IF(circ_int,eq_c1/2,0)),IF(((2+0.5)*(4*IF(circ_int,0,eq_c1/2)+4*IF(circ_int,0,eq_c2/2)+2*PI()*(s_0+8*s_r+IF(circ_int,eq_c1/2,0)))/INDEX(lk_legs,9))&lt;((((2*IF(circ_int,0,eq_c2/2))+(PI()*(s_0+8*s_r+IF(circ_int,eq_c1/2,0))/2))+2*IF(circ_int,0,eq_c1/2))+(PI()*(s_0+8*s_r+IF(circ_int,eq_c1/2,0))/2)),IF(circ_int,0,eq_c2/2)+(s_0+8*s_r+IF(circ_int,eq_c1/2,0))*SIN(PI()/2+(((2+0.5)*(4*IF(circ_int,0,eq_c1/2)+4*IF(circ_int,0,eq_c2/2)+2*PI()*(s_0+8*s_r+IF(circ_int,eq_c1/2,0)))/INDEX(lk_legs,9))-(((2*IF(circ_int,0,eq_c2/2))+(PI()*(s_0+8*s_r+IF(circ_int,eq_c1/2,0))/2))+2*IF(circ_int,0,eq_c1/2)))/(s_0+8*s_r+IF(circ_int,eq_c1/2,0))),IF(((2+0.5)*(4*IF(circ_int,0,eq_c1/2)+4*IF(circ_int,0,eq_c2/2)+2*PI()*(s_0+8*s_r+IF(circ_int,eq_c1/2,0)))/INDEX(lk_legs,9))&lt;(((((2*IF(circ_int,0,eq_c2/2))+(PI()*(s_0+8*s_r+IF(circ_int,eq_c1/2,0))/2))+2*IF(circ_int,0,eq_c1/2))+(PI()*(s_0+8*s_r+IF(circ_int,eq_c1/2,0))/2))+2*IF(circ_int,0,eq_c2/2)),IF(circ_int,0,eq_c2/2)-(((2+0.5)*(4*IF(circ_int,0,eq_c1/2)+4*IF(circ_int,0,eq_c2/2)+2*PI()*(s_0+8*s_r+IF(circ_int,eq_c1/2,0)))/INDEX(lk_legs,9))-((((2*IF(circ_int,0,eq_c2/2))+(PI()*(s_0+8*s_r+IF(circ_int,eq_c1/2,0))/2))+2*IF(circ_int,0,eq_c1/2))+(PI()*(s_0+8*s_r+IF(circ_int,eq_c1/2,0))/2))),IF(((2+0.5)*(4*IF(circ_int,0,eq_c1/2)+4*IF(circ_int,0,eq_c2/2)+2*PI()*(s_0+8*s_r+IF(circ_int,eq_c1/2,0)))/INDEX(lk_legs,9))&lt;((((((2*IF(circ_int,0,eq_c2/2))+(PI()*(s_0+8*s_r+IF(circ_int,eq_c1/2,0))/2))+2*IF(circ_int,0,eq_c1/2))+(PI()*(s_0+8*s_r+IF(circ_int,eq_c1/2,0))/2))+2*IF(circ_int,0,eq_c2/2))+(PI()*(s_0+8*s_r+IF(circ_int,eq_c1/2,0))/2)),-IF(circ_int,0,eq_c2/2)+(s_0+8*s_r+IF(circ_int,eq_c1/2,0))*SIN(PI()+(((2+0.5)*(4*IF(circ_int,0,eq_c1/2)+4*IF(circ_int,0,eq_c2/2)+2*PI()*(s_0+8*s_r+IF(circ_int,eq_c1/2,0)))/INDEX(lk_legs,9))-(((((2*IF(circ_int,0,eq_c2/2))+(PI()*(s_0+8*s_r+IF(circ_int,eq_c1/2,0))/2))+2*IF(circ_int,0,eq_c1/2))+(PI()*(s_0+8*s_r+IF(circ_int,eq_c1/2,0))/2))+2*IF(circ_int,0,eq_c2/2)))/(s_0+8*s_r+IF(circ_int,eq_c1/2,0))),IF(((2+0.5)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(2+0.5)*(4*IF(circ_int,0,eq_c1/2)+4*IF(circ_int,0,eq_c2/2)+2*PI()*(s_0+8*s_r+IF(circ_int,eq_c1/2,0)))/INDEX(lk_legs,9))-(((((((2*IF(circ_int,0,eq_c2/2))+(PI()*(s_0+8*s_r+IF(circ_int,eq_c1/2,0))/2))+2*IF(circ_int,0,eq_c1/2))+(PI()*(s_0+8*s_r+IF(circ_int,eq_c1/2,0))/2))+2*IF(circ_int,0,eq_c2/2))+(PI()*(s_0+8*s_r+IF(circ_int,eq_c1/2,0))/2))+2*IF(circ_int,0,eq_c1/2)))/(s_0+8*s_r+IF(circ_int,eq_c1/2,0)))))))))),NA())</f>
        <v/>
      </c>
      <c r="CY5">
        <f>IF(AND(links_on,10&lt;=n_per),IF(circ_int,(g_ox)+(c_1/2+(s_0+9*s_r))*0.970942,CHOOSE(INDEX(lk_kind,10),(g_ox+eq_c1/2)+((s_0+9*s_r))*0.965926,(eq_a1+eq_c1)+((s_0+9*s_r))*0.130526,(eq_a1+eq_c1)+((s_0+9*s_r))*0.130526,(eq_a1)+((s_0+9*s_r))*-0.991445)),NA())</f>
        <v/>
      </c>
      <c r="CZ5">
        <f>IF(AND(links_on,10&lt;=n_per),IF(circ_int,(g_oy)+(c_1/2+(s_0+9*s_r))*0.239316,CHOOSE(INDEX(lk_kind,10),(g_oy+eq_c2/2)+((s_0+9*s_r))*0.258819,(g_oy+eq_c2/2)+((s_0+9*s_r))*0.991445,(eq_a2+eq_c2)+((s_0+9*s_r))*0.991445,(eq_a2+eq_c2)+((s_0+9*s_r))*0.130526)),NA())</f>
        <v/>
      </c>
      <c r="DB5">
        <f>IF(AND(AND(links_on,10&lt;=n_per),INDEX(lk_kind,10)=1,2&lt;INDEX(lk_legs,10)),g_ox+IF(((2+0.5)*(4*IF(circ_int,0,eq_c1/2)+4*IF(circ_int,0,eq_c2/2)+2*PI()*(s_0+9*s_r+IF(circ_int,eq_c1/2,0)))/INDEX(lk_legs,10))&lt;(2*IF(circ_int,0,eq_c2/2)),IF(circ_int,0,eq_c1/2)+(s_0+9*s_r+IF(circ_int,eq_c1/2,0)),IF(((2+0.5)*(4*IF(circ_int,0,eq_c1/2)+4*IF(circ_int,0,eq_c2/2)+2*PI()*(s_0+9*s_r+IF(circ_int,eq_c1/2,0)))/INDEX(lk_legs,10))&lt;((2*IF(circ_int,0,eq_c2/2))+(PI()*(s_0+9*s_r+IF(circ_int,eq_c1/2,0))/2)),IF(circ_int,0,eq_c1/2)+(s_0+9*s_r+IF(circ_int,eq_c1/2,0))*COS((((2+0.5)*(4*IF(circ_int,0,eq_c1/2)+4*IF(circ_int,0,eq_c2/2)+2*PI()*(s_0+9*s_r+IF(circ_int,eq_c1/2,0)))/INDEX(lk_legs,10))-(2*IF(circ_int,0,eq_c2/2)))/(s_0+9*s_r+IF(circ_int,eq_c1/2,0))),IF(((2+0.5)*(4*IF(circ_int,0,eq_c1/2)+4*IF(circ_int,0,eq_c2/2)+2*PI()*(s_0+9*s_r+IF(circ_int,eq_c1/2,0)))/INDEX(lk_legs,10))&lt;(((2*IF(circ_int,0,eq_c2/2))+(PI()*(s_0+9*s_r+IF(circ_int,eq_c1/2,0))/2))+2*IF(circ_int,0,eq_c1/2)),IF(circ_int,0,eq_c1/2)-(((2+0.5)*(4*IF(circ_int,0,eq_c1/2)+4*IF(circ_int,0,eq_c2/2)+2*PI()*(s_0+9*s_r+IF(circ_int,eq_c1/2,0)))/INDEX(lk_legs,10))-((2*IF(circ_int,0,eq_c2/2))+(PI()*(s_0+9*s_r+IF(circ_int,eq_c1/2,0))/2))),IF(((2+0.5)*(4*IF(circ_int,0,eq_c1/2)+4*IF(circ_int,0,eq_c2/2)+2*PI()*(s_0+9*s_r+IF(circ_int,eq_c1/2,0)))/INDEX(lk_legs,10))&lt;((((2*IF(circ_int,0,eq_c2/2))+(PI()*(s_0+9*s_r+IF(circ_int,eq_c1/2,0))/2))+2*IF(circ_int,0,eq_c1/2))+(PI()*(s_0+9*s_r+IF(circ_int,eq_c1/2,0))/2)),-IF(circ_int,0,eq_c1/2)+(s_0+9*s_r+IF(circ_int,eq_c1/2,0))*COS(PI()/2+(((2+0.5)*(4*IF(circ_int,0,eq_c1/2)+4*IF(circ_int,0,eq_c2/2)+2*PI()*(s_0+9*s_r+IF(circ_int,eq_c1/2,0)))/INDEX(lk_legs,10))-(((2*IF(circ_int,0,eq_c2/2))+(PI()*(s_0+9*s_r+IF(circ_int,eq_c1/2,0))/2))+2*IF(circ_int,0,eq_c1/2)))/(s_0+9*s_r+IF(circ_int,eq_c1/2,0))),IF(((2+0.5)*(4*IF(circ_int,0,eq_c1/2)+4*IF(circ_int,0,eq_c2/2)+2*PI()*(s_0+9*s_r+IF(circ_int,eq_c1/2,0)))/INDEX(lk_legs,10))&lt;(((((2*IF(circ_int,0,eq_c2/2))+(PI()*(s_0+9*s_r+IF(circ_int,eq_c1/2,0))/2))+2*IF(circ_int,0,eq_c1/2))+(PI()*(s_0+9*s_r+IF(circ_int,eq_c1/2,0))/2))+2*IF(circ_int,0,eq_c2/2)),-IF(circ_int,0,eq_c1/2)-(s_0+9*s_r+IF(circ_int,eq_c1/2,0)),IF(((2+0.5)*(4*IF(circ_int,0,eq_c1/2)+4*IF(circ_int,0,eq_c2/2)+2*PI()*(s_0+9*s_r+IF(circ_int,eq_c1/2,0)))/INDEX(lk_legs,10))&lt;((((((2*IF(circ_int,0,eq_c2/2))+(PI()*(s_0+9*s_r+IF(circ_int,eq_c1/2,0))/2))+2*IF(circ_int,0,eq_c1/2))+(PI()*(s_0+9*s_r+IF(circ_int,eq_c1/2,0))/2))+2*IF(circ_int,0,eq_c2/2))+(PI()*(s_0+9*s_r+IF(circ_int,eq_c1/2,0))/2)),-IF(circ_int,0,eq_c1/2)+(s_0+9*s_r+IF(circ_int,eq_c1/2,0))*COS(PI()+(((2+0.5)*(4*IF(circ_int,0,eq_c1/2)+4*IF(circ_int,0,eq_c2/2)+2*PI()*(s_0+9*s_r+IF(circ_int,eq_c1/2,0)))/INDEX(lk_legs,10))-(((((2*IF(circ_int,0,eq_c2/2))+(PI()*(s_0+9*s_r+IF(circ_int,eq_c1/2,0))/2))+2*IF(circ_int,0,eq_c1/2))+(PI()*(s_0+9*s_r+IF(circ_int,eq_c1/2,0))/2))+2*IF(circ_int,0,eq_c2/2)))/(s_0+9*s_r+IF(circ_int,eq_c1/2,0))),IF(((2+0.5)*(4*IF(circ_int,0,eq_c1/2)+4*IF(circ_int,0,eq_c2/2)+2*PI()*(s_0+9*s_r+IF(circ_int,eq_c1/2,0)))/INDEX(lk_legs,10))&lt;(((((((2*IF(circ_int,0,eq_c2/2))+(PI()*(s_0+9*s_r+IF(circ_int,eq_c1/2,0))/2))+2*IF(circ_int,0,eq_c1/2))+(PI()*(s_0+9*s_r+IF(circ_int,eq_c1/2,0))/2))+2*IF(circ_int,0,eq_c2/2))+(PI()*(s_0+9*s_r+IF(circ_int,eq_c1/2,0))/2))+2*IF(circ_int,0,eq_c1/2)),-IF(circ_int,0,eq_c1/2)+(((2+0.5)*(4*IF(circ_int,0,eq_c1/2)+4*IF(circ_int,0,eq_c2/2)+2*PI()*(s_0+9*s_r+IF(circ_int,eq_c1/2,0)))/INDEX(lk_legs,10))-((((((2*IF(circ_int,0,eq_c2/2))+(PI()*(s_0+9*s_r+IF(circ_int,eq_c1/2,0))/2))+2*IF(circ_int,0,eq_c1/2))+(PI()*(s_0+9*s_r+IF(circ_int,eq_c1/2,0))/2))+2*IF(circ_int,0,eq_c2/2))+(PI()*(s_0+9*s_r+IF(circ_int,eq_c1/2,0))/2))),IF(circ_int,0,eq_c1/2)+(s_0+9*s_r+IF(circ_int,eq_c1/2,0))*COS(3*PI()/2+(((2+0.5)*(4*IF(circ_int,0,eq_c1/2)+4*IF(circ_int,0,eq_c2/2)+2*PI()*(s_0+9*s_r+IF(circ_int,eq_c1/2,0)))/INDEX(lk_legs,10))-(((((((2*IF(circ_int,0,eq_c2/2))+(PI()*(s_0+9*s_r+IF(circ_int,eq_c1/2,0))/2))+2*IF(circ_int,0,eq_c1/2))+(PI()*(s_0+9*s_r+IF(circ_int,eq_c1/2,0))/2))+2*IF(circ_int,0,eq_c2/2))+(PI()*(s_0+9*s_r+IF(circ_int,eq_c1/2,0))/2))+2*IF(circ_int,0,eq_c1/2)))/(s_0+9*s_r+IF(circ_int,eq_c1/2,0)))))))))),NA())</f>
        <v/>
      </c>
      <c r="DC5">
        <f>IF(AND(AND(links_on,10&lt;=n_per),INDEX(lk_kind,10)=1,2&lt;INDEX(lk_legs,10)),g_oy+IF(((2+0.5)*(4*IF(circ_int,0,eq_c1/2)+4*IF(circ_int,0,eq_c2/2)+2*PI()*(s_0+9*s_r+IF(circ_int,eq_c1/2,0)))/INDEX(lk_legs,10))&lt;(2*IF(circ_int,0,eq_c2/2)),-IF(circ_int,0,eq_c2/2)+((2+0.5)*(4*IF(circ_int,0,eq_c1/2)+4*IF(circ_int,0,eq_c2/2)+2*PI()*(s_0+9*s_r+IF(circ_int,eq_c1/2,0)))/INDEX(lk_legs,10)),IF(((2+0.5)*(4*IF(circ_int,0,eq_c1/2)+4*IF(circ_int,0,eq_c2/2)+2*PI()*(s_0+9*s_r+IF(circ_int,eq_c1/2,0)))/INDEX(lk_legs,10))&lt;((2*IF(circ_int,0,eq_c2/2))+(PI()*(s_0+9*s_r+IF(circ_int,eq_c1/2,0))/2)),IF(circ_int,0,eq_c2/2)+(s_0+9*s_r+IF(circ_int,eq_c1/2,0))*SIN((((2+0.5)*(4*IF(circ_int,0,eq_c1/2)+4*IF(circ_int,0,eq_c2/2)+2*PI()*(s_0+9*s_r+IF(circ_int,eq_c1/2,0)))/INDEX(lk_legs,10))-(2*IF(circ_int,0,eq_c2/2)))/(s_0+9*s_r+IF(circ_int,eq_c1/2,0))),IF(((2+0.5)*(4*IF(circ_int,0,eq_c1/2)+4*IF(circ_int,0,eq_c2/2)+2*PI()*(s_0+9*s_r+IF(circ_int,eq_c1/2,0)))/INDEX(lk_legs,10))&lt;(((2*IF(circ_int,0,eq_c2/2))+(PI()*(s_0+9*s_r+IF(circ_int,eq_c1/2,0))/2))+2*IF(circ_int,0,eq_c1/2)),IF(circ_int,0,eq_c2/2)+(s_0+9*s_r+IF(circ_int,eq_c1/2,0)),IF(((2+0.5)*(4*IF(circ_int,0,eq_c1/2)+4*IF(circ_int,0,eq_c2/2)+2*PI()*(s_0+9*s_r+IF(circ_int,eq_c1/2,0)))/INDEX(lk_legs,10))&lt;((((2*IF(circ_int,0,eq_c2/2))+(PI()*(s_0+9*s_r+IF(circ_int,eq_c1/2,0))/2))+2*IF(circ_int,0,eq_c1/2))+(PI()*(s_0+9*s_r+IF(circ_int,eq_c1/2,0))/2)),IF(circ_int,0,eq_c2/2)+(s_0+9*s_r+IF(circ_int,eq_c1/2,0))*SIN(PI()/2+(((2+0.5)*(4*IF(circ_int,0,eq_c1/2)+4*IF(circ_int,0,eq_c2/2)+2*PI()*(s_0+9*s_r+IF(circ_int,eq_c1/2,0)))/INDEX(lk_legs,10))-(((2*IF(circ_int,0,eq_c2/2))+(PI()*(s_0+9*s_r+IF(circ_int,eq_c1/2,0))/2))+2*IF(circ_int,0,eq_c1/2)))/(s_0+9*s_r+IF(circ_int,eq_c1/2,0))),IF(((2+0.5)*(4*IF(circ_int,0,eq_c1/2)+4*IF(circ_int,0,eq_c2/2)+2*PI()*(s_0+9*s_r+IF(circ_int,eq_c1/2,0)))/INDEX(lk_legs,10))&lt;(((((2*IF(circ_int,0,eq_c2/2))+(PI()*(s_0+9*s_r+IF(circ_int,eq_c1/2,0))/2))+2*IF(circ_int,0,eq_c1/2))+(PI()*(s_0+9*s_r+IF(circ_int,eq_c1/2,0))/2))+2*IF(circ_int,0,eq_c2/2)),IF(circ_int,0,eq_c2/2)-(((2+0.5)*(4*IF(circ_int,0,eq_c1/2)+4*IF(circ_int,0,eq_c2/2)+2*PI()*(s_0+9*s_r+IF(circ_int,eq_c1/2,0)))/INDEX(lk_legs,10))-((((2*IF(circ_int,0,eq_c2/2))+(PI()*(s_0+9*s_r+IF(circ_int,eq_c1/2,0))/2))+2*IF(circ_int,0,eq_c1/2))+(PI()*(s_0+9*s_r+IF(circ_int,eq_c1/2,0))/2))),IF(((2+0.5)*(4*IF(circ_int,0,eq_c1/2)+4*IF(circ_int,0,eq_c2/2)+2*PI()*(s_0+9*s_r+IF(circ_int,eq_c1/2,0)))/INDEX(lk_legs,10))&lt;((((((2*IF(circ_int,0,eq_c2/2))+(PI()*(s_0+9*s_r+IF(circ_int,eq_c1/2,0))/2))+2*IF(circ_int,0,eq_c1/2))+(PI()*(s_0+9*s_r+IF(circ_int,eq_c1/2,0))/2))+2*IF(circ_int,0,eq_c2/2))+(PI()*(s_0+9*s_r+IF(circ_int,eq_c1/2,0))/2)),-IF(circ_int,0,eq_c2/2)+(s_0+9*s_r+IF(circ_int,eq_c1/2,0))*SIN(PI()+(((2+0.5)*(4*IF(circ_int,0,eq_c1/2)+4*IF(circ_int,0,eq_c2/2)+2*PI()*(s_0+9*s_r+IF(circ_int,eq_c1/2,0)))/INDEX(lk_legs,10))-(((((2*IF(circ_int,0,eq_c2/2))+(PI()*(s_0+9*s_r+IF(circ_int,eq_c1/2,0))/2))+2*IF(circ_int,0,eq_c1/2))+(PI()*(s_0+9*s_r+IF(circ_int,eq_c1/2,0))/2))+2*IF(circ_int,0,eq_c2/2)))/(s_0+9*s_r+IF(circ_int,eq_c1/2,0))),IF(((2+0.5)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(2+0.5)*(4*IF(circ_int,0,eq_c1/2)+4*IF(circ_int,0,eq_c2/2)+2*PI()*(s_0+9*s_r+IF(circ_int,eq_c1/2,0)))/INDEX(lk_legs,10))-(((((((2*IF(circ_int,0,eq_c2/2))+(PI()*(s_0+9*s_r+IF(circ_int,eq_c1/2,0))/2))+2*IF(circ_int,0,eq_c1/2))+(PI()*(s_0+9*s_r+IF(circ_int,eq_c1/2,0))/2))+2*IF(circ_int,0,eq_c2/2))+(PI()*(s_0+9*s_r+IF(circ_int,eq_c1/2,0))/2))+2*IF(circ_int,0,eq_c1/2)))/(s_0+9*s_r+IF(circ_int,eq_c1/2,0)))))))))),NA())</f>
        <v/>
      </c>
      <c r="DE5">
        <f>IF(AND(links_on,11&lt;=n_per),IF(circ_int,(g_ox)+(c_1/2+(s_0+10*s_r))*0.970942,CHOOSE(INDEX(lk_kind,11),(g_ox+eq_c1/2)+((s_0+10*s_r))*0.965926,(eq_a1+eq_c1)+((s_0+10*s_r))*0.130526,(eq_a1+eq_c1)+((s_0+10*s_r))*0.130526,(eq_a1)+((s_0+10*s_r))*-0.991445)),NA())</f>
        <v/>
      </c>
      <c r="DF5">
        <f>IF(AND(links_on,11&lt;=n_per),IF(circ_int,(g_oy)+(c_1/2+(s_0+10*s_r))*0.239316,CHOOSE(INDEX(lk_kind,11),(g_oy+eq_c2/2)+((s_0+10*s_r))*0.258819,(g_oy+eq_c2/2)+((s_0+10*s_r))*0.991445,(eq_a2+eq_c2)+((s_0+10*s_r))*0.991445,(eq_a2+eq_c2)+((s_0+10*s_r))*0.130526)),NA())</f>
        <v/>
      </c>
      <c r="DH5">
        <f>IF(AND(AND(links_on,11&lt;=n_per),INDEX(lk_kind,11)=1,2&lt;INDEX(lk_legs,11)),g_ox+IF(((2+0.5)*(4*IF(circ_int,0,eq_c1/2)+4*IF(circ_int,0,eq_c2/2)+2*PI()*(s_0+10*s_r+IF(circ_int,eq_c1/2,0)))/INDEX(lk_legs,11))&lt;(2*IF(circ_int,0,eq_c2/2)),IF(circ_int,0,eq_c1/2)+(s_0+10*s_r+IF(circ_int,eq_c1/2,0)),IF(((2+0.5)*(4*IF(circ_int,0,eq_c1/2)+4*IF(circ_int,0,eq_c2/2)+2*PI()*(s_0+10*s_r+IF(circ_int,eq_c1/2,0)))/INDEX(lk_legs,11))&lt;((2*IF(circ_int,0,eq_c2/2))+(PI()*(s_0+10*s_r+IF(circ_int,eq_c1/2,0))/2)),IF(circ_int,0,eq_c1/2)+(s_0+10*s_r+IF(circ_int,eq_c1/2,0))*COS((((2+0.5)*(4*IF(circ_int,0,eq_c1/2)+4*IF(circ_int,0,eq_c2/2)+2*PI()*(s_0+10*s_r+IF(circ_int,eq_c1/2,0)))/INDEX(lk_legs,11))-(2*IF(circ_int,0,eq_c2/2)))/(s_0+10*s_r+IF(circ_int,eq_c1/2,0))),IF(((2+0.5)*(4*IF(circ_int,0,eq_c1/2)+4*IF(circ_int,0,eq_c2/2)+2*PI()*(s_0+10*s_r+IF(circ_int,eq_c1/2,0)))/INDEX(lk_legs,11))&lt;(((2*IF(circ_int,0,eq_c2/2))+(PI()*(s_0+10*s_r+IF(circ_int,eq_c1/2,0))/2))+2*IF(circ_int,0,eq_c1/2)),IF(circ_int,0,eq_c1/2)-(((2+0.5)*(4*IF(circ_int,0,eq_c1/2)+4*IF(circ_int,0,eq_c2/2)+2*PI()*(s_0+10*s_r+IF(circ_int,eq_c1/2,0)))/INDEX(lk_legs,11))-((2*IF(circ_int,0,eq_c2/2))+(PI()*(s_0+10*s_r+IF(circ_int,eq_c1/2,0))/2))),IF(((2+0.5)*(4*IF(circ_int,0,eq_c1/2)+4*IF(circ_int,0,eq_c2/2)+2*PI()*(s_0+10*s_r+IF(circ_int,eq_c1/2,0)))/INDEX(lk_legs,11))&lt;((((2*IF(circ_int,0,eq_c2/2))+(PI()*(s_0+10*s_r+IF(circ_int,eq_c1/2,0))/2))+2*IF(circ_int,0,eq_c1/2))+(PI()*(s_0+10*s_r+IF(circ_int,eq_c1/2,0))/2)),-IF(circ_int,0,eq_c1/2)+(s_0+10*s_r+IF(circ_int,eq_c1/2,0))*COS(PI()/2+(((2+0.5)*(4*IF(circ_int,0,eq_c1/2)+4*IF(circ_int,0,eq_c2/2)+2*PI()*(s_0+10*s_r+IF(circ_int,eq_c1/2,0)))/INDEX(lk_legs,11))-(((2*IF(circ_int,0,eq_c2/2))+(PI()*(s_0+10*s_r+IF(circ_int,eq_c1/2,0))/2))+2*IF(circ_int,0,eq_c1/2)))/(s_0+10*s_r+IF(circ_int,eq_c1/2,0))),IF(((2+0.5)*(4*IF(circ_int,0,eq_c1/2)+4*IF(circ_int,0,eq_c2/2)+2*PI()*(s_0+10*s_r+IF(circ_int,eq_c1/2,0)))/INDEX(lk_legs,11))&lt;(((((2*IF(circ_int,0,eq_c2/2))+(PI()*(s_0+10*s_r+IF(circ_int,eq_c1/2,0))/2))+2*IF(circ_int,0,eq_c1/2))+(PI()*(s_0+10*s_r+IF(circ_int,eq_c1/2,0))/2))+2*IF(circ_int,0,eq_c2/2)),-IF(circ_int,0,eq_c1/2)-(s_0+10*s_r+IF(circ_int,eq_c1/2,0)),IF(((2+0.5)*(4*IF(circ_int,0,eq_c1/2)+4*IF(circ_int,0,eq_c2/2)+2*PI()*(s_0+10*s_r+IF(circ_int,eq_c1/2,0)))/INDEX(lk_legs,11))&lt;((((((2*IF(circ_int,0,eq_c2/2))+(PI()*(s_0+10*s_r+IF(circ_int,eq_c1/2,0))/2))+2*IF(circ_int,0,eq_c1/2))+(PI()*(s_0+10*s_r+IF(circ_int,eq_c1/2,0))/2))+2*IF(circ_int,0,eq_c2/2))+(PI()*(s_0+10*s_r+IF(circ_int,eq_c1/2,0))/2)),-IF(circ_int,0,eq_c1/2)+(s_0+10*s_r+IF(circ_int,eq_c1/2,0))*COS(PI()+(((2+0.5)*(4*IF(circ_int,0,eq_c1/2)+4*IF(circ_int,0,eq_c2/2)+2*PI()*(s_0+10*s_r+IF(circ_int,eq_c1/2,0)))/INDEX(lk_legs,11))-(((((2*IF(circ_int,0,eq_c2/2))+(PI()*(s_0+10*s_r+IF(circ_int,eq_c1/2,0))/2))+2*IF(circ_int,0,eq_c1/2))+(PI()*(s_0+10*s_r+IF(circ_int,eq_c1/2,0))/2))+2*IF(circ_int,0,eq_c2/2)))/(s_0+10*s_r+IF(circ_int,eq_c1/2,0))),IF(((2+0.5)*(4*IF(circ_int,0,eq_c1/2)+4*IF(circ_int,0,eq_c2/2)+2*PI()*(s_0+10*s_r+IF(circ_int,eq_c1/2,0)))/INDEX(lk_legs,11))&lt;(((((((2*IF(circ_int,0,eq_c2/2))+(PI()*(s_0+10*s_r+IF(circ_int,eq_c1/2,0))/2))+2*IF(circ_int,0,eq_c1/2))+(PI()*(s_0+10*s_r+IF(circ_int,eq_c1/2,0))/2))+2*IF(circ_int,0,eq_c2/2))+(PI()*(s_0+10*s_r+IF(circ_int,eq_c1/2,0))/2))+2*IF(circ_int,0,eq_c1/2)),-IF(circ_int,0,eq_c1/2)+(((2+0.5)*(4*IF(circ_int,0,eq_c1/2)+4*IF(circ_int,0,eq_c2/2)+2*PI()*(s_0+10*s_r+IF(circ_int,eq_c1/2,0)))/INDEX(lk_legs,11))-((((((2*IF(circ_int,0,eq_c2/2))+(PI()*(s_0+10*s_r+IF(circ_int,eq_c1/2,0))/2))+2*IF(circ_int,0,eq_c1/2))+(PI()*(s_0+10*s_r+IF(circ_int,eq_c1/2,0))/2))+2*IF(circ_int,0,eq_c2/2))+(PI()*(s_0+10*s_r+IF(circ_int,eq_c1/2,0))/2))),IF(circ_int,0,eq_c1/2)+(s_0+10*s_r+IF(circ_int,eq_c1/2,0))*COS(3*PI()/2+(((2+0.5)*(4*IF(circ_int,0,eq_c1/2)+4*IF(circ_int,0,eq_c2/2)+2*PI()*(s_0+10*s_r+IF(circ_int,eq_c1/2,0)))/INDEX(lk_legs,11))-(((((((2*IF(circ_int,0,eq_c2/2))+(PI()*(s_0+10*s_r+IF(circ_int,eq_c1/2,0))/2))+2*IF(circ_int,0,eq_c1/2))+(PI()*(s_0+10*s_r+IF(circ_int,eq_c1/2,0))/2))+2*IF(circ_int,0,eq_c2/2))+(PI()*(s_0+10*s_r+IF(circ_int,eq_c1/2,0))/2))+2*IF(circ_int,0,eq_c1/2)))/(s_0+10*s_r+IF(circ_int,eq_c1/2,0)))))))))),NA())</f>
        <v/>
      </c>
      <c r="DI5">
        <f>IF(AND(AND(links_on,11&lt;=n_per),INDEX(lk_kind,11)=1,2&lt;INDEX(lk_legs,11)),g_oy+IF(((2+0.5)*(4*IF(circ_int,0,eq_c1/2)+4*IF(circ_int,0,eq_c2/2)+2*PI()*(s_0+10*s_r+IF(circ_int,eq_c1/2,0)))/INDEX(lk_legs,11))&lt;(2*IF(circ_int,0,eq_c2/2)),-IF(circ_int,0,eq_c2/2)+((2+0.5)*(4*IF(circ_int,0,eq_c1/2)+4*IF(circ_int,0,eq_c2/2)+2*PI()*(s_0+10*s_r+IF(circ_int,eq_c1/2,0)))/INDEX(lk_legs,11)),IF(((2+0.5)*(4*IF(circ_int,0,eq_c1/2)+4*IF(circ_int,0,eq_c2/2)+2*PI()*(s_0+10*s_r+IF(circ_int,eq_c1/2,0)))/INDEX(lk_legs,11))&lt;((2*IF(circ_int,0,eq_c2/2))+(PI()*(s_0+10*s_r+IF(circ_int,eq_c1/2,0))/2)),IF(circ_int,0,eq_c2/2)+(s_0+10*s_r+IF(circ_int,eq_c1/2,0))*SIN((((2+0.5)*(4*IF(circ_int,0,eq_c1/2)+4*IF(circ_int,0,eq_c2/2)+2*PI()*(s_0+10*s_r+IF(circ_int,eq_c1/2,0)))/INDEX(lk_legs,11))-(2*IF(circ_int,0,eq_c2/2)))/(s_0+10*s_r+IF(circ_int,eq_c1/2,0))),IF(((2+0.5)*(4*IF(circ_int,0,eq_c1/2)+4*IF(circ_int,0,eq_c2/2)+2*PI()*(s_0+10*s_r+IF(circ_int,eq_c1/2,0)))/INDEX(lk_legs,11))&lt;(((2*IF(circ_int,0,eq_c2/2))+(PI()*(s_0+10*s_r+IF(circ_int,eq_c1/2,0))/2))+2*IF(circ_int,0,eq_c1/2)),IF(circ_int,0,eq_c2/2)+(s_0+10*s_r+IF(circ_int,eq_c1/2,0)),IF(((2+0.5)*(4*IF(circ_int,0,eq_c1/2)+4*IF(circ_int,0,eq_c2/2)+2*PI()*(s_0+10*s_r+IF(circ_int,eq_c1/2,0)))/INDEX(lk_legs,11))&lt;((((2*IF(circ_int,0,eq_c2/2))+(PI()*(s_0+10*s_r+IF(circ_int,eq_c1/2,0))/2))+2*IF(circ_int,0,eq_c1/2))+(PI()*(s_0+10*s_r+IF(circ_int,eq_c1/2,0))/2)),IF(circ_int,0,eq_c2/2)+(s_0+10*s_r+IF(circ_int,eq_c1/2,0))*SIN(PI()/2+(((2+0.5)*(4*IF(circ_int,0,eq_c1/2)+4*IF(circ_int,0,eq_c2/2)+2*PI()*(s_0+10*s_r+IF(circ_int,eq_c1/2,0)))/INDEX(lk_legs,11))-(((2*IF(circ_int,0,eq_c2/2))+(PI()*(s_0+10*s_r+IF(circ_int,eq_c1/2,0))/2))+2*IF(circ_int,0,eq_c1/2)))/(s_0+10*s_r+IF(circ_int,eq_c1/2,0))),IF(((2+0.5)*(4*IF(circ_int,0,eq_c1/2)+4*IF(circ_int,0,eq_c2/2)+2*PI()*(s_0+10*s_r+IF(circ_int,eq_c1/2,0)))/INDEX(lk_legs,11))&lt;(((((2*IF(circ_int,0,eq_c2/2))+(PI()*(s_0+10*s_r+IF(circ_int,eq_c1/2,0))/2))+2*IF(circ_int,0,eq_c1/2))+(PI()*(s_0+10*s_r+IF(circ_int,eq_c1/2,0))/2))+2*IF(circ_int,0,eq_c2/2)),IF(circ_int,0,eq_c2/2)-(((2+0.5)*(4*IF(circ_int,0,eq_c1/2)+4*IF(circ_int,0,eq_c2/2)+2*PI()*(s_0+10*s_r+IF(circ_int,eq_c1/2,0)))/INDEX(lk_legs,11))-((((2*IF(circ_int,0,eq_c2/2))+(PI()*(s_0+10*s_r+IF(circ_int,eq_c1/2,0))/2))+2*IF(circ_int,0,eq_c1/2))+(PI()*(s_0+10*s_r+IF(circ_int,eq_c1/2,0))/2))),IF(((2+0.5)*(4*IF(circ_int,0,eq_c1/2)+4*IF(circ_int,0,eq_c2/2)+2*PI()*(s_0+10*s_r+IF(circ_int,eq_c1/2,0)))/INDEX(lk_legs,11))&lt;((((((2*IF(circ_int,0,eq_c2/2))+(PI()*(s_0+10*s_r+IF(circ_int,eq_c1/2,0))/2))+2*IF(circ_int,0,eq_c1/2))+(PI()*(s_0+10*s_r+IF(circ_int,eq_c1/2,0))/2))+2*IF(circ_int,0,eq_c2/2))+(PI()*(s_0+10*s_r+IF(circ_int,eq_c1/2,0))/2)),-IF(circ_int,0,eq_c2/2)+(s_0+10*s_r+IF(circ_int,eq_c1/2,0))*SIN(PI()+(((2+0.5)*(4*IF(circ_int,0,eq_c1/2)+4*IF(circ_int,0,eq_c2/2)+2*PI()*(s_0+10*s_r+IF(circ_int,eq_c1/2,0)))/INDEX(lk_legs,11))-(((((2*IF(circ_int,0,eq_c2/2))+(PI()*(s_0+10*s_r+IF(circ_int,eq_c1/2,0))/2))+2*IF(circ_int,0,eq_c1/2))+(PI()*(s_0+10*s_r+IF(circ_int,eq_c1/2,0))/2))+2*IF(circ_int,0,eq_c2/2)))/(s_0+10*s_r+IF(circ_int,eq_c1/2,0))),IF(((2+0.5)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(2+0.5)*(4*IF(circ_int,0,eq_c1/2)+4*IF(circ_int,0,eq_c2/2)+2*PI()*(s_0+10*s_r+IF(circ_int,eq_c1/2,0)))/INDEX(lk_legs,11))-(((((((2*IF(circ_int,0,eq_c2/2))+(PI()*(s_0+10*s_r+IF(circ_int,eq_c1/2,0))/2))+2*IF(circ_int,0,eq_c1/2))+(PI()*(s_0+10*s_r+IF(circ_int,eq_c1/2,0))/2))+2*IF(circ_int,0,eq_c2/2))+(PI()*(s_0+10*s_r+IF(circ_int,eq_c1/2,0))/2))+2*IF(circ_int,0,eq_c1/2)))/(s_0+10*s_r+IF(circ_int,eq_c1/2,0)))))))))),NA())</f>
        <v/>
      </c>
      <c r="DK5">
        <f>IF(AND(links_on,12&lt;=n_per),IF(circ_int,(g_ox)+(c_1/2+(s_0+11*s_r))*0.970942,CHOOSE(INDEX(lk_kind,12),(g_ox+eq_c1/2)+((s_0+11*s_r))*0.965926,(eq_a1+eq_c1)+((s_0+11*s_r))*0.130526,(eq_a1+eq_c1)+((s_0+11*s_r))*0.130526,(eq_a1)+((s_0+11*s_r))*-0.991445)),NA())</f>
        <v/>
      </c>
      <c r="DL5">
        <f>IF(AND(links_on,12&lt;=n_per),IF(circ_int,(g_oy)+(c_1/2+(s_0+11*s_r))*0.239316,CHOOSE(INDEX(lk_kind,12),(g_oy+eq_c2/2)+((s_0+11*s_r))*0.258819,(g_oy+eq_c2/2)+((s_0+11*s_r))*0.991445,(eq_a2+eq_c2)+((s_0+11*s_r))*0.991445,(eq_a2+eq_c2)+((s_0+11*s_r))*0.130526)),NA())</f>
        <v/>
      </c>
      <c r="DN5">
        <f>IF(AND(AND(links_on,12&lt;=n_per),INDEX(lk_kind,12)=1,2&lt;INDEX(lk_legs,12)),g_ox+IF(((2+0.5)*(4*IF(circ_int,0,eq_c1/2)+4*IF(circ_int,0,eq_c2/2)+2*PI()*(s_0+11*s_r+IF(circ_int,eq_c1/2,0)))/INDEX(lk_legs,12))&lt;(2*IF(circ_int,0,eq_c2/2)),IF(circ_int,0,eq_c1/2)+(s_0+11*s_r+IF(circ_int,eq_c1/2,0)),IF(((2+0.5)*(4*IF(circ_int,0,eq_c1/2)+4*IF(circ_int,0,eq_c2/2)+2*PI()*(s_0+11*s_r+IF(circ_int,eq_c1/2,0)))/INDEX(lk_legs,12))&lt;((2*IF(circ_int,0,eq_c2/2))+(PI()*(s_0+11*s_r+IF(circ_int,eq_c1/2,0))/2)),IF(circ_int,0,eq_c1/2)+(s_0+11*s_r+IF(circ_int,eq_c1/2,0))*COS((((2+0.5)*(4*IF(circ_int,0,eq_c1/2)+4*IF(circ_int,0,eq_c2/2)+2*PI()*(s_0+11*s_r+IF(circ_int,eq_c1/2,0)))/INDEX(lk_legs,12))-(2*IF(circ_int,0,eq_c2/2)))/(s_0+11*s_r+IF(circ_int,eq_c1/2,0))),IF(((2+0.5)*(4*IF(circ_int,0,eq_c1/2)+4*IF(circ_int,0,eq_c2/2)+2*PI()*(s_0+11*s_r+IF(circ_int,eq_c1/2,0)))/INDEX(lk_legs,12))&lt;(((2*IF(circ_int,0,eq_c2/2))+(PI()*(s_0+11*s_r+IF(circ_int,eq_c1/2,0))/2))+2*IF(circ_int,0,eq_c1/2)),IF(circ_int,0,eq_c1/2)-(((2+0.5)*(4*IF(circ_int,0,eq_c1/2)+4*IF(circ_int,0,eq_c2/2)+2*PI()*(s_0+11*s_r+IF(circ_int,eq_c1/2,0)))/INDEX(lk_legs,12))-((2*IF(circ_int,0,eq_c2/2))+(PI()*(s_0+11*s_r+IF(circ_int,eq_c1/2,0))/2))),IF(((2+0.5)*(4*IF(circ_int,0,eq_c1/2)+4*IF(circ_int,0,eq_c2/2)+2*PI()*(s_0+11*s_r+IF(circ_int,eq_c1/2,0)))/INDEX(lk_legs,12))&lt;((((2*IF(circ_int,0,eq_c2/2))+(PI()*(s_0+11*s_r+IF(circ_int,eq_c1/2,0))/2))+2*IF(circ_int,0,eq_c1/2))+(PI()*(s_0+11*s_r+IF(circ_int,eq_c1/2,0))/2)),-IF(circ_int,0,eq_c1/2)+(s_0+11*s_r+IF(circ_int,eq_c1/2,0))*COS(PI()/2+(((2+0.5)*(4*IF(circ_int,0,eq_c1/2)+4*IF(circ_int,0,eq_c2/2)+2*PI()*(s_0+11*s_r+IF(circ_int,eq_c1/2,0)))/INDEX(lk_legs,12))-(((2*IF(circ_int,0,eq_c2/2))+(PI()*(s_0+11*s_r+IF(circ_int,eq_c1/2,0))/2))+2*IF(circ_int,0,eq_c1/2)))/(s_0+11*s_r+IF(circ_int,eq_c1/2,0))),IF(((2+0.5)*(4*IF(circ_int,0,eq_c1/2)+4*IF(circ_int,0,eq_c2/2)+2*PI()*(s_0+11*s_r+IF(circ_int,eq_c1/2,0)))/INDEX(lk_legs,12))&lt;(((((2*IF(circ_int,0,eq_c2/2))+(PI()*(s_0+11*s_r+IF(circ_int,eq_c1/2,0))/2))+2*IF(circ_int,0,eq_c1/2))+(PI()*(s_0+11*s_r+IF(circ_int,eq_c1/2,0))/2))+2*IF(circ_int,0,eq_c2/2)),-IF(circ_int,0,eq_c1/2)-(s_0+11*s_r+IF(circ_int,eq_c1/2,0)),IF(((2+0.5)*(4*IF(circ_int,0,eq_c1/2)+4*IF(circ_int,0,eq_c2/2)+2*PI()*(s_0+11*s_r+IF(circ_int,eq_c1/2,0)))/INDEX(lk_legs,12))&lt;((((((2*IF(circ_int,0,eq_c2/2))+(PI()*(s_0+11*s_r+IF(circ_int,eq_c1/2,0))/2))+2*IF(circ_int,0,eq_c1/2))+(PI()*(s_0+11*s_r+IF(circ_int,eq_c1/2,0))/2))+2*IF(circ_int,0,eq_c2/2))+(PI()*(s_0+11*s_r+IF(circ_int,eq_c1/2,0))/2)),-IF(circ_int,0,eq_c1/2)+(s_0+11*s_r+IF(circ_int,eq_c1/2,0))*COS(PI()+(((2+0.5)*(4*IF(circ_int,0,eq_c1/2)+4*IF(circ_int,0,eq_c2/2)+2*PI()*(s_0+11*s_r+IF(circ_int,eq_c1/2,0)))/INDEX(lk_legs,12))-(((((2*IF(circ_int,0,eq_c2/2))+(PI()*(s_0+11*s_r+IF(circ_int,eq_c1/2,0))/2))+2*IF(circ_int,0,eq_c1/2))+(PI()*(s_0+11*s_r+IF(circ_int,eq_c1/2,0))/2))+2*IF(circ_int,0,eq_c2/2)))/(s_0+11*s_r+IF(circ_int,eq_c1/2,0))),IF(((2+0.5)*(4*IF(circ_int,0,eq_c1/2)+4*IF(circ_int,0,eq_c2/2)+2*PI()*(s_0+11*s_r+IF(circ_int,eq_c1/2,0)))/INDEX(lk_legs,12))&lt;(((((((2*IF(circ_int,0,eq_c2/2))+(PI()*(s_0+11*s_r+IF(circ_int,eq_c1/2,0))/2))+2*IF(circ_int,0,eq_c1/2))+(PI()*(s_0+11*s_r+IF(circ_int,eq_c1/2,0))/2))+2*IF(circ_int,0,eq_c2/2))+(PI()*(s_0+11*s_r+IF(circ_int,eq_c1/2,0))/2))+2*IF(circ_int,0,eq_c1/2)),-IF(circ_int,0,eq_c1/2)+(((2+0.5)*(4*IF(circ_int,0,eq_c1/2)+4*IF(circ_int,0,eq_c2/2)+2*PI()*(s_0+11*s_r+IF(circ_int,eq_c1/2,0)))/INDEX(lk_legs,12))-((((((2*IF(circ_int,0,eq_c2/2))+(PI()*(s_0+11*s_r+IF(circ_int,eq_c1/2,0))/2))+2*IF(circ_int,0,eq_c1/2))+(PI()*(s_0+11*s_r+IF(circ_int,eq_c1/2,0))/2))+2*IF(circ_int,0,eq_c2/2))+(PI()*(s_0+11*s_r+IF(circ_int,eq_c1/2,0))/2))),IF(circ_int,0,eq_c1/2)+(s_0+11*s_r+IF(circ_int,eq_c1/2,0))*COS(3*PI()/2+(((2+0.5)*(4*IF(circ_int,0,eq_c1/2)+4*IF(circ_int,0,eq_c2/2)+2*PI()*(s_0+11*s_r+IF(circ_int,eq_c1/2,0)))/INDEX(lk_legs,12))-(((((((2*IF(circ_int,0,eq_c2/2))+(PI()*(s_0+11*s_r+IF(circ_int,eq_c1/2,0))/2))+2*IF(circ_int,0,eq_c1/2))+(PI()*(s_0+11*s_r+IF(circ_int,eq_c1/2,0))/2))+2*IF(circ_int,0,eq_c2/2))+(PI()*(s_0+11*s_r+IF(circ_int,eq_c1/2,0))/2))+2*IF(circ_int,0,eq_c1/2)))/(s_0+11*s_r+IF(circ_int,eq_c1/2,0)))))))))),NA())</f>
        <v/>
      </c>
      <c r="DO5">
        <f>IF(AND(AND(links_on,12&lt;=n_per),INDEX(lk_kind,12)=1,2&lt;INDEX(lk_legs,12)),g_oy+IF(((2+0.5)*(4*IF(circ_int,0,eq_c1/2)+4*IF(circ_int,0,eq_c2/2)+2*PI()*(s_0+11*s_r+IF(circ_int,eq_c1/2,0)))/INDEX(lk_legs,12))&lt;(2*IF(circ_int,0,eq_c2/2)),-IF(circ_int,0,eq_c2/2)+((2+0.5)*(4*IF(circ_int,0,eq_c1/2)+4*IF(circ_int,0,eq_c2/2)+2*PI()*(s_0+11*s_r+IF(circ_int,eq_c1/2,0)))/INDEX(lk_legs,12)),IF(((2+0.5)*(4*IF(circ_int,0,eq_c1/2)+4*IF(circ_int,0,eq_c2/2)+2*PI()*(s_0+11*s_r+IF(circ_int,eq_c1/2,0)))/INDEX(lk_legs,12))&lt;((2*IF(circ_int,0,eq_c2/2))+(PI()*(s_0+11*s_r+IF(circ_int,eq_c1/2,0))/2)),IF(circ_int,0,eq_c2/2)+(s_0+11*s_r+IF(circ_int,eq_c1/2,0))*SIN((((2+0.5)*(4*IF(circ_int,0,eq_c1/2)+4*IF(circ_int,0,eq_c2/2)+2*PI()*(s_0+11*s_r+IF(circ_int,eq_c1/2,0)))/INDEX(lk_legs,12))-(2*IF(circ_int,0,eq_c2/2)))/(s_0+11*s_r+IF(circ_int,eq_c1/2,0))),IF(((2+0.5)*(4*IF(circ_int,0,eq_c1/2)+4*IF(circ_int,0,eq_c2/2)+2*PI()*(s_0+11*s_r+IF(circ_int,eq_c1/2,0)))/INDEX(lk_legs,12))&lt;(((2*IF(circ_int,0,eq_c2/2))+(PI()*(s_0+11*s_r+IF(circ_int,eq_c1/2,0))/2))+2*IF(circ_int,0,eq_c1/2)),IF(circ_int,0,eq_c2/2)+(s_0+11*s_r+IF(circ_int,eq_c1/2,0)),IF(((2+0.5)*(4*IF(circ_int,0,eq_c1/2)+4*IF(circ_int,0,eq_c2/2)+2*PI()*(s_0+11*s_r+IF(circ_int,eq_c1/2,0)))/INDEX(lk_legs,12))&lt;((((2*IF(circ_int,0,eq_c2/2))+(PI()*(s_0+11*s_r+IF(circ_int,eq_c1/2,0))/2))+2*IF(circ_int,0,eq_c1/2))+(PI()*(s_0+11*s_r+IF(circ_int,eq_c1/2,0))/2)),IF(circ_int,0,eq_c2/2)+(s_0+11*s_r+IF(circ_int,eq_c1/2,0))*SIN(PI()/2+(((2+0.5)*(4*IF(circ_int,0,eq_c1/2)+4*IF(circ_int,0,eq_c2/2)+2*PI()*(s_0+11*s_r+IF(circ_int,eq_c1/2,0)))/INDEX(lk_legs,12))-(((2*IF(circ_int,0,eq_c2/2))+(PI()*(s_0+11*s_r+IF(circ_int,eq_c1/2,0))/2))+2*IF(circ_int,0,eq_c1/2)))/(s_0+11*s_r+IF(circ_int,eq_c1/2,0))),IF(((2+0.5)*(4*IF(circ_int,0,eq_c1/2)+4*IF(circ_int,0,eq_c2/2)+2*PI()*(s_0+11*s_r+IF(circ_int,eq_c1/2,0)))/INDEX(lk_legs,12))&lt;(((((2*IF(circ_int,0,eq_c2/2))+(PI()*(s_0+11*s_r+IF(circ_int,eq_c1/2,0))/2))+2*IF(circ_int,0,eq_c1/2))+(PI()*(s_0+11*s_r+IF(circ_int,eq_c1/2,0))/2))+2*IF(circ_int,0,eq_c2/2)),IF(circ_int,0,eq_c2/2)-(((2+0.5)*(4*IF(circ_int,0,eq_c1/2)+4*IF(circ_int,0,eq_c2/2)+2*PI()*(s_0+11*s_r+IF(circ_int,eq_c1/2,0)))/INDEX(lk_legs,12))-((((2*IF(circ_int,0,eq_c2/2))+(PI()*(s_0+11*s_r+IF(circ_int,eq_c1/2,0))/2))+2*IF(circ_int,0,eq_c1/2))+(PI()*(s_0+11*s_r+IF(circ_int,eq_c1/2,0))/2))),IF(((2+0.5)*(4*IF(circ_int,0,eq_c1/2)+4*IF(circ_int,0,eq_c2/2)+2*PI()*(s_0+11*s_r+IF(circ_int,eq_c1/2,0)))/INDEX(lk_legs,12))&lt;((((((2*IF(circ_int,0,eq_c2/2))+(PI()*(s_0+11*s_r+IF(circ_int,eq_c1/2,0))/2))+2*IF(circ_int,0,eq_c1/2))+(PI()*(s_0+11*s_r+IF(circ_int,eq_c1/2,0))/2))+2*IF(circ_int,0,eq_c2/2))+(PI()*(s_0+11*s_r+IF(circ_int,eq_c1/2,0))/2)),-IF(circ_int,0,eq_c2/2)+(s_0+11*s_r+IF(circ_int,eq_c1/2,0))*SIN(PI()+(((2+0.5)*(4*IF(circ_int,0,eq_c1/2)+4*IF(circ_int,0,eq_c2/2)+2*PI()*(s_0+11*s_r+IF(circ_int,eq_c1/2,0)))/INDEX(lk_legs,12))-(((((2*IF(circ_int,0,eq_c2/2))+(PI()*(s_0+11*s_r+IF(circ_int,eq_c1/2,0))/2))+2*IF(circ_int,0,eq_c1/2))+(PI()*(s_0+11*s_r+IF(circ_int,eq_c1/2,0))/2))+2*IF(circ_int,0,eq_c2/2)))/(s_0+11*s_r+IF(circ_int,eq_c1/2,0))),IF(((2+0.5)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(2+0.5)*(4*IF(circ_int,0,eq_c1/2)+4*IF(circ_int,0,eq_c2/2)+2*PI()*(s_0+11*s_r+IF(circ_int,eq_c1/2,0)))/INDEX(lk_legs,12))-(((((((2*IF(circ_int,0,eq_c2/2))+(PI()*(s_0+11*s_r+IF(circ_int,eq_c1/2,0))/2))+2*IF(circ_int,0,eq_c1/2))+(PI()*(s_0+11*s_r+IF(circ_int,eq_c1/2,0))/2))+2*IF(circ_int,0,eq_c2/2))+(PI()*(s_0+11*s_r+IF(circ_int,eq_c1/2,0))/2))+2*IF(circ_int,0,eq_c1/2)))/(s_0+11*s_r+IF(circ_int,eq_c1/2,0)))))))))),NA())</f>
        <v/>
      </c>
    </row>
    <row r="6">
      <c r="A6">
        <f>IF(shape="Circular",(g_ox)+(c_1/2+0)*0.935016,CHOOSE(1,(g_ox+eq_c1/2)+(0)*0.923880,(eq_a1+eq_c1)+(0)*0.258819,(eq_a1+eq_c1)+(0)*0.258819,(eq_a1)+(0)*-0.965926))</f>
        <v/>
      </c>
      <c r="B6">
        <f>IF(shape="Circular",(g_oy)+(c_1/2+0)*0.354605,CHOOSE(1,(g_oy+eq_c2/2)+(0)*0.382683,(g_oy+eq_c2/2)+(0)*0.965926,(eq_a2+eq_c2)+(0)*0.965926,(eq_a2+eq_c2)+(0)*0.258819))</f>
        <v/>
      </c>
      <c r="D6">
        <f>IF(circ_int,(g_ox)+(c_1/2+2*d_eff)*0.935016,CHOOSE(geo_idx,(g_ox+eq_c1/2)+(2*d_eff)*0.923880,(eq_a1+eq_c1)+(2*d_eff)*0.258819,(eq_a1+eq_c1)+(2*d_eff)*0.258819,(eq_a1)+(2*d_eff)*-0.965926))</f>
        <v/>
      </c>
      <c r="E6">
        <f>IF(circ_int,(g_oy)+(c_1/2+2*d_eff)*0.354605,CHOOSE(geo_idx,(g_oy+eq_c2/2)+(2*d_eff)*0.382683,(g_oy+eq_c2/2)+(2*d_eff)*0.965926,(eq_a2+eq_c2)+(2*d_eff)*0.965926,(eq_a2+eq_c2)+(2*d_eff)*0.258819))</f>
        <v/>
      </c>
      <c r="G6">
        <f>IF(AND(inputs_ok,punch_ok,A_sw&gt;0),IF(circ_int,(g_ox)+(c_1/2+r_out)*0.935016,CHOOSE(kind_out,(g_ox+eq_c1/2)+(r_out)*0.923880,(eq_a1+eq_c1)+(r_out)*0.258819,(eq_a1+eq_c1)+(r_out)*0.258819,(eq_a1)+(r_out)*-0.965926)),NA())</f>
        <v/>
      </c>
      <c r="H6">
        <f>IF(AND(inputs_ok,punch_ok,A_sw&gt;0),IF(circ_int,(g_oy)+(c_1/2+r_out)*0.354605,CHOOSE(kind_out,(g_oy+eq_c2/2)+(r_out)*0.382683,(g_oy+eq_c2/2)+(r_out)*0.965926,(eq_a2+eq_c2)+(r_out)*0.965926,(eq_a2+eq_c2)+(r_out)*0.258819)),NA())</f>
        <v/>
      </c>
      <c r="AW6">
        <f>IF(AND(links_on,1&lt;=n_per),IF(circ_int,(g_ox)+(c_1/2+(s_0+0*s_r))*0.935016,CHOOSE(INDEX(lk_kind,1),(g_ox+eq_c1/2)+((s_0+0*s_r))*0.923880,(eq_a1+eq_c1)+((s_0+0*s_r))*0.258819,(eq_a1+eq_c1)+((s_0+0*s_r))*0.258819,(eq_a1)+((s_0+0*s_r))*-0.965926)),NA())</f>
        <v/>
      </c>
      <c r="AX6">
        <f>IF(AND(links_on,1&lt;=n_per),IF(circ_int,(g_oy)+(c_1/2+(s_0+0*s_r))*0.354605,CHOOSE(INDEX(lk_kind,1),(g_oy+eq_c2/2)+((s_0+0*s_r))*0.382683,(g_oy+eq_c2/2)+((s_0+0*s_r))*0.965926,(eq_a2+eq_c2)+((s_0+0*s_r))*0.965926,(eq_a2+eq_c2)+((s_0+0*s_r))*0.258819)),NA())</f>
        <v/>
      </c>
      <c r="AZ6">
        <f>IF(AND(AND(links_on,1&lt;=n_per),INDEX(lk_kind,1)=1,3&lt;INDEX(lk_legs,1)),g_ox+IF(((3+0.5)*(4*IF(circ_int,0,eq_c1/2)+4*IF(circ_int,0,eq_c2/2)+2*PI()*(s_0+0*s_r+IF(circ_int,eq_c1/2,0)))/INDEX(lk_legs,1))&lt;(2*IF(circ_int,0,eq_c2/2)),IF(circ_int,0,eq_c1/2)+(s_0+0*s_r+IF(circ_int,eq_c1/2,0)),IF(((3+0.5)*(4*IF(circ_int,0,eq_c1/2)+4*IF(circ_int,0,eq_c2/2)+2*PI()*(s_0+0*s_r+IF(circ_int,eq_c1/2,0)))/INDEX(lk_legs,1))&lt;((2*IF(circ_int,0,eq_c2/2))+(PI()*(s_0+0*s_r+IF(circ_int,eq_c1/2,0))/2)),IF(circ_int,0,eq_c1/2)+(s_0+0*s_r+IF(circ_int,eq_c1/2,0))*COS((((3+0.5)*(4*IF(circ_int,0,eq_c1/2)+4*IF(circ_int,0,eq_c2/2)+2*PI()*(s_0+0*s_r+IF(circ_int,eq_c1/2,0)))/INDEX(lk_legs,1))-(2*IF(circ_int,0,eq_c2/2)))/(s_0+0*s_r+IF(circ_int,eq_c1/2,0))),IF(((3+0.5)*(4*IF(circ_int,0,eq_c1/2)+4*IF(circ_int,0,eq_c2/2)+2*PI()*(s_0+0*s_r+IF(circ_int,eq_c1/2,0)))/INDEX(lk_legs,1))&lt;(((2*IF(circ_int,0,eq_c2/2))+(PI()*(s_0+0*s_r+IF(circ_int,eq_c1/2,0))/2))+2*IF(circ_int,0,eq_c1/2)),IF(circ_int,0,eq_c1/2)-(((3+0.5)*(4*IF(circ_int,0,eq_c1/2)+4*IF(circ_int,0,eq_c2/2)+2*PI()*(s_0+0*s_r+IF(circ_int,eq_c1/2,0)))/INDEX(lk_legs,1))-((2*IF(circ_int,0,eq_c2/2))+(PI()*(s_0+0*s_r+IF(circ_int,eq_c1/2,0))/2))),IF(((3+0.5)*(4*IF(circ_int,0,eq_c1/2)+4*IF(circ_int,0,eq_c2/2)+2*PI()*(s_0+0*s_r+IF(circ_int,eq_c1/2,0)))/INDEX(lk_legs,1))&lt;((((2*IF(circ_int,0,eq_c2/2))+(PI()*(s_0+0*s_r+IF(circ_int,eq_c1/2,0))/2))+2*IF(circ_int,0,eq_c1/2))+(PI()*(s_0+0*s_r+IF(circ_int,eq_c1/2,0))/2)),-IF(circ_int,0,eq_c1/2)+(s_0+0*s_r+IF(circ_int,eq_c1/2,0))*COS(PI()/2+(((3+0.5)*(4*IF(circ_int,0,eq_c1/2)+4*IF(circ_int,0,eq_c2/2)+2*PI()*(s_0+0*s_r+IF(circ_int,eq_c1/2,0)))/INDEX(lk_legs,1))-(((2*IF(circ_int,0,eq_c2/2))+(PI()*(s_0+0*s_r+IF(circ_int,eq_c1/2,0))/2))+2*IF(circ_int,0,eq_c1/2)))/(s_0+0*s_r+IF(circ_int,eq_c1/2,0))),IF(((3+0.5)*(4*IF(circ_int,0,eq_c1/2)+4*IF(circ_int,0,eq_c2/2)+2*PI()*(s_0+0*s_r+IF(circ_int,eq_c1/2,0)))/INDEX(lk_legs,1))&lt;(((((2*IF(circ_int,0,eq_c2/2))+(PI()*(s_0+0*s_r+IF(circ_int,eq_c1/2,0))/2))+2*IF(circ_int,0,eq_c1/2))+(PI()*(s_0+0*s_r+IF(circ_int,eq_c1/2,0))/2))+2*IF(circ_int,0,eq_c2/2)),-IF(circ_int,0,eq_c1/2)-(s_0+0*s_r+IF(circ_int,eq_c1/2,0)),IF(((3+0.5)*(4*IF(circ_int,0,eq_c1/2)+4*IF(circ_int,0,eq_c2/2)+2*PI()*(s_0+0*s_r+IF(circ_int,eq_c1/2,0)))/INDEX(lk_legs,1))&lt;((((((2*IF(circ_int,0,eq_c2/2))+(PI()*(s_0+0*s_r+IF(circ_int,eq_c1/2,0))/2))+2*IF(circ_int,0,eq_c1/2))+(PI()*(s_0+0*s_r+IF(circ_int,eq_c1/2,0))/2))+2*IF(circ_int,0,eq_c2/2))+(PI()*(s_0+0*s_r+IF(circ_int,eq_c1/2,0))/2)),-IF(circ_int,0,eq_c1/2)+(s_0+0*s_r+IF(circ_int,eq_c1/2,0))*COS(PI()+(((3+0.5)*(4*IF(circ_int,0,eq_c1/2)+4*IF(circ_int,0,eq_c2/2)+2*PI()*(s_0+0*s_r+IF(circ_int,eq_c1/2,0)))/INDEX(lk_legs,1))-(((((2*IF(circ_int,0,eq_c2/2))+(PI()*(s_0+0*s_r+IF(circ_int,eq_c1/2,0))/2))+2*IF(circ_int,0,eq_c1/2))+(PI()*(s_0+0*s_r+IF(circ_int,eq_c1/2,0))/2))+2*IF(circ_int,0,eq_c2/2)))/(s_0+0*s_r+IF(circ_int,eq_c1/2,0))),IF(((3+0.5)*(4*IF(circ_int,0,eq_c1/2)+4*IF(circ_int,0,eq_c2/2)+2*PI()*(s_0+0*s_r+IF(circ_int,eq_c1/2,0)))/INDEX(lk_legs,1))&lt;(((((((2*IF(circ_int,0,eq_c2/2))+(PI()*(s_0+0*s_r+IF(circ_int,eq_c1/2,0))/2))+2*IF(circ_int,0,eq_c1/2))+(PI()*(s_0+0*s_r+IF(circ_int,eq_c1/2,0))/2))+2*IF(circ_int,0,eq_c2/2))+(PI()*(s_0+0*s_r+IF(circ_int,eq_c1/2,0))/2))+2*IF(circ_int,0,eq_c1/2)),-IF(circ_int,0,eq_c1/2)+(((3+0.5)*(4*IF(circ_int,0,eq_c1/2)+4*IF(circ_int,0,eq_c2/2)+2*PI()*(s_0+0*s_r+IF(circ_int,eq_c1/2,0)))/INDEX(lk_legs,1))-((((((2*IF(circ_int,0,eq_c2/2))+(PI()*(s_0+0*s_r+IF(circ_int,eq_c1/2,0))/2))+2*IF(circ_int,0,eq_c1/2))+(PI()*(s_0+0*s_r+IF(circ_int,eq_c1/2,0))/2))+2*IF(circ_int,0,eq_c2/2))+(PI()*(s_0+0*s_r+IF(circ_int,eq_c1/2,0))/2))),IF(circ_int,0,eq_c1/2)+(s_0+0*s_r+IF(circ_int,eq_c1/2,0))*COS(3*PI()/2+(((3+0.5)*(4*IF(circ_int,0,eq_c1/2)+4*IF(circ_int,0,eq_c2/2)+2*PI()*(s_0+0*s_r+IF(circ_int,eq_c1/2,0)))/INDEX(lk_legs,1))-(((((((2*IF(circ_int,0,eq_c2/2))+(PI()*(s_0+0*s_r+IF(circ_int,eq_c1/2,0))/2))+2*IF(circ_int,0,eq_c1/2))+(PI()*(s_0+0*s_r+IF(circ_int,eq_c1/2,0))/2))+2*IF(circ_int,0,eq_c2/2))+(PI()*(s_0+0*s_r+IF(circ_int,eq_c1/2,0))/2))+2*IF(circ_int,0,eq_c1/2)))/(s_0+0*s_r+IF(circ_int,eq_c1/2,0)))))))))),NA())</f>
        <v/>
      </c>
      <c r="BA6">
        <f>IF(AND(AND(links_on,1&lt;=n_per),INDEX(lk_kind,1)=1,3&lt;INDEX(lk_legs,1)),g_oy+IF(((3+0.5)*(4*IF(circ_int,0,eq_c1/2)+4*IF(circ_int,0,eq_c2/2)+2*PI()*(s_0+0*s_r+IF(circ_int,eq_c1/2,0)))/INDEX(lk_legs,1))&lt;(2*IF(circ_int,0,eq_c2/2)),-IF(circ_int,0,eq_c2/2)+((3+0.5)*(4*IF(circ_int,0,eq_c1/2)+4*IF(circ_int,0,eq_c2/2)+2*PI()*(s_0+0*s_r+IF(circ_int,eq_c1/2,0)))/INDEX(lk_legs,1)),IF(((3+0.5)*(4*IF(circ_int,0,eq_c1/2)+4*IF(circ_int,0,eq_c2/2)+2*PI()*(s_0+0*s_r+IF(circ_int,eq_c1/2,0)))/INDEX(lk_legs,1))&lt;((2*IF(circ_int,0,eq_c2/2))+(PI()*(s_0+0*s_r+IF(circ_int,eq_c1/2,0))/2)),IF(circ_int,0,eq_c2/2)+(s_0+0*s_r+IF(circ_int,eq_c1/2,0))*SIN((((3+0.5)*(4*IF(circ_int,0,eq_c1/2)+4*IF(circ_int,0,eq_c2/2)+2*PI()*(s_0+0*s_r+IF(circ_int,eq_c1/2,0)))/INDEX(lk_legs,1))-(2*IF(circ_int,0,eq_c2/2)))/(s_0+0*s_r+IF(circ_int,eq_c1/2,0))),IF(((3+0.5)*(4*IF(circ_int,0,eq_c1/2)+4*IF(circ_int,0,eq_c2/2)+2*PI()*(s_0+0*s_r+IF(circ_int,eq_c1/2,0)))/INDEX(lk_legs,1))&lt;(((2*IF(circ_int,0,eq_c2/2))+(PI()*(s_0+0*s_r+IF(circ_int,eq_c1/2,0))/2))+2*IF(circ_int,0,eq_c1/2)),IF(circ_int,0,eq_c2/2)+(s_0+0*s_r+IF(circ_int,eq_c1/2,0)),IF(((3+0.5)*(4*IF(circ_int,0,eq_c1/2)+4*IF(circ_int,0,eq_c2/2)+2*PI()*(s_0+0*s_r+IF(circ_int,eq_c1/2,0)))/INDEX(lk_legs,1))&lt;((((2*IF(circ_int,0,eq_c2/2))+(PI()*(s_0+0*s_r+IF(circ_int,eq_c1/2,0))/2))+2*IF(circ_int,0,eq_c1/2))+(PI()*(s_0+0*s_r+IF(circ_int,eq_c1/2,0))/2)),IF(circ_int,0,eq_c2/2)+(s_0+0*s_r+IF(circ_int,eq_c1/2,0))*SIN(PI()/2+(((3+0.5)*(4*IF(circ_int,0,eq_c1/2)+4*IF(circ_int,0,eq_c2/2)+2*PI()*(s_0+0*s_r+IF(circ_int,eq_c1/2,0)))/INDEX(lk_legs,1))-(((2*IF(circ_int,0,eq_c2/2))+(PI()*(s_0+0*s_r+IF(circ_int,eq_c1/2,0))/2))+2*IF(circ_int,0,eq_c1/2)))/(s_0+0*s_r+IF(circ_int,eq_c1/2,0))),IF(((3+0.5)*(4*IF(circ_int,0,eq_c1/2)+4*IF(circ_int,0,eq_c2/2)+2*PI()*(s_0+0*s_r+IF(circ_int,eq_c1/2,0)))/INDEX(lk_legs,1))&lt;(((((2*IF(circ_int,0,eq_c2/2))+(PI()*(s_0+0*s_r+IF(circ_int,eq_c1/2,0))/2))+2*IF(circ_int,0,eq_c1/2))+(PI()*(s_0+0*s_r+IF(circ_int,eq_c1/2,0))/2))+2*IF(circ_int,0,eq_c2/2)),IF(circ_int,0,eq_c2/2)-(((3+0.5)*(4*IF(circ_int,0,eq_c1/2)+4*IF(circ_int,0,eq_c2/2)+2*PI()*(s_0+0*s_r+IF(circ_int,eq_c1/2,0)))/INDEX(lk_legs,1))-((((2*IF(circ_int,0,eq_c2/2))+(PI()*(s_0+0*s_r+IF(circ_int,eq_c1/2,0))/2))+2*IF(circ_int,0,eq_c1/2))+(PI()*(s_0+0*s_r+IF(circ_int,eq_c1/2,0))/2))),IF(((3+0.5)*(4*IF(circ_int,0,eq_c1/2)+4*IF(circ_int,0,eq_c2/2)+2*PI()*(s_0+0*s_r+IF(circ_int,eq_c1/2,0)))/INDEX(lk_legs,1))&lt;((((((2*IF(circ_int,0,eq_c2/2))+(PI()*(s_0+0*s_r+IF(circ_int,eq_c1/2,0))/2))+2*IF(circ_int,0,eq_c1/2))+(PI()*(s_0+0*s_r+IF(circ_int,eq_c1/2,0))/2))+2*IF(circ_int,0,eq_c2/2))+(PI()*(s_0+0*s_r+IF(circ_int,eq_c1/2,0))/2)),-IF(circ_int,0,eq_c2/2)+(s_0+0*s_r+IF(circ_int,eq_c1/2,0))*SIN(PI()+(((3+0.5)*(4*IF(circ_int,0,eq_c1/2)+4*IF(circ_int,0,eq_c2/2)+2*PI()*(s_0+0*s_r+IF(circ_int,eq_c1/2,0)))/INDEX(lk_legs,1))-(((((2*IF(circ_int,0,eq_c2/2))+(PI()*(s_0+0*s_r+IF(circ_int,eq_c1/2,0))/2))+2*IF(circ_int,0,eq_c1/2))+(PI()*(s_0+0*s_r+IF(circ_int,eq_c1/2,0))/2))+2*IF(circ_int,0,eq_c2/2)))/(s_0+0*s_r+IF(circ_int,eq_c1/2,0))),IF(((3+0.5)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(3+0.5)*(4*IF(circ_int,0,eq_c1/2)+4*IF(circ_int,0,eq_c2/2)+2*PI()*(s_0+0*s_r+IF(circ_int,eq_c1/2,0)))/INDEX(lk_legs,1))-(((((((2*IF(circ_int,0,eq_c2/2))+(PI()*(s_0+0*s_r+IF(circ_int,eq_c1/2,0))/2))+2*IF(circ_int,0,eq_c1/2))+(PI()*(s_0+0*s_r+IF(circ_int,eq_c1/2,0))/2))+2*IF(circ_int,0,eq_c2/2))+(PI()*(s_0+0*s_r+IF(circ_int,eq_c1/2,0))/2))+2*IF(circ_int,0,eq_c1/2)))/(s_0+0*s_r+IF(circ_int,eq_c1/2,0)))))))))),NA())</f>
        <v/>
      </c>
      <c r="BC6">
        <f>IF(AND(links_on,2&lt;=n_per),IF(circ_int,(g_ox)+(c_1/2+(s_0+1*s_r))*0.935016,CHOOSE(INDEX(lk_kind,2),(g_ox+eq_c1/2)+((s_0+1*s_r))*0.923880,(eq_a1+eq_c1)+((s_0+1*s_r))*0.258819,(eq_a1+eq_c1)+((s_0+1*s_r))*0.258819,(eq_a1)+((s_0+1*s_r))*-0.965926)),NA())</f>
        <v/>
      </c>
      <c r="BD6">
        <f>IF(AND(links_on,2&lt;=n_per),IF(circ_int,(g_oy)+(c_1/2+(s_0+1*s_r))*0.354605,CHOOSE(INDEX(lk_kind,2),(g_oy+eq_c2/2)+((s_0+1*s_r))*0.382683,(g_oy+eq_c2/2)+((s_0+1*s_r))*0.965926,(eq_a2+eq_c2)+((s_0+1*s_r))*0.965926,(eq_a2+eq_c2)+((s_0+1*s_r))*0.258819)),NA())</f>
        <v/>
      </c>
      <c r="BF6">
        <f>IF(AND(AND(links_on,2&lt;=n_per),INDEX(lk_kind,2)=1,3&lt;INDEX(lk_legs,2)),g_ox+IF(((3+0.5)*(4*IF(circ_int,0,eq_c1/2)+4*IF(circ_int,0,eq_c2/2)+2*PI()*(s_0+1*s_r+IF(circ_int,eq_c1/2,0)))/INDEX(lk_legs,2))&lt;(2*IF(circ_int,0,eq_c2/2)),IF(circ_int,0,eq_c1/2)+(s_0+1*s_r+IF(circ_int,eq_c1/2,0)),IF(((3+0.5)*(4*IF(circ_int,0,eq_c1/2)+4*IF(circ_int,0,eq_c2/2)+2*PI()*(s_0+1*s_r+IF(circ_int,eq_c1/2,0)))/INDEX(lk_legs,2))&lt;((2*IF(circ_int,0,eq_c2/2))+(PI()*(s_0+1*s_r+IF(circ_int,eq_c1/2,0))/2)),IF(circ_int,0,eq_c1/2)+(s_0+1*s_r+IF(circ_int,eq_c1/2,0))*COS((((3+0.5)*(4*IF(circ_int,0,eq_c1/2)+4*IF(circ_int,0,eq_c2/2)+2*PI()*(s_0+1*s_r+IF(circ_int,eq_c1/2,0)))/INDEX(lk_legs,2))-(2*IF(circ_int,0,eq_c2/2)))/(s_0+1*s_r+IF(circ_int,eq_c1/2,0))),IF(((3+0.5)*(4*IF(circ_int,0,eq_c1/2)+4*IF(circ_int,0,eq_c2/2)+2*PI()*(s_0+1*s_r+IF(circ_int,eq_c1/2,0)))/INDEX(lk_legs,2))&lt;(((2*IF(circ_int,0,eq_c2/2))+(PI()*(s_0+1*s_r+IF(circ_int,eq_c1/2,0))/2))+2*IF(circ_int,0,eq_c1/2)),IF(circ_int,0,eq_c1/2)-(((3+0.5)*(4*IF(circ_int,0,eq_c1/2)+4*IF(circ_int,0,eq_c2/2)+2*PI()*(s_0+1*s_r+IF(circ_int,eq_c1/2,0)))/INDEX(lk_legs,2))-((2*IF(circ_int,0,eq_c2/2))+(PI()*(s_0+1*s_r+IF(circ_int,eq_c1/2,0))/2))),IF(((3+0.5)*(4*IF(circ_int,0,eq_c1/2)+4*IF(circ_int,0,eq_c2/2)+2*PI()*(s_0+1*s_r+IF(circ_int,eq_c1/2,0)))/INDEX(lk_legs,2))&lt;((((2*IF(circ_int,0,eq_c2/2))+(PI()*(s_0+1*s_r+IF(circ_int,eq_c1/2,0))/2))+2*IF(circ_int,0,eq_c1/2))+(PI()*(s_0+1*s_r+IF(circ_int,eq_c1/2,0))/2)),-IF(circ_int,0,eq_c1/2)+(s_0+1*s_r+IF(circ_int,eq_c1/2,0))*COS(PI()/2+(((3+0.5)*(4*IF(circ_int,0,eq_c1/2)+4*IF(circ_int,0,eq_c2/2)+2*PI()*(s_0+1*s_r+IF(circ_int,eq_c1/2,0)))/INDEX(lk_legs,2))-(((2*IF(circ_int,0,eq_c2/2))+(PI()*(s_0+1*s_r+IF(circ_int,eq_c1/2,0))/2))+2*IF(circ_int,0,eq_c1/2)))/(s_0+1*s_r+IF(circ_int,eq_c1/2,0))),IF(((3+0.5)*(4*IF(circ_int,0,eq_c1/2)+4*IF(circ_int,0,eq_c2/2)+2*PI()*(s_0+1*s_r+IF(circ_int,eq_c1/2,0)))/INDEX(lk_legs,2))&lt;(((((2*IF(circ_int,0,eq_c2/2))+(PI()*(s_0+1*s_r+IF(circ_int,eq_c1/2,0))/2))+2*IF(circ_int,0,eq_c1/2))+(PI()*(s_0+1*s_r+IF(circ_int,eq_c1/2,0))/2))+2*IF(circ_int,0,eq_c2/2)),-IF(circ_int,0,eq_c1/2)-(s_0+1*s_r+IF(circ_int,eq_c1/2,0)),IF(((3+0.5)*(4*IF(circ_int,0,eq_c1/2)+4*IF(circ_int,0,eq_c2/2)+2*PI()*(s_0+1*s_r+IF(circ_int,eq_c1/2,0)))/INDEX(lk_legs,2))&lt;((((((2*IF(circ_int,0,eq_c2/2))+(PI()*(s_0+1*s_r+IF(circ_int,eq_c1/2,0))/2))+2*IF(circ_int,0,eq_c1/2))+(PI()*(s_0+1*s_r+IF(circ_int,eq_c1/2,0))/2))+2*IF(circ_int,0,eq_c2/2))+(PI()*(s_0+1*s_r+IF(circ_int,eq_c1/2,0))/2)),-IF(circ_int,0,eq_c1/2)+(s_0+1*s_r+IF(circ_int,eq_c1/2,0))*COS(PI()+(((3+0.5)*(4*IF(circ_int,0,eq_c1/2)+4*IF(circ_int,0,eq_c2/2)+2*PI()*(s_0+1*s_r+IF(circ_int,eq_c1/2,0)))/INDEX(lk_legs,2))-(((((2*IF(circ_int,0,eq_c2/2))+(PI()*(s_0+1*s_r+IF(circ_int,eq_c1/2,0))/2))+2*IF(circ_int,0,eq_c1/2))+(PI()*(s_0+1*s_r+IF(circ_int,eq_c1/2,0))/2))+2*IF(circ_int,0,eq_c2/2)))/(s_0+1*s_r+IF(circ_int,eq_c1/2,0))),IF(((3+0.5)*(4*IF(circ_int,0,eq_c1/2)+4*IF(circ_int,0,eq_c2/2)+2*PI()*(s_0+1*s_r+IF(circ_int,eq_c1/2,0)))/INDEX(lk_legs,2))&lt;(((((((2*IF(circ_int,0,eq_c2/2))+(PI()*(s_0+1*s_r+IF(circ_int,eq_c1/2,0))/2))+2*IF(circ_int,0,eq_c1/2))+(PI()*(s_0+1*s_r+IF(circ_int,eq_c1/2,0))/2))+2*IF(circ_int,0,eq_c2/2))+(PI()*(s_0+1*s_r+IF(circ_int,eq_c1/2,0))/2))+2*IF(circ_int,0,eq_c1/2)),-IF(circ_int,0,eq_c1/2)+(((3+0.5)*(4*IF(circ_int,0,eq_c1/2)+4*IF(circ_int,0,eq_c2/2)+2*PI()*(s_0+1*s_r+IF(circ_int,eq_c1/2,0)))/INDEX(lk_legs,2))-((((((2*IF(circ_int,0,eq_c2/2))+(PI()*(s_0+1*s_r+IF(circ_int,eq_c1/2,0))/2))+2*IF(circ_int,0,eq_c1/2))+(PI()*(s_0+1*s_r+IF(circ_int,eq_c1/2,0))/2))+2*IF(circ_int,0,eq_c2/2))+(PI()*(s_0+1*s_r+IF(circ_int,eq_c1/2,0))/2))),IF(circ_int,0,eq_c1/2)+(s_0+1*s_r+IF(circ_int,eq_c1/2,0))*COS(3*PI()/2+(((3+0.5)*(4*IF(circ_int,0,eq_c1/2)+4*IF(circ_int,0,eq_c2/2)+2*PI()*(s_0+1*s_r+IF(circ_int,eq_c1/2,0)))/INDEX(lk_legs,2))-(((((((2*IF(circ_int,0,eq_c2/2))+(PI()*(s_0+1*s_r+IF(circ_int,eq_c1/2,0))/2))+2*IF(circ_int,0,eq_c1/2))+(PI()*(s_0+1*s_r+IF(circ_int,eq_c1/2,0))/2))+2*IF(circ_int,0,eq_c2/2))+(PI()*(s_0+1*s_r+IF(circ_int,eq_c1/2,0))/2))+2*IF(circ_int,0,eq_c1/2)))/(s_0+1*s_r+IF(circ_int,eq_c1/2,0)))))))))),NA())</f>
        <v/>
      </c>
      <c r="BG6">
        <f>IF(AND(AND(links_on,2&lt;=n_per),INDEX(lk_kind,2)=1,3&lt;INDEX(lk_legs,2)),g_oy+IF(((3+0.5)*(4*IF(circ_int,0,eq_c1/2)+4*IF(circ_int,0,eq_c2/2)+2*PI()*(s_0+1*s_r+IF(circ_int,eq_c1/2,0)))/INDEX(lk_legs,2))&lt;(2*IF(circ_int,0,eq_c2/2)),-IF(circ_int,0,eq_c2/2)+((3+0.5)*(4*IF(circ_int,0,eq_c1/2)+4*IF(circ_int,0,eq_c2/2)+2*PI()*(s_0+1*s_r+IF(circ_int,eq_c1/2,0)))/INDEX(lk_legs,2)),IF(((3+0.5)*(4*IF(circ_int,0,eq_c1/2)+4*IF(circ_int,0,eq_c2/2)+2*PI()*(s_0+1*s_r+IF(circ_int,eq_c1/2,0)))/INDEX(lk_legs,2))&lt;((2*IF(circ_int,0,eq_c2/2))+(PI()*(s_0+1*s_r+IF(circ_int,eq_c1/2,0))/2)),IF(circ_int,0,eq_c2/2)+(s_0+1*s_r+IF(circ_int,eq_c1/2,0))*SIN((((3+0.5)*(4*IF(circ_int,0,eq_c1/2)+4*IF(circ_int,0,eq_c2/2)+2*PI()*(s_0+1*s_r+IF(circ_int,eq_c1/2,0)))/INDEX(lk_legs,2))-(2*IF(circ_int,0,eq_c2/2)))/(s_0+1*s_r+IF(circ_int,eq_c1/2,0))),IF(((3+0.5)*(4*IF(circ_int,0,eq_c1/2)+4*IF(circ_int,0,eq_c2/2)+2*PI()*(s_0+1*s_r+IF(circ_int,eq_c1/2,0)))/INDEX(lk_legs,2))&lt;(((2*IF(circ_int,0,eq_c2/2))+(PI()*(s_0+1*s_r+IF(circ_int,eq_c1/2,0))/2))+2*IF(circ_int,0,eq_c1/2)),IF(circ_int,0,eq_c2/2)+(s_0+1*s_r+IF(circ_int,eq_c1/2,0)),IF(((3+0.5)*(4*IF(circ_int,0,eq_c1/2)+4*IF(circ_int,0,eq_c2/2)+2*PI()*(s_0+1*s_r+IF(circ_int,eq_c1/2,0)))/INDEX(lk_legs,2))&lt;((((2*IF(circ_int,0,eq_c2/2))+(PI()*(s_0+1*s_r+IF(circ_int,eq_c1/2,0))/2))+2*IF(circ_int,0,eq_c1/2))+(PI()*(s_0+1*s_r+IF(circ_int,eq_c1/2,0))/2)),IF(circ_int,0,eq_c2/2)+(s_0+1*s_r+IF(circ_int,eq_c1/2,0))*SIN(PI()/2+(((3+0.5)*(4*IF(circ_int,0,eq_c1/2)+4*IF(circ_int,0,eq_c2/2)+2*PI()*(s_0+1*s_r+IF(circ_int,eq_c1/2,0)))/INDEX(lk_legs,2))-(((2*IF(circ_int,0,eq_c2/2))+(PI()*(s_0+1*s_r+IF(circ_int,eq_c1/2,0))/2))+2*IF(circ_int,0,eq_c1/2)))/(s_0+1*s_r+IF(circ_int,eq_c1/2,0))),IF(((3+0.5)*(4*IF(circ_int,0,eq_c1/2)+4*IF(circ_int,0,eq_c2/2)+2*PI()*(s_0+1*s_r+IF(circ_int,eq_c1/2,0)))/INDEX(lk_legs,2))&lt;(((((2*IF(circ_int,0,eq_c2/2))+(PI()*(s_0+1*s_r+IF(circ_int,eq_c1/2,0))/2))+2*IF(circ_int,0,eq_c1/2))+(PI()*(s_0+1*s_r+IF(circ_int,eq_c1/2,0))/2))+2*IF(circ_int,0,eq_c2/2)),IF(circ_int,0,eq_c2/2)-(((3+0.5)*(4*IF(circ_int,0,eq_c1/2)+4*IF(circ_int,0,eq_c2/2)+2*PI()*(s_0+1*s_r+IF(circ_int,eq_c1/2,0)))/INDEX(lk_legs,2))-((((2*IF(circ_int,0,eq_c2/2))+(PI()*(s_0+1*s_r+IF(circ_int,eq_c1/2,0))/2))+2*IF(circ_int,0,eq_c1/2))+(PI()*(s_0+1*s_r+IF(circ_int,eq_c1/2,0))/2))),IF(((3+0.5)*(4*IF(circ_int,0,eq_c1/2)+4*IF(circ_int,0,eq_c2/2)+2*PI()*(s_0+1*s_r+IF(circ_int,eq_c1/2,0)))/INDEX(lk_legs,2))&lt;((((((2*IF(circ_int,0,eq_c2/2))+(PI()*(s_0+1*s_r+IF(circ_int,eq_c1/2,0))/2))+2*IF(circ_int,0,eq_c1/2))+(PI()*(s_0+1*s_r+IF(circ_int,eq_c1/2,0))/2))+2*IF(circ_int,0,eq_c2/2))+(PI()*(s_0+1*s_r+IF(circ_int,eq_c1/2,0))/2)),-IF(circ_int,0,eq_c2/2)+(s_0+1*s_r+IF(circ_int,eq_c1/2,0))*SIN(PI()+(((3+0.5)*(4*IF(circ_int,0,eq_c1/2)+4*IF(circ_int,0,eq_c2/2)+2*PI()*(s_0+1*s_r+IF(circ_int,eq_c1/2,0)))/INDEX(lk_legs,2))-(((((2*IF(circ_int,0,eq_c2/2))+(PI()*(s_0+1*s_r+IF(circ_int,eq_c1/2,0))/2))+2*IF(circ_int,0,eq_c1/2))+(PI()*(s_0+1*s_r+IF(circ_int,eq_c1/2,0))/2))+2*IF(circ_int,0,eq_c2/2)))/(s_0+1*s_r+IF(circ_int,eq_c1/2,0))),IF(((3+0.5)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(3+0.5)*(4*IF(circ_int,0,eq_c1/2)+4*IF(circ_int,0,eq_c2/2)+2*PI()*(s_0+1*s_r+IF(circ_int,eq_c1/2,0)))/INDEX(lk_legs,2))-(((((((2*IF(circ_int,0,eq_c2/2))+(PI()*(s_0+1*s_r+IF(circ_int,eq_c1/2,0))/2))+2*IF(circ_int,0,eq_c1/2))+(PI()*(s_0+1*s_r+IF(circ_int,eq_c1/2,0))/2))+2*IF(circ_int,0,eq_c2/2))+(PI()*(s_0+1*s_r+IF(circ_int,eq_c1/2,0))/2))+2*IF(circ_int,0,eq_c1/2)))/(s_0+1*s_r+IF(circ_int,eq_c1/2,0)))))))))),NA())</f>
        <v/>
      </c>
      <c r="BI6">
        <f>IF(AND(links_on,3&lt;=n_per),IF(circ_int,(g_ox)+(c_1/2+(s_0+2*s_r))*0.935016,CHOOSE(INDEX(lk_kind,3),(g_ox+eq_c1/2)+((s_0+2*s_r))*0.923880,(eq_a1+eq_c1)+((s_0+2*s_r))*0.258819,(eq_a1+eq_c1)+((s_0+2*s_r))*0.258819,(eq_a1)+((s_0+2*s_r))*-0.965926)),NA())</f>
        <v/>
      </c>
      <c r="BJ6">
        <f>IF(AND(links_on,3&lt;=n_per),IF(circ_int,(g_oy)+(c_1/2+(s_0+2*s_r))*0.354605,CHOOSE(INDEX(lk_kind,3),(g_oy+eq_c2/2)+((s_0+2*s_r))*0.382683,(g_oy+eq_c2/2)+((s_0+2*s_r))*0.965926,(eq_a2+eq_c2)+((s_0+2*s_r))*0.965926,(eq_a2+eq_c2)+((s_0+2*s_r))*0.258819)),NA())</f>
        <v/>
      </c>
      <c r="BL6">
        <f>IF(AND(AND(links_on,3&lt;=n_per),INDEX(lk_kind,3)=1,3&lt;INDEX(lk_legs,3)),g_ox+IF(((3+0.5)*(4*IF(circ_int,0,eq_c1/2)+4*IF(circ_int,0,eq_c2/2)+2*PI()*(s_0+2*s_r+IF(circ_int,eq_c1/2,0)))/INDEX(lk_legs,3))&lt;(2*IF(circ_int,0,eq_c2/2)),IF(circ_int,0,eq_c1/2)+(s_0+2*s_r+IF(circ_int,eq_c1/2,0)),IF(((3+0.5)*(4*IF(circ_int,0,eq_c1/2)+4*IF(circ_int,0,eq_c2/2)+2*PI()*(s_0+2*s_r+IF(circ_int,eq_c1/2,0)))/INDEX(lk_legs,3))&lt;((2*IF(circ_int,0,eq_c2/2))+(PI()*(s_0+2*s_r+IF(circ_int,eq_c1/2,0))/2)),IF(circ_int,0,eq_c1/2)+(s_0+2*s_r+IF(circ_int,eq_c1/2,0))*COS((((3+0.5)*(4*IF(circ_int,0,eq_c1/2)+4*IF(circ_int,0,eq_c2/2)+2*PI()*(s_0+2*s_r+IF(circ_int,eq_c1/2,0)))/INDEX(lk_legs,3))-(2*IF(circ_int,0,eq_c2/2)))/(s_0+2*s_r+IF(circ_int,eq_c1/2,0))),IF(((3+0.5)*(4*IF(circ_int,0,eq_c1/2)+4*IF(circ_int,0,eq_c2/2)+2*PI()*(s_0+2*s_r+IF(circ_int,eq_c1/2,0)))/INDEX(lk_legs,3))&lt;(((2*IF(circ_int,0,eq_c2/2))+(PI()*(s_0+2*s_r+IF(circ_int,eq_c1/2,0))/2))+2*IF(circ_int,0,eq_c1/2)),IF(circ_int,0,eq_c1/2)-(((3+0.5)*(4*IF(circ_int,0,eq_c1/2)+4*IF(circ_int,0,eq_c2/2)+2*PI()*(s_0+2*s_r+IF(circ_int,eq_c1/2,0)))/INDEX(lk_legs,3))-((2*IF(circ_int,0,eq_c2/2))+(PI()*(s_0+2*s_r+IF(circ_int,eq_c1/2,0))/2))),IF(((3+0.5)*(4*IF(circ_int,0,eq_c1/2)+4*IF(circ_int,0,eq_c2/2)+2*PI()*(s_0+2*s_r+IF(circ_int,eq_c1/2,0)))/INDEX(lk_legs,3))&lt;((((2*IF(circ_int,0,eq_c2/2))+(PI()*(s_0+2*s_r+IF(circ_int,eq_c1/2,0))/2))+2*IF(circ_int,0,eq_c1/2))+(PI()*(s_0+2*s_r+IF(circ_int,eq_c1/2,0))/2)),-IF(circ_int,0,eq_c1/2)+(s_0+2*s_r+IF(circ_int,eq_c1/2,0))*COS(PI()/2+(((3+0.5)*(4*IF(circ_int,0,eq_c1/2)+4*IF(circ_int,0,eq_c2/2)+2*PI()*(s_0+2*s_r+IF(circ_int,eq_c1/2,0)))/INDEX(lk_legs,3))-(((2*IF(circ_int,0,eq_c2/2))+(PI()*(s_0+2*s_r+IF(circ_int,eq_c1/2,0))/2))+2*IF(circ_int,0,eq_c1/2)))/(s_0+2*s_r+IF(circ_int,eq_c1/2,0))),IF(((3+0.5)*(4*IF(circ_int,0,eq_c1/2)+4*IF(circ_int,0,eq_c2/2)+2*PI()*(s_0+2*s_r+IF(circ_int,eq_c1/2,0)))/INDEX(lk_legs,3))&lt;(((((2*IF(circ_int,0,eq_c2/2))+(PI()*(s_0+2*s_r+IF(circ_int,eq_c1/2,0))/2))+2*IF(circ_int,0,eq_c1/2))+(PI()*(s_0+2*s_r+IF(circ_int,eq_c1/2,0))/2))+2*IF(circ_int,0,eq_c2/2)),-IF(circ_int,0,eq_c1/2)-(s_0+2*s_r+IF(circ_int,eq_c1/2,0)),IF(((3+0.5)*(4*IF(circ_int,0,eq_c1/2)+4*IF(circ_int,0,eq_c2/2)+2*PI()*(s_0+2*s_r+IF(circ_int,eq_c1/2,0)))/INDEX(lk_legs,3))&lt;((((((2*IF(circ_int,0,eq_c2/2))+(PI()*(s_0+2*s_r+IF(circ_int,eq_c1/2,0))/2))+2*IF(circ_int,0,eq_c1/2))+(PI()*(s_0+2*s_r+IF(circ_int,eq_c1/2,0))/2))+2*IF(circ_int,0,eq_c2/2))+(PI()*(s_0+2*s_r+IF(circ_int,eq_c1/2,0))/2)),-IF(circ_int,0,eq_c1/2)+(s_0+2*s_r+IF(circ_int,eq_c1/2,0))*COS(PI()+(((3+0.5)*(4*IF(circ_int,0,eq_c1/2)+4*IF(circ_int,0,eq_c2/2)+2*PI()*(s_0+2*s_r+IF(circ_int,eq_c1/2,0)))/INDEX(lk_legs,3))-(((((2*IF(circ_int,0,eq_c2/2))+(PI()*(s_0+2*s_r+IF(circ_int,eq_c1/2,0))/2))+2*IF(circ_int,0,eq_c1/2))+(PI()*(s_0+2*s_r+IF(circ_int,eq_c1/2,0))/2))+2*IF(circ_int,0,eq_c2/2)))/(s_0+2*s_r+IF(circ_int,eq_c1/2,0))),IF(((3+0.5)*(4*IF(circ_int,0,eq_c1/2)+4*IF(circ_int,0,eq_c2/2)+2*PI()*(s_0+2*s_r+IF(circ_int,eq_c1/2,0)))/INDEX(lk_legs,3))&lt;(((((((2*IF(circ_int,0,eq_c2/2))+(PI()*(s_0+2*s_r+IF(circ_int,eq_c1/2,0))/2))+2*IF(circ_int,0,eq_c1/2))+(PI()*(s_0+2*s_r+IF(circ_int,eq_c1/2,0))/2))+2*IF(circ_int,0,eq_c2/2))+(PI()*(s_0+2*s_r+IF(circ_int,eq_c1/2,0))/2))+2*IF(circ_int,0,eq_c1/2)),-IF(circ_int,0,eq_c1/2)+(((3+0.5)*(4*IF(circ_int,0,eq_c1/2)+4*IF(circ_int,0,eq_c2/2)+2*PI()*(s_0+2*s_r+IF(circ_int,eq_c1/2,0)))/INDEX(lk_legs,3))-((((((2*IF(circ_int,0,eq_c2/2))+(PI()*(s_0+2*s_r+IF(circ_int,eq_c1/2,0))/2))+2*IF(circ_int,0,eq_c1/2))+(PI()*(s_0+2*s_r+IF(circ_int,eq_c1/2,0))/2))+2*IF(circ_int,0,eq_c2/2))+(PI()*(s_0+2*s_r+IF(circ_int,eq_c1/2,0))/2))),IF(circ_int,0,eq_c1/2)+(s_0+2*s_r+IF(circ_int,eq_c1/2,0))*COS(3*PI()/2+(((3+0.5)*(4*IF(circ_int,0,eq_c1/2)+4*IF(circ_int,0,eq_c2/2)+2*PI()*(s_0+2*s_r+IF(circ_int,eq_c1/2,0)))/INDEX(lk_legs,3))-(((((((2*IF(circ_int,0,eq_c2/2))+(PI()*(s_0+2*s_r+IF(circ_int,eq_c1/2,0))/2))+2*IF(circ_int,0,eq_c1/2))+(PI()*(s_0+2*s_r+IF(circ_int,eq_c1/2,0))/2))+2*IF(circ_int,0,eq_c2/2))+(PI()*(s_0+2*s_r+IF(circ_int,eq_c1/2,0))/2))+2*IF(circ_int,0,eq_c1/2)))/(s_0+2*s_r+IF(circ_int,eq_c1/2,0)))))))))),NA())</f>
        <v/>
      </c>
      <c r="BM6">
        <f>IF(AND(AND(links_on,3&lt;=n_per),INDEX(lk_kind,3)=1,3&lt;INDEX(lk_legs,3)),g_oy+IF(((3+0.5)*(4*IF(circ_int,0,eq_c1/2)+4*IF(circ_int,0,eq_c2/2)+2*PI()*(s_0+2*s_r+IF(circ_int,eq_c1/2,0)))/INDEX(lk_legs,3))&lt;(2*IF(circ_int,0,eq_c2/2)),-IF(circ_int,0,eq_c2/2)+((3+0.5)*(4*IF(circ_int,0,eq_c1/2)+4*IF(circ_int,0,eq_c2/2)+2*PI()*(s_0+2*s_r+IF(circ_int,eq_c1/2,0)))/INDEX(lk_legs,3)),IF(((3+0.5)*(4*IF(circ_int,0,eq_c1/2)+4*IF(circ_int,0,eq_c2/2)+2*PI()*(s_0+2*s_r+IF(circ_int,eq_c1/2,0)))/INDEX(lk_legs,3))&lt;((2*IF(circ_int,0,eq_c2/2))+(PI()*(s_0+2*s_r+IF(circ_int,eq_c1/2,0))/2)),IF(circ_int,0,eq_c2/2)+(s_0+2*s_r+IF(circ_int,eq_c1/2,0))*SIN((((3+0.5)*(4*IF(circ_int,0,eq_c1/2)+4*IF(circ_int,0,eq_c2/2)+2*PI()*(s_0+2*s_r+IF(circ_int,eq_c1/2,0)))/INDEX(lk_legs,3))-(2*IF(circ_int,0,eq_c2/2)))/(s_0+2*s_r+IF(circ_int,eq_c1/2,0))),IF(((3+0.5)*(4*IF(circ_int,0,eq_c1/2)+4*IF(circ_int,0,eq_c2/2)+2*PI()*(s_0+2*s_r+IF(circ_int,eq_c1/2,0)))/INDEX(lk_legs,3))&lt;(((2*IF(circ_int,0,eq_c2/2))+(PI()*(s_0+2*s_r+IF(circ_int,eq_c1/2,0))/2))+2*IF(circ_int,0,eq_c1/2)),IF(circ_int,0,eq_c2/2)+(s_0+2*s_r+IF(circ_int,eq_c1/2,0)),IF(((3+0.5)*(4*IF(circ_int,0,eq_c1/2)+4*IF(circ_int,0,eq_c2/2)+2*PI()*(s_0+2*s_r+IF(circ_int,eq_c1/2,0)))/INDEX(lk_legs,3))&lt;((((2*IF(circ_int,0,eq_c2/2))+(PI()*(s_0+2*s_r+IF(circ_int,eq_c1/2,0))/2))+2*IF(circ_int,0,eq_c1/2))+(PI()*(s_0+2*s_r+IF(circ_int,eq_c1/2,0))/2)),IF(circ_int,0,eq_c2/2)+(s_0+2*s_r+IF(circ_int,eq_c1/2,0))*SIN(PI()/2+(((3+0.5)*(4*IF(circ_int,0,eq_c1/2)+4*IF(circ_int,0,eq_c2/2)+2*PI()*(s_0+2*s_r+IF(circ_int,eq_c1/2,0)))/INDEX(lk_legs,3))-(((2*IF(circ_int,0,eq_c2/2))+(PI()*(s_0+2*s_r+IF(circ_int,eq_c1/2,0))/2))+2*IF(circ_int,0,eq_c1/2)))/(s_0+2*s_r+IF(circ_int,eq_c1/2,0))),IF(((3+0.5)*(4*IF(circ_int,0,eq_c1/2)+4*IF(circ_int,0,eq_c2/2)+2*PI()*(s_0+2*s_r+IF(circ_int,eq_c1/2,0)))/INDEX(lk_legs,3))&lt;(((((2*IF(circ_int,0,eq_c2/2))+(PI()*(s_0+2*s_r+IF(circ_int,eq_c1/2,0))/2))+2*IF(circ_int,0,eq_c1/2))+(PI()*(s_0+2*s_r+IF(circ_int,eq_c1/2,0))/2))+2*IF(circ_int,0,eq_c2/2)),IF(circ_int,0,eq_c2/2)-(((3+0.5)*(4*IF(circ_int,0,eq_c1/2)+4*IF(circ_int,0,eq_c2/2)+2*PI()*(s_0+2*s_r+IF(circ_int,eq_c1/2,0)))/INDEX(lk_legs,3))-((((2*IF(circ_int,0,eq_c2/2))+(PI()*(s_0+2*s_r+IF(circ_int,eq_c1/2,0))/2))+2*IF(circ_int,0,eq_c1/2))+(PI()*(s_0+2*s_r+IF(circ_int,eq_c1/2,0))/2))),IF(((3+0.5)*(4*IF(circ_int,0,eq_c1/2)+4*IF(circ_int,0,eq_c2/2)+2*PI()*(s_0+2*s_r+IF(circ_int,eq_c1/2,0)))/INDEX(lk_legs,3))&lt;((((((2*IF(circ_int,0,eq_c2/2))+(PI()*(s_0+2*s_r+IF(circ_int,eq_c1/2,0))/2))+2*IF(circ_int,0,eq_c1/2))+(PI()*(s_0+2*s_r+IF(circ_int,eq_c1/2,0))/2))+2*IF(circ_int,0,eq_c2/2))+(PI()*(s_0+2*s_r+IF(circ_int,eq_c1/2,0))/2)),-IF(circ_int,0,eq_c2/2)+(s_0+2*s_r+IF(circ_int,eq_c1/2,0))*SIN(PI()+(((3+0.5)*(4*IF(circ_int,0,eq_c1/2)+4*IF(circ_int,0,eq_c2/2)+2*PI()*(s_0+2*s_r+IF(circ_int,eq_c1/2,0)))/INDEX(lk_legs,3))-(((((2*IF(circ_int,0,eq_c2/2))+(PI()*(s_0+2*s_r+IF(circ_int,eq_c1/2,0))/2))+2*IF(circ_int,0,eq_c1/2))+(PI()*(s_0+2*s_r+IF(circ_int,eq_c1/2,0))/2))+2*IF(circ_int,0,eq_c2/2)))/(s_0+2*s_r+IF(circ_int,eq_c1/2,0))),IF(((3+0.5)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(3+0.5)*(4*IF(circ_int,0,eq_c1/2)+4*IF(circ_int,0,eq_c2/2)+2*PI()*(s_0+2*s_r+IF(circ_int,eq_c1/2,0)))/INDEX(lk_legs,3))-(((((((2*IF(circ_int,0,eq_c2/2))+(PI()*(s_0+2*s_r+IF(circ_int,eq_c1/2,0))/2))+2*IF(circ_int,0,eq_c1/2))+(PI()*(s_0+2*s_r+IF(circ_int,eq_c1/2,0))/2))+2*IF(circ_int,0,eq_c2/2))+(PI()*(s_0+2*s_r+IF(circ_int,eq_c1/2,0))/2))+2*IF(circ_int,0,eq_c1/2)))/(s_0+2*s_r+IF(circ_int,eq_c1/2,0)))))))))),NA())</f>
        <v/>
      </c>
      <c r="BO6">
        <f>IF(AND(links_on,4&lt;=n_per),IF(circ_int,(g_ox)+(c_1/2+(s_0+3*s_r))*0.935016,CHOOSE(INDEX(lk_kind,4),(g_ox+eq_c1/2)+((s_0+3*s_r))*0.923880,(eq_a1+eq_c1)+((s_0+3*s_r))*0.258819,(eq_a1+eq_c1)+((s_0+3*s_r))*0.258819,(eq_a1)+((s_0+3*s_r))*-0.965926)),NA())</f>
        <v/>
      </c>
      <c r="BP6">
        <f>IF(AND(links_on,4&lt;=n_per),IF(circ_int,(g_oy)+(c_1/2+(s_0+3*s_r))*0.354605,CHOOSE(INDEX(lk_kind,4),(g_oy+eq_c2/2)+((s_0+3*s_r))*0.382683,(g_oy+eq_c2/2)+((s_0+3*s_r))*0.965926,(eq_a2+eq_c2)+((s_0+3*s_r))*0.965926,(eq_a2+eq_c2)+((s_0+3*s_r))*0.258819)),NA())</f>
        <v/>
      </c>
      <c r="BR6">
        <f>IF(AND(AND(links_on,4&lt;=n_per),INDEX(lk_kind,4)=1,3&lt;INDEX(lk_legs,4)),g_ox+IF(((3+0.5)*(4*IF(circ_int,0,eq_c1/2)+4*IF(circ_int,0,eq_c2/2)+2*PI()*(s_0+3*s_r+IF(circ_int,eq_c1/2,0)))/INDEX(lk_legs,4))&lt;(2*IF(circ_int,0,eq_c2/2)),IF(circ_int,0,eq_c1/2)+(s_0+3*s_r+IF(circ_int,eq_c1/2,0)),IF(((3+0.5)*(4*IF(circ_int,0,eq_c1/2)+4*IF(circ_int,0,eq_c2/2)+2*PI()*(s_0+3*s_r+IF(circ_int,eq_c1/2,0)))/INDEX(lk_legs,4))&lt;((2*IF(circ_int,0,eq_c2/2))+(PI()*(s_0+3*s_r+IF(circ_int,eq_c1/2,0))/2)),IF(circ_int,0,eq_c1/2)+(s_0+3*s_r+IF(circ_int,eq_c1/2,0))*COS((((3+0.5)*(4*IF(circ_int,0,eq_c1/2)+4*IF(circ_int,0,eq_c2/2)+2*PI()*(s_0+3*s_r+IF(circ_int,eq_c1/2,0)))/INDEX(lk_legs,4))-(2*IF(circ_int,0,eq_c2/2)))/(s_0+3*s_r+IF(circ_int,eq_c1/2,0))),IF(((3+0.5)*(4*IF(circ_int,0,eq_c1/2)+4*IF(circ_int,0,eq_c2/2)+2*PI()*(s_0+3*s_r+IF(circ_int,eq_c1/2,0)))/INDEX(lk_legs,4))&lt;(((2*IF(circ_int,0,eq_c2/2))+(PI()*(s_0+3*s_r+IF(circ_int,eq_c1/2,0))/2))+2*IF(circ_int,0,eq_c1/2)),IF(circ_int,0,eq_c1/2)-(((3+0.5)*(4*IF(circ_int,0,eq_c1/2)+4*IF(circ_int,0,eq_c2/2)+2*PI()*(s_0+3*s_r+IF(circ_int,eq_c1/2,0)))/INDEX(lk_legs,4))-((2*IF(circ_int,0,eq_c2/2))+(PI()*(s_0+3*s_r+IF(circ_int,eq_c1/2,0))/2))),IF(((3+0.5)*(4*IF(circ_int,0,eq_c1/2)+4*IF(circ_int,0,eq_c2/2)+2*PI()*(s_0+3*s_r+IF(circ_int,eq_c1/2,0)))/INDEX(lk_legs,4))&lt;((((2*IF(circ_int,0,eq_c2/2))+(PI()*(s_0+3*s_r+IF(circ_int,eq_c1/2,0))/2))+2*IF(circ_int,0,eq_c1/2))+(PI()*(s_0+3*s_r+IF(circ_int,eq_c1/2,0))/2)),-IF(circ_int,0,eq_c1/2)+(s_0+3*s_r+IF(circ_int,eq_c1/2,0))*COS(PI()/2+(((3+0.5)*(4*IF(circ_int,0,eq_c1/2)+4*IF(circ_int,0,eq_c2/2)+2*PI()*(s_0+3*s_r+IF(circ_int,eq_c1/2,0)))/INDEX(lk_legs,4))-(((2*IF(circ_int,0,eq_c2/2))+(PI()*(s_0+3*s_r+IF(circ_int,eq_c1/2,0))/2))+2*IF(circ_int,0,eq_c1/2)))/(s_0+3*s_r+IF(circ_int,eq_c1/2,0))),IF(((3+0.5)*(4*IF(circ_int,0,eq_c1/2)+4*IF(circ_int,0,eq_c2/2)+2*PI()*(s_0+3*s_r+IF(circ_int,eq_c1/2,0)))/INDEX(lk_legs,4))&lt;(((((2*IF(circ_int,0,eq_c2/2))+(PI()*(s_0+3*s_r+IF(circ_int,eq_c1/2,0))/2))+2*IF(circ_int,0,eq_c1/2))+(PI()*(s_0+3*s_r+IF(circ_int,eq_c1/2,0))/2))+2*IF(circ_int,0,eq_c2/2)),-IF(circ_int,0,eq_c1/2)-(s_0+3*s_r+IF(circ_int,eq_c1/2,0)),IF(((3+0.5)*(4*IF(circ_int,0,eq_c1/2)+4*IF(circ_int,0,eq_c2/2)+2*PI()*(s_0+3*s_r+IF(circ_int,eq_c1/2,0)))/INDEX(lk_legs,4))&lt;((((((2*IF(circ_int,0,eq_c2/2))+(PI()*(s_0+3*s_r+IF(circ_int,eq_c1/2,0))/2))+2*IF(circ_int,0,eq_c1/2))+(PI()*(s_0+3*s_r+IF(circ_int,eq_c1/2,0))/2))+2*IF(circ_int,0,eq_c2/2))+(PI()*(s_0+3*s_r+IF(circ_int,eq_c1/2,0))/2)),-IF(circ_int,0,eq_c1/2)+(s_0+3*s_r+IF(circ_int,eq_c1/2,0))*COS(PI()+(((3+0.5)*(4*IF(circ_int,0,eq_c1/2)+4*IF(circ_int,0,eq_c2/2)+2*PI()*(s_0+3*s_r+IF(circ_int,eq_c1/2,0)))/INDEX(lk_legs,4))-(((((2*IF(circ_int,0,eq_c2/2))+(PI()*(s_0+3*s_r+IF(circ_int,eq_c1/2,0))/2))+2*IF(circ_int,0,eq_c1/2))+(PI()*(s_0+3*s_r+IF(circ_int,eq_c1/2,0))/2))+2*IF(circ_int,0,eq_c2/2)))/(s_0+3*s_r+IF(circ_int,eq_c1/2,0))),IF(((3+0.5)*(4*IF(circ_int,0,eq_c1/2)+4*IF(circ_int,0,eq_c2/2)+2*PI()*(s_0+3*s_r+IF(circ_int,eq_c1/2,0)))/INDEX(lk_legs,4))&lt;(((((((2*IF(circ_int,0,eq_c2/2))+(PI()*(s_0+3*s_r+IF(circ_int,eq_c1/2,0))/2))+2*IF(circ_int,0,eq_c1/2))+(PI()*(s_0+3*s_r+IF(circ_int,eq_c1/2,0))/2))+2*IF(circ_int,0,eq_c2/2))+(PI()*(s_0+3*s_r+IF(circ_int,eq_c1/2,0))/2))+2*IF(circ_int,0,eq_c1/2)),-IF(circ_int,0,eq_c1/2)+(((3+0.5)*(4*IF(circ_int,0,eq_c1/2)+4*IF(circ_int,0,eq_c2/2)+2*PI()*(s_0+3*s_r+IF(circ_int,eq_c1/2,0)))/INDEX(lk_legs,4))-((((((2*IF(circ_int,0,eq_c2/2))+(PI()*(s_0+3*s_r+IF(circ_int,eq_c1/2,0))/2))+2*IF(circ_int,0,eq_c1/2))+(PI()*(s_0+3*s_r+IF(circ_int,eq_c1/2,0))/2))+2*IF(circ_int,0,eq_c2/2))+(PI()*(s_0+3*s_r+IF(circ_int,eq_c1/2,0))/2))),IF(circ_int,0,eq_c1/2)+(s_0+3*s_r+IF(circ_int,eq_c1/2,0))*COS(3*PI()/2+(((3+0.5)*(4*IF(circ_int,0,eq_c1/2)+4*IF(circ_int,0,eq_c2/2)+2*PI()*(s_0+3*s_r+IF(circ_int,eq_c1/2,0)))/INDEX(lk_legs,4))-(((((((2*IF(circ_int,0,eq_c2/2))+(PI()*(s_0+3*s_r+IF(circ_int,eq_c1/2,0))/2))+2*IF(circ_int,0,eq_c1/2))+(PI()*(s_0+3*s_r+IF(circ_int,eq_c1/2,0))/2))+2*IF(circ_int,0,eq_c2/2))+(PI()*(s_0+3*s_r+IF(circ_int,eq_c1/2,0))/2))+2*IF(circ_int,0,eq_c1/2)))/(s_0+3*s_r+IF(circ_int,eq_c1/2,0)))))))))),NA())</f>
        <v/>
      </c>
      <c r="BS6">
        <f>IF(AND(AND(links_on,4&lt;=n_per),INDEX(lk_kind,4)=1,3&lt;INDEX(lk_legs,4)),g_oy+IF(((3+0.5)*(4*IF(circ_int,0,eq_c1/2)+4*IF(circ_int,0,eq_c2/2)+2*PI()*(s_0+3*s_r+IF(circ_int,eq_c1/2,0)))/INDEX(lk_legs,4))&lt;(2*IF(circ_int,0,eq_c2/2)),-IF(circ_int,0,eq_c2/2)+((3+0.5)*(4*IF(circ_int,0,eq_c1/2)+4*IF(circ_int,0,eq_c2/2)+2*PI()*(s_0+3*s_r+IF(circ_int,eq_c1/2,0)))/INDEX(lk_legs,4)),IF(((3+0.5)*(4*IF(circ_int,0,eq_c1/2)+4*IF(circ_int,0,eq_c2/2)+2*PI()*(s_0+3*s_r+IF(circ_int,eq_c1/2,0)))/INDEX(lk_legs,4))&lt;((2*IF(circ_int,0,eq_c2/2))+(PI()*(s_0+3*s_r+IF(circ_int,eq_c1/2,0))/2)),IF(circ_int,0,eq_c2/2)+(s_0+3*s_r+IF(circ_int,eq_c1/2,0))*SIN((((3+0.5)*(4*IF(circ_int,0,eq_c1/2)+4*IF(circ_int,0,eq_c2/2)+2*PI()*(s_0+3*s_r+IF(circ_int,eq_c1/2,0)))/INDEX(lk_legs,4))-(2*IF(circ_int,0,eq_c2/2)))/(s_0+3*s_r+IF(circ_int,eq_c1/2,0))),IF(((3+0.5)*(4*IF(circ_int,0,eq_c1/2)+4*IF(circ_int,0,eq_c2/2)+2*PI()*(s_0+3*s_r+IF(circ_int,eq_c1/2,0)))/INDEX(lk_legs,4))&lt;(((2*IF(circ_int,0,eq_c2/2))+(PI()*(s_0+3*s_r+IF(circ_int,eq_c1/2,0))/2))+2*IF(circ_int,0,eq_c1/2)),IF(circ_int,0,eq_c2/2)+(s_0+3*s_r+IF(circ_int,eq_c1/2,0)),IF(((3+0.5)*(4*IF(circ_int,0,eq_c1/2)+4*IF(circ_int,0,eq_c2/2)+2*PI()*(s_0+3*s_r+IF(circ_int,eq_c1/2,0)))/INDEX(lk_legs,4))&lt;((((2*IF(circ_int,0,eq_c2/2))+(PI()*(s_0+3*s_r+IF(circ_int,eq_c1/2,0))/2))+2*IF(circ_int,0,eq_c1/2))+(PI()*(s_0+3*s_r+IF(circ_int,eq_c1/2,0))/2)),IF(circ_int,0,eq_c2/2)+(s_0+3*s_r+IF(circ_int,eq_c1/2,0))*SIN(PI()/2+(((3+0.5)*(4*IF(circ_int,0,eq_c1/2)+4*IF(circ_int,0,eq_c2/2)+2*PI()*(s_0+3*s_r+IF(circ_int,eq_c1/2,0)))/INDEX(lk_legs,4))-(((2*IF(circ_int,0,eq_c2/2))+(PI()*(s_0+3*s_r+IF(circ_int,eq_c1/2,0))/2))+2*IF(circ_int,0,eq_c1/2)))/(s_0+3*s_r+IF(circ_int,eq_c1/2,0))),IF(((3+0.5)*(4*IF(circ_int,0,eq_c1/2)+4*IF(circ_int,0,eq_c2/2)+2*PI()*(s_0+3*s_r+IF(circ_int,eq_c1/2,0)))/INDEX(lk_legs,4))&lt;(((((2*IF(circ_int,0,eq_c2/2))+(PI()*(s_0+3*s_r+IF(circ_int,eq_c1/2,0))/2))+2*IF(circ_int,0,eq_c1/2))+(PI()*(s_0+3*s_r+IF(circ_int,eq_c1/2,0))/2))+2*IF(circ_int,0,eq_c2/2)),IF(circ_int,0,eq_c2/2)-(((3+0.5)*(4*IF(circ_int,0,eq_c1/2)+4*IF(circ_int,0,eq_c2/2)+2*PI()*(s_0+3*s_r+IF(circ_int,eq_c1/2,0)))/INDEX(lk_legs,4))-((((2*IF(circ_int,0,eq_c2/2))+(PI()*(s_0+3*s_r+IF(circ_int,eq_c1/2,0))/2))+2*IF(circ_int,0,eq_c1/2))+(PI()*(s_0+3*s_r+IF(circ_int,eq_c1/2,0))/2))),IF(((3+0.5)*(4*IF(circ_int,0,eq_c1/2)+4*IF(circ_int,0,eq_c2/2)+2*PI()*(s_0+3*s_r+IF(circ_int,eq_c1/2,0)))/INDEX(lk_legs,4))&lt;((((((2*IF(circ_int,0,eq_c2/2))+(PI()*(s_0+3*s_r+IF(circ_int,eq_c1/2,0))/2))+2*IF(circ_int,0,eq_c1/2))+(PI()*(s_0+3*s_r+IF(circ_int,eq_c1/2,0))/2))+2*IF(circ_int,0,eq_c2/2))+(PI()*(s_0+3*s_r+IF(circ_int,eq_c1/2,0))/2)),-IF(circ_int,0,eq_c2/2)+(s_0+3*s_r+IF(circ_int,eq_c1/2,0))*SIN(PI()+(((3+0.5)*(4*IF(circ_int,0,eq_c1/2)+4*IF(circ_int,0,eq_c2/2)+2*PI()*(s_0+3*s_r+IF(circ_int,eq_c1/2,0)))/INDEX(lk_legs,4))-(((((2*IF(circ_int,0,eq_c2/2))+(PI()*(s_0+3*s_r+IF(circ_int,eq_c1/2,0))/2))+2*IF(circ_int,0,eq_c1/2))+(PI()*(s_0+3*s_r+IF(circ_int,eq_c1/2,0))/2))+2*IF(circ_int,0,eq_c2/2)))/(s_0+3*s_r+IF(circ_int,eq_c1/2,0))),IF(((3+0.5)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(3+0.5)*(4*IF(circ_int,0,eq_c1/2)+4*IF(circ_int,0,eq_c2/2)+2*PI()*(s_0+3*s_r+IF(circ_int,eq_c1/2,0)))/INDEX(lk_legs,4))-(((((((2*IF(circ_int,0,eq_c2/2))+(PI()*(s_0+3*s_r+IF(circ_int,eq_c1/2,0))/2))+2*IF(circ_int,0,eq_c1/2))+(PI()*(s_0+3*s_r+IF(circ_int,eq_c1/2,0))/2))+2*IF(circ_int,0,eq_c2/2))+(PI()*(s_0+3*s_r+IF(circ_int,eq_c1/2,0))/2))+2*IF(circ_int,0,eq_c1/2)))/(s_0+3*s_r+IF(circ_int,eq_c1/2,0)))))))))),NA())</f>
        <v/>
      </c>
      <c r="BU6">
        <f>IF(AND(links_on,5&lt;=n_per),IF(circ_int,(g_ox)+(c_1/2+(s_0+4*s_r))*0.935016,CHOOSE(INDEX(lk_kind,5),(g_ox+eq_c1/2)+((s_0+4*s_r))*0.923880,(eq_a1+eq_c1)+((s_0+4*s_r))*0.258819,(eq_a1+eq_c1)+((s_0+4*s_r))*0.258819,(eq_a1)+((s_0+4*s_r))*-0.965926)),NA())</f>
        <v/>
      </c>
      <c r="BV6">
        <f>IF(AND(links_on,5&lt;=n_per),IF(circ_int,(g_oy)+(c_1/2+(s_0+4*s_r))*0.354605,CHOOSE(INDEX(lk_kind,5),(g_oy+eq_c2/2)+((s_0+4*s_r))*0.382683,(g_oy+eq_c2/2)+((s_0+4*s_r))*0.965926,(eq_a2+eq_c2)+((s_0+4*s_r))*0.965926,(eq_a2+eq_c2)+((s_0+4*s_r))*0.258819)),NA())</f>
        <v/>
      </c>
      <c r="BX6">
        <f>IF(AND(AND(links_on,5&lt;=n_per),INDEX(lk_kind,5)=1,3&lt;INDEX(lk_legs,5)),g_ox+IF(((3+0.5)*(4*IF(circ_int,0,eq_c1/2)+4*IF(circ_int,0,eq_c2/2)+2*PI()*(s_0+4*s_r+IF(circ_int,eq_c1/2,0)))/INDEX(lk_legs,5))&lt;(2*IF(circ_int,0,eq_c2/2)),IF(circ_int,0,eq_c1/2)+(s_0+4*s_r+IF(circ_int,eq_c1/2,0)),IF(((3+0.5)*(4*IF(circ_int,0,eq_c1/2)+4*IF(circ_int,0,eq_c2/2)+2*PI()*(s_0+4*s_r+IF(circ_int,eq_c1/2,0)))/INDEX(lk_legs,5))&lt;((2*IF(circ_int,0,eq_c2/2))+(PI()*(s_0+4*s_r+IF(circ_int,eq_c1/2,0))/2)),IF(circ_int,0,eq_c1/2)+(s_0+4*s_r+IF(circ_int,eq_c1/2,0))*COS((((3+0.5)*(4*IF(circ_int,0,eq_c1/2)+4*IF(circ_int,0,eq_c2/2)+2*PI()*(s_0+4*s_r+IF(circ_int,eq_c1/2,0)))/INDEX(lk_legs,5))-(2*IF(circ_int,0,eq_c2/2)))/(s_0+4*s_r+IF(circ_int,eq_c1/2,0))),IF(((3+0.5)*(4*IF(circ_int,0,eq_c1/2)+4*IF(circ_int,0,eq_c2/2)+2*PI()*(s_0+4*s_r+IF(circ_int,eq_c1/2,0)))/INDEX(lk_legs,5))&lt;(((2*IF(circ_int,0,eq_c2/2))+(PI()*(s_0+4*s_r+IF(circ_int,eq_c1/2,0))/2))+2*IF(circ_int,0,eq_c1/2)),IF(circ_int,0,eq_c1/2)-(((3+0.5)*(4*IF(circ_int,0,eq_c1/2)+4*IF(circ_int,0,eq_c2/2)+2*PI()*(s_0+4*s_r+IF(circ_int,eq_c1/2,0)))/INDEX(lk_legs,5))-((2*IF(circ_int,0,eq_c2/2))+(PI()*(s_0+4*s_r+IF(circ_int,eq_c1/2,0))/2))),IF(((3+0.5)*(4*IF(circ_int,0,eq_c1/2)+4*IF(circ_int,0,eq_c2/2)+2*PI()*(s_0+4*s_r+IF(circ_int,eq_c1/2,0)))/INDEX(lk_legs,5))&lt;((((2*IF(circ_int,0,eq_c2/2))+(PI()*(s_0+4*s_r+IF(circ_int,eq_c1/2,0))/2))+2*IF(circ_int,0,eq_c1/2))+(PI()*(s_0+4*s_r+IF(circ_int,eq_c1/2,0))/2)),-IF(circ_int,0,eq_c1/2)+(s_0+4*s_r+IF(circ_int,eq_c1/2,0))*COS(PI()/2+(((3+0.5)*(4*IF(circ_int,0,eq_c1/2)+4*IF(circ_int,0,eq_c2/2)+2*PI()*(s_0+4*s_r+IF(circ_int,eq_c1/2,0)))/INDEX(lk_legs,5))-(((2*IF(circ_int,0,eq_c2/2))+(PI()*(s_0+4*s_r+IF(circ_int,eq_c1/2,0))/2))+2*IF(circ_int,0,eq_c1/2)))/(s_0+4*s_r+IF(circ_int,eq_c1/2,0))),IF(((3+0.5)*(4*IF(circ_int,0,eq_c1/2)+4*IF(circ_int,0,eq_c2/2)+2*PI()*(s_0+4*s_r+IF(circ_int,eq_c1/2,0)))/INDEX(lk_legs,5))&lt;(((((2*IF(circ_int,0,eq_c2/2))+(PI()*(s_0+4*s_r+IF(circ_int,eq_c1/2,0))/2))+2*IF(circ_int,0,eq_c1/2))+(PI()*(s_0+4*s_r+IF(circ_int,eq_c1/2,0))/2))+2*IF(circ_int,0,eq_c2/2)),-IF(circ_int,0,eq_c1/2)-(s_0+4*s_r+IF(circ_int,eq_c1/2,0)),IF(((3+0.5)*(4*IF(circ_int,0,eq_c1/2)+4*IF(circ_int,0,eq_c2/2)+2*PI()*(s_0+4*s_r+IF(circ_int,eq_c1/2,0)))/INDEX(lk_legs,5))&lt;((((((2*IF(circ_int,0,eq_c2/2))+(PI()*(s_0+4*s_r+IF(circ_int,eq_c1/2,0))/2))+2*IF(circ_int,0,eq_c1/2))+(PI()*(s_0+4*s_r+IF(circ_int,eq_c1/2,0))/2))+2*IF(circ_int,0,eq_c2/2))+(PI()*(s_0+4*s_r+IF(circ_int,eq_c1/2,0))/2)),-IF(circ_int,0,eq_c1/2)+(s_0+4*s_r+IF(circ_int,eq_c1/2,0))*COS(PI()+(((3+0.5)*(4*IF(circ_int,0,eq_c1/2)+4*IF(circ_int,0,eq_c2/2)+2*PI()*(s_0+4*s_r+IF(circ_int,eq_c1/2,0)))/INDEX(lk_legs,5))-(((((2*IF(circ_int,0,eq_c2/2))+(PI()*(s_0+4*s_r+IF(circ_int,eq_c1/2,0))/2))+2*IF(circ_int,0,eq_c1/2))+(PI()*(s_0+4*s_r+IF(circ_int,eq_c1/2,0))/2))+2*IF(circ_int,0,eq_c2/2)))/(s_0+4*s_r+IF(circ_int,eq_c1/2,0))),IF(((3+0.5)*(4*IF(circ_int,0,eq_c1/2)+4*IF(circ_int,0,eq_c2/2)+2*PI()*(s_0+4*s_r+IF(circ_int,eq_c1/2,0)))/INDEX(lk_legs,5))&lt;(((((((2*IF(circ_int,0,eq_c2/2))+(PI()*(s_0+4*s_r+IF(circ_int,eq_c1/2,0))/2))+2*IF(circ_int,0,eq_c1/2))+(PI()*(s_0+4*s_r+IF(circ_int,eq_c1/2,0))/2))+2*IF(circ_int,0,eq_c2/2))+(PI()*(s_0+4*s_r+IF(circ_int,eq_c1/2,0))/2))+2*IF(circ_int,0,eq_c1/2)),-IF(circ_int,0,eq_c1/2)+(((3+0.5)*(4*IF(circ_int,0,eq_c1/2)+4*IF(circ_int,0,eq_c2/2)+2*PI()*(s_0+4*s_r+IF(circ_int,eq_c1/2,0)))/INDEX(lk_legs,5))-((((((2*IF(circ_int,0,eq_c2/2))+(PI()*(s_0+4*s_r+IF(circ_int,eq_c1/2,0))/2))+2*IF(circ_int,0,eq_c1/2))+(PI()*(s_0+4*s_r+IF(circ_int,eq_c1/2,0))/2))+2*IF(circ_int,0,eq_c2/2))+(PI()*(s_0+4*s_r+IF(circ_int,eq_c1/2,0))/2))),IF(circ_int,0,eq_c1/2)+(s_0+4*s_r+IF(circ_int,eq_c1/2,0))*COS(3*PI()/2+(((3+0.5)*(4*IF(circ_int,0,eq_c1/2)+4*IF(circ_int,0,eq_c2/2)+2*PI()*(s_0+4*s_r+IF(circ_int,eq_c1/2,0)))/INDEX(lk_legs,5))-(((((((2*IF(circ_int,0,eq_c2/2))+(PI()*(s_0+4*s_r+IF(circ_int,eq_c1/2,0))/2))+2*IF(circ_int,0,eq_c1/2))+(PI()*(s_0+4*s_r+IF(circ_int,eq_c1/2,0))/2))+2*IF(circ_int,0,eq_c2/2))+(PI()*(s_0+4*s_r+IF(circ_int,eq_c1/2,0))/2))+2*IF(circ_int,0,eq_c1/2)))/(s_0+4*s_r+IF(circ_int,eq_c1/2,0)))))))))),NA())</f>
        <v/>
      </c>
      <c r="BY6">
        <f>IF(AND(AND(links_on,5&lt;=n_per),INDEX(lk_kind,5)=1,3&lt;INDEX(lk_legs,5)),g_oy+IF(((3+0.5)*(4*IF(circ_int,0,eq_c1/2)+4*IF(circ_int,0,eq_c2/2)+2*PI()*(s_0+4*s_r+IF(circ_int,eq_c1/2,0)))/INDEX(lk_legs,5))&lt;(2*IF(circ_int,0,eq_c2/2)),-IF(circ_int,0,eq_c2/2)+((3+0.5)*(4*IF(circ_int,0,eq_c1/2)+4*IF(circ_int,0,eq_c2/2)+2*PI()*(s_0+4*s_r+IF(circ_int,eq_c1/2,0)))/INDEX(lk_legs,5)),IF(((3+0.5)*(4*IF(circ_int,0,eq_c1/2)+4*IF(circ_int,0,eq_c2/2)+2*PI()*(s_0+4*s_r+IF(circ_int,eq_c1/2,0)))/INDEX(lk_legs,5))&lt;((2*IF(circ_int,0,eq_c2/2))+(PI()*(s_0+4*s_r+IF(circ_int,eq_c1/2,0))/2)),IF(circ_int,0,eq_c2/2)+(s_0+4*s_r+IF(circ_int,eq_c1/2,0))*SIN((((3+0.5)*(4*IF(circ_int,0,eq_c1/2)+4*IF(circ_int,0,eq_c2/2)+2*PI()*(s_0+4*s_r+IF(circ_int,eq_c1/2,0)))/INDEX(lk_legs,5))-(2*IF(circ_int,0,eq_c2/2)))/(s_0+4*s_r+IF(circ_int,eq_c1/2,0))),IF(((3+0.5)*(4*IF(circ_int,0,eq_c1/2)+4*IF(circ_int,0,eq_c2/2)+2*PI()*(s_0+4*s_r+IF(circ_int,eq_c1/2,0)))/INDEX(lk_legs,5))&lt;(((2*IF(circ_int,0,eq_c2/2))+(PI()*(s_0+4*s_r+IF(circ_int,eq_c1/2,0))/2))+2*IF(circ_int,0,eq_c1/2)),IF(circ_int,0,eq_c2/2)+(s_0+4*s_r+IF(circ_int,eq_c1/2,0)),IF(((3+0.5)*(4*IF(circ_int,0,eq_c1/2)+4*IF(circ_int,0,eq_c2/2)+2*PI()*(s_0+4*s_r+IF(circ_int,eq_c1/2,0)))/INDEX(lk_legs,5))&lt;((((2*IF(circ_int,0,eq_c2/2))+(PI()*(s_0+4*s_r+IF(circ_int,eq_c1/2,0))/2))+2*IF(circ_int,0,eq_c1/2))+(PI()*(s_0+4*s_r+IF(circ_int,eq_c1/2,0))/2)),IF(circ_int,0,eq_c2/2)+(s_0+4*s_r+IF(circ_int,eq_c1/2,0))*SIN(PI()/2+(((3+0.5)*(4*IF(circ_int,0,eq_c1/2)+4*IF(circ_int,0,eq_c2/2)+2*PI()*(s_0+4*s_r+IF(circ_int,eq_c1/2,0)))/INDEX(lk_legs,5))-(((2*IF(circ_int,0,eq_c2/2))+(PI()*(s_0+4*s_r+IF(circ_int,eq_c1/2,0))/2))+2*IF(circ_int,0,eq_c1/2)))/(s_0+4*s_r+IF(circ_int,eq_c1/2,0))),IF(((3+0.5)*(4*IF(circ_int,0,eq_c1/2)+4*IF(circ_int,0,eq_c2/2)+2*PI()*(s_0+4*s_r+IF(circ_int,eq_c1/2,0)))/INDEX(lk_legs,5))&lt;(((((2*IF(circ_int,0,eq_c2/2))+(PI()*(s_0+4*s_r+IF(circ_int,eq_c1/2,0))/2))+2*IF(circ_int,0,eq_c1/2))+(PI()*(s_0+4*s_r+IF(circ_int,eq_c1/2,0))/2))+2*IF(circ_int,0,eq_c2/2)),IF(circ_int,0,eq_c2/2)-(((3+0.5)*(4*IF(circ_int,0,eq_c1/2)+4*IF(circ_int,0,eq_c2/2)+2*PI()*(s_0+4*s_r+IF(circ_int,eq_c1/2,0)))/INDEX(lk_legs,5))-((((2*IF(circ_int,0,eq_c2/2))+(PI()*(s_0+4*s_r+IF(circ_int,eq_c1/2,0))/2))+2*IF(circ_int,0,eq_c1/2))+(PI()*(s_0+4*s_r+IF(circ_int,eq_c1/2,0))/2))),IF(((3+0.5)*(4*IF(circ_int,0,eq_c1/2)+4*IF(circ_int,0,eq_c2/2)+2*PI()*(s_0+4*s_r+IF(circ_int,eq_c1/2,0)))/INDEX(lk_legs,5))&lt;((((((2*IF(circ_int,0,eq_c2/2))+(PI()*(s_0+4*s_r+IF(circ_int,eq_c1/2,0))/2))+2*IF(circ_int,0,eq_c1/2))+(PI()*(s_0+4*s_r+IF(circ_int,eq_c1/2,0))/2))+2*IF(circ_int,0,eq_c2/2))+(PI()*(s_0+4*s_r+IF(circ_int,eq_c1/2,0))/2)),-IF(circ_int,0,eq_c2/2)+(s_0+4*s_r+IF(circ_int,eq_c1/2,0))*SIN(PI()+(((3+0.5)*(4*IF(circ_int,0,eq_c1/2)+4*IF(circ_int,0,eq_c2/2)+2*PI()*(s_0+4*s_r+IF(circ_int,eq_c1/2,0)))/INDEX(lk_legs,5))-(((((2*IF(circ_int,0,eq_c2/2))+(PI()*(s_0+4*s_r+IF(circ_int,eq_c1/2,0))/2))+2*IF(circ_int,0,eq_c1/2))+(PI()*(s_0+4*s_r+IF(circ_int,eq_c1/2,0))/2))+2*IF(circ_int,0,eq_c2/2)))/(s_0+4*s_r+IF(circ_int,eq_c1/2,0))),IF(((3+0.5)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(3+0.5)*(4*IF(circ_int,0,eq_c1/2)+4*IF(circ_int,0,eq_c2/2)+2*PI()*(s_0+4*s_r+IF(circ_int,eq_c1/2,0)))/INDEX(lk_legs,5))-(((((((2*IF(circ_int,0,eq_c2/2))+(PI()*(s_0+4*s_r+IF(circ_int,eq_c1/2,0))/2))+2*IF(circ_int,0,eq_c1/2))+(PI()*(s_0+4*s_r+IF(circ_int,eq_c1/2,0))/2))+2*IF(circ_int,0,eq_c2/2))+(PI()*(s_0+4*s_r+IF(circ_int,eq_c1/2,0))/2))+2*IF(circ_int,0,eq_c1/2)))/(s_0+4*s_r+IF(circ_int,eq_c1/2,0)))))))))),NA())</f>
        <v/>
      </c>
      <c r="CA6">
        <f>IF(AND(links_on,6&lt;=n_per),IF(circ_int,(g_ox)+(c_1/2+(s_0+5*s_r))*0.935016,CHOOSE(INDEX(lk_kind,6),(g_ox+eq_c1/2)+((s_0+5*s_r))*0.923880,(eq_a1+eq_c1)+((s_0+5*s_r))*0.258819,(eq_a1+eq_c1)+((s_0+5*s_r))*0.258819,(eq_a1)+((s_0+5*s_r))*-0.965926)),NA())</f>
        <v/>
      </c>
      <c r="CB6">
        <f>IF(AND(links_on,6&lt;=n_per),IF(circ_int,(g_oy)+(c_1/2+(s_0+5*s_r))*0.354605,CHOOSE(INDEX(lk_kind,6),(g_oy+eq_c2/2)+((s_0+5*s_r))*0.382683,(g_oy+eq_c2/2)+((s_0+5*s_r))*0.965926,(eq_a2+eq_c2)+((s_0+5*s_r))*0.965926,(eq_a2+eq_c2)+((s_0+5*s_r))*0.258819)),NA())</f>
        <v/>
      </c>
      <c r="CD6">
        <f>IF(AND(AND(links_on,6&lt;=n_per),INDEX(lk_kind,6)=1,3&lt;INDEX(lk_legs,6)),g_ox+IF(((3+0.5)*(4*IF(circ_int,0,eq_c1/2)+4*IF(circ_int,0,eq_c2/2)+2*PI()*(s_0+5*s_r+IF(circ_int,eq_c1/2,0)))/INDEX(lk_legs,6))&lt;(2*IF(circ_int,0,eq_c2/2)),IF(circ_int,0,eq_c1/2)+(s_0+5*s_r+IF(circ_int,eq_c1/2,0)),IF(((3+0.5)*(4*IF(circ_int,0,eq_c1/2)+4*IF(circ_int,0,eq_c2/2)+2*PI()*(s_0+5*s_r+IF(circ_int,eq_c1/2,0)))/INDEX(lk_legs,6))&lt;((2*IF(circ_int,0,eq_c2/2))+(PI()*(s_0+5*s_r+IF(circ_int,eq_c1/2,0))/2)),IF(circ_int,0,eq_c1/2)+(s_0+5*s_r+IF(circ_int,eq_c1/2,0))*COS((((3+0.5)*(4*IF(circ_int,0,eq_c1/2)+4*IF(circ_int,0,eq_c2/2)+2*PI()*(s_0+5*s_r+IF(circ_int,eq_c1/2,0)))/INDEX(lk_legs,6))-(2*IF(circ_int,0,eq_c2/2)))/(s_0+5*s_r+IF(circ_int,eq_c1/2,0))),IF(((3+0.5)*(4*IF(circ_int,0,eq_c1/2)+4*IF(circ_int,0,eq_c2/2)+2*PI()*(s_0+5*s_r+IF(circ_int,eq_c1/2,0)))/INDEX(lk_legs,6))&lt;(((2*IF(circ_int,0,eq_c2/2))+(PI()*(s_0+5*s_r+IF(circ_int,eq_c1/2,0))/2))+2*IF(circ_int,0,eq_c1/2)),IF(circ_int,0,eq_c1/2)-(((3+0.5)*(4*IF(circ_int,0,eq_c1/2)+4*IF(circ_int,0,eq_c2/2)+2*PI()*(s_0+5*s_r+IF(circ_int,eq_c1/2,0)))/INDEX(lk_legs,6))-((2*IF(circ_int,0,eq_c2/2))+(PI()*(s_0+5*s_r+IF(circ_int,eq_c1/2,0))/2))),IF(((3+0.5)*(4*IF(circ_int,0,eq_c1/2)+4*IF(circ_int,0,eq_c2/2)+2*PI()*(s_0+5*s_r+IF(circ_int,eq_c1/2,0)))/INDEX(lk_legs,6))&lt;((((2*IF(circ_int,0,eq_c2/2))+(PI()*(s_0+5*s_r+IF(circ_int,eq_c1/2,0))/2))+2*IF(circ_int,0,eq_c1/2))+(PI()*(s_0+5*s_r+IF(circ_int,eq_c1/2,0))/2)),-IF(circ_int,0,eq_c1/2)+(s_0+5*s_r+IF(circ_int,eq_c1/2,0))*COS(PI()/2+(((3+0.5)*(4*IF(circ_int,0,eq_c1/2)+4*IF(circ_int,0,eq_c2/2)+2*PI()*(s_0+5*s_r+IF(circ_int,eq_c1/2,0)))/INDEX(lk_legs,6))-(((2*IF(circ_int,0,eq_c2/2))+(PI()*(s_0+5*s_r+IF(circ_int,eq_c1/2,0))/2))+2*IF(circ_int,0,eq_c1/2)))/(s_0+5*s_r+IF(circ_int,eq_c1/2,0))),IF(((3+0.5)*(4*IF(circ_int,0,eq_c1/2)+4*IF(circ_int,0,eq_c2/2)+2*PI()*(s_0+5*s_r+IF(circ_int,eq_c1/2,0)))/INDEX(lk_legs,6))&lt;(((((2*IF(circ_int,0,eq_c2/2))+(PI()*(s_0+5*s_r+IF(circ_int,eq_c1/2,0))/2))+2*IF(circ_int,0,eq_c1/2))+(PI()*(s_0+5*s_r+IF(circ_int,eq_c1/2,0))/2))+2*IF(circ_int,0,eq_c2/2)),-IF(circ_int,0,eq_c1/2)-(s_0+5*s_r+IF(circ_int,eq_c1/2,0)),IF(((3+0.5)*(4*IF(circ_int,0,eq_c1/2)+4*IF(circ_int,0,eq_c2/2)+2*PI()*(s_0+5*s_r+IF(circ_int,eq_c1/2,0)))/INDEX(lk_legs,6))&lt;((((((2*IF(circ_int,0,eq_c2/2))+(PI()*(s_0+5*s_r+IF(circ_int,eq_c1/2,0))/2))+2*IF(circ_int,0,eq_c1/2))+(PI()*(s_0+5*s_r+IF(circ_int,eq_c1/2,0))/2))+2*IF(circ_int,0,eq_c2/2))+(PI()*(s_0+5*s_r+IF(circ_int,eq_c1/2,0))/2)),-IF(circ_int,0,eq_c1/2)+(s_0+5*s_r+IF(circ_int,eq_c1/2,0))*COS(PI()+(((3+0.5)*(4*IF(circ_int,0,eq_c1/2)+4*IF(circ_int,0,eq_c2/2)+2*PI()*(s_0+5*s_r+IF(circ_int,eq_c1/2,0)))/INDEX(lk_legs,6))-(((((2*IF(circ_int,0,eq_c2/2))+(PI()*(s_0+5*s_r+IF(circ_int,eq_c1/2,0))/2))+2*IF(circ_int,0,eq_c1/2))+(PI()*(s_0+5*s_r+IF(circ_int,eq_c1/2,0))/2))+2*IF(circ_int,0,eq_c2/2)))/(s_0+5*s_r+IF(circ_int,eq_c1/2,0))),IF(((3+0.5)*(4*IF(circ_int,0,eq_c1/2)+4*IF(circ_int,0,eq_c2/2)+2*PI()*(s_0+5*s_r+IF(circ_int,eq_c1/2,0)))/INDEX(lk_legs,6))&lt;(((((((2*IF(circ_int,0,eq_c2/2))+(PI()*(s_0+5*s_r+IF(circ_int,eq_c1/2,0))/2))+2*IF(circ_int,0,eq_c1/2))+(PI()*(s_0+5*s_r+IF(circ_int,eq_c1/2,0))/2))+2*IF(circ_int,0,eq_c2/2))+(PI()*(s_0+5*s_r+IF(circ_int,eq_c1/2,0))/2))+2*IF(circ_int,0,eq_c1/2)),-IF(circ_int,0,eq_c1/2)+(((3+0.5)*(4*IF(circ_int,0,eq_c1/2)+4*IF(circ_int,0,eq_c2/2)+2*PI()*(s_0+5*s_r+IF(circ_int,eq_c1/2,0)))/INDEX(lk_legs,6))-((((((2*IF(circ_int,0,eq_c2/2))+(PI()*(s_0+5*s_r+IF(circ_int,eq_c1/2,0))/2))+2*IF(circ_int,0,eq_c1/2))+(PI()*(s_0+5*s_r+IF(circ_int,eq_c1/2,0))/2))+2*IF(circ_int,0,eq_c2/2))+(PI()*(s_0+5*s_r+IF(circ_int,eq_c1/2,0))/2))),IF(circ_int,0,eq_c1/2)+(s_0+5*s_r+IF(circ_int,eq_c1/2,0))*COS(3*PI()/2+(((3+0.5)*(4*IF(circ_int,0,eq_c1/2)+4*IF(circ_int,0,eq_c2/2)+2*PI()*(s_0+5*s_r+IF(circ_int,eq_c1/2,0)))/INDEX(lk_legs,6))-(((((((2*IF(circ_int,0,eq_c2/2))+(PI()*(s_0+5*s_r+IF(circ_int,eq_c1/2,0))/2))+2*IF(circ_int,0,eq_c1/2))+(PI()*(s_0+5*s_r+IF(circ_int,eq_c1/2,0))/2))+2*IF(circ_int,0,eq_c2/2))+(PI()*(s_0+5*s_r+IF(circ_int,eq_c1/2,0))/2))+2*IF(circ_int,0,eq_c1/2)))/(s_0+5*s_r+IF(circ_int,eq_c1/2,0)))))))))),NA())</f>
        <v/>
      </c>
      <c r="CE6">
        <f>IF(AND(AND(links_on,6&lt;=n_per),INDEX(lk_kind,6)=1,3&lt;INDEX(lk_legs,6)),g_oy+IF(((3+0.5)*(4*IF(circ_int,0,eq_c1/2)+4*IF(circ_int,0,eq_c2/2)+2*PI()*(s_0+5*s_r+IF(circ_int,eq_c1/2,0)))/INDEX(lk_legs,6))&lt;(2*IF(circ_int,0,eq_c2/2)),-IF(circ_int,0,eq_c2/2)+((3+0.5)*(4*IF(circ_int,0,eq_c1/2)+4*IF(circ_int,0,eq_c2/2)+2*PI()*(s_0+5*s_r+IF(circ_int,eq_c1/2,0)))/INDEX(lk_legs,6)),IF(((3+0.5)*(4*IF(circ_int,0,eq_c1/2)+4*IF(circ_int,0,eq_c2/2)+2*PI()*(s_0+5*s_r+IF(circ_int,eq_c1/2,0)))/INDEX(lk_legs,6))&lt;((2*IF(circ_int,0,eq_c2/2))+(PI()*(s_0+5*s_r+IF(circ_int,eq_c1/2,0))/2)),IF(circ_int,0,eq_c2/2)+(s_0+5*s_r+IF(circ_int,eq_c1/2,0))*SIN((((3+0.5)*(4*IF(circ_int,0,eq_c1/2)+4*IF(circ_int,0,eq_c2/2)+2*PI()*(s_0+5*s_r+IF(circ_int,eq_c1/2,0)))/INDEX(lk_legs,6))-(2*IF(circ_int,0,eq_c2/2)))/(s_0+5*s_r+IF(circ_int,eq_c1/2,0))),IF(((3+0.5)*(4*IF(circ_int,0,eq_c1/2)+4*IF(circ_int,0,eq_c2/2)+2*PI()*(s_0+5*s_r+IF(circ_int,eq_c1/2,0)))/INDEX(lk_legs,6))&lt;(((2*IF(circ_int,0,eq_c2/2))+(PI()*(s_0+5*s_r+IF(circ_int,eq_c1/2,0))/2))+2*IF(circ_int,0,eq_c1/2)),IF(circ_int,0,eq_c2/2)+(s_0+5*s_r+IF(circ_int,eq_c1/2,0)),IF(((3+0.5)*(4*IF(circ_int,0,eq_c1/2)+4*IF(circ_int,0,eq_c2/2)+2*PI()*(s_0+5*s_r+IF(circ_int,eq_c1/2,0)))/INDEX(lk_legs,6))&lt;((((2*IF(circ_int,0,eq_c2/2))+(PI()*(s_0+5*s_r+IF(circ_int,eq_c1/2,0))/2))+2*IF(circ_int,0,eq_c1/2))+(PI()*(s_0+5*s_r+IF(circ_int,eq_c1/2,0))/2)),IF(circ_int,0,eq_c2/2)+(s_0+5*s_r+IF(circ_int,eq_c1/2,0))*SIN(PI()/2+(((3+0.5)*(4*IF(circ_int,0,eq_c1/2)+4*IF(circ_int,0,eq_c2/2)+2*PI()*(s_0+5*s_r+IF(circ_int,eq_c1/2,0)))/INDEX(lk_legs,6))-(((2*IF(circ_int,0,eq_c2/2))+(PI()*(s_0+5*s_r+IF(circ_int,eq_c1/2,0))/2))+2*IF(circ_int,0,eq_c1/2)))/(s_0+5*s_r+IF(circ_int,eq_c1/2,0))),IF(((3+0.5)*(4*IF(circ_int,0,eq_c1/2)+4*IF(circ_int,0,eq_c2/2)+2*PI()*(s_0+5*s_r+IF(circ_int,eq_c1/2,0)))/INDEX(lk_legs,6))&lt;(((((2*IF(circ_int,0,eq_c2/2))+(PI()*(s_0+5*s_r+IF(circ_int,eq_c1/2,0))/2))+2*IF(circ_int,0,eq_c1/2))+(PI()*(s_0+5*s_r+IF(circ_int,eq_c1/2,0))/2))+2*IF(circ_int,0,eq_c2/2)),IF(circ_int,0,eq_c2/2)-(((3+0.5)*(4*IF(circ_int,0,eq_c1/2)+4*IF(circ_int,0,eq_c2/2)+2*PI()*(s_0+5*s_r+IF(circ_int,eq_c1/2,0)))/INDEX(lk_legs,6))-((((2*IF(circ_int,0,eq_c2/2))+(PI()*(s_0+5*s_r+IF(circ_int,eq_c1/2,0))/2))+2*IF(circ_int,0,eq_c1/2))+(PI()*(s_0+5*s_r+IF(circ_int,eq_c1/2,0))/2))),IF(((3+0.5)*(4*IF(circ_int,0,eq_c1/2)+4*IF(circ_int,0,eq_c2/2)+2*PI()*(s_0+5*s_r+IF(circ_int,eq_c1/2,0)))/INDEX(lk_legs,6))&lt;((((((2*IF(circ_int,0,eq_c2/2))+(PI()*(s_0+5*s_r+IF(circ_int,eq_c1/2,0))/2))+2*IF(circ_int,0,eq_c1/2))+(PI()*(s_0+5*s_r+IF(circ_int,eq_c1/2,0))/2))+2*IF(circ_int,0,eq_c2/2))+(PI()*(s_0+5*s_r+IF(circ_int,eq_c1/2,0))/2)),-IF(circ_int,0,eq_c2/2)+(s_0+5*s_r+IF(circ_int,eq_c1/2,0))*SIN(PI()+(((3+0.5)*(4*IF(circ_int,0,eq_c1/2)+4*IF(circ_int,0,eq_c2/2)+2*PI()*(s_0+5*s_r+IF(circ_int,eq_c1/2,0)))/INDEX(lk_legs,6))-(((((2*IF(circ_int,0,eq_c2/2))+(PI()*(s_0+5*s_r+IF(circ_int,eq_c1/2,0))/2))+2*IF(circ_int,0,eq_c1/2))+(PI()*(s_0+5*s_r+IF(circ_int,eq_c1/2,0))/2))+2*IF(circ_int,0,eq_c2/2)))/(s_0+5*s_r+IF(circ_int,eq_c1/2,0))),IF(((3+0.5)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(3+0.5)*(4*IF(circ_int,0,eq_c1/2)+4*IF(circ_int,0,eq_c2/2)+2*PI()*(s_0+5*s_r+IF(circ_int,eq_c1/2,0)))/INDEX(lk_legs,6))-(((((((2*IF(circ_int,0,eq_c2/2))+(PI()*(s_0+5*s_r+IF(circ_int,eq_c1/2,0))/2))+2*IF(circ_int,0,eq_c1/2))+(PI()*(s_0+5*s_r+IF(circ_int,eq_c1/2,0))/2))+2*IF(circ_int,0,eq_c2/2))+(PI()*(s_0+5*s_r+IF(circ_int,eq_c1/2,0))/2))+2*IF(circ_int,0,eq_c1/2)))/(s_0+5*s_r+IF(circ_int,eq_c1/2,0)))))))))),NA())</f>
        <v/>
      </c>
      <c r="CG6">
        <f>IF(AND(links_on,7&lt;=n_per),IF(circ_int,(g_ox)+(c_1/2+(s_0+6*s_r))*0.935016,CHOOSE(INDEX(lk_kind,7),(g_ox+eq_c1/2)+((s_0+6*s_r))*0.923880,(eq_a1+eq_c1)+((s_0+6*s_r))*0.258819,(eq_a1+eq_c1)+((s_0+6*s_r))*0.258819,(eq_a1)+((s_0+6*s_r))*-0.965926)),NA())</f>
        <v/>
      </c>
      <c r="CH6">
        <f>IF(AND(links_on,7&lt;=n_per),IF(circ_int,(g_oy)+(c_1/2+(s_0+6*s_r))*0.354605,CHOOSE(INDEX(lk_kind,7),(g_oy+eq_c2/2)+((s_0+6*s_r))*0.382683,(g_oy+eq_c2/2)+((s_0+6*s_r))*0.965926,(eq_a2+eq_c2)+((s_0+6*s_r))*0.965926,(eq_a2+eq_c2)+((s_0+6*s_r))*0.258819)),NA())</f>
        <v/>
      </c>
      <c r="CJ6">
        <f>IF(AND(AND(links_on,7&lt;=n_per),INDEX(lk_kind,7)=1,3&lt;INDEX(lk_legs,7)),g_ox+IF(((3+0.5)*(4*IF(circ_int,0,eq_c1/2)+4*IF(circ_int,0,eq_c2/2)+2*PI()*(s_0+6*s_r+IF(circ_int,eq_c1/2,0)))/INDEX(lk_legs,7))&lt;(2*IF(circ_int,0,eq_c2/2)),IF(circ_int,0,eq_c1/2)+(s_0+6*s_r+IF(circ_int,eq_c1/2,0)),IF(((3+0.5)*(4*IF(circ_int,0,eq_c1/2)+4*IF(circ_int,0,eq_c2/2)+2*PI()*(s_0+6*s_r+IF(circ_int,eq_c1/2,0)))/INDEX(lk_legs,7))&lt;((2*IF(circ_int,0,eq_c2/2))+(PI()*(s_0+6*s_r+IF(circ_int,eq_c1/2,0))/2)),IF(circ_int,0,eq_c1/2)+(s_0+6*s_r+IF(circ_int,eq_c1/2,0))*COS((((3+0.5)*(4*IF(circ_int,0,eq_c1/2)+4*IF(circ_int,0,eq_c2/2)+2*PI()*(s_0+6*s_r+IF(circ_int,eq_c1/2,0)))/INDEX(lk_legs,7))-(2*IF(circ_int,0,eq_c2/2)))/(s_0+6*s_r+IF(circ_int,eq_c1/2,0))),IF(((3+0.5)*(4*IF(circ_int,0,eq_c1/2)+4*IF(circ_int,0,eq_c2/2)+2*PI()*(s_0+6*s_r+IF(circ_int,eq_c1/2,0)))/INDEX(lk_legs,7))&lt;(((2*IF(circ_int,0,eq_c2/2))+(PI()*(s_0+6*s_r+IF(circ_int,eq_c1/2,0))/2))+2*IF(circ_int,0,eq_c1/2)),IF(circ_int,0,eq_c1/2)-(((3+0.5)*(4*IF(circ_int,0,eq_c1/2)+4*IF(circ_int,0,eq_c2/2)+2*PI()*(s_0+6*s_r+IF(circ_int,eq_c1/2,0)))/INDEX(lk_legs,7))-((2*IF(circ_int,0,eq_c2/2))+(PI()*(s_0+6*s_r+IF(circ_int,eq_c1/2,0))/2))),IF(((3+0.5)*(4*IF(circ_int,0,eq_c1/2)+4*IF(circ_int,0,eq_c2/2)+2*PI()*(s_0+6*s_r+IF(circ_int,eq_c1/2,0)))/INDEX(lk_legs,7))&lt;((((2*IF(circ_int,0,eq_c2/2))+(PI()*(s_0+6*s_r+IF(circ_int,eq_c1/2,0))/2))+2*IF(circ_int,0,eq_c1/2))+(PI()*(s_0+6*s_r+IF(circ_int,eq_c1/2,0))/2)),-IF(circ_int,0,eq_c1/2)+(s_0+6*s_r+IF(circ_int,eq_c1/2,0))*COS(PI()/2+(((3+0.5)*(4*IF(circ_int,0,eq_c1/2)+4*IF(circ_int,0,eq_c2/2)+2*PI()*(s_0+6*s_r+IF(circ_int,eq_c1/2,0)))/INDEX(lk_legs,7))-(((2*IF(circ_int,0,eq_c2/2))+(PI()*(s_0+6*s_r+IF(circ_int,eq_c1/2,0))/2))+2*IF(circ_int,0,eq_c1/2)))/(s_0+6*s_r+IF(circ_int,eq_c1/2,0))),IF(((3+0.5)*(4*IF(circ_int,0,eq_c1/2)+4*IF(circ_int,0,eq_c2/2)+2*PI()*(s_0+6*s_r+IF(circ_int,eq_c1/2,0)))/INDEX(lk_legs,7))&lt;(((((2*IF(circ_int,0,eq_c2/2))+(PI()*(s_0+6*s_r+IF(circ_int,eq_c1/2,0))/2))+2*IF(circ_int,0,eq_c1/2))+(PI()*(s_0+6*s_r+IF(circ_int,eq_c1/2,0))/2))+2*IF(circ_int,0,eq_c2/2)),-IF(circ_int,0,eq_c1/2)-(s_0+6*s_r+IF(circ_int,eq_c1/2,0)),IF(((3+0.5)*(4*IF(circ_int,0,eq_c1/2)+4*IF(circ_int,0,eq_c2/2)+2*PI()*(s_0+6*s_r+IF(circ_int,eq_c1/2,0)))/INDEX(lk_legs,7))&lt;((((((2*IF(circ_int,0,eq_c2/2))+(PI()*(s_0+6*s_r+IF(circ_int,eq_c1/2,0))/2))+2*IF(circ_int,0,eq_c1/2))+(PI()*(s_0+6*s_r+IF(circ_int,eq_c1/2,0))/2))+2*IF(circ_int,0,eq_c2/2))+(PI()*(s_0+6*s_r+IF(circ_int,eq_c1/2,0))/2)),-IF(circ_int,0,eq_c1/2)+(s_0+6*s_r+IF(circ_int,eq_c1/2,0))*COS(PI()+(((3+0.5)*(4*IF(circ_int,0,eq_c1/2)+4*IF(circ_int,0,eq_c2/2)+2*PI()*(s_0+6*s_r+IF(circ_int,eq_c1/2,0)))/INDEX(lk_legs,7))-(((((2*IF(circ_int,0,eq_c2/2))+(PI()*(s_0+6*s_r+IF(circ_int,eq_c1/2,0))/2))+2*IF(circ_int,0,eq_c1/2))+(PI()*(s_0+6*s_r+IF(circ_int,eq_c1/2,0))/2))+2*IF(circ_int,0,eq_c2/2)))/(s_0+6*s_r+IF(circ_int,eq_c1/2,0))),IF(((3+0.5)*(4*IF(circ_int,0,eq_c1/2)+4*IF(circ_int,0,eq_c2/2)+2*PI()*(s_0+6*s_r+IF(circ_int,eq_c1/2,0)))/INDEX(lk_legs,7))&lt;(((((((2*IF(circ_int,0,eq_c2/2))+(PI()*(s_0+6*s_r+IF(circ_int,eq_c1/2,0))/2))+2*IF(circ_int,0,eq_c1/2))+(PI()*(s_0+6*s_r+IF(circ_int,eq_c1/2,0))/2))+2*IF(circ_int,0,eq_c2/2))+(PI()*(s_0+6*s_r+IF(circ_int,eq_c1/2,0))/2))+2*IF(circ_int,0,eq_c1/2)),-IF(circ_int,0,eq_c1/2)+(((3+0.5)*(4*IF(circ_int,0,eq_c1/2)+4*IF(circ_int,0,eq_c2/2)+2*PI()*(s_0+6*s_r+IF(circ_int,eq_c1/2,0)))/INDEX(lk_legs,7))-((((((2*IF(circ_int,0,eq_c2/2))+(PI()*(s_0+6*s_r+IF(circ_int,eq_c1/2,0))/2))+2*IF(circ_int,0,eq_c1/2))+(PI()*(s_0+6*s_r+IF(circ_int,eq_c1/2,0))/2))+2*IF(circ_int,0,eq_c2/2))+(PI()*(s_0+6*s_r+IF(circ_int,eq_c1/2,0))/2))),IF(circ_int,0,eq_c1/2)+(s_0+6*s_r+IF(circ_int,eq_c1/2,0))*COS(3*PI()/2+(((3+0.5)*(4*IF(circ_int,0,eq_c1/2)+4*IF(circ_int,0,eq_c2/2)+2*PI()*(s_0+6*s_r+IF(circ_int,eq_c1/2,0)))/INDEX(lk_legs,7))-(((((((2*IF(circ_int,0,eq_c2/2))+(PI()*(s_0+6*s_r+IF(circ_int,eq_c1/2,0))/2))+2*IF(circ_int,0,eq_c1/2))+(PI()*(s_0+6*s_r+IF(circ_int,eq_c1/2,0))/2))+2*IF(circ_int,0,eq_c2/2))+(PI()*(s_0+6*s_r+IF(circ_int,eq_c1/2,0))/2))+2*IF(circ_int,0,eq_c1/2)))/(s_0+6*s_r+IF(circ_int,eq_c1/2,0)))))))))),NA())</f>
        <v/>
      </c>
      <c r="CK6">
        <f>IF(AND(AND(links_on,7&lt;=n_per),INDEX(lk_kind,7)=1,3&lt;INDEX(lk_legs,7)),g_oy+IF(((3+0.5)*(4*IF(circ_int,0,eq_c1/2)+4*IF(circ_int,0,eq_c2/2)+2*PI()*(s_0+6*s_r+IF(circ_int,eq_c1/2,0)))/INDEX(lk_legs,7))&lt;(2*IF(circ_int,0,eq_c2/2)),-IF(circ_int,0,eq_c2/2)+((3+0.5)*(4*IF(circ_int,0,eq_c1/2)+4*IF(circ_int,0,eq_c2/2)+2*PI()*(s_0+6*s_r+IF(circ_int,eq_c1/2,0)))/INDEX(lk_legs,7)),IF(((3+0.5)*(4*IF(circ_int,0,eq_c1/2)+4*IF(circ_int,0,eq_c2/2)+2*PI()*(s_0+6*s_r+IF(circ_int,eq_c1/2,0)))/INDEX(lk_legs,7))&lt;((2*IF(circ_int,0,eq_c2/2))+(PI()*(s_0+6*s_r+IF(circ_int,eq_c1/2,0))/2)),IF(circ_int,0,eq_c2/2)+(s_0+6*s_r+IF(circ_int,eq_c1/2,0))*SIN((((3+0.5)*(4*IF(circ_int,0,eq_c1/2)+4*IF(circ_int,0,eq_c2/2)+2*PI()*(s_0+6*s_r+IF(circ_int,eq_c1/2,0)))/INDEX(lk_legs,7))-(2*IF(circ_int,0,eq_c2/2)))/(s_0+6*s_r+IF(circ_int,eq_c1/2,0))),IF(((3+0.5)*(4*IF(circ_int,0,eq_c1/2)+4*IF(circ_int,0,eq_c2/2)+2*PI()*(s_0+6*s_r+IF(circ_int,eq_c1/2,0)))/INDEX(lk_legs,7))&lt;(((2*IF(circ_int,0,eq_c2/2))+(PI()*(s_0+6*s_r+IF(circ_int,eq_c1/2,0))/2))+2*IF(circ_int,0,eq_c1/2)),IF(circ_int,0,eq_c2/2)+(s_0+6*s_r+IF(circ_int,eq_c1/2,0)),IF(((3+0.5)*(4*IF(circ_int,0,eq_c1/2)+4*IF(circ_int,0,eq_c2/2)+2*PI()*(s_0+6*s_r+IF(circ_int,eq_c1/2,0)))/INDEX(lk_legs,7))&lt;((((2*IF(circ_int,0,eq_c2/2))+(PI()*(s_0+6*s_r+IF(circ_int,eq_c1/2,0))/2))+2*IF(circ_int,0,eq_c1/2))+(PI()*(s_0+6*s_r+IF(circ_int,eq_c1/2,0))/2)),IF(circ_int,0,eq_c2/2)+(s_0+6*s_r+IF(circ_int,eq_c1/2,0))*SIN(PI()/2+(((3+0.5)*(4*IF(circ_int,0,eq_c1/2)+4*IF(circ_int,0,eq_c2/2)+2*PI()*(s_0+6*s_r+IF(circ_int,eq_c1/2,0)))/INDEX(lk_legs,7))-(((2*IF(circ_int,0,eq_c2/2))+(PI()*(s_0+6*s_r+IF(circ_int,eq_c1/2,0))/2))+2*IF(circ_int,0,eq_c1/2)))/(s_0+6*s_r+IF(circ_int,eq_c1/2,0))),IF(((3+0.5)*(4*IF(circ_int,0,eq_c1/2)+4*IF(circ_int,0,eq_c2/2)+2*PI()*(s_0+6*s_r+IF(circ_int,eq_c1/2,0)))/INDEX(lk_legs,7))&lt;(((((2*IF(circ_int,0,eq_c2/2))+(PI()*(s_0+6*s_r+IF(circ_int,eq_c1/2,0))/2))+2*IF(circ_int,0,eq_c1/2))+(PI()*(s_0+6*s_r+IF(circ_int,eq_c1/2,0))/2))+2*IF(circ_int,0,eq_c2/2)),IF(circ_int,0,eq_c2/2)-(((3+0.5)*(4*IF(circ_int,0,eq_c1/2)+4*IF(circ_int,0,eq_c2/2)+2*PI()*(s_0+6*s_r+IF(circ_int,eq_c1/2,0)))/INDEX(lk_legs,7))-((((2*IF(circ_int,0,eq_c2/2))+(PI()*(s_0+6*s_r+IF(circ_int,eq_c1/2,0))/2))+2*IF(circ_int,0,eq_c1/2))+(PI()*(s_0+6*s_r+IF(circ_int,eq_c1/2,0))/2))),IF(((3+0.5)*(4*IF(circ_int,0,eq_c1/2)+4*IF(circ_int,0,eq_c2/2)+2*PI()*(s_0+6*s_r+IF(circ_int,eq_c1/2,0)))/INDEX(lk_legs,7))&lt;((((((2*IF(circ_int,0,eq_c2/2))+(PI()*(s_0+6*s_r+IF(circ_int,eq_c1/2,0))/2))+2*IF(circ_int,0,eq_c1/2))+(PI()*(s_0+6*s_r+IF(circ_int,eq_c1/2,0))/2))+2*IF(circ_int,0,eq_c2/2))+(PI()*(s_0+6*s_r+IF(circ_int,eq_c1/2,0))/2)),-IF(circ_int,0,eq_c2/2)+(s_0+6*s_r+IF(circ_int,eq_c1/2,0))*SIN(PI()+(((3+0.5)*(4*IF(circ_int,0,eq_c1/2)+4*IF(circ_int,0,eq_c2/2)+2*PI()*(s_0+6*s_r+IF(circ_int,eq_c1/2,0)))/INDEX(lk_legs,7))-(((((2*IF(circ_int,0,eq_c2/2))+(PI()*(s_0+6*s_r+IF(circ_int,eq_c1/2,0))/2))+2*IF(circ_int,0,eq_c1/2))+(PI()*(s_0+6*s_r+IF(circ_int,eq_c1/2,0))/2))+2*IF(circ_int,0,eq_c2/2)))/(s_0+6*s_r+IF(circ_int,eq_c1/2,0))),IF(((3+0.5)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(3+0.5)*(4*IF(circ_int,0,eq_c1/2)+4*IF(circ_int,0,eq_c2/2)+2*PI()*(s_0+6*s_r+IF(circ_int,eq_c1/2,0)))/INDEX(lk_legs,7))-(((((((2*IF(circ_int,0,eq_c2/2))+(PI()*(s_0+6*s_r+IF(circ_int,eq_c1/2,0))/2))+2*IF(circ_int,0,eq_c1/2))+(PI()*(s_0+6*s_r+IF(circ_int,eq_c1/2,0))/2))+2*IF(circ_int,0,eq_c2/2))+(PI()*(s_0+6*s_r+IF(circ_int,eq_c1/2,0))/2))+2*IF(circ_int,0,eq_c1/2)))/(s_0+6*s_r+IF(circ_int,eq_c1/2,0)))))))))),NA())</f>
        <v/>
      </c>
      <c r="CM6">
        <f>IF(AND(links_on,8&lt;=n_per),IF(circ_int,(g_ox)+(c_1/2+(s_0+7*s_r))*0.935016,CHOOSE(INDEX(lk_kind,8),(g_ox+eq_c1/2)+((s_0+7*s_r))*0.923880,(eq_a1+eq_c1)+((s_0+7*s_r))*0.258819,(eq_a1+eq_c1)+((s_0+7*s_r))*0.258819,(eq_a1)+((s_0+7*s_r))*-0.965926)),NA())</f>
        <v/>
      </c>
      <c r="CN6">
        <f>IF(AND(links_on,8&lt;=n_per),IF(circ_int,(g_oy)+(c_1/2+(s_0+7*s_r))*0.354605,CHOOSE(INDEX(lk_kind,8),(g_oy+eq_c2/2)+((s_0+7*s_r))*0.382683,(g_oy+eq_c2/2)+((s_0+7*s_r))*0.965926,(eq_a2+eq_c2)+((s_0+7*s_r))*0.965926,(eq_a2+eq_c2)+((s_0+7*s_r))*0.258819)),NA())</f>
        <v/>
      </c>
      <c r="CP6">
        <f>IF(AND(AND(links_on,8&lt;=n_per),INDEX(lk_kind,8)=1,3&lt;INDEX(lk_legs,8)),g_ox+IF(((3+0.5)*(4*IF(circ_int,0,eq_c1/2)+4*IF(circ_int,0,eq_c2/2)+2*PI()*(s_0+7*s_r+IF(circ_int,eq_c1/2,0)))/INDEX(lk_legs,8))&lt;(2*IF(circ_int,0,eq_c2/2)),IF(circ_int,0,eq_c1/2)+(s_0+7*s_r+IF(circ_int,eq_c1/2,0)),IF(((3+0.5)*(4*IF(circ_int,0,eq_c1/2)+4*IF(circ_int,0,eq_c2/2)+2*PI()*(s_0+7*s_r+IF(circ_int,eq_c1/2,0)))/INDEX(lk_legs,8))&lt;((2*IF(circ_int,0,eq_c2/2))+(PI()*(s_0+7*s_r+IF(circ_int,eq_c1/2,0))/2)),IF(circ_int,0,eq_c1/2)+(s_0+7*s_r+IF(circ_int,eq_c1/2,0))*COS((((3+0.5)*(4*IF(circ_int,0,eq_c1/2)+4*IF(circ_int,0,eq_c2/2)+2*PI()*(s_0+7*s_r+IF(circ_int,eq_c1/2,0)))/INDEX(lk_legs,8))-(2*IF(circ_int,0,eq_c2/2)))/(s_0+7*s_r+IF(circ_int,eq_c1/2,0))),IF(((3+0.5)*(4*IF(circ_int,0,eq_c1/2)+4*IF(circ_int,0,eq_c2/2)+2*PI()*(s_0+7*s_r+IF(circ_int,eq_c1/2,0)))/INDEX(lk_legs,8))&lt;(((2*IF(circ_int,0,eq_c2/2))+(PI()*(s_0+7*s_r+IF(circ_int,eq_c1/2,0))/2))+2*IF(circ_int,0,eq_c1/2)),IF(circ_int,0,eq_c1/2)-(((3+0.5)*(4*IF(circ_int,0,eq_c1/2)+4*IF(circ_int,0,eq_c2/2)+2*PI()*(s_0+7*s_r+IF(circ_int,eq_c1/2,0)))/INDEX(lk_legs,8))-((2*IF(circ_int,0,eq_c2/2))+(PI()*(s_0+7*s_r+IF(circ_int,eq_c1/2,0))/2))),IF(((3+0.5)*(4*IF(circ_int,0,eq_c1/2)+4*IF(circ_int,0,eq_c2/2)+2*PI()*(s_0+7*s_r+IF(circ_int,eq_c1/2,0)))/INDEX(lk_legs,8))&lt;((((2*IF(circ_int,0,eq_c2/2))+(PI()*(s_0+7*s_r+IF(circ_int,eq_c1/2,0))/2))+2*IF(circ_int,0,eq_c1/2))+(PI()*(s_0+7*s_r+IF(circ_int,eq_c1/2,0))/2)),-IF(circ_int,0,eq_c1/2)+(s_0+7*s_r+IF(circ_int,eq_c1/2,0))*COS(PI()/2+(((3+0.5)*(4*IF(circ_int,0,eq_c1/2)+4*IF(circ_int,0,eq_c2/2)+2*PI()*(s_0+7*s_r+IF(circ_int,eq_c1/2,0)))/INDEX(lk_legs,8))-(((2*IF(circ_int,0,eq_c2/2))+(PI()*(s_0+7*s_r+IF(circ_int,eq_c1/2,0))/2))+2*IF(circ_int,0,eq_c1/2)))/(s_0+7*s_r+IF(circ_int,eq_c1/2,0))),IF(((3+0.5)*(4*IF(circ_int,0,eq_c1/2)+4*IF(circ_int,0,eq_c2/2)+2*PI()*(s_0+7*s_r+IF(circ_int,eq_c1/2,0)))/INDEX(lk_legs,8))&lt;(((((2*IF(circ_int,0,eq_c2/2))+(PI()*(s_0+7*s_r+IF(circ_int,eq_c1/2,0))/2))+2*IF(circ_int,0,eq_c1/2))+(PI()*(s_0+7*s_r+IF(circ_int,eq_c1/2,0))/2))+2*IF(circ_int,0,eq_c2/2)),-IF(circ_int,0,eq_c1/2)-(s_0+7*s_r+IF(circ_int,eq_c1/2,0)),IF(((3+0.5)*(4*IF(circ_int,0,eq_c1/2)+4*IF(circ_int,0,eq_c2/2)+2*PI()*(s_0+7*s_r+IF(circ_int,eq_c1/2,0)))/INDEX(lk_legs,8))&lt;((((((2*IF(circ_int,0,eq_c2/2))+(PI()*(s_0+7*s_r+IF(circ_int,eq_c1/2,0))/2))+2*IF(circ_int,0,eq_c1/2))+(PI()*(s_0+7*s_r+IF(circ_int,eq_c1/2,0))/2))+2*IF(circ_int,0,eq_c2/2))+(PI()*(s_0+7*s_r+IF(circ_int,eq_c1/2,0))/2)),-IF(circ_int,0,eq_c1/2)+(s_0+7*s_r+IF(circ_int,eq_c1/2,0))*COS(PI()+(((3+0.5)*(4*IF(circ_int,0,eq_c1/2)+4*IF(circ_int,0,eq_c2/2)+2*PI()*(s_0+7*s_r+IF(circ_int,eq_c1/2,0)))/INDEX(lk_legs,8))-(((((2*IF(circ_int,0,eq_c2/2))+(PI()*(s_0+7*s_r+IF(circ_int,eq_c1/2,0))/2))+2*IF(circ_int,0,eq_c1/2))+(PI()*(s_0+7*s_r+IF(circ_int,eq_c1/2,0))/2))+2*IF(circ_int,0,eq_c2/2)))/(s_0+7*s_r+IF(circ_int,eq_c1/2,0))),IF(((3+0.5)*(4*IF(circ_int,0,eq_c1/2)+4*IF(circ_int,0,eq_c2/2)+2*PI()*(s_0+7*s_r+IF(circ_int,eq_c1/2,0)))/INDEX(lk_legs,8))&lt;(((((((2*IF(circ_int,0,eq_c2/2))+(PI()*(s_0+7*s_r+IF(circ_int,eq_c1/2,0))/2))+2*IF(circ_int,0,eq_c1/2))+(PI()*(s_0+7*s_r+IF(circ_int,eq_c1/2,0))/2))+2*IF(circ_int,0,eq_c2/2))+(PI()*(s_0+7*s_r+IF(circ_int,eq_c1/2,0))/2))+2*IF(circ_int,0,eq_c1/2)),-IF(circ_int,0,eq_c1/2)+(((3+0.5)*(4*IF(circ_int,0,eq_c1/2)+4*IF(circ_int,0,eq_c2/2)+2*PI()*(s_0+7*s_r+IF(circ_int,eq_c1/2,0)))/INDEX(lk_legs,8))-((((((2*IF(circ_int,0,eq_c2/2))+(PI()*(s_0+7*s_r+IF(circ_int,eq_c1/2,0))/2))+2*IF(circ_int,0,eq_c1/2))+(PI()*(s_0+7*s_r+IF(circ_int,eq_c1/2,0))/2))+2*IF(circ_int,0,eq_c2/2))+(PI()*(s_0+7*s_r+IF(circ_int,eq_c1/2,0))/2))),IF(circ_int,0,eq_c1/2)+(s_0+7*s_r+IF(circ_int,eq_c1/2,0))*COS(3*PI()/2+(((3+0.5)*(4*IF(circ_int,0,eq_c1/2)+4*IF(circ_int,0,eq_c2/2)+2*PI()*(s_0+7*s_r+IF(circ_int,eq_c1/2,0)))/INDEX(lk_legs,8))-(((((((2*IF(circ_int,0,eq_c2/2))+(PI()*(s_0+7*s_r+IF(circ_int,eq_c1/2,0))/2))+2*IF(circ_int,0,eq_c1/2))+(PI()*(s_0+7*s_r+IF(circ_int,eq_c1/2,0))/2))+2*IF(circ_int,0,eq_c2/2))+(PI()*(s_0+7*s_r+IF(circ_int,eq_c1/2,0))/2))+2*IF(circ_int,0,eq_c1/2)))/(s_0+7*s_r+IF(circ_int,eq_c1/2,0)))))))))),NA())</f>
        <v/>
      </c>
      <c r="CQ6">
        <f>IF(AND(AND(links_on,8&lt;=n_per),INDEX(lk_kind,8)=1,3&lt;INDEX(lk_legs,8)),g_oy+IF(((3+0.5)*(4*IF(circ_int,0,eq_c1/2)+4*IF(circ_int,0,eq_c2/2)+2*PI()*(s_0+7*s_r+IF(circ_int,eq_c1/2,0)))/INDEX(lk_legs,8))&lt;(2*IF(circ_int,0,eq_c2/2)),-IF(circ_int,0,eq_c2/2)+((3+0.5)*(4*IF(circ_int,0,eq_c1/2)+4*IF(circ_int,0,eq_c2/2)+2*PI()*(s_0+7*s_r+IF(circ_int,eq_c1/2,0)))/INDEX(lk_legs,8)),IF(((3+0.5)*(4*IF(circ_int,0,eq_c1/2)+4*IF(circ_int,0,eq_c2/2)+2*PI()*(s_0+7*s_r+IF(circ_int,eq_c1/2,0)))/INDEX(lk_legs,8))&lt;((2*IF(circ_int,0,eq_c2/2))+(PI()*(s_0+7*s_r+IF(circ_int,eq_c1/2,0))/2)),IF(circ_int,0,eq_c2/2)+(s_0+7*s_r+IF(circ_int,eq_c1/2,0))*SIN((((3+0.5)*(4*IF(circ_int,0,eq_c1/2)+4*IF(circ_int,0,eq_c2/2)+2*PI()*(s_0+7*s_r+IF(circ_int,eq_c1/2,0)))/INDEX(lk_legs,8))-(2*IF(circ_int,0,eq_c2/2)))/(s_0+7*s_r+IF(circ_int,eq_c1/2,0))),IF(((3+0.5)*(4*IF(circ_int,0,eq_c1/2)+4*IF(circ_int,0,eq_c2/2)+2*PI()*(s_0+7*s_r+IF(circ_int,eq_c1/2,0)))/INDEX(lk_legs,8))&lt;(((2*IF(circ_int,0,eq_c2/2))+(PI()*(s_0+7*s_r+IF(circ_int,eq_c1/2,0))/2))+2*IF(circ_int,0,eq_c1/2)),IF(circ_int,0,eq_c2/2)+(s_0+7*s_r+IF(circ_int,eq_c1/2,0)),IF(((3+0.5)*(4*IF(circ_int,0,eq_c1/2)+4*IF(circ_int,0,eq_c2/2)+2*PI()*(s_0+7*s_r+IF(circ_int,eq_c1/2,0)))/INDEX(lk_legs,8))&lt;((((2*IF(circ_int,0,eq_c2/2))+(PI()*(s_0+7*s_r+IF(circ_int,eq_c1/2,0))/2))+2*IF(circ_int,0,eq_c1/2))+(PI()*(s_0+7*s_r+IF(circ_int,eq_c1/2,0))/2)),IF(circ_int,0,eq_c2/2)+(s_0+7*s_r+IF(circ_int,eq_c1/2,0))*SIN(PI()/2+(((3+0.5)*(4*IF(circ_int,0,eq_c1/2)+4*IF(circ_int,0,eq_c2/2)+2*PI()*(s_0+7*s_r+IF(circ_int,eq_c1/2,0)))/INDEX(lk_legs,8))-(((2*IF(circ_int,0,eq_c2/2))+(PI()*(s_0+7*s_r+IF(circ_int,eq_c1/2,0))/2))+2*IF(circ_int,0,eq_c1/2)))/(s_0+7*s_r+IF(circ_int,eq_c1/2,0))),IF(((3+0.5)*(4*IF(circ_int,0,eq_c1/2)+4*IF(circ_int,0,eq_c2/2)+2*PI()*(s_0+7*s_r+IF(circ_int,eq_c1/2,0)))/INDEX(lk_legs,8))&lt;(((((2*IF(circ_int,0,eq_c2/2))+(PI()*(s_0+7*s_r+IF(circ_int,eq_c1/2,0))/2))+2*IF(circ_int,0,eq_c1/2))+(PI()*(s_0+7*s_r+IF(circ_int,eq_c1/2,0))/2))+2*IF(circ_int,0,eq_c2/2)),IF(circ_int,0,eq_c2/2)-(((3+0.5)*(4*IF(circ_int,0,eq_c1/2)+4*IF(circ_int,0,eq_c2/2)+2*PI()*(s_0+7*s_r+IF(circ_int,eq_c1/2,0)))/INDEX(lk_legs,8))-((((2*IF(circ_int,0,eq_c2/2))+(PI()*(s_0+7*s_r+IF(circ_int,eq_c1/2,0))/2))+2*IF(circ_int,0,eq_c1/2))+(PI()*(s_0+7*s_r+IF(circ_int,eq_c1/2,0))/2))),IF(((3+0.5)*(4*IF(circ_int,0,eq_c1/2)+4*IF(circ_int,0,eq_c2/2)+2*PI()*(s_0+7*s_r+IF(circ_int,eq_c1/2,0)))/INDEX(lk_legs,8))&lt;((((((2*IF(circ_int,0,eq_c2/2))+(PI()*(s_0+7*s_r+IF(circ_int,eq_c1/2,0))/2))+2*IF(circ_int,0,eq_c1/2))+(PI()*(s_0+7*s_r+IF(circ_int,eq_c1/2,0))/2))+2*IF(circ_int,0,eq_c2/2))+(PI()*(s_0+7*s_r+IF(circ_int,eq_c1/2,0))/2)),-IF(circ_int,0,eq_c2/2)+(s_0+7*s_r+IF(circ_int,eq_c1/2,0))*SIN(PI()+(((3+0.5)*(4*IF(circ_int,0,eq_c1/2)+4*IF(circ_int,0,eq_c2/2)+2*PI()*(s_0+7*s_r+IF(circ_int,eq_c1/2,0)))/INDEX(lk_legs,8))-(((((2*IF(circ_int,0,eq_c2/2))+(PI()*(s_0+7*s_r+IF(circ_int,eq_c1/2,0))/2))+2*IF(circ_int,0,eq_c1/2))+(PI()*(s_0+7*s_r+IF(circ_int,eq_c1/2,0))/2))+2*IF(circ_int,0,eq_c2/2)))/(s_0+7*s_r+IF(circ_int,eq_c1/2,0))),IF(((3+0.5)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(3+0.5)*(4*IF(circ_int,0,eq_c1/2)+4*IF(circ_int,0,eq_c2/2)+2*PI()*(s_0+7*s_r+IF(circ_int,eq_c1/2,0)))/INDEX(lk_legs,8))-(((((((2*IF(circ_int,0,eq_c2/2))+(PI()*(s_0+7*s_r+IF(circ_int,eq_c1/2,0))/2))+2*IF(circ_int,0,eq_c1/2))+(PI()*(s_0+7*s_r+IF(circ_int,eq_c1/2,0))/2))+2*IF(circ_int,0,eq_c2/2))+(PI()*(s_0+7*s_r+IF(circ_int,eq_c1/2,0))/2))+2*IF(circ_int,0,eq_c1/2)))/(s_0+7*s_r+IF(circ_int,eq_c1/2,0)))))))))),NA())</f>
        <v/>
      </c>
      <c r="CS6">
        <f>IF(AND(links_on,9&lt;=n_per),IF(circ_int,(g_ox)+(c_1/2+(s_0+8*s_r))*0.935016,CHOOSE(INDEX(lk_kind,9),(g_ox+eq_c1/2)+((s_0+8*s_r))*0.923880,(eq_a1+eq_c1)+((s_0+8*s_r))*0.258819,(eq_a1+eq_c1)+((s_0+8*s_r))*0.258819,(eq_a1)+((s_0+8*s_r))*-0.965926)),NA())</f>
        <v/>
      </c>
      <c r="CT6">
        <f>IF(AND(links_on,9&lt;=n_per),IF(circ_int,(g_oy)+(c_1/2+(s_0+8*s_r))*0.354605,CHOOSE(INDEX(lk_kind,9),(g_oy+eq_c2/2)+((s_0+8*s_r))*0.382683,(g_oy+eq_c2/2)+((s_0+8*s_r))*0.965926,(eq_a2+eq_c2)+((s_0+8*s_r))*0.965926,(eq_a2+eq_c2)+((s_0+8*s_r))*0.258819)),NA())</f>
        <v/>
      </c>
      <c r="CV6">
        <f>IF(AND(AND(links_on,9&lt;=n_per),INDEX(lk_kind,9)=1,3&lt;INDEX(lk_legs,9)),g_ox+IF(((3+0.5)*(4*IF(circ_int,0,eq_c1/2)+4*IF(circ_int,0,eq_c2/2)+2*PI()*(s_0+8*s_r+IF(circ_int,eq_c1/2,0)))/INDEX(lk_legs,9))&lt;(2*IF(circ_int,0,eq_c2/2)),IF(circ_int,0,eq_c1/2)+(s_0+8*s_r+IF(circ_int,eq_c1/2,0)),IF(((3+0.5)*(4*IF(circ_int,0,eq_c1/2)+4*IF(circ_int,0,eq_c2/2)+2*PI()*(s_0+8*s_r+IF(circ_int,eq_c1/2,0)))/INDEX(lk_legs,9))&lt;((2*IF(circ_int,0,eq_c2/2))+(PI()*(s_0+8*s_r+IF(circ_int,eq_c1/2,0))/2)),IF(circ_int,0,eq_c1/2)+(s_0+8*s_r+IF(circ_int,eq_c1/2,0))*COS((((3+0.5)*(4*IF(circ_int,0,eq_c1/2)+4*IF(circ_int,0,eq_c2/2)+2*PI()*(s_0+8*s_r+IF(circ_int,eq_c1/2,0)))/INDEX(lk_legs,9))-(2*IF(circ_int,0,eq_c2/2)))/(s_0+8*s_r+IF(circ_int,eq_c1/2,0))),IF(((3+0.5)*(4*IF(circ_int,0,eq_c1/2)+4*IF(circ_int,0,eq_c2/2)+2*PI()*(s_0+8*s_r+IF(circ_int,eq_c1/2,0)))/INDEX(lk_legs,9))&lt;(((2*IF(circ_int,0,eq_c2/2))+(PI()*(s_0+8*s_r+IF(circ_int,eq_c1/2,0))/2))+2*IF(circ_int,0,eq_c1/2)),IF(circ_int,0,eq_c1/2)-(((3+0.5)*(4*IF(circ_int,0,eq_c1/2)+4*IF(circ_int,0,eq_c2/2)+2*PI()*(s_0+8*s_r+IF(circ_int,eq_c1/2,0)))/INDEX(lk_legs,9))-((2*IF(circ_int,0,eq_c2/2))+(PI()*(s_0+8*s_r+IF(circ_int,eq_c1/2,0))/2))),IF(((3+0.5)*(4*IF(circ_int,0,eq_c1/2)+4*IF(circ_int,0,eq_c2/2)+2*PI()*(s_0+8*s_r+IF(circ_int,eq_c1/2,0)))/INDEX(lk_legs,9))&lt;((((2*IF(circ_int,0,eq_c2/2))+(PI()*(s_0+8*s_r+IF(circ_int,eq_c1/2,0))/2))+2*IF(circ_int,0,eq_c1/2))+(PI()*(s_0+8*s_r+IF(circ_int,eq_c1/2,0))/2)),-IF(circ_int,0,eq_c1/2)+(s_0+8*s_r+IF(circ_int,eq_c1/2,0))*COS(PI()/2+(((3+0.5)*(4*IF(circ_int,0,eq_c1/2)+4*IF(circ_int,0,eq_c2/2)+2*PI()*(s_0+8*s_r+IF(circ_int,eq_c1/2,0)))/INDEX(lk_legs,9))-(((2*IF(circ_int,0,eq_c2/2))+(PI()*(s_0+8*s_r+IF(circ_int,eq_c1/2,0))/2))+2*IF(circ_int,0,eq_c1/2)))/(s_0+8*s_r+IF(circ_int,eq_c1/2,0))),IF(((3+0.5)*(4*IF(circ_int,0,eq_c1/2)+4*IF(circ_int,0,eq_c2/2)+2*PI()*(s_0+8*s_r+IF(circ_int,eq_c1/2,0)))/INDEX(lk_legs,9))&lt;(((((2*IF(circ_int,0,eq_c2/2))+(PI()*(s_0+8*s_r+IF(circ_int,eq_c1/2,0))/2))+2*IF(circ_int,0,eq_c1/2))+(PI()*(s_0+8*s_r+IF(circ_int,eq_c1/2,0))/2))+2*IF(circ_int,0,eq_c2/2)),-IF(circ_int,0,eq_c1/2)-(s_0+8*s_r+IF(circ_int,eq_c1/2,0)),IF(((3+0.5)*(4*IF(circ_int,0,eq_c1/2)+4*IF(circ_int,0,eq_c2/2)+2*PI()*(s_0+8*s_r+IF(circ_int,eq_c1/2,0)))/INDEX(lk_legs,9))&lt;((((((2*IF(circ_int,0,eq_c2/2))+(PI()*(s_0+8*s_r+IF(circ_int,eq_c1/2,0))/2))+2*IF(circ_int,0,eq_c1/2))+(PI()*(s_0+8*s_r+IF(circ_int,eq_c1/2,0))/2))+2*IF(circ_int,0,eq_c2/2))+(PI()*(s_0+8*s_r+IF(circ_int,eq_c1/2,0))/2)),-IF(circ_int,0,eq_c1/2)+(s_0+8*s_r+IF(circ_int,eq_c1/2,0))*COS(PI()+(((3+0.5)*(4*IF(circ_int,0,eq_c1/2)+4*IF(circ_int,0,eq_c2/2)+2*PI()*(s_0+8*s_r+IF(circ_int,eq_c1/2,0)))/INDEX(lk_legs,9))-(((((2*IF(circ_int,0,eq_c2/2))+(PI()*(s_0+8*s_r+IF(circ_int,eq_c1/2,0))/2))+2*IF(circ_int,0,eq_c1/2))+(PI()*(s_0+8*s_r+IF(circ_int,eq_c1/2,0))/2))+2*IF(circ_int,0,eq_c2/2)))/(s_0+8*s_r+IF(circ_int,eq_c1/2,0))),IF(((3+0.5)*(4*IF(circ_int,0,eq_c1/2)+4*IF(circ_int,0,eq_c2/2)+2*PI()*(s_0+8*s_r+IF(circ_int,eq_c1/2,0)))/INDEX(lk_legs,9))&lt;(((((((2*IF(circ_int,0,eq_c2/2))+(PI()*(s_0+8*s_r+IF(circ_int,eq_c1/2,0))/2))+2*IF(circ_int,0,eq_c1/2))+(PI()*(s_0+8*s_r+IF(circ_int,eq_c1/2,0))/2))+2*IF(circ_int,0,eq_c2/2))+(PI()*(s_0+8*s_r+IF(circ_int,eq_c1/2,0))/2))+2*IF(circ_int,0,eq_c1/2)),-IF(circ_int,0,eq_c1/2)+(((3+0.5)*(4*IF(circ_int,0,eq_c1/2)+4*IF(circ_int,0,eq_c2/2)+2*PI()*(s_0+8*s_r+IF(circ_int,eq_c1/2,0)))/INDEX(lk_legs,9))-((((((2*IF(circ_int,0,eq_c2/2))+(PI()*(s_0+8*s_r+IF(circ_int,eq_c1/2,0))/2))+2*IF(circ_int,0,eq_c1/2))+(PI()*(s_0+8*s_r+IF(circ_int,eq_c1/2,0))/2))+2*IF(circ_int,0,eq_c2/2))+(PI()*(s_0+8*s_r+IF(circ_int,eq_c1/2,0))/2))),IF(circ_int,0,eq_c1/2)+(s_0+8*s_r+IF(circ_int,eq_c1/2,0))*COS(3*PI()/2+(((3+0.5)*(4*IF(circ_int,0,eq_c1/2)+4*IF(circ_int,0,eq_c2/2)+2*PI()*(s_0+8*s_r+IF(circ_int,eq_c1/2,0)))/INDEX(lk_legs,9))-(((((((2*IF(circ_int,0,eq_c2/2))+(PI()*(s_0+8*s_r+IF(circ_int,eq_c1/2,0))/2))+2*IF(circ_int,0,eq_c1/2))+(PI()*(s_0+8*s_r+IF(circ_int,eq_c1/2,0))/2))+2*IF(circ_int,0,eq_c2/2))+(PI()*(s_0+8*s_r+IF(circ_int,eq_c1/2,0))/2))+2*IF(circ_int,0,eq_c1/2)))/(s_0+8*s_r+IF(circ_int,eq_c1/2,0)))))))))),NA())</f>
        <v/>
      </c>
      <c r="CW6">
        <f>IF(AND(AND(links_on,9&lt;=n_per),INDEX(lk_kind,9)=1,3&lt;INDEX(lk_legs,9)),g_oy+IF(((3+0.5)*(4*IF(circ_int,0,eq_c1/2)+4*IF(circ_int,0,eq_c2/2)+2*PI()*(s_0+8*s_r+IF(circ_int,eq_c1/2,0)))/INDEX(lk_legs,9))&lt;(2*IF(circ_int,0,eq_c2/2)),-IF(circ_int,0,eq_c2/2)+((3+0.5)*(4*IF(circ_int,0,eq_c1/2)+4*IF(circ_int,0,eq_c2/2)+2*PI()*(s_0+8*s_r+IF(circ_int,eq_c1/2,0)))/INDEX(lk_legs,9)),IF(((3+0.5)*(4*IF(circ_int,0,eq_c1/2)+4*IF(circ_int,0,eq_c2/2)+2*PI()*(s_0+8*s_r+IF(circ_int,eq_c1/2,0)))/INDEX(lk_legs,9))&lt;((2*IF(circ_int,0,eq_c2/2))+(PI()*(s_0+8*s_r+IF(circ_int,eq_c1/2,0))/2)),IF(circ_int,0,eq_c2/2)+(s_0+8*s_r+IF(circ_int,eq_c1/2,0))*SIN((((3+0.5)*(4*IF(circ_int,0,eq_c1/2)+4*IF(circ_int,0,eq_c2/2)+2*PI()*(s_0+8*s_r+IF(circ_int,eq_c1/2,0)))/INDEX(lk_legs,9))-(2*IF(circ_int,0,eq_c2/2)))/(s_0+8*s_r+IF(circ_int,eq_c1/2,0))),IF(((3+0.5)*(4*IF(circ_int,0,eq_c1/2)+4*IF(circ_int,0,eq_c2/2)+2*PI()*(s_0+8*s_r+IF(circ_int,eq_c1/2,0)))/INDEX(lk_legs,9))&lt;(((2*IF(circ_int,0,eq_c2/2))+(PI()*(s_0+8*s_r+IF(circ_int,eq_c1/2,0))/2))+2*IF(circ_int,0,eq_c1/2)),IF(circ_int,0,eq_c2/2)+(s_0+8*s_r+IF(circ_int,eq_c1/2,0)),IF(((3+0.5)*(4*IF(circ_int,0,eq_c1/2)+4*IF(circ_int,0,eq_c2/2)+2*PI()*(s_0+8*s_r+IF(circ_int,eq_c1/2,0)))/INDEX(lk_legs,9))&lt;((((2*IF(circ_int,0,eq_c2/2))+(PI()*(s_0+8*s_r+IF(circ_int,eq_c1/2,0))/2))+2*IF(circ_int,0,eq_c1/2))+(PI()*(s_0+8*s_r+IF(circ_int,eq_c1/2,0))/2)),IF(circ_int,0,eq_c2/2)+(s_0+8*s_r+IF(circ_int,eq_c1/2,0))*SIN(PI()/2+(((3+0.5)*(4*IF(circ_int,0,eq_c1/2)+4*IF(circ_int,0,eq_c2/2)+2*PI()*(s_0+8*s_r+IF(circ_int,eq_c1/2,0)))/INDEX(lk_legs,9))-(((2*IF(circ_int,0,eq_c2/2))+(PI()*(s_0+8*s_r+IF(circ_int,eq_c1/2,0))/2))+2*IF(circ_int,0,eq_c1/2)))/(s_0+8*s_r+IF(circ_int,eq_c1/2,0))),IF(((3+0.5)*(4*IF(circ_int,0,eq_c1/2)+4*IF(circ_int,0,eq_c2/2)+2*PI()*(s_0+8*s_r+IF(circ_int,eq_c1/2,0)))/INDEX(lk_legs,9))&lt;(((((2*IF(circ_int,0,eq_c2/2))+(PI()*(s_0+8*s_r+IF(circ_int,eq_c1/2,0))/2))+2*IF(circ_int,0,eq_c1/2))+(PI()*(s_0+8*s_r+IF(circ_int,eq_c1/2,0))/2))+2*IF(circ_int,0,eq_c2/2)),IF(circ_int,0,eq_c2/2)-(((3+0.5)*(4*IF(circ_int,0,eq_c1/2)+4*IF(circ_int,0,eq_c2/2)+2*PI()*(s_0+8*s_r+IF(circ_int,eq_c1/2,0)))/INDEX(lk_legs,9))-((((2*IF(circ_int,0,eq_c2/2))+(PI()*(s_0+8*s_r+IF(circ_int,eq_c1/2,0))/2))+2*IF(circ_int,0,eq_c1/2))+(PI()*(s_0+8*s_r+IF(circ_int,eq_c1/2,0))/2))),IF(((3+0.5)*(4*IF(circ_int,0,eq_c1/2)+4*IF(circ_int,0,eq_c2/2)+2*PI()*(s_0+8*s_r+IF(circ_int,eq_c1/2,0)))/INDEX(lk_legs,9))&lt;((((((2*IF(circ_int,0,eq_c2/2))+(PI()*(s_0+8*s_r+IF(circ_int,eq_c1/2,0))/2))+2*IF(circ_int,0,eq_c1/2))+(PI()*(s_0+8*s_r+IF(circ_int,eq_c1/2,0))/2))+2*IF(circ_int,0,eq_c2/2))+(PI()*(s_0+8*s_r+IF(circ_int,eq_c1/2,0))/2)),-IF(circ_int,0,eq_c2/2)+(s_0+8*s_r+IF(circ_int,eq_c1/2,0))*SIN(PI()+(((3+0.5)*(4*IF(circ_int,0,eq_c1/2)+4*IF(circ_int,0,eq_c2/2)+2*PI()*(s_0+8*s_r+IF(circ_int,eq_c1/2,0)))/INDEX(lk_legs,9))-(((((2*IF(circ_int,0,eq_c2/2))+(PI()*(s_0+8*s_r+IF(circ_int,eq_c1/2,0))/2))+2*IF(circ_int,0,eq_c1/2))+(PI()*(s_0+8*s_r+IF(circ_int,eq_c1/2,0))/2))+2*IF(circ_int,0,eq_c2/2)))/(s_0+8*s_r+IF(circ_int,eq_c1/2,0))),IF(((3+0.5)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(3+0.5)*(4*IF(circ_int,0,eq_c1/2)+4*IF(circ_int,0,eq_c2/2)+2*PI()*(s_0+8*s_r+IF(circ_int,eq_c1/2,0)))/INDEX(lk_legs,9))-(((((((2*IF(circ_int,0,eq_c2/2))+(PI()*(s_0+8*s_r+IF(circ_int,eq_c1/2,0))/2))+2*IF(circ_int,0,eq_c1/2))+(PI()*(s_0+8*s_r+IF(circ_int,eq_c1/2,0))/2))+2*IF(circ_int,0,eq_c2/2))+(PI()*(s_0+8*s_r+IF(circ_int,eq_c1/2,0))/2))+2*IF(circ_int,0,eq_c1/2)))/(s_0+8*s_r+IF(circ_int,eq_c1/2,0)))))))))),NA())</f>
        <v/>
      </c>
      <c r="CY6">
        <f>IF(AND(links_on,10&lt;=n_per),IF(circ_int,(g_ox)+(c_1/2+(s_0+9*s_r))*0.935016,CHOOSE(INDEX(lk_kind,10),(g_ox+eq_c1/2)+((s_0+9*s_r))*0.923880,(eq_a1+eq_c1)+((s_0+9*s_r))*0.258819,(eq_a1+eq_c1)+((s_0+9*s_r))*0.258819,(eq_a1)+((s_0+9*s_r))*-0.965926)),NA())</f>
        <v/>
      </c>
      <c r="CZ6">
        <f>IF(AND(links_on,10&lt;=n_per),IF(circ_int,(g_oy)+(c_1/2+(s_0+9*s_r))*0.354605,CHOOSE(INDEX(lk_kind,10),(g_oy+eq_c2/2)+((s_0+9*s_r))*0.382683,(g_oy+eq_c2/2)+((s_0+9*s_r))*0.965926,(eq_a2+eq_c2)+((s_0+9*s_r))*0.965926,(eq_a2+eq_c2)+((s_0+9*s_r))*0.258819)),NA())</f>
        <v/>
      </c>
      <c r="DB6">
        <f>IF(AND(AND(links_on,10&lt;=n_per),INDEX(lk_kind,10)=1,3&lt;INDEX(lk_legs,10)),g_ox+IF(((3+0.5)*(4*IF(circ_int,0,eq_c1/2)+4*IF(circ_int,0,eq_c2/2)+2*PI()*(s_0+9*s_r+IF(circ_int,eq_c1/2,0)))/INDEX(lk_legs,10))&lt;(2*IF(circ_int,0,eq_c2/2)),IF(circ_int,0,eq_c1/2)+(s_0+9*s_r+IF(circ_int,eq_c1/2,0)),IF(((3+0.5)*(4*IF(circ_int,0,eq_c1/2)+4*IF(circ_int,0,eq_c2/2)+2*PI()*(s_0+9*s_r+IF(circ_int,eq_c1/2,0)))/INDEX(lk_legs,10))&lt;((2*IF(circ_int,0,eq_c2/2))+(PI()*(s_0+9*s_r+IF(circ_int,eq_c1/2,0))/2)),IF(circ_int,0,eq_c1/2)+(s_0+9*s_r+IF(circ_int,eq_c1/2,0))*COS((((3+0.5)*(4*IF(circ_int,0,eq_c1/2)+4*IF(circ_int,0,eq_c2/2)+2*PI()*(s_0+9*s_r+IF(circ_int,eq_c1/2,0)))/INDEX(lk_legs,10))-(2*IF(circ_int,0,eq_c2/2)))/(s_0+9*s_r+IF(circ_int,eq_c1/2,0))),IF(((3+0.5)*(4*IF(circ_int,0,eq_c1/2)+4*IF(circ_int,0,eq_c2/2)+2*PI()*(s_0+9*s_r+IF(circ_int,eq_c1/2,0)))/INDEX(lk_legs,10))&lt;(((2*IF(circ_int,0,eq_c2/2))+(PI()*(s_0+9*s_r+IF(circ_int,eq_c1/2,0))/2))+2*IF(circ_int,0,eq_c1/2)),IF(circ_int,0,eq_c1/2)-(((3+0.5)*(4*IF(circ_int,0,eq_c1/2)+4*IF(circ_int,0,eq_c2/2)+2*PI()*(s_0+9*s_r+IF(circ_int,eq_c1/2,0)))/INDEX(lk_legs,10))-((2*IF(circ_int,0,eq_c2/2))+(PI()*(s_0+9*s_r+IF(circ_int,eq_c1/2,0))/2))),IF(((3+0.5)*(4*IF(circ_int,0,eq_c1/2)+4*IF(circ_int,0,eq_c2/2)+2*PI()*(s_0+9*s_r+IF(circ_int,eq_c1/2,0)))/INDEX(lk_legs,10))&lt;((((2*IF(circ_int,0,eq_c2/2))+(PI()*(s_0+9*s_r+IF(circ_int,eq_c1/2,0))/2))+2*IF(circ_int,0,eq_c1/2))+(PI()*(s_0+9*s_r+IF(circ_int,eq_c1/2,0))/2)),-IF(circ_int,0,eq_c1/2)+(s_0+9*s_r+IF(circ_int,eq_c1/2,0))*COS(PI()/2+(((3+0.5)*(4*IF(circ_int,0,eq_c1/2)+4*IF(circ_int,0,eq_c2/2)+2*PI()*(s_0+9*s_r+IF(circ_int,eq_c1/2,0)))/INDEX(lk_legs,10))-(((2*IF(circ_int,0,eq_c2/2))+(PI()*(s_0+9*s_r+IF(circ_int,eq_c1/2,0))/2))+2*IF(circ_int,0,eq_c1/2)))/(s_0+9*s_r+IF(circ_int,eq_c1/2,0))),IF(((3+0.5)*(4*IF(circ_int,0,eq_c1/2)+4*IF(circ_int,0,eq_c2/2)+2*PI()*(s_0+9*s_r+IF(circ_int,eq_c1/2,0)))/INDEX(lk_legs,10))&lt;(((((2*IF(circ_int,0,eq_c2/2))+(PI()*(s_0+9*s_r+IF(circ_int,eq_c1/2,0))/2))+2*IF(circ_int,0,eq_c1/2))+(PI()*(s_0+9*s_r+IF(circ_int,eq_c1/2,0))/2))+2*IF(circ_int,0,eq_c2/2)),-IF(circ_int,0,eq_c1/2)-(s_0+9*s_r+IF(circ_int,eq_c1/2,0)),IF(((3+0.5)*(4*IF(circ_int,0,eq_c1/2)+4*IF(circ_int,0,eq_c2/2)+2*PI()*(s_0+9*s_r+IF(circ_int,eq_c1/2,0)))/INDEX(lk_legs,10))&lt;((((((2*IF(circ_int,0,eq_c2/2))+(PI()*(s_0+9*s_r+IF(circ_int,eq_c1/2,0))/2))+2*IF(circ_int,0,eq_c1/2))+(PI()*(s_0+9*s_r+IF(circ_int,eq_c1/2,0))/2))+2*IF(circ_int,0,eq_c2/2))+(PI()*(s_0+9*s_r+IF(circ_int,eq_c1/2,0))/2)),-IF(circ_int,0,eq_c1/2)+(s_0+9*s_r+IF(circ_int,eq_c1/2,0))*COS(PI()+(((3+0.5)*(4*IF(circ_int,0,eq_c1/2)+4*IF(circ_int,0,eq_c2/2)+2*PI()*(s_0+9*s_r+IF(circ_int,eq_c1/2,0)))/INDEX(lk_legs,10))-(((((2*IF(circ_int,0,eq_c2/2))+(PI()*(s_0+9*s_r+IF(circ_int,eq_c1/2,0))/2))+2*IF(circ_int,0,eq_c1/2))+(PI()*(s_0+9*s_r+IF(circ_int,eq_c1/2,0))/2))+2*IF(circ_int,0,eq_c2/2)))/(s_0+9*s_r+IF(circ_int,eq_c1/2,0))),IF(((3+0.5)*(4*IF(circ_int,0,eq_c1/2)+4*IF(circ_int,0,eq_c2/2)+2*PI()*(s_0+9*s_r+IF(circ_int,eq_c1/2,0)))/INDEX(lk_legs,10))&lt;(((((((2*IF(circ_int,0,eq_c2/2))+(PI()*(s_0+9*s_r+IF(circ_int,eq_c1/2,0))/2))+2*IF(circ_int,0,eq_c1/2))+(PI()*(s_0+9*s_r+IF(circ_int,eq_c1/2,0))/2))+2*IF(circ_int,0,eq_c2/2))+(PI()*(s_0+9*s_r+IF(circ_int,eq_c1/2,0))/2))+2*IF(circ_int,0,eq_c1/2)),-IF(circ_int,0,eq_c1/2)+(((3+0.5)*(4*IF(circ_int,0,eq_c1/2)+4*IF(circ_int,0,eq_c2/2)+2*PI()*(s_0+9*s_r+IF(circ_int,eq_c1/2,0)))/INDEX(lk_legs,10))-((((((2*IF(circ_int,0,eq_c2/2))+(PI()*(s_0+9*s_r+IF(circ_int,eq_c1/2,0))/2))+2*IF(circ_int,0,eq_c1/2))+(PI()*(s_0+9*s_r+IF(circ_int,eq_c1/2,0))/2))+2*IF(circ_int,0,eq_c2/2))+(PI()*(s_0+9*s_r+IF(circ_int,eq_c1/2,0))/2))),IF(circ_int,0,eq_c1/2)+(s_0+9*s_r+IF(circ_int,eq_c1/2,0))*COS(3*PI()/2+(((3+0.5)*(4*IF(circ_int,0,eq_c1/2)+4*IF(circ_int,0,eq_c2/2)+2*PI()*(s_0+9*s_r+IF(circ_int,eq_c1/2,0)))/INDEX(lk_legs,10))-(((((((2*IF(circ_int,0,eq_c2/2))+(PI()*(s_0+9*s_r+IF(circ_int,eq_c1/2,0))/2))+2*IF(circ_int,0,eq_c1/2))+(PI()*(s_0+9*s_r+IF(circ_int,eq_c1/2,0))/2))+2*IF(circ_int,0,eq_c2/2))+(PI()*(s_0+9*s_r+IF(circ_int,eq_c1/2,0))/2))+2*IF(circ_int,0,eq_c1/2)))/(s_0+9*s_r+IF(circ_int,eq_c1/2,0)))))))))),NA())</f>
        <v/>
      </c>
      <c r="DC6">
        <f>IF(AND(AND(links_on,10&lt;=n_per),INDEX(lk_kind,10)=1,3&lt;INDEX(lk_legs,10)),g_oy+IF(((3+0.5)*(4*IF(circ_int,0,eq_c1/2)+4*IF(circ_int,0,eq_c2/2)+2*PI()*(s_0+9*s_r+IF(circ_int,eq_c1/2,0)))/INDEX(lk_legs,10))&lt;(2*IF(circ_int,0,eq_c2/2)),-IF(circ_int,0,eq_c2/2)+((3+0.5)*(4*IF(circ_int,0,eq_c1/2)+4*IF(circ_int,0,eq_c2/2)+2*PI()*(s_0+9*s_r+IF(circ_int,eq_c1/2,0)))/INDEX(lk_legs,10)),IF(((3+0.5)*(4*IF(circ_int,0,eq_c1/2)+4*IF(circ_int,0,eq_c2/2)+2*PI()*(s_0+9*s_r+IF(circ_int,eq_c1/2,0)))/INDEX(lk_legs,10))&lt;((2*IF(circ_int,0,eq_c2/2))+(PI()*(s_0+9*s_r+IF(circ_int,eq_c1/2,0))/2)),IF(circ_int,0,eq_c2/2)+(s_0+9*s_r+IF(circ_int,eq_c1/2,0))*SIN((((3+0.5)*(4*IF(circ_int,0,eq_c1/2)+4*IF(circ_int,0,eq_c2/2)+2*PI()*(s_0+9*s_r+IF(circ_int,eq_c1/2,0)))/INDEX(lk_legs,10))-(2*IF(circ_int,0,eq_c2/2)))/(s_0+9*s_r+IF(circ_int,eq_c1/2,0))),IF(((3+0.5)*(4*IF(circ_int,0,eq_c1/2)+4*IF(circ_int,0,eq_c2/2)+2*PI()*(s_0+9*s_r+IF(circ_int,eq_c1/2,0)))/INDEX(lk_legs,10))&lt;(((2*IF(circ_int,0,eq_c2/2))+(PI()*(s_0+9*s_r+IF(circ_int,eq_c1/2,0))/2))+2*IF(circ_int,0,eq_c1/2)),IF(circ_int,0,eq_c2/2)+(s_0+9*s_r+IF(circ_int,eq_c1/2,0)),IF(((3+0.5)*(4*IF(circ_int,0,eq_c1/2)+4*IF(circ_int,0,eq_c2/2)+2*PI()*(s_0+9*s_r+IF(circ_int,eq_c1/2,0)))/INDEX(lk_legs,10))&lt;((((2*IF(circ_int,0,eq_c2/2))+(PI()*(s_0+9*s_r+IF(circ_int,eq_c1/2,0))/2))+2*IF(circ_int,0,eq_c1/2))+(PI()*(s_0+9*s_r+IF(circ_int,eq_c1/2,0))/2)),IF(circ_int,0,eq_c2/2)+(s_0+9*s_r+IF(circ_int,eq_c1/2,0))*SIN(PI()/2+(((3+0.5)*(4*IF(circ_int,0,eq_c1/2)+4*IF(circ_int,0,eq_c2/2)+2*PI()*(s_0+9*s_r+IF(circ_int,eq_c1/2,0)))/INDEX(lk_legs,10))-(((2*IF(circ_int,0,eq_c2/2))+(PI()*(s_0+9*s_r+IF(circ_int,eq_c1/2,0))/2))+2*IF(circ_int,0,eq_c1/2)))/(s_0+9*s_r+IF(circ_int,eq_c1/2,0))),IF(((3+0.5)*(4*IF(circ_int,0,eq_c1/2)+4*IF(circ_int,0,eq_c2/2)+2*PI()*(s_0+9*s_r+IF(circ_int,eq_c1/2,0)))/INDEX(lk_legs,10))&lt;(((((2*IF(circ_int,0,eq_c2/2))+(PI()*(s_0+9*s_r+IF(circ_int,eq_c1/2,0))/2))+2*IF(circ_int,0,eq_c1/2))+(PI()*(s_0+9*s_r+IF(circ_int,eq_c1/2,0))/2))+2*IF(circ_int,0,eq_c2/2)),IF(circ_int,0,eq_c2/2)-(((3+0.5)*(4*IF(circ_int,0,eq_c1/2)+4*IF(circ_int,0,eq_c2/2)+2*PI()*(s_0+9*s_r+IF(circ_int,eq_c1/2,0)))/INDEX(lk_legs,10))-((((2*IF(circ_int,0,eq_c2/2))+(PI()*(s_0+9*s_r+IF(circ_int,eq_c1/2,0))/2))+2*IF(circ_int,0,eq_c1/2))+(PI()*(s_0+9*s_r+IF(circ_int,eq_c1/2,0))/2))),IF(((3+0.5)*(4*IF(circ_int,0,eq_c1/2)+4*IF(circ_int,0,eq_c2/2)+2*PI()*(s_0+9*s_r+IF(circ_int,eq_c1/2,0)))/INDEX(lk_legs,10))&lt;((((((2*IF(circ_int,0,eq_c2/2))+(PI()*(s_0+9*s_r+IF(circ_int,eq_c1/2,0))/2))+2*IF(circ_int,0,eq_c1/2))+(PI()*(s_0+9*s_r+IF(circ_int,eq_c1/2,0))/2))+2*IF(circ_int,0,eq_c2/2))+(PI()*(s_0+9*s_r+IF(circ_int,eq_c1/2,0))/2)),-IF(circ_int,0,eq_c2/2)+(s_0+9*s_r+IF(circ_int,eq_c1/2,0))*SIN(PI()+(((3+0.5)*(4*IF(circ_int,0,eq_c1/2)+4*IF(circ_int,0,eq_c2/2)+2*PI()*(s_0+9*s_r+IF(circ_int,eq_c1/2,0)))/INDEX(lk_legs,10))-(((((2*IF(circ_int,0,eq_c2/2))+(PI()*(s_0+9*s_r+IF(circ_int,eq_c1/2,0))/2))+2*IF(circ_int,0,eq_c1/2))+(PI()*(s_0+9*s_r+IF(circ_int,eq_c1/2,0))/2))+2*IF(circ_int,0,eq_c2/2)))/(s_0+9*s_r+IF(circ_int,eq_c1/2,0))),IF(((3+0.5)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(3+0.5)*(4*IF(circ_int,0,eq_c1/2)+4*IF(circ_int,0,eq_c2/2)+2*PI()*(s_0+9*s_r+IF(circ_int,eq_c1/2,0)))/INDEX(lk_legs,10))-(((((((2*IF(circ_int,0,eq_c2/2))+(PI()*(s_0+9*s_r+IF(circ_int,eq_c1/2,0))/2))+2*IF(circ_int,0,eq_c1/2))+(PI()*(s_0+9*s_r+IF(circ_int,eq_c1/2,0))/2))+2*IF(circ_int,0,eq_c2/2))+(PI()*(s_0+9*s_r+IF(circ_int,eq_c1/2,0))/2))+2*IF(circ_int,0,eq_c1/2)))/(s_0+9*s_r+IF(circ_int,eq_c1/2,0)))))))))),NA())</f>
        <v/>
      </c>
      <c r="DE6">
        <f>IF(AND(links_on,11&lt;=n_per),IF(circ_int,(g_ox)+(c_1/2+(s_0+10*s_r))*0.935016,CHOOSE(INDEX(lk_kind,11),(g_ox+eq_c1/2)+((s_0+10*s_r))*0.923880,(eq_a1+eq_c1)+((s_0+10*s_r))*0.258819,(eq_a1+eq_c1)+((s_0+10*s_r))*0.258819,(eq_a1)+((s_0+10*s_r))*-0.965926)),NA())</f>
        <v/>
      </c>
      <c r="DF6">
        <f>IF(AND(links_on,11&lt;=n_per),IF(circ_int,(g_oy)+(c_1/2+(s_0+10*s_r))*0.354605,CHOOSE(INDEX(lk_kind,11),(g_oy+eq_c2/2)+((s_0+10*s_r))*0.382683,(g_oy+eq_c2/2)+((s_0+10*s_r))*0.965926,(eq_a2+eq_c2)+((s_0+10*s_r))*0.965926,(eq_a2+eq_c2)+((s_0+10*s_r))*0.258819)),NA())</f>
        <v/>
      </c>
      <c r="DH6">
        <f>IF(AND(AND(links_on,11&lt;=n_per),INDEX(lk_kind,11)=1,3&lt;INDEX(lk_legs,11)),g_ox+IF(((3+0.5)*(4*IF(circ_int,0,eq_c1/2)+4*IF(circ_int,0,eq_c2/2)+2*PI()*(s_0+10*s_r+IF(circ_int,eq_c1/2,0)))/INDEX(lk_legs,11))&lt;(2*IF(circ_int,0,eq_c2/2)),IF(circ_int,0,eq_c1/2)+(s_0+10*s_r+IF(circ_int,eq_c1/2,0)),IF(((3+0.5)*(4*IF(circ_int,0,eq_c1/2)+4*IF(circ_int,0,eq_c2/2)+2*PI()*(s_0+10*s_r+IF(circ_int,eq_c1/2,0)))/INDEX(lk_legs,11))&lt;((2*IF(circ_int,0,eq_c2/2))+(PI()*(s_0+10*s_r+IF(circ_int,eq_c1/2,0))/2)),IF(circ_int,0,eq_c1/2)+(s_0+10*s_r+IF(circ_int,eq_c1/2,0))*COS((((3+0.5)*(4*IF(circ_int,0,eq_c1/2)+4*IF(circ_int,0,eq_c2/2)+2*PI()*(s_0+10*s_r+IF(circ_int,eq_c1/2,0)))/INDEX(lk_legs,11))-(2*IF(circ_int,0,eq_c2/2)))/(s_0+10*s_r+IF(circ_int,eq_c1/2,0))),IF(((3+0.5)*(4*IF(circ_int,0,eq_c1/2)+4*IF(circ_int,0,eq_c2/2)+2*PI()*(s_0+10*s_r+IF(circ_int,eq_c1/2,0)))/INDEX(lk_legs,11))&lt;(((2*IF(circ_int,0,eq_c2/2))+(PI()*(s_0+10*s_r+IF(circ_int,eq_c1/2,0))/2))+2*IF(circ_int,0,eq_c1/2)),IF(circ_int,0,eq_c1/2)-(((3+0.5)*(4*IF(circ_int,0,eq_c1/2)+4*IF(circ_int,0,eq_c2/2)+2*PI()*(s_0+10*s_r+IF(circ_int,eq_c1/2,0)))/INDEX(lk_legs,11))-((2*IF(circ_int,0,eq_c2/2))+(PI()*(s_0+10*s_r+IF(circ_int,eq_c1/2,0))/2))),IF(((3+0.5)*(4*IF(circ_int,0,eq_c1/2)+4*IF(circ_int,0,eq_c2/2)+2*PI()*(s_0+10*s_r+IF(circ_int,eq_c1/2,0)))/INDEX(lk_legs,11))&lt;((((2*IF(circ_int,0,eq_c2/2))+(PI()*(s_0+10*s_r+IF(circ_int,eq_c1/2,0))/2))+2*IF(circ_int,0,eq_c1/2))+(PI()*(s_0+10*s_r+IF(circ_int,eq_c1/2,0))/2)),-IF(circ_int,0,eq_c1/2)+(s_0+10*s_r+IF(circ_int,eq_c1/2,0))*COS(PI()/2+(((3+0.5)*(4*IF(circ_int,0,eq_c1/2)+4*IF(circ_int,0,eq_c2/2)+2*PI()*(s_0+10*s_r+IF(circ_int,eq_c1/2,0)))/INDEX(lk_legs,11))-(((2*IF(circ_int,0,eq_c2/2))+(PI()*(s_0+10*s_r+IF(circ_int,eq_c1/2,0))/2))+2*IF(circ_int,0,eq_c1/2)))/(s_0+10*s_r+IF(circ_int,eq_c1/2,0))),IF(((3+0.5)*(4*IF(circ_int,0,eq_c1/2)+4*IF(circ_int,0,eq_c2/2)+2*PI()*(s_0+10*s_r+IF(circ_int,eq_c1/2,0)))/INDEX(lk_legs,11))&lt;(((((2*IF(circ_int,0,eq_c2/2))+(PI()*(s_0+10*s_r+IF(circ_int,eq_c1/2,0))/2))+2*IF(circ_int,0,eq_c1/2))+(PI()*(s_0+10*s_r+IF(circ_int,eq_c1/2,0))/2))+2*IF(circ_int,0,eq_c2/2)),-IF(circ_int,0,eq_c1/2)-(s_0+10*s_r+IF(circ_int,eq_c1/2,0)),IF(((3+0.5)*(4*IF(circ_int,0,eq_c1/2)+4*IF(circ_int,0,eq_c2/2)+2*PI()*(s_0+10*s_r+IF(circ_int,eq_c1/2,0)))/INDEX(lk_legs,11))&lt;((((((2*IF(circ_int,0,eq_c2/2))+(PI()*(s_0+10*s_r+IF(circ_int,eq_c1/2,0))/2))+2*IF(circ_int,0,eq_c1/2))+(PI()*(s_0+10*s_r+IF(circ_int,eq_c1/2,0))/2))+2*IF(circ_int,0,eq_c2/2))+(PI()*(s_0+10*s_r+IF(circ_int,eq_c1/2,0))/2)),-IF(circ_int,0,eq_c1/2)+(s_0+10*s_r+IF(circ_int,eq_c1/2,0))*COS(PI()+(((3+0.5)*(4*IF(circ_int,0,eq_c1/2)+4*IF(circ_int,0,eq_c2/2)+2*PI()*(s_0+10*s_r+IF(circ_int,eq_c1/2,0)))/INDEX(lk_legs,11))-(((((2*IF(circ_int,0,eq_c2/2))+(PI()*(s_0+10*s_r+IF(circ_int,eq_c1/2,0))/2))+2*IF(circ_int,0,eq_c1/2))+(PI()*(s_0+10*s_r+IF(circ_int,eq_c1/2,0))/2))+2*IF(circ_int,0,eq_c2/2)))/(s_0+10*s_r+IF(circ_int,eq_c1/2,0))),IF(((3+0.5)*(4*IF(circ_int,0,eq_c1/2)+4*IF(circ_int,0,eq_c2/2)+2*PI()*(s_0+10*s_r+IF(circ_int,eq_c1/2,0)))/INDEX(lk_legs,11))&lt;(((((((2*IF(circ_int,0,eq_c2/2))+(PI()*(s_0+10*s_r+IF(circ_int,eq_c1/2,0))/2))+2*IF(circ_int,0,eq_c1/2))+(PI()*(s_0+10*s_r+IF(circ_int,eq_c1/2,0))/2))+2*IF(circ_int,0,eq_c2/2))+(PI()*(s_0+10*s_r+IF(circ_int,eq_c1/2,0))/2))+2*IF(circ_int,0,eq_c1/2)),-IF(circ_int,0,eq_c1/2)+(((3+0.5)*(4*IF(circ_int,0,eq_c1/2)+4*IF(circ_int,0,eq_c2/2)+2*PI()*(s_0+10*s_r+IF(circ_int,eq_c1/2,0)))/INDEX(lk_legs,11))-((((((2*IF(circ_int,0,eq_c2/2))+(PI()*(s_0+10*s_r+IF(circ_int,eq_c1/2,0))/2))+2*IF(circ_int,0,eq_c1/2))+(PI()*(s_0+10*s_r+IF(circ_int,eq_c1/2,0))/2))+2*IF(circ_int,0,eq_c2/2))+(PI()*(s_0+10*s_r+IF(circ_int,eq_c1/2,0))/2))),IF(circ_int,0,eq_c1/2)+(s_0+10*s_r+IF(circ_int,eq_c1/2,0))*COS(3*PI()/2+(((3+0.5)*(4*IF(circ_int,0,eq_c1/2)+4*IF(circ_int,0,eq_c2/2)+2*PI()*(s_0+10*s_r+IF(circ_int,eq_c1/2,0)))/INDEX(lk_legs,11))-(((((((2*IF(circ_int,0,eq_c2/2))+(PI()*(s_0+10*s_r+IF(circ_int,eq_c1/2,0))/2))+2*IF(circ_int,0,eq_c1/2))+(PI()*(s_0+10*s_r+IF(circ_int,eq_c1/2,0))/2))+2*IF(circ_int,0,eq_c2/2))+(PI()*(s_0+10*s_r+IF(circ_int,eq_c1/2,0))/2))+2*IF(circ_int,0,eq_c1/2)))/(s_0+10*s_r+IF(circ_int,eq_c1/2,0)))))))))),NA())</f>
        <v/>
      </c>
      <c r="DI6">
        <f>IF(AND(AND(links_on,11&lt;=n_per),INDEX(lk_kind,11)=1,3&lt;INDEX(lk_legs,11)),g_oy+IF(((3+0.5)*(4*IF(circ_int,0,eq_c1/2)+4*IF(circ_int,0,eq_c2/2)+2*PI()*(s_0+10*s_r+IF(circ_int,eq_c1/2,0)))/INDEX(lk_legs,11))&lt;(2*IF(circ_int,0,eq_c2/2)),-IF(circ_int,0,eq_c2/2)+((3+0.5)*(4*IF(circ_int,0,eq_c1/2)+4*IF(circ_int,0,eq_c2/2)+2*PI()*(s_0+10*s_r+IF(circ_int,eq_c1/2,0)))/INDEX(lk_legs,11)),IF(((3+0.5)*(4*IF(circ_int,0,eq_c1/2)+4*IF(circ_int,0,eq_c2/2)+2*PI()*(s_0+10*s_r+IF(circ_int,eq_c1/2,0)))/INDEX(lk_legs,11))&lt;((2*IF(circ_int,0,eq_c2/2))+(PI()*(s_0+10*s_r+IF(circ_int,eq_c1/2,0))/2)),IF(circ_int,0,eq_c2/2)+(s_0+10*s_r+IF(circ_int,eq_c1/2,0))*SIN((((3+0.5)*(4*IF(circ_int,0,eq_c1/2)+4*IF(circ_int,0,eq_c2/2)+2*PI()*(s_0+10*s_r+IF(circ_int,eq_c1/2,0)))/INDEX(lk_legs,11))-(2*IF(circ_int,0,eq_c2/2)))/(s_0+10*s_r+IF(circ_int,eq_c1/2,0))),IF(((3+0.5)*(4*IF(circ_int,0,eq_c1/2)+4*IF(circ_int,0,eq_c2/2)+2*PI()*(s_0+10*s_r+IF(circ_int,eq_c1/2,0)))/INDEX(lk_legs,11))&lt;(((2*IF(circ_int,0,eq_c2/2))+(PI()*(s_0+10*s_r+IF(circ_int,eq_c1/2,0))/2))+2*IF(circ_int,0,eq_c1/2)),IF(circ_int,0,eq_c2/2)+(s_0+10*s_r+IF(circ_int,eq_c1/2,0)),IF(((3+0.5)*(4*IF(circ_int,0,eq_c1/2)+4*IF(circ_int,0,eq_c2/2)+2*PI()*(s_0+10*s_r+IF(circ_int,eq_c1/2,0)))/INDEX(lk_legs,11))&lt;((((2*IF(circ_int,0,eq_c2/2))+(PI()*(s_0+10*s_r+IF(circ_int,eq_c1/2,0))/2))+2*IF(circ_int,0,eq_c1/2))+(PI()*(s_0+10*s_r+IF(circ_int,eq_c1/2,0))/2)),IF(circ_int,0,eq_c2/2)+(s_0+10*s_r+IF(circ_int,eq_c1/2,0))*SIN(PI()/2+(((3+0.5)*(4*IF(circ_int,0,eq_c1/2)+4*IF(circ_int,0,eq_c2/2)+2*PI()*(s_0+10*s_r+IF(circ_int,eq_c1/2,0)))/INDEX(lk_legs,11))-(((2*IF(circ_int,0,eq_c2/2))+(PI()*(s_0+10*s_r+IF(circ_int,eq_c1/2,0))/2))+2*IF(circ_int,0,eq_c1/2)))/(s_0+10*s_r+IF(circ_int,eq_c1/2,0))),IF(((3+0.5)*(4*IF(circ_int,0,eq_c1/2)+4*IF(circ_int,0,eq_c2/2)+2*PI()*(s_0+10*s_r+IF(circ_int,eq_c1/2,0)))/INDEX(lk_legs,11))&lt;(((((2*IF(circ_int,0,eq_c2/2))+(PI()*(s_0+10*s_r+IF(circ_int,eq_c1/2,0))/2))+2*IF(circ_int,0,eq_c1/2))+(PI()*(s_0+10*s_r+IF(circ_int,eq_c1/2,0))/2))+2*IF(circ_int,0,eq_c2/2)),IF(circ_int,0,eq_c2/2)-(((3+0.5)*(4*IF(circ_int,0,eq_c1/2)+4*IF(circ_int,0,eq_c2/2)+2*PI()*(s_0+10*s_r+IF(circ_int,eq_c1/2,0)))/INDEX(lk_legs,11))-((((2*IF(circ_int,0,eq_c2/2))+(PI()*(s_0+10*s_r+IF(circ_int,eq_c1/2,0))/2))+2*IF(circ_int,0,eq_c1/2))+(PI()*(s_0+10*s_r+IF(circ_int,eq_c1/2,0))/2))),IF(((3+0.5)*(4*IF(circ_int,0,eq_c1/2)+4*IF(circ_int,0,eq_c2/2)+2*PI()*(s_0+10*s_r+IF(circ_int,eq_c1/2,0)))/INDEX(lk_legs,11))&lt;((((((2*IF(circ_int,0,eq_c2/2))+(PI()*(s_0+10*s_r+IF(circ_int,eq_c1/2,0))/2))+2*IF(circ_int,0,eq_c1/2))+(PI()*(s_0+10*s_r+IF(circ_int,eq_c1/2,0))/2))+2*IF(circ_int,0,eq_c2/2))+(PI()*(s_0+10*s_r+IF(circ_int,eq_c1/2,0))/2)),-IF(circ_int,0,eq_c2/2)+(s_0+10*s_r+IF(circ_int,eq_c1/2,0))*SIN(PI()+(((3+0.5)*(4*IF(circ_int,0,eq_c1/2)+4*IF(circ_int,0,eq_c2/2)+2*PI()*(s_0+10*s_r+IF(circ_int,eq_c1/2,0)))/INDEX(lk_legs,11))-(((((2*IF(circ_int,0,eq_c2/2))+(PI()*(s_0+10*s_r+IF(circ_int,eq_c1/2,0))/2))+2*IF(circ_int,0,eq_c1/2))+(PI()*(s_0+10*s_r+IF(circ_int,eq_c1/2,0))/2))+2*IF(circ_int,0,eq_c2/2)))/(s_0+10*s_r+IF(circ_int,eq_c1/2,0))),IF(((3+0.5)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(3+0.5)*(4*IF(circ_int,0,eq_c1/2)+4*IF(circ_int,0,eq_c2/2)+2*PI()*(s_0+10*s_r+IF(circ_int,eq_c1/2,0)))/INDEX(lk_legs,11))-(((((((2*IF(circ_int,0,eq_c2/2))+(PI()*(s_0+10*s_r+IF(circ_int,eq_c1/2,0))/2))+2*IF(circ_int,0,eq_c1/2))+(PI()*(s_0+10*s_r+IF(circ_int,eq_c1/2,0))/2))+2*IF(circ_int,0,eq_c2/2))+(PI()*(s_0+10*s_r+IF(circ_int,eq_c1/2,0))/2))+2*IF(circ_int,0,eq_c1/2)))/(s_0+10*s_r+IF(circ_int,eq_c1/2,0)))))))))),NA())</f>
        <v/>
      </c>
      <c r="DK6">
        <f>IF(AND(links_on,12&lt;=n_per),IF(circ_int,(g_ox)+(c_1/2+(s_0+11*s_r))*0.935016,CHOOSE(INDEX(lk_kind,12),(g_ox+eq_c1/2)+((s_0+11*s_r))*0.923880,(eq_a1+eq_c1)+((s_0+11*s_r))*0.258819,(eq_a1+eq_c1)+((s_0+11*s_r))*0.258819,(eq_a1)+((s_0+11*s_r))*-0.965926)),NA())</f>
        <v/>
      </c>
      <c r="DL6">
        <f>IF(AND(links_on,12&lt;=n_per),IF(circ_int,(g_oy)+(c_1/2+(s_0+11*s_r))*0.354605,CHOOSE(INDEX(lk_kind,12),(g_oy+eq_c2/2)+((s_0+11*s_r))*0.382683,(g_oy+eq_c2/2)+((s_0+11*s_r))*0.965926,(eq_a2+eq_c2)+((s_0+11*s_r))*0.965926,(eq_a2+eq_c2)+((s_0+11*s_r))*0.258819)),NA())</f>
        <v/>
      </c>
      <c r="DN6">
        <f>IF(AND(AND(links_on,12&lt;=n_per),INDEX(lk_kind,12)=1,3&lt;INDEX(lk_legs,12)),g_ox+IF(((3+0.5)*(4*IF(circ_int,0,eq_c1/2)+4*IF(circ_int,0,eq_c2/2)+2*PI()*(s_0+11*s_r+IF(circ_int,eq_c1/2,0)))/INDEX(lk_legs,12))&lt;(2*IF(circ_int,0,eq_c2/2)),IF(circ_int,0,eq_c1/2)+(s_0+11*s_r+IF(circ_int,eq_c1/2,0)),IF(((3+0.5)*(4*IF(circ_int,0,eq_c1/2)+4*IF(circ_int,0,eq_c2/2)+2*PI()*(s_0+11*s_r+IF(circ_int,eq_c1/2,0)))/INDEX(lk_legs,12))&lt;((2*IF(circ_int,0,eq_c2/2))+(PI()*(s_0+11*s_r+IF(circ_int,eq_c1/2,0))/2)),IF(circ_int,0,eq_c1/2)+(s_0+11*s_r+IF(circ_int,eq_c1/2,0))*COS((((3+0.5)*(4*IF(circ_int,0,eq_c1/2)+4*IF(circ_int,0,eq_c2/2)+2*PI()*(s_0+11*s_r+IF(circ_int,eq_c1/2,0)))/INDEX(lk_legs,12))-(2*IF(circ_int,0,eq_c2/2)))/(s_0+11*s_r+IF(circ_int,eq_c1/2,0))),IF(((3+0.5)*(4*IF(circ_int,0,eq_c1/2)+4*IF(circ_int,0,eq_c2/2)+2*PI()*(s_0+11*s_r+IF(circ_int,eq_c1/2,0)))/INDEX(lk_legs,12))&lt;(((2*IF(circ_int,0,eq_c2/2))+(PI()*(s_0+11*s_r+IF(circ_int,eq_c1/2,0))/2))+2*IF(circ_int,0,eq_c1/2)),IF(circ_int,0,eq_c1/2)-(((3+0.5)*(4*IF(circ_int,0,eq_c1/2)+4*IF(circ_int,0,eq_c2/2)+2*PI()*(s_0+11*s_r+IF(circ_int,eq_c1/2,0)))/INDEX(lk_legs,12))-((2*IF(circ_int,0,eq_c2/2))+(PI()*(s_0+11*s_r+IF(circ_int,eq_c1/2,0))/2))),IF(((3+0.5)*(4*IF(circ_int,0,eq_c1/2)+4*IF(circ_int,0,eq_c2/2)+2*PI()*(s_0+11*s_r+IF(circ_int,eq_c1/2,0)))/INDEX(lk_legs,12))&lt;((((2*IF(circ_int,0,eq_c2/2))+(PI()*(s_0+11*s_r+IF(circ_int,eq_c1/2,0))/2))+2*IF(circ_int,0,eq_c1/2))+(PI()*(s_0+11*s_r+IF(circ_int,eq_c1/2,0))/2)),-IF(circ_int,0,eq_c1/2)+(s_0+11*s_r+IF(circ_int,eq_c1/2,0))*COS(PI()/2+(((3+0.5)*(4*IF(circ_int,0,eq_c1/2)+4*IF(circ_int,0,eq_c2/2)+2*PI()*(s_0+11*s_r+IF(circ_int,eq_c1/2,0)))/INDEX(lk_legs,12))-(((2*IF(circ_int,0,eq_c2/2))+(PI()*(s_0+11*s_r+IF(circ_int,eq_c1/2,0))/2))+2*IF(circ_int,0,eq_c1/2)))/(s_0+11*s_r+IF(circ_int,eq_c1/2,0))),IF(((3+0.5)*(4*IF(circ_int,0,eq_c1/2)+4*IF(circ_int,0,eq_c2/2)+2*PI()*(s_0+11*s_r+IF(circ_int,eq_c1/2,0)))/INDEX(lk_legs,12))&lt;(((((2*IF(circ_int,0,eq_c2/2))+(PI()*(s_0+11*s_r+IF(circ_int,eq_c1/2,0))/2))+2*IF(circ_int,0,eq_c1/2))+(PI()*(s_0+11*s_r+IF(circ_int,eq_c1/2,0))/2))+2*IF(circ_int,0,eq_c2/2)),-IF(circ_int,0,eq_c1/2)-(s_0+11*s_r+IF(circ_int,eq_c1/2,0)),IF(((3+0.5)*(4*IF(circ_int,0,eq_c1/2)+4*IF(circ_int,0,eq_c2/2)+2*PI()*(s_0+11*s_r+IF(circ_int,eq_c1/2,0)))/INDEX(lk_legs,12))&lt;((((((2*IF(circ_int,0,eq_c2/2))+(PI()*(s_0+11*s_r+IF(circ_int,eq_c1/2,0))/2))+2*IF(circ_int,0,eq_c1/2))+(PI()*(s_0+11*s_r+IF(circ_int,eq_c1/2,0))/2))+2*IF(circ_int,0,eq_c2/2))+(PI()*(s_0+11*s_r+IF(circ_int,eq_c1/2,0))/2)),-IF(circ_int,0,eq_c1/2)+(s_0+11*s_r+IF(circ_int,eq_c1/2,0))*COS(PI()+(((3+0.5)*(4*IF(circ_int,0,eq_c1/2)+4*IF(circ_int,0,eq_c2/2)+2*PI()*(s_0+11*s_r+IF(circ_int,eq_c1/2,0)))/INDEX(lk_legs,12))-(((((2*IF(circ_int,0,eq_c2/2))+(PI()*(s_0+11*s_r+IF(circ_int,eq_c1/2,0))/2))+2*IF(circ_int,0,eq_c1/2))+(PI()*(s_0+11*s_r+IF(circ_int,eq_c1/2,0))/2))+2*IF(circ_int,0,eq_c2/2)))/(s_0+11*s_r+IF(circ_int,eq_c1/2,0))),IF(((3+0.5)*(4*IF(circ_int,0,eq_c1/2)+4*IF(circ_int,0,eq_c2/2)+2*PI()*(s_0+11*s_r+IF(circ_int,eq_c1/2,0)))/INDEX(lk_legs,12))&lt;(((((((2*IF(circ_int,0,eq_c2/2))+(PI()*(s_0+11*s_r+IF(circ_int,eq_c1/2,0))/2))+2*IF(circ_int,0,eq_c1/2))+(PI()*(s_0+11*s_r+IF(circ_int,eq_c1/2,0))/2))+2*IF(circ_int,0,eq_c2/2))+(PI()*(s_0+11*s_r+IF(circ_int,eq_c1/2,0))/2))+2*IF(circ_int,0,eq_c1/2)),-IF(circ_int,0,eq_c1/2)+(((3+0.5)*(4*IF(circ_int,0,eq_c1/2)+4*IF(circ_int,0,eq_c2/2)+2*PI()*(s_0+11*s_r+IF(circ_int,eq_c1/2,0)))/INDEX(lk_legs,12))-((((((2*IF(circ_int,0,eq_c2/2))+(PI()*(s_0+11*s_r+IF(circ_int,eq_c1/2,0))/2))+2*IF(circ_int,0,eq_c1/2))+(PI()*(s_0+11*s_r+IF(circ_int,eq_c1/2,0))/2))+2*IF(circ_int,0,eq_c2/2))+(PI()*(s_0+11*s_r+IF(circ_int,eq_c1/2,0))/2))),IF(circ_int,0,eq_c1/2)+(s_0+11*s_r+IF(circ_int,eq_c1/2,0))*COS(3*PI()/2+(((3+0.5)*(4*IF(circ_int,0,eq_c1/2)+4*IF(circ_int,0,eq_c2/2)+2*PI()*(s_0+11*s_r+IF(circ_int,eq_c1/2,0)))/INDEX(lk_legs,12))-(((((((2*IF(circ_int,0,eq_c2/2))+(PI()*(s_0+11*s_r+IF(circ_int,eq_c1/2,0))/2))+2*IF(circ_int,0,eq_c1/2))+(PI()*(s_0+11*s_r+IF(circ_int,eq_c1/2,0))/2))+2*IF(circ_int,0,eq_c2/2))+(PI()*(s_0+11*s_r+IF(circ_int,eq_c1/2,0))/2))+2*IF(circ_int,0,eq_c1/2)))/(s_0+11*s_r+IF(circ_int,eq_c1/2,0)))))))))),NA())</f>
        <v/>
      </c>
      <c r="DO6">
        <f>IF(AND(AND(links_on,12&lt;=n_per),INDEX(lk_kind,12)=1,3&lt;INDEX(lk_legs,12)),g_oy+IF(((3+0.5)*(4*IF(circ_int,0,eq_c1/2)+4*IF(circ_int,0,eq_c2/2)+2*PI()*(s_0+11*s_r+IF(circ_int,eq_c1/2,0)))/INDEX(lk_legs,12))&lt;(2*IF(circ_int,0,eq_c2/2)),-IF(circ_int,0,eq_c2/2)+((3+0.5)*(4*IF(circ_int,0,eq_c1/2)+4*IF(circ_int,0,eq_c2/2)+2*PI()*(s_0+11*s_r+IF(circ_int,eq_c1/2,0)))/INDEX(lk_legs,12)),IF(((3+0.5)*(4*IF(circ_int,0,eq_c1/2)+4*IF(circ_int,0,eq_c2/2)+2*PI()*(s_0+11*s_r+IF(circ_int,eq_c1/2,0)))/INDEX(lk_legs,12))&lt;((2*IF(circ_int,0,eq_c2/2))+(PI()*(s_0+11*s_r+IF(circ_int,eq_c1/2,0))/2)),IF(circ_int,0,eq_c2/2)+(s_0+11*s_r+IF(circ_int,eq_c1/2,0))*SIN((((3+0.5)*(4*IF(circ_int,0,eq_c1/2)+4*IF(circ_int,0,eq_c2/2)+2*PI()*(s_0+11*s_r+IF(circ_int,eq_c1/2,0)))/INDEX(lk_legs,12))-(2*IF(circ_int,0,eq_c2/2)))/(s_0+11*s_r+IF(circ_int,eq_c1/2,0))),IF(((3+0.5)*(4*IF(circ_int,0,eq_c1/2)+4*IF(circ_int,0,eq_c2/2)+2*PI()*(s_0+11*s_r+IF(circ_int,eq_c1/2,0)))/INDEX(lk_legs,12))&lt;(((2*IF(circ_int,0,eq_c2/2))+(PI()*(s_0+11*s_r+IF(circ_int,eq_c1/2,0))/2))+2*IF(circ_int,0,eq_c1/2)),IF(circ_int,0,eq_c2/2)+(s_0+11*s_r+IF(circ_int,eq_c1/2,0)),IF(((3+0.5)*(4*IF(circ_int,0,eq_c1/2)+4*IF(circ_int,0,eq_c2/2)+2*PI()*(s_0+11*s_r+IF(circ_int,eq_c1/2,0)))/INDEX(lk_legs,12))&lt;((((2*IF(circ_int,0,eq_c2/2))+(PI()*(s_0+11*s_r+IF(circ_int,eq_c1/2,0))/2))+2*IF(circ_int,0,eq_c1/2))+(PI()*(s_0+11*s_r+IF(circ_int,eq_c1/2,0))/2)),IF(circ_int,0,eq_c2/2)+(s_0+11*s_r+IF(circ_int,eq_c1/2,0))*SIN(PI()/2+(((3+0.5)*(4*IF(circ_int,0,eq_c1/2)+4*IF(circ_int,0,eq_c2/2)+2*PI()*(s_0+11*s_r+IF(circ_int,eq_c1/2,0)))/INDEX(lk_legs,12))-(((2*IF(circ_int,0,eq_c2/2))+(PI()*(s_0+11*s_r+IF(circ_int,eq_c1/2,0))/2))+2*IF(circ_int,0,eq_c1/2)))/(s_0+11*s_r+IF(circ_int,eq_c1/2,0))),IF(((3+0.5)*(4*IF(circ_int,0,eq_c1/2)+4*IF(circ_int,0,eq_c2/2)+2*PI()*(s_0+11*s_r+IF(circ_int,eq_c1/2,0)))/INDEX(lk_legs,12))&lt;(((((2*IF(circ_int,0,eq_c2/2))+(PI()*(s_0+11*s_r+IF(circ_int,eq_c1/2,0))/2))+2*IF(circ_int,0,eq_c1/2))+(PI()*(s_0+11*s_r+IF(circ_int,eq_c1/2,0))/2))+2*IF(circ_int,0,eq_c2/2)),IF(circ_int,0,eq_c2/2)-(((3+0.5)*(4*IF(circ_int,0,eq_c1/2)+4*IF(circ_int,0,eq_c2/2)+2*PI()*(s_0+11*s_r+IF(circ_int,eq_c1/2,0)))/INDEX(lk_legs,12))-((((2*IF(circ_int,0,eq_c2/2))+(PI()*(s_0+11*s_r+IF(circ_int,eq_c1/2,0))/2))+2*IF(circ_int,0,eq_c1/2))+(PI()*(s_0+11*s_r+IF(circ_int,eq_c1/2,0))/2))),IF(((3+0.5)*(4*IF(circ_int,0,eq_c1/2)+4*IF(circ_int,0,eq_c2/2)+2*PI()*(s_0+11*s_r+IF(circ_int,eq_c1/2,0)))/INDEX(lk_legs,12))&lt;((((((2*IF(circ_int,0,eq_c2/2))+(PI()*(s_0+11*s_r+IF(circ_int,eq_c1/2,0))/2))+2*IF(circ_int,0,eq_c1/2))+(PI()*(s_0+11*s_r+IF(circ_int,eq_c1/2,0))/2))+2*IF(circ_int,0,eq_c2/2))+(PI()*(s_0+11*s_r+IF(circ_int,eq_c1/2,0))/2)),-IF(circ_int,0,eq_c2/2)+(s_0+11*s_r+IF(circ_int,eq_c1/2,0))*SIN(PI()+(((3+0.5)*(4*IF(circ_int,0,eq_c1/2)+4*IF(circ_int,0,eq_c2/2)+2*PI()*(s_0+11*s_r+IF(circ_int,eq_c1/2,0)))/INDEX(lk_legs,12))-(((((2*IF(circ_int,0,eq_c2/2))+(PI()*(s_0+11*s_r+IF(circ_int,eq_c1/2,0))/2))+2*IF(circ_int,0,eq_c1/2))+(PI()*(s_0+11*s_r+IF(circ_int,eq_c1/2,0))/2))+2*IF(circ_int,0,eq_c2/2)))/(s_0+11*s_r+IF(circ_int,eq_c1/2,0))),IF(((3+0.5)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(3+0.5)*(4*IF(circ_int,0,eq_c1/2)+4*IF(circ_int,0,eq_c2/2)+2*PI()*(s_0+11*s_r+IF(circ_int,eq_c1/2,0)))/INDEX(lk_legs,12))-(((((((2*IF(circ_int,0,eq_c2/2))+(PI()*(s_0+11*s_r+IF(circ_int,eq_c1/2,0))/2))+2*IF(circ_int,0,eq_c1/2))+(PI()*(s_0+11*s_r+IF(circ_int,eq_c1/2,0))/2))+2*IF(circ_int,0,eq_c2/2))+(PI()*(s_0+11*s_r+IF(circ_int,eq_c1/2,0))/2))+2*IF(circ_int,0,eq_c1/2)))/(s_0+11*s_r+IF(circ_int,eq_c1/2,0)))))))))),NA())</f>
        <v/>
      </c>
    </row>
    <row r="7">
      <c r="A7">
        <f>IF(shape="Circular",(g_ox)+(c_1/2+0)*0.885456,CHOOSE(1,(g_ox+eq_c1/2)+(0)*0.866025,(eq_a1+eq_c1)+(0)*0.382683,(eq_a1+eq_c1)+(0)*0.382683,(eq_a1)+(0)*-0.923880))</f>
        <v/>
      </c>
      <c r="B7">
        <f>IF(shape="Circular",(g_oy)+(c_1/2+0)*0.464723,CHOOSE(1,(g_oy+eq_c2/2)+(0)*0.500000,(g_oy+eq_c2/2)+(0)*0.923880,(eq_a2+eq_c2)+(0)*0.923880,(eq_a2+eq_c2)+(0)*0.382683))</f>
        <v/>
      </c>
      <c r="D7">
        <f>IF(circ_int,(g_ox)+(c_1/2+2*d_eff)*0.885456,CHOOSE(geo_idx,(g_ox+eq_c1/2)+(2*d_eff)*0.866025,(eq_a1+eq_c1)+(2*d_eff)*0.382683,(eq_a1+eq_c1)+(2*d_eff)*0.382683,(eq_a1)+(2*d_eff)*-0.923880))</f>
        <v/>
      </c>
      <c r="E7">
        <f>IF(circ_int,(g_oy)+(c_1/2+2*d_eff)*0.464723,CHOOSE(geo_idx,(g_oy+eq_c2/2)+(2*d_eff)*0.500000,(g_oy+eq_c2/2)+(2*d_eff)*0.923880,(eq_a2+eq_c2)+(2*d_eff)*0.923880,(eq_a2+eq_c2)+(2*d_eff)*0.382683))</f>
        <v/>
      </c>
      <c r="G7">
        <f>IF(AND(inputs_ok,punch_ok,A_sw&gt;0),IF(circ_int,(g_ox)+(c_1/2+r_out)*0.885456,CHOOSE(kind_out,(g_ox+eq_c1/2)+(r_out)*0.866025,(eq_a1+eq_c1)+(r_out)*0.382683,(eq_a1+eq_c1)+(r_out)*0.382683,(eq_a1)+(r_out)*-0.923880)),NA())</f>
        <v/>
      </c>
      <c r="H7">
        <f>IF(AND(inputs_ok,punch_ok,A_sw&gt;0),IF(circ_int,(g_oy)+(c_1/2+r_out)*0.464723,CHOOSE(kind_out,(g_oy+eq_c2/2)+(r_out)*0.500000,(g_oy+eq_c2/2)+(r_out)*0.923880,(eq_a2+eq_c2)+(r_out)*0.923880,(eq_a2+eq_c2)+(r_out)*0.382683)),NA())</f>
        <v/>
      </c>
      <c r="AW7">
        <f>IF(AND(links_on,1&lt;=n_per),IF(circ_int,(g_ox)+(c_1/2+(s_0+0*s_r))*0.885456,CHOOSE(INDEX(lk_kind,1),(g_ox+eq_c1/2)+((s_0+0*s_r))*0.866025,(eq_a1+eq_c1)+((s_0+0*s_r))*0.382683,(eq_a1+eq_c1)+((s_0+0*s_r))*0.382683,(eq_a1)+((s_0+0*s_r))*-0.923880)),NA())</f>
        <v/>
      </c>
      <c r="AX7">
        <f>IF(AND(links_on,1&lt;=n_per),IF(circ_int,(g_oy)+(c_1/2+(s_0+0*s_r))*0.464723,CHOOSE(INDEX(lk_kind,1),(g_oy+eq_c2/2)+((s_0+0*s_r))*0.500000,(g_oy+eq_c2/2)+((s_0+0*s_r))*0.923880,(eq_a2+eq_c2)+((s_0+0*s_r))*0.923880,(eq_a2+eq_c2)+((s_0+0*s_r))*0.382683)),NA())</f>
        <v/>
      </c>
      <c r="AZ7">
        <f>IF(AND(AND(links_on,1&lt;=n_per),INDEX(lk_kind,1)=1,4&lt;INDEX(lk_legs,1)),g_ox+IF(((4+0.5)*(4*IF(circ_int,0,eq_c1/2)+4*IF(circ_int,0,eq_c2/2)+2*PI()*(s_0+0*s_r+IF(circ_int,eq_c1/2,0)))/INDEX(lk_legs,1))&lt;(2*IF(circ_int,0,eq_c2/2)),IF(circ_int,0,eq_c1/2)+(s_0+0*s_r+IF(circ_int,eq_c1/2,0)),IF(((4+0.5)*(4*IF(circ_int,0,eq_c1/2)+4*IF(circ_int,0,eq_c2/2)+2*PI()*(s_0+0*s_r+IF(circ_int,eq_c1/2,0)))/INDEX(lk_legs,1))&lt;((2*IF(circ_int,0,eq_c2/2))+(PI()*(s_0+0*s_r+IF(circ_int,eq_c1/2,0))/2)),IF(circ_int,0,eq_c1/2)+(s_0+0*s_r+IF(circ_int,eq_c1/2,0))*COS((((4+0.5)*(4*IF(circ_int,0,eq_c1/2)+4*IF(circ_int,0,eq_c2/2)+2*PI()*(s_0+0*s_r+IF(circ_int,eq_c1/2,0)))/INDEX(lk_legs,1))-(2*IF(circ_int,0,eq_c2/2)))/(s_0+0*s_r+IF(circ_int,eq_c1/2,0))),IF(((4+0.5)*(4*IF(circ_int,0,eq_c1/2)+4*IF(circ_int,0,eq_c2/2)+2*PI()*(s_0+0*s_r+IF(circ_int,eq_c1/2,0)))/INDEX(lk_legs,1))&lt;(((2*IF(circ_int,0,eq_c2/2))+(PI()*(s_0+0*s_r+IF(circ_int,eq_c1/2,0))/2))+2*IF(circ_int,0,eq_c1/2)),IF(circ_int,0,eq_c1/2)-(((4+0.5)*(4*IF(circ_int,0,eq_c1/2)+4*IF(circ_int,0,eq_c2/2)+2*PI()*(s_0+0*s_r+IF(circ_int,eq_c1/2,0)))/INDEX(lk_legs,1))-((2*IF(circ_int,0,eq_c2/2))+(PI()*(s_0+0*s_r+IF(circ_int,eq_c1/2,0))/2))),IF(((4+0.5)*(4*IF(circ_int,0,eq_c1/2)+4*IF(circ_int,0,eq_c2/2)+2*PI()*(s_0+0*s_r+IF(circ_int,eq_c1/2,0)))/INDEX(lk_legs,1))&lt;((((2*IF(circ_int,0,eq_c2/2))+(PI()*(s_0+0*s_r+IF(circ_int,eq_c1/2,0))/2))+2*IF(circ_int,0,eq_c1/2))+(PI()*(s_0+0*s_r+IF(circ_int,eq_c1/2,0))/2)),-IF(circ_int,0,eq_c1/2)+(s_0+0*s_r+IF(circ_int,eq_c1/2,0))*COS(PI()/2+(((4+0.5)*(4*IF(circ_int,0,eq_c1/2)+4*IF(circ_int,0,eq_c2/2)+2*PI()*(s_0+0*s_r+IF(circ_int,eq_c1/2,0)))/INDEX(lk_legs,1))-(((2*IF(circ_int,0,eq_c2/2))+(PI()*(s_0+0*s_r+IF(circ_int,eq_c1/2,0))/2))+2*IF(circ_int,0,eq_c1/2)))/(s_0+0*s_r+IF(circ_int,eq_c1/2,0))),IF(((4+0.5)*(4*IF(circ_int,0,eq_c1/2)+4*IF(circ_int,0,eq_c2/2)+2*PI()*(s_0+0*s_r+IF(circ_int,eq_c1/2,0)))/INDEX(lk_legs,1))&lt;(((((2*IF(circ_int,0,eq_c2/2))+(PI()*(s_0+0*s_r+IF(circ_int,eq_c1/2,0))/2))+2*IF(circ_int,0,eq_c1/2))+(PI()*(s_0+0*s_r+IF(circ_int,eq_c1/2,0))/2))+2*IF(circ_int,0,eq_c2/2)),-IF(circ_int,0,eq_c1/2)-(s_0+0*s_r+IF(circ_int,eq_c1/2,0)),IF(((4+0.5)*(4*IF(circ_int,0,eq_c1/2)+4*IF(circ_int,0,eq_c2/2)+2*PI()*(s_0+0*s_r+IF(circ_int,eq_c1/2,0)))/INDEX(lk_legs,1))&lt;((((((2*IF(circ_int,0,eq_c2/2))+(PI()*(s_0+0*s_r+IF(circ_int,eq_c1/2,0))/2))+2*IF(circ_int,0,eq_c1/2))+(PI()*(s_0+0*s_r+IF(circ_int,eq_c1/2,0))/2))+2*IF(circ_int,0,eq_c2/2))+(PI()*(s_0+0*s_r+IF(circ_int,eq_c1/2,0))/2)),-IF(circ_int,0,eq_c1/2)+(s_0+0*s_r+IF(circ_int,eq_c1/2,0))*COS(PI()+(((4+0.5)*(4*IF(circ_int,0,eq_c1/2)+4*IF(circ_int,0,eq_c2/2)+2*PI()*(s_0+0*s_r+IF(circ_int,eq_c1/2,0)))/INDEX(lk_legs,1))-(((((2*IF(circ_int,0,eq_c2/2))+(PI()*(s_0+0*s_r+IF(circ_int,eq_c1/2,0))/2))+2*IF(circ_int,0,eq_c1/2))+(PI()*(s_0+0*s_r+IF(circ_int,eq_c1/2,0))/2))+2*IF(circ_int,0,eq_c2/2)))/(s_0+0*s_r+IF(circ_int,eq_c1/2,0))),IF(((4+0.5)*(4*IF(circ_int,0,eq_c1/2)+4*IF(circ_int,0,eq_c2/2)+2*PI()*(s_0+0*s_r+IF(circ_int,eq_c1/2,0)))/INDEX(lk_legs,1))&lt;(((((((2*IF(circ_int,0,eq_c2/2))+(PI()*(s_0+0*s_r+IF(circ_int,eq_c1/2,0))/2))+2*IF(circ_int,0,eq_c1/2))+(PI()*(s_0+0*s_r+IF(circ_int,eq_c1/2,0))/2))+2*IF(circ_int,0,eq_c2/2))+(PI()*(s_0+0*s_r+IF(circ_int,eq_c1/2,0))/2))+2*IF(circ_int,0,eq_c1/2)),-IF(circ_int,0,eq_c1/2)+(((4+0.5)*(4*IF(circ_int,0,eq_c1/2)+4*IF(circ_int,0,eq_c2/2)+2*PI()*(s_0+0*s_r+IF(circ_int,eq_c1/2,0)))/INDEX(lk_legs,1))-((((((2*IF(circ_int,0,eq_c2/2))+(PI()*(s_0+0*s_r+IF(circ_int,eq_c1/2,0))/2))+2*IF(circ_int,0,eq_c1/2))+(PI()*(s_0+0*s_r+IF(circ_int,eq_c1/2,0))/2))+2*IF(circ_int,0,eq_c2/2))+(PI()*(s_0+0*s_r+IF(circ_int,eq_c1/2,0))/2))),IF(circ_int,0,eq_c1/2)+(s_0+0*s_r+IF(circ_int,eq_c1/2,0))*COS(3*PI()/2+(((4+0.5)*(4*IF(circ_int,0,eq_c1/2)+4*IF(circ_int,0,eq_c2/2)+2*PI()*(s_0+0*s_r+IF(circ_int,eq_c1/2,0)))/INDEX(lk_legs,1))-(((((((2*IF(circ_int,0,eq_c2/2))+(PI()*(s_0+0*s_r+IF(circ_int,eq_c1/2,0))/2))+2*IF(circ_int,0,eq_c1/2))+(PI()*(s_0+0*s_r+IF(circ_int,eq_c1/2,0))/2))+2*IF(circ_int,0,eq_c2/2))+(PI()*(s_0+0*s_r+IF(circ_int,eq_c1/2,0))/2))+2*IF(circ_int,0,eq_c1/2)))/(s_0+0*s_r+IF(circ_int,eq_c1/2,0)))))))))),NA())</f>
        <v/>
      </c>
      <c r="BA7">
        <f>IF(AND(AND(links_on,1&lt;=n_per),INDEX(lk_kind,1)=1,4&lt;INDEX(lk_legs,1)),g_oy+IF(((4+0.5)*(4*IF(circ_int,0,eq_c1/2)+4*IF(circ_int,0,eq_c2/2)+2*PI()*(s_0+0*s_r+IF(circ_int,eq_c1/2,0)))/INDEX(lk_legs,1))&lt;(2*IF(circ_int,0,eq_c2/2)),-IF(circ_int,0,eq_c2/2)+((4+0.5)*(4*IF(circ_int,0,eq_c1/2)+4*IF(circ_int,0,eq_c2/2)+2*PI()*(s_0+0*s_r+IF(circ_int,eq_c1/2,0)))/INDEX(lk_legs,1)),IF(((4+0.5)*(4*IF(circ_int,0,eq_c1/2)+4*IF(circ_int,0,eq_c2/2)+2*PI()*(s_0+0*s_r+IF(circ_int,eq_c1/2,0)))/INDEX(lk_legs,1))&lt;((2*IF(circ_int,0,eq_c2/2))+(PI()*(s_0+0*s_r+IF(circ_int,eq_c1/2,0))/2)),IF(circ_int,0,eq_c2/2)+(s_0+0*s_r+IF(circ_int,eq_c1/2,0))*SIN((((4+0.5)*(4*IF(circ_int,0,eq_c1/2)+4*IF(circ_int,0,eq_c2/2)+2*PI()*(s_0+0*s_r+IF(circ_int,eq_c1/2,0)))/INDEX(lk_legs,1))-(2*IF(circ_int,0,eq_c2/2)))/(s_0+0*s_r+IF(circ_int,eq_c1/2,0))),IF(((4+0.5)*(4*IF(circ_int,0,eq_c1/2)+4*IF(circ_int,0,eq_c2/2)+2*PI()*(s_0+0*s_r+IF(circ_int,eq_c1/2,0)))/INDEX(lk_legs,1))&lt;(((2*IF(circ_int,0,eq_c2/2))+(PI()*(s_0+0*s_r+IF(circ_int,eq_c1/2,0))/2))+2*IF(circ_int,0,eq_c1/2)),IF(circ_int,0,eq_c2/2)+(s_0+0*s_r+IF(circ_int,eq_c1/2,0)),IF(((4+0.5)*(4*IF(circ_int,0,eq_c1/2)+4*IF(circ_int,0,eq_c2/2)+2*PI()*(s_0+0*s_r+IF(circ_int,eq_c1/2,0)))/INDEX(lk_legs,1))&lt;((((2*IF(circ_int,0,eq_c2/2))+(PI()*(s_0+0*s_r+IF(circ_int,eq_c1/2,0))/2))+2*IF(circ_int,0,eq_c1/2))+(PI()*(s_0+0*s_r+IF(circ_int,eq_c1/2,0))/2)),IF(circ_int,0,eq_c2/2)+(s_0+0*s_r+IF(circ_int,eq_c1/2,0))*SIN(PI()/2+(((4+0.5)*(4*IF(circ_int,0,eq_c1/2)+4*IF(circ_int,0,eq_c2/2)+2*PI()*(s_0+0*s_r+IF(circ_int,eq_c1/2,0)))/INDEX(lk_legs,1))-(((2*IF(circ_int,0,eq_c2/2))+(PI()*(s_0+0*s_r+IF(circ_int,eq_c1/2,0))/2))+2*IF(circ_int,0,eq_c1/2)))/(s_0+0*s_r+IF(circ_int,eq_c1/2,0))),IF(((4+0.5)*(4*IF(circ_int,0,eq_c1/2)+4*IF(circ_int,0,eq_c2/2)+2*PI()*(s_0+0*s_r+IF(circ_int,eq_c1/2,0)))/INDEX(lk_legs,1))&lt;(((((2*IF(circ_int,0,eq_c2/2))+(PI()*(s_0+0*s_r+IF(circ_int,eq_c1/2,0))/2))+2*IF(circ_int,0,eq_c1/2))+(PI()*(s_0+0*s_r+IF(circ_int,eq_c1/2,0))/2))+2*IF(circ_int,0,eq_c2/2)),IF(circ_int,0,eq_c2/2)-(((4+0.5)*(4*IF(circ_int,0,eq_c1/2)+4*IF(circ_int,0,eq_c2/2)+2*PI()*(s_0+0*s_r+IF(circ_int,eq_c1/2,0)))/INDEX(lk_legs,1))-((((2*IF(circ_int,0,eq_c2/2))+(PI()*(s_0+0*s_r+IF(circ_int,eq_c1/2,0))/2))+2*IF(circ_int,0,eq_c1/2))+(PI()*(s_0+0*s_r+IF(circ_int,eq_c1/2,0))/2))),IF(((4+0.5)*(4*IF(circ_int,0,eq_c1/2)+4*IF(circ_int,0,eq_c2/2)+2*PI()*(s_0+0*s_r+IF(circ_int,eq_c1/2,0)))/INDEX(lk_legs,1))&lt;((((((2*IF(circ_int,0,eq_c2/2))+(PI()*(s_0+0*s_r+IF(circ_int,eq_c1/2,0))/2))+2*IF(circ_int,0,eq_c1/2))+(PI()*(s_0+0*s_r+IF(circ_int,eq_c1/2,0))/2))+2*IF(circ_int,0,eq_c2/2))+(PI()*(s_0+0*s_r+IF(circ_int,eq_c1/2,0))/2)),-IF(circ_int,0,eq_c2/2)+(s_0+0*s_r+IF(circ_int,eq_c1/2,0))*SIN(PI()+(((4+0.5)*(4*IF(circ_int,0,eq_c1/2)+4*IF(circ_int,0,eq_c2/2)+2*PI()*(s_0+0*s_r+IF(circ_int,eq_c1/2,0)))/INDEX(lk_legs,1))-(((((2*IF(circ_int,0,eq_c2/2))+(PI()*(s_0+0*s_r+IF(circ_int,eq_c1/2,0))/2))+2*IF(circ_int,0,eq_c1/2))+(PI()*(s_0+0*s_r+IF(circ_int,eq_c1/2,0))/2))+2*IF(circ_int,0,eq_c2/2)))/(s_0+0*s_r+IF(circ_int,eq_c1/2,0))),IF(((4+0.5)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(4+0.5)*(4*IF(circ_int,0,eq_c1/2)+4*IF(circ_int,0,eq_c2/2)+2*PI()*(s_0+0*s_r+IF(circ_int,eq_c1/2,0)))/INDEX(lk_legs,1))-(((((((2*IF(circ_int,0,eq_c2/2))+(PI()*(s_0+0*s_r+IF(circ_int,eq_c1/2,0))/2))+2*IF(circ_int,0,eq_c1/2))+(PI()*(s_0+0*s_r+IF(circ_int,eq_c1/2,0))/2))+2*IF(circ_int,0,eq_c2/2))+(PI()*(s_0+0*s_r+IF(circ_int,eq_c1/2,0))/2))+2*IF(circ_int,0,eq_c1/2)))/(s_0+0*s_r+IF(circ_int,eq_c1/2,0)))))))))),NA())</f>
        <v/>
      </c>
      <c r="BC7">
        <f>IF(AND(links_on,2&lt;=n_per),IF(circ_int,(g_ox)+(c_1/2+(s_0+1*s_r))*0.885456,CHOOSE(INDEX(lk_kind,2),(g_ox+eq_c1/2)+((s_0+1*s_r))*0.866025,(eq_a1+eq_c1)+((s_0+1*s_r))*0.382683,(eq_a1+eq_c1)+((s_0+1*s_r))*0.382683,(eq_a1)+((s_0+1*s_r))*-0.923880)),NA())</f>
        <v/>
      </c>
      <c r="BD7">
        <f>IF(AND(links_on,2&lt;=n_per),IF(circ_int,(g_oy)+(c_1/2+(s_0+1*s_r))*0.464723,CHOOSE(INDEX(lk_kind,2),(g_oy+eq_c2/2)+((s_0+1*s_r))*0.500000,(g_oy+eq_c2/2)+((s_0+1*s_r))*0.923880,(eq_a2+eq_c2)+((s_0+1*s_r))*0.923880,(eq_a2+eq_c2)+((s_0+1*s_r))*0.382683)),NA())</f>
        <v/>
      </c>
      <c r="BF7">
        <f>IF(AND(AND(links_on,2&lt;=n_per),INDEX(lk_kind,2)=1,4&lt;INDEX(lk_legs,2)),g_ox+IF(((4+0.5)*(4*IF(circ_int,0,eq_c1/2)+4*IF(circ_int,0,eq_c2/2)+2*PI()*(s_0+1*s_r+IF(circ_int,eq_c1/2,0)))/INDEX(lk_legs,2))&lt;(2*IF(circ_int,0,eq_c2/2)),IF(circ_int,0,eq_c1/2)+(s_0+1*s_r+IF(circ_int,eq_c1/2,0)),IF(((4+0.5)*(4*IF(circ_int,0,eq_c1/2)+4*IF(circ_int,0,eq_c2/2)+2*PI()*(s_0+1*s_r+IF(circ_int,eq_c1/2,0)))/INDEX(lk_legs,2))&lt;((2*IF(circ_int,0,eq_c2/2))+(PI()*(s_0+1*s_r+IF(circ_int,eq_c1/2,0))/2)),IF(circ_int,0,eq_c1/2)+(s_0+1*s_r+IF(circ_int,eq_c1/2,0))*COS((((4+0.5)*(4*IF(circ_int,0,eq_c1/2)+4*IF(circ_int,0,eq_c2/2)+2*PI()*(s_0+1*s_r+IF(circ_int,eq_c1/2,0)))/INDEX(lk_legs,2))-(2*IF(circ_int,0,eq_c2/2)))/(s_0+1*s_r+IF(circ_int,eq_c1/2,0))),IF(((4+0.5)*(4*IF(circ_int,0,eq_c1/2)+4*IF(circ_int,0,eq_c2/2)+2*PI()*(s_0+1*s_r+IF(circ_int,eq_c1/2,0)))/INDEX(lk_legs,2))&lt;(((2*IF(circ_int,0,eq_c2/2))+(PI()*(s_0+1*s_r+IF(circ_int,eq_c1/2,0))/2))+2*IF(circ_int,0,eq_c1/2)),IF(circ_int,0,eq_c1/2)-(((4+0.5)*(4*IF(circ_int,0,eq_c1/2)+4*IF(circ_int,0,eq_c2/2)+2*PI()*(s_0+1*s_r+IF(circ_int,eq_c1/2,0)))/INDEX(lk_legs,2))-((2*IF(circ_int,0,eq_c2/2))+(PI()*(s_0+1*s_r+IF(circ_int,eq_c1/2,0))/2))),IF(((4+0.5)*(4*IF(circ_int,0,eq_c1/2)+4*IF(circ_int,0,eq_c2/2)+2*PI()*(s_0+1*s_r+IF(circ_int,eq_c1/2,0)))/INDEX(lk_legs,2))&lt;((((2*IF(circ_int,0,eq_c2/2))+(PI()*(s_0+1*s_r+IF(circ_int,eq_c1/2,0))/2))+2*IF(circ_int,0,eq_c1/2))+(PI()*(s_0+1*s_r+IF(circ_int,eq_c1/2,0))/2)),-IF(circ_int,0,eq_c1/2)+(s_0+1*s_r+IF(circ_int,eq_c1/2,0))*COS(PI()/2+(((4+0.5)*(4*IF(circ_int,0,eq_c1/2)+4*IF(circ_int,0,eq_c2/2)+2*PI()*(s_0+1*s_r+IF(circ_int,eq_c1/2,0)))/INDEX(lk_legs,2))-(((2*IF(circ_int,0,eq_c2/2))+(PI()*(s_0+1*s_r+IF(circ_int,eq_c1/2,0))/2))+2*IF(circ_int,0,eq_c1/2)))/(s_0+1*s_r+IF(circ_int,eq_c1/2,0))),IF(((4+0.5)*(4*IF(circ_int,0,eq_c1/2)+4*IF(circ_int,0,eq_c2/2)+2*PI()*(s_0+1*s_r+IF(circ_int,eq_c1/2,0)))/INDEX(lk_legs,2))&lt;(((((2*IF(circ_int,0,eq_c2/2))+(PI()*(s_0+1*s_r+IF(circ_int,eq_c1/2,0))/2))+2*IF(circ_int,0,eq_c1/2))+(PI()*(s_0+1*s_r+IF(circ_int,eq_c1/2,0))/2))+2*IF(circ_int,0,eq_c2/2)),-IF(circ_int,0,eq_c1/2)-(s_0+1*s_r+IF(circ_int,eq_c1/2,0)),IF(((4+0.5)*(4*IF(circ_int,0,eq_c1/2)+4*IF(circ_int,0,eq_c2/2)+2*PI()*(s_0+1*s_r+IF(circ_int,eq_c1/2,0)))/INDEX(lk_legs,2))&lt;((((((2*IF(circ_int,0,eq_c2/2))+(PI()*(s_0+1*s_r+IF(circ_int,eq_c1/2,0))/2))+2*IF(circ_int,0,eq_c1/2))+(PI()*(s_0+1*s_r+IF(circ_int,eq_c1/2,0))/2))+2*IF(circ_int,0,eq_c2/2))+(PI()*(s_0+1*s_r+IF(circ_int,eq_c1/2,0))/2)),-IF(circ_int,0,eq_c1/2)+(s_0+1*s_r+IF(circ_int,eq_c1/2,0))*COS(PI()+(((4+0.5)*(4*IF(circ_int,0,eq_c1/2)+4*IF(circ_int,0,eq_c2/2)+2*PI()*(s_0+1*s_r+IF(circ_int,eq_c1/2,0)))/INDEX(lk_legs,2))-(((((2*IF(circ_int,0,eq_c2/2))+(PI()*(s_0+1*s_r+IF(circ_int,eq_c1/2,0))/2))+2*IF(circ_int,0,eq_c1/2))+(PI()*(s_0+1*s_r+IF(circ_int,eq_c1/2,0))/2))+2*IF(circ_int,0,eq_c2/2)))/(s_0+1*s_r+IF(circ_int,eq_c1/2,0))),IF(((4+0.5)*(4*IF(circ_int,0,eq_c1/2)+4*IF(circ_int,0,eq_c2/2)+2*PI()*(s_0+1*s_r+IF(circ_int,eq_c1/2,0)))/INDEX(lk_legs,2))&lt;(((((((2*IF(circ_int,0,eq_c2/2))+(PI()*(s_0+1*s_r+IF(circ_int,eq_c1/2,0))/2))+2*IF(circ_int,0,eq_c1/2))+(PI()*(s_0+1*s_r+IF(circ_int,eq_c1/2,0))/2))+2*IF(circ_int,0,eq_c2/2))+(PI()*(s_0+1*s_r+IF(circ_int,eq_c1/2,0))/2))+2*IF(circ_int,0,eq_c1/2)),-IF(circ_int,0,eq_c1/2)+(((4+0.5)*(4*IF(circ_int,0,eq_c1/2)+4*IF(circ_int,0,eq_c2/2)+2*PI()*(s_0+1*s_r+IF(circ_int,eq_c1/2,0)))/INDEX(lk_legs,2))-((((((2*IF(circ_int,0,eq_c2/2))+(PI()*(s_0+1*s_r+IF(circ_int,eq_c1/2,0))/2))+2*IF(circ_int,0,eq_c1/2))+(PI()*(s_0+1*s_r+IF(circ_int,eq_c1/2,0))/2))+2*IF(circ_int,0,eq_c2/2))+(PI()*(s_0+1*s_r+IF(circ_int,eq_c1/2,0))/2))),IF(circ_int,0,eq_c1/2)+(s_0+1*s_r+IF(circ_int,eq_c1/2,0))*COS(3*PI()/2+(((4+0.5)*(4*IF(circ_int,0,eq_c1/2)+4*IF(circ_int,0,eq_c2/2)+2*PI()*(s_0+1*s_r+IF(circ_int,eq_c1/2,0)))/INDEX(lk_legs,2))-(((((((2*IF(circ_int,0,eq_c2/2))+(PI()*(s_0+1*s_r+IF(circ_int,eq_c1/2,0))/2))+2*IF(circ_int,0,eq_c1/2))+(PI()*(s_0+1*s_r+IF(circ_int,eq_c1/2,0))/2))+2*IF(circ_int,0,eq_c2/2))+(PI()*(s_0+1*s_r+IF(circ_int,eq_c1/2,0))/2))+2*IF(circ_int,0,eq_c1/2)))/(s_0+1*s_r+IF(circ_int,eq_c1/2,0)))))))))),NA())</f>
        <v/>
      </c>
      <c r="BG7">
        <f>IF(AND(AND(links_on,2&lt;=n_per),INDEX(lk_kind,2)=1,4&lt;INDEX(lk_legs,2)),g_oy+IF(((4+0.5)*(4*IF(circ_int,0,eq_c1/2)+4*IF(circ_int,0,eq_c2/2)+2*PI()*(s_0+1*s_r+IF(circ_int,eq_c1/2,0)))/INDEX(lk_legs,2))&lt;(2*IF(circ_int,0,eq_c2/2)),-IF(circ_int,0,eq_c2/2)+((4+0.5)*(4*IF(circ_int,0,eq_c1/2)+4*IF(circ_int,0,eq_c2/2)+2*PI()*(s_0+1*s_r+IF(circ_int,eq_c1/2,0)))/INDEX(lk_legs,2)),IF(((4+0.5)*(4*IF(circ_int,0,eq_c1/2)+4*IF(circ_int,0,eq_c2/2)+2*PI()*(s_0+1*s_r+IF(circ_int,eq_c1/2,0)))/INDEX(lk_legs,2))&lt;((2*IF(circ_int,0,eq_c2/2))+(PI()*(s_0+1*s_r+IF(circ_int,eq_c1/2,0))/2)),IF(circ_int,0,eq_c2/2)+(s_0+1*s_r+IF(circ_int,eq_c1/2,0))*SIN((((4+0.5)*(4*IF(circ_int,0,eq_c1/2)+4*IF(circ_int,0,eq_c2/2)+2*PI()*(s_0+1*s_r+IF(circ_int,eq_c1/2,0)))/INDEX(lk_legs,2))-(2*IF(circ_int,0,eq_c2/2)))/(s_0+1*s_r+IF(circ_int,eq_c1/2,0))),IF(((4+0.5)*(4*IF(circ_int,0,eq_c1/2)+4*IF(circ_int,0,eq_c2/2)+2*PI()*(s_0+1*s_r+IF(circ_int,eq_c1/2,0)))/INDEX(lk_legs,2))&lt;(((2*IF(circ_int,0,eq_c2/2))+(PI()*(s_0+1*s_r+IF(circ_int,eq_c1/2,0))/2))+2*IF(circ_int,0,eq_c1/2)),IF(circ_int,0,eq_c2/2)+(s_0+1*s_r+IF(circ_int,eq_c1/2,0)),IF(((4+0.5)*(4*IF(circ_int,0,eq_c1/2)+4*IF(circ_int,0,eq_c2/2)+2*PI()*(s_0+1*s_r+IF(circ_int,eq_c1/2,0)))/INDEX(lk_legs,2))&lt;((((2*IF(circ_int,0,eq_c2/2))+(PI()*(s_0+1*s_r+IF(circ_int,eq_c1/2,0))/2))+2*IF(circ_int,0,eq_c1/2))+(PI()*(s_0+1*s_r+IF(circ_int,eq_c1/2,0))/2)),IF(circ_int,0,eq_c2/2)+(s_0+1*s_r+IF(circ_int,eq_c1/2,0))*SIN(PI()/2+(((4+0.5)*(4*IF(circ_int,0,eq_c1/2)+4*IF(circ_int,0,eq_c2/2)+2*PI()*(s_0+1*s_r+IF(circ_int,eq_c1/2,0)))/INDEX(lk_legs,2))-(((2*IF(circ_int,0,eq_c2/2))+(PI()*(s_0+1*s_r+IF(circ_int,eq_c1/2,0))/2))+2*IF(circ_int,0,eq_c1/2)))/(s_0+1*s_r+IF(circ_int,eq_c1/2,0))),IF(((4+0.5)*(4*IF(circ_int,0,eq_c1/2)+4*IF(circ_int,0,eq_c2/2)+2*PI()*(s_0+1*s_r+IF(circ_int,eq_c1/2,0)))/INDEX(lk_legs,2))&lt;(((((2*IF(circ_int,0,eq_c2/2))+(PI()*(s_0+1*s_r+IF(circ_int,eq_c1/2,0))/2))+2*IF(circ_int,0,eq_c1/2))+(PI()*(s_0+1*s_r+IF(circ_int,eq_c1/2,0))/2))+2*IF(circ_int,0,eq_c2/2)),IF(circ_int,0,eq_c2/2)-(((4+0.5)*(4*IF(circ_int,0,eq_c1/2)+4*IF(circ_int,0,eq_c2/2)+2*PI()*(s_0+1*s_r+IF(circ_int,eq_c1/2,0)))/INDEX(lk_legs,2))-((((2*IF(circ_int,0,eq_c2/2))+(PI()*(s_0+1*s_r+IF(circ_int,eq_c1/2,0))/2))+2*IF(circ_int,0,eq_c1/2))+(PI()*(s_0+1*s_r+IF(circ_int,eq_c1/2,0))/2))),IF(((4+0.5)*(4*IF(circ_int,0,eq_c1/2)+4*IF(circ_int,0,eq_c2/2)+2*PI()*(s_0+1*s_r+IF(circ_int,eq_c1/2,0)))/INDEX(lk_legs,2))&lt;((((((2*IF(circ_int,0,eq_c2/2))+(PI()*(s_0+1*s_r+IF(circ_int,eq_c1/2,0))/2))+2*IF(circ_int,0,eq_c1/2))+(PI()*(s_0+1*s_r+IF(circ_int,eq_c1/2,0))/2))+2*IF(circ_int,0,eq_c2/2))+(PI()*(s_0+1*s_r+IF(circ_int,eq_c1/2,0))/2)),-IF(circ_int,0,eq_c2/2)+(s_0+1*s_r+IF(circ_int,eq_c1/2,0))*SIN(PI()+(((4+0.5)*(4*IF(circ_int,0,eq_c1/2)+4*IF(circ_int,0,eq_c2/2)+2*PI()*(s_0+1*s_r+IF(circ_int,eq_c1/2,0)))/INDEX(lk_legs,2))-(((((2*IF(circ_int,0,eq_c2/2))+(PI()*(s_0+1*s_r+IF(circ_int,eq_c1/2,0))/2))+2*IF(circ_int,0,eq_c1/2))+(PI()*(s_0+1*s_r+IF(circ_int,eq_c1/2,0))/2))+2*IF(circ_int,0,eq_c2/2)))/(s_0+1*s_r+IF(circ_int,eq_c1/2,0))),IF(((4+0.5)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(4+0.5)*(4*IF(circ_int,0,eq_c1/2)+4*IF(circ_int,0,eq_c2/2)+2*PI()*(s_0+1*s_r+IF(circ_int,eq_c1/2,0)))/INDEX(lk_legs,2))-(((((((2*IF(circ_int,0,eq_c2/2))+(PI()*(s_0+1*s_r+IF(circ_int,eq_c1/2,0))/2))+2*IF(circ_int,0,eq_c1/2))+(PI()*(s_0+1*s_r+IF(circ_int,eq_c1/2,0))/2))+2*IF(circ_int,0,eq_c2/2))+(PI()*(s_0+1*s_r+IF(circ_int,eq_c1/2,0))/2))+2*IF(circ_int,0,eq_c1/2)))/(s_0+1*s_r+IF(circ_int,eq_c1/2,0)))))))))),NA())</f>
        <v/>
      </c>
      <c r="BI7">
        <f>IF(AND(links_on,3&lt;=n_per),IF(circ_int,(g_ox)+(c_1/2+(s_0+2*s_r))*0.885456,CHOOSE(INDEX(lk_kind,3),(g_ox+eq_c1/2)+((s_0+2*s_r))*0.866025,(eq_a1+eq_c1)+((s_0+2*s_r))*0.382683,(eq_a1+eq_c1)+((s_0+2*s_r))*0.382683,(eq_a1)+((s_0+2*s_r))*-0.923880)),NA())</f>
        <v/>
      </c>
      <c r="BJ7">
        <f>IF(AND(links_on,3&lt;=n_per),IF(circ_int,(g_oy)+(c_1/2+(s_0+2*s_r))*0.464723,CHOOSE(INDEX(lk_kind,3),(g_oy+eq_c2/2)+((s_0+2*s_r))*0.500000,(g_oy+eq_c2/2)+((s_0+2*s_r))*0.923880,(eq_a2+eq_c2)+((s_0+2*s_r))*0.923880,(eq_a2+eq_c2)+((s_0+2*s_r))*0.382683)),NA())</f>
        <v/>
      </c>
      <c r="BL7">
        <f>IF(AND(AND(links_on,3&lt;=n_per),INDEX(lk_kind,3)=1,4&lt;INDEX(lk_legs,3)),g_ox+IF(((4+0.5)*(4*IF(circ_int,0,eq_c1/2)+4*IF(circ_int,0,eq_c2/2)+2*PI()*(s_0+2*s_r+IF(circ_int,eq_c1/2,0)))/INDEX(lk_legs,3))&lt;(2*IF(circ_int,0,eq_c2/2)),IF(circ_int,0,eq_c1/2)+(s_0+2*s_r+IF(circ_int,eq_c1/2,0)),IF(((4+0.5)*(4*IF(circ_int,0,eq_c1/2)+4*IF(circ_int,0,eq_c2/2)+2*PI()*(s_0+2*s_r+IF(circ_int,eq_c1/2,0)))/INDEX(lk_legs,3))&lt;((2*IF(circ_int,0,eq_c2/2))+(PI()*(s_0+2*s_r+IF(circ_int,eq_c1/2,0))/2)),IF(circ_int,0,eq_c1/2)+(s_0+2*s_r+IF(circ_int,eq_c1/2,0))*COS((((4+0.5)*(4*IF(circ_int,0,eq_c1/2)+4*IF(circ_int,0,eq_c2/2)+2*PI()*(s_0+2*s_r+IF(circ_int,eq_c1/2,0)))/INDEX(lk_legs,3))-(2*IF(circ_int,0,eq_c2/2)))/(s_0+2*s_r+IF(circ_int,eq_c1/2,0))),IF(((4+0.5)*(4*IF(circ_int,0,eq_c1/2)+4*IF(circ_int,0,eq_c2/2)+2*PI()*(s_0+2*s_r+IF(circ_int,eq_c1/2,0)))/INDEX(lk_legs,3))&lt;(((2*IF(circ_int,0,eq_c2/2))+(PI()*(s_0+2*s_r+IF(circ_int,eq_c1/2,0))/2))+2*IF(circ_int,0,eq_c1/2)),IF(circ_int,0,eq_c1/2)-(((4+0.5)*(4*IF(circ_int,0,eq_c1/2)+4*IF(circ_int,0,eq_c2/2)+2*PI()*(s_0+2*s_r+IF(circ_int,eq_c1/2,0)))/INDEX(lk_legs,3))-((2*IF(circ_int,0,eq_c2/2))+(PI()*(s_0+2*s_r+IF(circ_int,eq_c1/2,0))/2))),IF(((4+0.5)*(4*IF(circ_int,0,eq_c1/2)+4*IF(circ_int,0,eq_c2/2)+2*PI()*(s_0+2*s_r+IF(circ_int,eq_c1/2,0)))/INDEX(lk_legs,3))&lt;((((2*IF(circ_int,0,eq_c2/2))+(PI()*(s_0+2*s_r+IF(circ_int,eq_c1/2,0))/2))+2*IF(circ_int,0,eq_c1/2))+(PI()*(s_0+2*s_r+IF(circ_int,eq_c1/2,0))/2)),-IF(circ_int,0,eq_c1/2)+(s_0+2*s_r+IF(circ_int,eq_c1/2,0))*COS(PI()/2+(((4+0.5)*(4*IF(circ_int,0,eq_c1/2)+4*IF(circ_int,0,eq_c2/2)+2*PI()*(s_0+2*s_r+IF(circ_int,eq_c1/2,0)))/INDEX(lk_legs,3))-(((2*IF(circ_int,0,eq_c2/2))+(PI()*(s_0+2*s_r+IF(circ_int,eq_c1/2,0))/2))+2*IF(circ_int,0,eq_c1/2)))/(s_0+2*s_r+IF(circ_int,eq_c1/2,0))),IF(((4+0.5)*(4*IF(circ_int,0,eq_c1/2)+4*IF(circ_int,0,eq_c2/2)+2*PI()*(s_0+2*s_r+IF(circ_int,eq_c1/2,0)))/INDEX(lk_legs,3))&lt;(((((2*IF(circ_int,0,eq_c2/2))+(PI()*(s_0+2*s_r+IF(circ_int,eq_c1/2,0))/2))+2*IF(circ_int,0,eq_c1/2))+(PI()*(s_0+2*s_r+IF(circ_int,eq_c1/2,0))/2))+2*IF(circ_int,0,eq_c2/2)),-IF(circ_int,0,eq_c1/2)-(s_0+2*s_r+IF(circ_int,eq_c1/2,0)),IF(((4+0.5)*(4*IF(circ_int,0,eq_c1/2)+4*IF(circ_int,0,eq_c2/2)+2*PI()*(s_0+2*s_r+IF(circ_int,eq_c1/2,0)))/INDEX(lk_legs,3))&lt;((((((2*IF(circ_int,0,eq_c2/2))+(PI()*(s_0+2*s_r+IF(circ_int,eq_c1/2,0))/2))+2*IF(circ_int,0,eq_c1/2))+(PI()*(s_0+2*s_r+IF(circ_int,eq_c1/2,0))/2))+2*IF(circ_int,0,eq_c2/2))+(PI()*(s_0+2*s_r+IF(circ_int,eq_c1/2,0))/2)),-IF(circ_int,0,eq_c1/2)+(s_0+2*s_r+IF(circ_int,eq_c1/2,0))*COS(PI()+(((4+0.5)*(4*IF(circ_int,0,eq_c1/2)+4*IF(circ_int,0,eq_c2/2)+2*PI()*(s_0+2*s_r+IF(circ_int,eq_c1/2,0)))/INDEX(lk_legs,3))-(((((2*IF(circ_int,0,eq_c2/2))+(PI()*(s_0+2*s_r+IF(circ_int,eq_c1/2,0))/2))+2*IF(circ_int,0,eq_c1/2))+(PI()*(s_0+2*s_r+IF(circ_int,eq_c1/2,0))/2))+2*IF(circ_int,0,eq_c2/2)))/(s_0+2*s_r+IF(circ_int,eq_c1/2,0))),IF(((4+0.5)*(4*IF(circ_int,0,eq_c1/2)+4*IF(circ_int,0,eq_c2/2)+2*PI()*(s_0+2*s_r+IF(circ_int,eq_c1/2,0)))/INDEX(lk_legs,3))&lt;(((((((2*IF(circ_int,0,eq_c2/2))+(PI()*(s_0+2*s_r+IF(circ_int,eq_c1/2,0))/2))+2*IF(circ_int,0,eq_c1/2))+(PI()*(s_0+2*s_r+IF(circ_int,eq_c1/2,0))/2))+2*IF(circ_int,0,eq_c2/2))+(PI()*(s_0+2*s_r+IF(circ_int,eq_c1/2,0))/2))+2*IF(circ_int,0,eq_c1/2)),-IF(circ_int,0,eq_c1/2)+(((4+0.5)*(4*IF(circ_int,0,eq_c1/2)+4*IF(circ_int,0,eq_c2/2)+2*PI()*(s_0+2*s_r+IF(circ_int,eq_c1/2,0)))/INDEX(lk_legs,3))-((((((2*IF(circ_int,0,eq_c2/2))+(PI()*(s_0+2*s_r+IF(circ_int,eq_c1/2,0))/2))+2*IF(circ_int,0,eq_c1/2))+(PI()*(s_0+2*s_r+IF(circ_int,eq_c1/2,0))/2))+2*IF(circ_int,0,eq_c2/2))+(PI()*(s_0+2*s_r+IF(circ_int,eq_c1/2,0))/2))),IF(circ_int,0,eq_c1/2)+(s_0+2*s_r+IF(circ_int,eq_c1/2,0))*COS(3*PI()/2+(((4+0.5)*(4*IF(circ_int,0,eq_c1/2)+4*IF(circ_int,0,eq_c2/2)+2*PI()*(s_0+2*s_r+IF(circ_int,eq_c1/2,0)))/INDEX(lk_legs,3))-(((((((2*IF(circ_int,0,eq_c2/2))+(PI()*(s_0+2*s_r+IF(circ_int,eq_c1/2,0))/2))+2*IF(circ_int,0,eq_c1/2))+(PI()*(s_0+2*s_r+IF(circ_int,eq_c1/2,0))/2))+2*IF(circ_int,0,eq_c2/2))+(PI()*(s_0+2*s_r+IF(circ_int,eq_c1/2,0))/2))+2*IF(circ_int,0,eq_c1/2)))/(s_0+2*s_r+IF(circ_int,eq_c1/2,0)))))))))),NA())</f>
        <v/>
      </c>
      <c r="BM7">
        <f>IF(AND(AND(links_on,3&lt;=n_per),INDEX(lk_kind,3)=1,4&lt;INDEX(lk_legs,3)),g_oy+IF(((4+0.5)*(4*IF(circ_int,0,eq_c1/2)+4*IF(circ_int,0,eq_c2/2)+2*PI()*(s_0+2*s_r+IF(circ_int,eq_c1/2,0)))/INDEX(lk_legs,3))&lt;(2*IF(circ_int,0,eq_c2/2)),-IF(circ_int,0,eq_c2/2)+((4+0.5)*(4*IF(circ_int,0,eq_c1/2)+4*IF(circ_int,0,eq_c2/2)+2*PI()*(s_0+2*s_r+IF(circ_int,eq_c1/2,0)))/INDEX(lk_legs,3)),IF(((4+0.5)*(4*IF(circ_int,0,eq_c1/2)+4*IF(circ_int,0,eq_c2/2)+2*PI()*(s_0+2*s_r+IF(circ_int,eq_c1/2,0)))/INDEX(lk_legs,3))&lt;((2*IF(circ_int,0,eq_c2/2))+(PI()*(s_0+2*s_r+IF(circ_int,eq_c1/2,0))/2)),IF(circ_int,0,eq_c2/2)+(s_0+2*s_r+IF(circ_int,eq_c1/2,0))*SIN((((4+0.5)*(4*IF(circ_int,0,eq_c1/2)+4*IF(circ_int,0,eq_c2/2)+2*PI()*(s_0+2*s_r+IF(circ_int,eq_c1/2,0)))/INDEX(lk_legs,3))-(2*IF(circ_int,0,eq_c2/2)))/(s_0+2*s_r+IF(circ_int,eq_c1/2,0))),IF(((4+0.5)*(4*IF(circ_int,0,eq_c1/2)+4*IF(circ_int,0,eq_c2/2)+2*PI()*(s_0+2*s_r+IF(circ_int,eq_c1/2,0)))/INDEX(lk_legs,3))&lt;(((2*IF(circ_int,0,eq_c2/2))+(PI()*(s_0+2*s_r+IF(circ_int,eq_c1/2,0))/2))+2*IF(circ_int,0,eq_c1/2)),IF(circ_int,0,eq_c2/2)+(s_0+2*s_r+IF(circ_int,eq_c1/2,0)),IF(((4+0.5)*(4*IF(circ_int,0,eq_c1/2)+4*IF(circ_int,0,eq_c2/2)+2*PI()*(s_0+2*s_r+IF(circ_int,eq_c1/2,0)))/INDEX(lk_legs,3))&lt;((((2*IF(circ_int,0,eq_c2/2))+(PI()*(s_0+2*s_r+IF(circ_int,eq_c1/2,0))/2))+2*IF(circ_int,0,eq_c1/2))+(PI()*(s_0+2*s_r+IF(circ_int,eq_c1/2,0))/2)),IF(circ_int,0,eq_c2/2)+(s_0+2*s_r+IF(circ_int,eq_c1/2,0))*SIN(PI()/2+(((4+0.5)*(4*IF(circ_int,0,eq_c1/2)+4*IF(circ_int,0,eq_c2/2)+2*PI()*(s_0+2*s_r+IF(circ_int,eq_c1/2,0)))/INDEX(lk_legs,3))-(((2*IF(circ_int,0,eq_c2/2))+(PI()*(s_0+2*s_r+IF(circ_int,eq_c1/2,0))/2))+2*IF(circ_int,0,eq_c1/2)))/(s_0+2*s_r+IF(circ_int,eq_c1/2,0))),IF(((4+0.5)*(4*IF(circ_int,0,eq_c1/2)+4*IF(circ_int,0,eq_c2/2)+2*PI()*(s_0+2*s_r+IF(circ_int,eq_c1/2,0)))/INDEX(lk_legs,3))&lt;(((((2*IF(circ_int,0,eq_c2/2))+(PI()*(s_0+2*s_r+IF(circ_int,eq_c1/2,0))/2))+2*IF(circ_int,0,eq_c1/2))+(PI()*(s_0+2*s_r+IF(circ_int,eq_c1/2,0))/2))+2*IF(circ_int,0,eq_c2/2)),IF(circ_int,0,eq_c2/2)-(((4+0.5)*(4*IF(circ_int,0,eq_c1/2)+4*IF(circ_int,0,eq_c2/2)+2*PI()*(s_0+2*s_r+IF(circ_int,eq_c1/2,0)))/INDEX(lk_legs,3))-((((2*IF(circ_int,0,eq_c2/2))+(PI()*(s_0+2*s_r+IF(circ_int,eq_c1/2,0))/2))+2*IF(circ_int,0,eq_c1/2))+(PI()*(s_0+2*s_r+IF(circ_int,eq_c1/2,0))/2))),IF(((4+0.5)*(4*IF(circ_int,0,eq_c1/2)+4*IF(circ_int,0,eq_c2/2)+2*PI()*(s_0+2*s_r+IF(circ_int,eq_c1/2,0)))/INDEX(lk_legs,3))&lt;((((((2*IF(circ_int,0,eq_c2/2))+(PI()*(s_0+2*s_r+IF(circ_int,eq_c1/2,0))/2))+2*IF(circ_int,0,eq_c1/2))+(PI()*(s_0+2*s_r+IF(circ_int,eq_c1/2,0))/2))+2*IF(circ_int,0,eq_c2/2))+(PI()*(s_0+2*s_r+IF(circ_int,eq_c1/2,0))/2)),-IF(circ_int,0,eq_c2/2)+(s_0+2*s_r+IF(circ_int,eq_c1/2,0))*SIN(PI()+(((4+0.5)*(4*IF(circ_int,0,eq_c1/2)+4*IF(circ_int,0,eq_c2/2)+2*PI()*(s_0+2*s_r+IF(circ_int,eq_c1/2,0)))/INDEX(lk_legs,3))-(((((2*IF(circ_int,0,eq_c2/2))+(PI()*(s_0+2*s_r+IF(circ_int,eq_c1/2,0))/2))+2*IF(circ_int,0,eq_c1/2))+(PI()*(s_0+2*s_r+IF(circ_int,eq_c1/2,0))/2))+2*IF(circ_int,0,eq_c2/2)))/(s_0+2*s_r+IF(circ_int,eq_c1/2,0))),IF(((4+0.5)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(4+0.5)*(4*IF(circ_int,0,eq_c1/2)+4*IF(circ_int,0,eq_c2/2)+2*PI()*(s_0+2*s_r+IF(circ_int,eq_c1/2,0)))/INDEX(lk_legs,3))-(((((((2*IF(circ_int,0,eq_c2/2))+(PI()*(s_0+2*s_r+IF(circ_int,eq_c1/2,0))/2))+2*IF(circ_int,0,eq_c1/2))+(PI()*(s_0+2*s_r+IF(circ_int,eq_c1/2,0))/2))+2*IF(circ_int,0,eq_c2/2))+(PI()*(s_0+2*s_r+IF(circ_int,eq_c1/2,0))/2))+2*IF(circ_int,0,eq_c1/2)))/(s_0+2*s_r+IF(circ_int,eq_c1/2,0)))))))))),NA())</f>
        <v/>
      </c>
      <c r="BO7">
        <f>IF(AND(links_on,4&lt;=n_per),IF(circ_int,(g_ox)+(c_1/2+(s_0+3*s_r))*0.885456,CHOOSE(INDEX(lk_kind,4),(g_ox+eq_c1/2)+((s_0+3*s_r))*0.866025,(eq_a1+eq_c1)+((s_0+3*s_r))*0.382683,(eq_a1+eq_c1)+((s_0+3*s_r))*0.382683,(eq_a1)+((s_0+3*s_r))*-0.923880)),NA())</f>
        <v/>
      </c>
      <c r="BP7">
        <f>IF(AND(links_on,4&lt;=n_per),IF(circ_int,(g_oy)+(c_1/2+(s_0+3*s_r))*0.464723,CHOOSE(INDEX(lk_kind,4),(g_oy+eq_c2/2)+((s_0+3*s_r))*0.500000,(g_oy+eq_c2/2)+((s_0+3*s_r))*0.923880,(eq_a2+eq_c2)+((s_0+3*s_r))*0.923880,(eq_a2+eq_c2)+((s_0+3*s_r))*0.382683)),NA())</f>
        <v/>
      </c>
      <c r="BR7">
        <f>IF(AND(AND(links_on,4&lt;=n_per),INDEX(lk_kind,4)=1,4&lt;INDEX(lk_legs,4)),g_ox+IF(((4+0.5)*(4*IF(circ_int,0,eq_c1/2)+4*IF(circ_int,0,eq_c2/2)+2*PI()*(s_0+3*s_r+IF(circ_int,eq_c1/2,0)))/INDEX(lk_legs,4))&lt;(2*IF(circ_int,0,eq_c2/2)),IF(circ_int,0,eq_c1/2)+(s_0+3*s_r+IF(circ_int,eq_c1/2,0)),IF(((4+0.5)*(4*IF(circ_int,0,eq_c1/2)+4*IF(circ_int,0,eq_c2/2)+2*PI()*(s_0+3*s_r+IF(circ_int,eq_c1/2,0)))/INDEX(lk_legs,4))&lt;((2*IF(circ_int,0,eq_c2/2))+(PI()*(s_0+3*s_r+IF(circ_int,eq_c1/2,0))/2)),IF(circ_int,0,eq_c1/2)+(s_0+3*s_r+IF(circ_int,eq_c1/2,0))*COS((((4+0.5)*(4*IF(circ_int,0,eq_c1/2)+4*IF(circ_int,0,eq_c2/2)+2*PI()*(s_0+3*s_r+IF(circ_int,eq_c1/2,0)))/INDEX(lk_legs,4))-(2*IF(circ_int,0,eq_c2/2)))/(s_0+3*s_r+IF(circ_int,eq_c1/2,0))),IF(((4+0.5)*(4*IF(circ_int,0,eq_c1/2)+4*IF(circ_int,0,eq_c2/2)+2*PI()*(s_0+3*s_r+IF(circ_int,eq_c1/2,0)))/INDEX(lk_legs,4))&lt;(((2*IF(circ_int,0,eq_c2/2))+(PI()*(s_0+3*s_r+IF(circ_int,eq_c1/2,0))/2))+2*IF(circ_int,0,eq_c1/2)),IF(circ_int,0,eq_c1/2)-(((4+0.5)*(4*IF(circ_int,0,eq_c1/2)+4*IF(circ_int,0,eq_c2/2)+2*PI()*(s_0+3*s_r+IF(circ_int,eq_c1/2,0)))/INDEX(lk_legs,4))-((2*IF(circ_int,0,eq_c2/2))+(PI()*(s_0+3*s_r+IF(circ_int,eq_c1/2,0))/2))),IF(((4+0.5)*(4*IF(circ_int,0,eq_c1/2)+4*IF(circ_int,0,eq_c2/2)+2*PI()*(s_0+3*s_r+IF(circ_int,eq_c1/2,0)))/INDEX(lk_legs,4))&lt;((((2*IF(circ_int,0,eq_c2/2))+(PI()*(s_0+3*s_r+IF(circ_int,eq_c1/2,0))/2))+2*IF(circ_int,0,eq_c1/2))+(PI()*(s_0+3*s_r+IF(circ_int,eq_c1/2,0))/2)),-IF(circ_int,0,eq_c1/2)+(s_0+3*s_r+IF(circ_int,eq_c1/2,0))*COS(PI()/2+(((4+0.5)*(4*IF(circ_int,0,eq_c1/2)+4*IF(circ_int,0,eq_c2/2)+2*PI()*(s_0+3*s_r+IF(circ_int,eq_c1/2,0)))/INDEX(lk_legs,4))-(((2*IF(circ_int,0,eq_c2/2))+(PI()*(s_0+3*s_r+IF(circ_int,eq_c1/2,0))/2))+2*IF(circ_int,0,eq_c1/2)))/(s_0+3*s_r+IF(circ_int,eq_c1/2,0))),IF(((4+0.5)*(4*IF(circ_int,0,eq_c1/2)+4*IF(circ_int,0,eq_c2/2)+2*PI()*(s_0+3*s_r+IF(circ_int,eq_c1/2,0)))/INDEX(lk_legs,4))&lt;(((((2*IF(circ_int,0,eq_c2/2))+(PI()*(s_0+3*s_r+IF(circ_int,eq_c1/2,0))/2))+2*IF(circ_int,0,eq_c1/2))+(PI()*(s_0+3*s_r+IF(circ_int,eq_c1/2,0))/2))+2*IF(circ_int,0,eq_c2/2)),-IF(circ_int,0,eq_c1/2)-(s_0+3*s_r+IF(circ_int,eq_c1/2,0)),IF(((4+0.5)*(4*IF(circ_int,0,eq_c1/2)+4*IF(circ_int,0,eq_c2/2)+2*PI()*(s_0+3*s_r+IF(circ_int,eq_c1/2,0)))/INDEX(lk_legs,4))&lt;((((((2*IF(circ_int,0,eq_c2/2))+(PI()*(s_0+3*s_r+IF(circ_int,eq_c1/2,0))/2))+2*IF(circ_int,0,eq_c1/2))+(PI()*(s_0+3*s_r+IF(circ_int,eq_c1/2,0))/2))+2*IF(circ_int,0,eq_c2/2))+(PI()*(s_0+3*s_r+IF(circ_int,eq_c1/2,0))/2)),-IF(circ_int,0,eq_c1/2)+(s_0+3*s_r+IF(circ_int,eq_c1/2,0))*COS(PI()+(((4+0.5)*(4*IF(circ_int,0,eq_c1/2)+4*IF(circ_int,0,eq_c2/2)+2*PI()*(s_0+3*s_r+IF(circ_int,eq_c1/2,0)))/INDEX(lk_legs,4))-(((((2*IF(circ_int,0,eq_c2/2))+(PI()*(s_0+3*s_r+IF(circ_int,eq_c1/2,0))/2))+2*IF(circ_int,0,eq_c1/2))+(PI()*(s_0+3*s_r+IF(circ_int,eq_c1/2,0))/2))+2*IF(circ_int,0,eq_c2/2)))/(s_0+3*s_r+IF(circ_int,eq_c1/2,0))),IF(((4+0.5)*(4*IF(circ_int,0,eq_c1/2)+4*IF(circ_int,0,eq_c2/2)+2*PI()*(s_0+3*s_r+IF(circ_int,eq_c1/2,0)))/INDEX(lk_legs,4))&lt;(((((((2*IF(circ_int,0,eq_c2/2))+(PI()*(s_0+3*s_r+IF(circ_int,eq_c1/2,0))/2))+2*IF(circ_int,0,eq_c1/2))+(PI()*(s_0+3*s_r+IF(circ_int,eq_c1/2,0))/2))+2*IF(circ_int,0,eq_c2/2))+(PI()*(s_0+3*s_r+IF(circ_int,eq_c1/2,0))/2))+2*IF(circ_int,0,eq_c1/2)),-IF(circ_int,0,eq_c1/2)+(((4+0.5)*(4*IF(circ_int,0,eq_c1/2)+4*IF(circ_int,0,eq_c2/2)+2*PI()*(s_0+3*s_r+IF(circ_int,eq_c1/2,0)))/INDEX(lk_legs,4))-((((((2*IF(circ_int,0,eq_c2/2))+(PI()*(s_0+3*s_r+IF(circ_int,eq_c1/2,0))/2))+2*IF(circ_int,0,eq_c1/2))+(PI()*(s_0+3*s_r+IF(circ_int,eq_c1/2,0))/2))+2*IF(circ_int,0,eq_c2/2))+(PI()*(s_0+3*s_r+IF(circ_int,eq_c1/2,0))/2))),IF(circ_int,0,eq_c1/2)+(s_0+3*s_r+IF(circ_int,eq_c1/2,0))*COS(3*PI()/2+(((4+0.5)*(4*IF(circ_int,0,eq_c1/2)+4*IF(circ_int,0,eq_c2/2)+2*PI()*(s_0+3*s_r+IF(circ_int,eq_c1/2,0)))/INDEX(lk_legs,4))-(((((((2*IF(circ_int,0,eq_c2/2))+(PI()*(s_0+3*s_r+IF(circ_int,eq_c1/2,0))/2))+2*IF(circ_int,0,eq_c1/2))+(PI()*(s_0+3*s_r+IF(circ_int,eq_c1/2,0))/2))+2*IF(circ_int,0,eq_c2/2))+(PI()*(s_0+3*s_r+IF(circ_int,eq_c1/2,0))/2))+2*IF(circ_int,0,eq_c1/2)))/(s_0+3*s_r+IF(circ_int,eq_c1/2,0)))))))))),NA())</f>
        <v/>
      </c>
      <c r="BS7">
        <f>IF(AND(AND(links_on,4&lt;=n_per),INDEX(lk_kind,4)=1,4&lt;INDEX(lk_legs,4)),g_oy+IF(((4+0.5)*(4*IF(circ_int,0,eq_c1/2)+4*IF(circ_int,0,eq_c2/2)+2*PI()*(s_0+3*s_r+IF(circ_int,eq_c1/2,0)))/INDEX(lk_legs,4))&lt;(2*IF(circ_int,0,eq_c2/2)),-IF(circ_int,0,eq_c2/2)+((4+0.5)*(4*IF(circ_int,0,eq_c1/2)+4*IF(circ_int,0,eq_c2/2)+2*PI()*(s_0+3*s_r+IF(circ_int,eq_c1/2,0)))/INDEX(lk_legs,4)),IF(((4+0.5)*(4*IF(circ_int,0,eq_c1/2)+4*IF(circ_int,0,eq_c2/2)+2*PI()*(s_0+3*s_r+IF(circ_int,eq_c1/2,0)))/INDEX(lk_legs,4))&lt;((2*IF(circ_int,0,eq_c2/2))+(PI()*(s_0+3*s_r+IF(circ_int,eq_c1/2,0))/2)),IF(circ_int,0,eq_c2/2)+(s_0+3*s_r+IF(circ_int,eq_c1/2,0))*SIN((((4+0.5)*(4*IF(circ_int,0,eq_c1/2)+4*IF(circ_int,0,eq_c2/2)+2*PI()*(s_0+3*s_r+IF(circ_int,eq_c1/2,0)))/INDEX(lk_legs,4))-(2*IF(circ_int,0,eq_c2/2)))/(s_0+3*s_r+IF(circ_int,eq_c1/2,0))),IF(((4+0.5)*(4*IF(circ_int,0,eq_c1/2)+4*IF(circ_int,0,eq_c2/2)+2*PI()*(s_0+3*s_r+IF(circ_int,eq_c1/2,0)))/INDEX(lk_legs,4))&lt;(((2*IF(circ_int,0,eq_c2/2))+(PI()*(s_0+3*s_r+IF(circ_int,eq_c1/2,0))/2))+2*IF(circ_int,0,eq_c1/2)),IF(circ_int,0,eq_c2/2)+(s_0+3*s_r+IF(circ_int,eq_c1/2,0)),IF(((4+0.5)*(4*IF(circ_int,0,eq_c1/2)+4*IF(circ_int,0,eq_c2/2)+2*PI()*(s_0+3*s_r+IF(circ_int,eq_c1/2,0)))/INDEX(lk_legs,4))&lt;((((2*IF(circ_int,0,eq_c2/2))+(PI()*(s_0+3*s_r+IF(circ_int,eq_c1/2,0))/2))+2*IF(circ_int,0,eq_c1/2))+(PI()*(s_0+3*s_r+IF(circ_int,eq_c1/2,0))/2)),IF(circ_int,0,eq_c2/2)+(s_0+3*s_r+IF(circ_int,eq_c1/2,0))*SIN(PI()/2+(((4+0.5)*(4*IF(circ_int,0,eq_c1/2)+4*IF(circ_int,0,eq_c2/2)+2*PI()*(s_0+3*s_r+IF(circ_int,eq_c1/2,0)))/INDEX(lk_legs,4))-(((2*IF(circ_int,0,eq_c2/2))+(PI()*(s_0+3*s_r+IF(circ_int,eq_c1/2,0))/2))+2*IF(circ_int,0,eq_c1/2)))/(s_0+3*s_r+IF(circ_int,eq_c1/2,0))),IF(((4+0.5)*(4*IF(circ_int,0,eq_c1/2)+4*IF(circ_int,0,eq_c2/2)+2*PI()*(s_0+3*s_r+IF(circ_int,eq_c1/2,0)))/INDEX(lk_legs,4))&lt;(((((2*IF(circ_int,0,eq_c2/2))+(PI()*(s_0+3*s_r+IF(circ_int,eq_c1/2,0))/2))+2*IF(circ_int,0,eq_c1/2))+(PI()*(s_0+3*s_r+IF(circ_int,eq_c1/2,0))/2))+2*IF(circ_int,0,eq_c2/2)),IF(circ_int,0,eq_c2/2)-(((4+0.5)*(4*IF(circ_int,0,eq_c1/2)+4*IF(circ_int,0,eq_c2/2)+2*PI()*(s_0+3*s_r+IF(circ_int,eq_c1/2,0)))/INDEX(lk_legs,4))-((((2*IF(circ_int,0,eq_c2/2))+(PI()*(s_0+3*s_r+IF(circ_int,eq_c1/2,0))/2))+2*IF(circ_int,0,eq_c1/2))+(PI()*(s_0+3*s_r+IF(circ_int,eq_c1/2,0))/2))),IF(((4+0.5)*(4*IF(circ_int,0,eq_c1/2)+4*IF(circ_int,0,eq_c2/2)+2*PI()*(s_0+3*s_r+IF(circ_int,eq_c1/2,0)))/INDEX(lk_legs,4))&lt;((((((2*IF(circ_int,0,eq_c2/2))+(PI()*(s_0+3*s_r+IF(circ_int,eq_c1/2,0))/2))+2*IF(circ_int,0,eq_c1/2))+(PI()*(s_0+3*s_r+IF(circ_int,eq_c1/2,0))/2))+2*IF(circ_int,0,eq_c2/2))+(PI()*(s_0+3*s_r+IF(circ_int,eq_c1/2,0))/2)),-IF(circ_int,0,eq_c2/2)+(s_0+3*s_r+IF(circ_int,eq_c1/2,0))*SIN(PI()+(((4+0.5)*(4*IF(circ_int,0,eq_c1/2)+4*IF(circ_int,0,eq_c2/2)+2*PI()*(s_0+3*s_r+IF(circ_int,eq_c1/2,0)))/INDEX(lk_legs,4))-(((((2*IF(circ_int,0,eq_c2/2))+(PI()*(s_0+3*s_r+IF(circ_int,eq_c1/2,0))/2))+2*IF(circ_int,0,eq_c1/2))+(PI()*(s_0+3*s_r+IF(circ_int,eq_c1/2,0))/2))+2*IF(circ_int,0,eq_c2/2)))/(s_0+3*s_r+IF(circ_int,eq_c1/2,0))),IF(((4+0.5)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(4+0.5)*(4*IF(circ_int,0,eq_c1/2)+4*IF(circ_int,0,eq_c2/2)+2*PI()*(s_0+3*s_r+IF(circ_int,eq_c1/2,0)))/INDEX(lk_legs,4))-(((((((2*IF(circ_int,0,eq_c2/2))+(PI()*(s_0+3*s_r+IF(circ_int,eq_c1/2,0))/2))+2*IF(circ_int,0,eq_c1/2))+(PI()*(s_0+3*s_r+IF(circ_int,eq_c1/2,0))/2))+2*IF(circ_int,0,eq_c2/2))+(PI()*(s_0+3*s_r+IF(circ_int,eq_c1/2,0))/2))+2*IF(circ_int,0,eq_c1/2)))/(s_0+3*s_r+IF(circ_int,eq_c1/2,0)))))))))),NA())</f>
        <v/>
      </c>
      <c r="BU7">
        <f>IF(AND(links_on,5&lt;=n_per),IF(circ_int,(g_ox)+(c_1/2+(s_0+4*s_r))*0.885456,CHOOSE(INDEX(lk_kind,5),(g_ox+eq_c1/2)+((s_0+4*s_r))*0.866025,(eq_a1+eq_c1)+((s_0+4*s_r))*0.382683,(eq_a1+eq_c1)+((s_0+4*s_r))*0.382683,(eq_a1)+((s_0+4*s_r))*-0.923880)),NA())</f>
        <v/>
      </c>
      <c r="BV7">
        <f>IF(AND(links_on,5&lt;=n_per),IF(circ_int,(g_oy)+(c_1/2+(s_0+4*s_r))*0.464723,CHOOSE(INDEX(lk_kind,5),(g_oy+eq_c2/2)+((s_0+4*s_r))*0.500000,(g_oy+eq_c2/2)+((s_0+4*s_r))*0.923880,(eq_a2+eq_c2)+((s_0+4*s_r))*0.923880,(eq_a2+eq_c2)+((s_0+4*s_r))*0.382683)),NA())</f>
        <v/>
      </c>
      <c r="BX7">
        <f>IF(AND(AND(links_on,5&lt;=n_per),INDEX(lk_kind,5)=1,4&lt;INDEX(lk_legs,5)),g_ox+IF(((4+0.5)*(4*IF(circ_int,0,eq_c1/2)+4*IF(circ_int,0,eq_c2/2)+2*PI()*(s_0+4*s_r+IF(circ_int,eq_c1/2,0)))/INDEX(lk_legs,5))&lt;(2*IF(circ_int,0,eq_c2/2)),IF(circ_int,0,eq_c1/2)+(s_0+4*s_r+IF(circ_int,eq_c1/2,0)),IF(((4+0.5)*(4*IF(circ_int,0,eq_c1/2)+4*IF(circ_int,0,eq_c2/2)+2*PI()*(s_0+4*s_r+IF(circ_int,eq_c1/2,0)))/INDEX(lk_legs,5))&lt;((2*IF(circ_int,0,eq_c2/2))+(PI()*(s_0+4*s_r+IF(circ_int,eq_c1/2,0))/2)),IF(circ_int,0,eq_c1/2)+(s_0+4*s_r+IF(circ_int,eq_c1/2,0))*COS((((4+0.5)*(4*IF(circ_int,0,eq_c1/2)+4*IF(circ_int,0,eq_c2/2)+2*PI()*(s_0+4*s_r+IF(circ_int,eq_c1/2,0)))/INDEX(lk_legs,5))-(2*IF(circ_int,0,eq_c2/2)))/(s_0+4*s_r+IF(circ_int,eq_c1/2,0))),IF(((4+0.5)*(4*IF(circ_int,0,eq_c1/2)+4*IF(circ_int,0,eq_c2/2)+2*PI()*(s_0+4*s_r+IF(circ_int,eq_c1/2,0)))/INDEX(lk_legs,5))&lt;(((2*IF(circ_int,0,eq_c2/2))+(PI()*(s_0+4*s_r+IF(circ_int,eq_c1/2,0))/2))+2*IF(circ_int,0,eq_c1/2)),IF(circ_int,0,eq_c1/2)-(((4+0.5)*(4*IF(circ_int,0,eq_c1/2)+4*IF(circ_int,0,eq_c2/2)+2*PI()*(s_0+4*s_r+IF(circ_int,eq_c1/2,0)))/INDEX(lk_legs,5))-((2*IF(circ_int,0,eq_c2/2))+(PI()*(s_0+4*s_r+IF(circ_int,eq_c1/2,0))/2))),IF(((4+0.5)*(4*IF(circ_int,0,eq_c1/2)+4*IF(circ_int,0,eq_c2/2)+2*PI()*(s_0+4*s_r+IF(circ_int,eq_c1/2,0)))/INDEX(lk_legs,5))&lt;((((2*IF(circ_int,0,eq_c2/2))+(PI()*(s_0+4*s_r+IF(circ_int,eq_c1/2,0))/2))+2*IF(circ_int,0,eq_c1/2))+(PI()*(s_0+4*s_r+IF(circ_int,eq_c1/2,0))/2)),-IF(circ_int,0,eq_c1/2)+(s_0+4*s_r+IF(circ_int,eq_c1/2,0))*COS(PI()/2+(((4+0.5)*(4*IF(circ_int,0,eq_c1/2)+4*IF(circ_int,0,eq_c2/2)+2*PI()*(s_0+4*s_r+IF(circ_int,eq_c1/2,0)))/INDEX(lk_legs,5))-(((2*IF(circ_int,0,eq_c2/2))+(PI()*(s_0+4*s_r+IF(circ_int,eq_c1/2,0))/2))+2*IF(circ_int,0,eq_c1/2)))/(s_0+4*s_r+IF(circ_int,eq_c1/2,0))),IF(((4+0.5)*(4*IF(circ_int,0,eq_c1/2)+4*IF(circ_int,0,eq_c2/2)+2*PI()*(s_0+4*s_r+IF(circ_int,eq_c1/2,0)))/INDEX(lk_legs,5))&lt;(((((2*IF(circ_int,0,eq_c2/2))+(PI()*(s_0+4*s_r+IF(circ_int,eq_c1/2,0))/2))+2*IF(circ_int,0,eq_c1/2))+(PI()*(s_0+4*s_r+IF(circ_int,eq_c1/2,0))/2))+2*IF(circ_int,0,eq_c2/2)),-IF(circ_int,0,eq_c1/2)-(s_0+4*s_r+IF(circ_int,eq_c1/2,0)),IF(((4+0.5)*(4*IF(circ_int,0,eq_c1/2)+4*IF(circ_int,0,eq_c2/2)+2*PI()*(s_0+4*s_r+IF(circ_int,eq_c1/2,0)))/INDEX(lk_legs,5))&lt;((((((2*IF(circ_int,0,eq_c2/2))+(PI()*(s_0+4*s_r+IF(circ_int,eq_c1/2,0))/2))+2*IF(circ_int,0,eq_c1/2))+(PI()*(s_0+4*s_r+IF(circ_int,eq_c1/2,0))/2))+2*IF(circ_int,0,eq_c2/2))+(PI()*(s_0+4*s_r+IF(circ_int,eq_c1/2,0))/2)),-IF(circ_int,0,eq_c1/2)+(s_0+4*s_r+IF(circ_int,eq_c1/2,0))*COS(PI()+(((4+0.5)*(4*IF(circ_int,0,eq_c1/2)+4*IF(circ_int,0,eq_c2/2)+2*PI()*(s_0+4*s_r+IF(circ_int,eq_c1/2,0)))/INDEX(lk_legs,5))-(((((2*IF(circ_int,0,eq_c2/2))+(PI()*(s_0+4*s_r+IF(circ_int,eq_c1/2,0))/2))+2*IF(circ_int,0,eq_c1/2))+(PI()*(s_0+4*s_r+IF(circ_int,eq_c1/2,0))/2))+2*IF(circ_int,0,eq_c2/2)))/(s_0+4*s_r+IF(circ_int,eq_c1/2,0))),IF(((4+0.5)*(4*IF(circ_int,0,eq_c1/2)+4*IF(circ_int,0,eq_c2/2)+2*PI()*(s_0+4*s_r+IF(circ_int,eq_c1/2,0)))/INDEX(lk_legs,5))&lt;(((((((2*IF(circ_int,0,eq_c2/2))+(PI()*(s_0+4*s_r+IF(circ_int,eq_c1/2,0))/2))+2*IF(circ_int,0,eq_c1/2))+(PI()*(s_0+4*s_r+IF(circ_int,eq_c1/2,0))/2))+2*IF(circ_int,0,eq_c2/2))+(PI()*(s_0+4*s_r+IF(circ_int,eq_c1/2,0))/2))+2*IF(circ_int,0,eq_c1/2)),-IF(circ_int,0,eq_c1/2)+(((4+0.5)*(4*IF(circ_int,0,eq_c1/2)+4*IF(circ_int,0,eq_c2/2)+2*PI()*(s_0+4*s_r+IF(circ_int,eq_c1/2,0)))/INDEX(lk_legs,5))-((((((2*IF(circ_int,0,eq_c2/2))+(PI()*(s_0+4*s_r+IF(circ_int,eq_c1/2,0))/2))+2*IF(circ_int,0,eq_c1/2))+(PI()*(s_0+4*s_r+IF(circ_int,eq_c1/2,0))/2))+2*IF(circ_int,0,eq_c2/2))+(PI()*(s_0+4*s_r+IF(circ_int,eq_c1/2,0))/2))),IF(circ_int,0,eq_c1/2)+(s_0+4*s_r+IF(circ_int,eq_c1/2,0))*COS(3*PI()/2+(((4+0.5)*(4*IF(circ_int,0,eq_c1/2)+4*IF(circ_int,0,eq_c2/2)+2*PI()*(s_0+4*s_r+IF(circ_int,eq_c1/2,0)))/INDEX(lk_legs,5))-(((((((2*IF(circ_int,0,eq_c2/2))+(PI()*(s_0+4*s_r+IF(circ_int,eq_c1/2,0))/2))+2*IF(circ_int,0,eq_c1/2))+(PI()*(s_0+4*s_r+IF(circ_int,eq_c1/2,0))/2))+2*IF(circ_int,0,eq_c2/2))+(PI()*(s_0+4*s_r+IF(circ_int,eq_c1/2,0))/2))+2*IF(circ_int,0,eq_c1/2)))/(s_0+4*s_r+IF(circ_int,eq_c1/2,0)))))))))),NA())</f>
        <v/>
      </c>
      <c r="BY7">
        <f>IF(AND(AND(links_on,5&lt;=n_per),INDEX(lk_kind,5)=1,4&lt;INDEX(lk_legs,5)),g_oy+IF(((4+0.5)*(4*IF(circ_int,0,eq_c1/2)+4*IF(circ_int,0,eq_c2/2)+2*PI()*(s_0+4*s_r+IF(circ_int,eq_c1/2,0)))/INDEX(lk_legs,5))&lt;(2*IF(circ_int,0,eq_c2/2)),-IF(circ_int,0,eq_c2/2)+((4+0.5)*(4*IF(circ_int,0,eq_c1/2)+4*IF(circ_int,0,eq_c2/2)+2*PI()*(s_0+4*s_r+IF(circ_int,eq_c1/2,0)))/INDEX(lk_legs,5)),IF(((4+0.5)*(4*IF(circ_int,0,eq_c1/2)+4*IF(circ_int,0,eq_c2/2)+2*PI()*(s_0+4*s_r+IF(circ_int,eq_c1/2,0)))/INDEX(lk_legs,5))&lt;((2*IF(circ_int,0,eq_c2/2))+(PI()*(s_0+4*s_r+IF(circ_int,eq_c1/2,0))/2)),IF(circ_int,0,eq_c2/2)+(s_0+4*s_r+IF(circ_int,eq_c1/2,0))*SIN((((4+0.5)*(4*IF(circ_int,0,eq_c1/2)+4*IF(circ_int,0,eq_c2/2)+2*PI()*(s_0+4*s_r+IF(circ_int,eq_c1/2,0)))/INDEX(lk_legs,5))-(2*IF(circ_int,0,eq_c2/2)))/(s_0+4*s_r+IF(circ_int,eq_c1/2,0))),IF(((4+0.5)*(4*IF(circ_int,0,eq_c1/2)+4*IF(circ_int,0,eq_c2/2)+2*PI()*(s_0+4*s_r+IF(circ_int,eq_c1/2,0)))/INDEX(lk_legs,5))&lt;(((2*IF(circ_int,0,eq_c2/2))+(PI()*(s_0+4*s_r+IF(circ_int,eq_c1/2,0))/2))+2*IF(circ_int,0,eq_c1/2)),IF(circ_int,0,eq_c2/2)+(s_0+4*s_r+IF(circ_int,eq_c1/2,0)),IF(((4+0.5)*(4*IF(circ_int,0,eq_c1/2)+4*IF(circ_int,0,eq_c2/2)+2*PI()*(s_0+4*s_r+IF(circ_int,eq_c1/2,0)))/INDEX(lk_legs,5))&lt;((((2*IF(circ_int,0,eq_c2/2))+(PI()*(s_0+4*s_r+IF(circ_int,eq_c1/2,0))/2))+2*IF(circ_int,0,eq_c1/2))+(PI()*(s_0+4*s_r+IF(circ_int,eq_c1/2,0))/2)),IF(circ_int,0,eq_c2/2)+(s_0+4*s_r+IF(circ_int,eq_c1/2,0))*SIN(PI()/2+(((4+0.5)*(4*IF(circ_int,0,eq_c1/2)+4*IF(circ_int,0,eq_c2/2)+2*PI()*(s_0+4*s_r+IF(circ_int,eq_c1/2,0)))/INDEX(lk_legs,5))-(((2*IF(circ_int,0,eq_c2/2))+(PI()*(s_0+4*s_r+IF(circ_int,eq_c1/2,0))/2))+2*IF(circ_int,0,eq_c1/2)))/(s_0+4*s_r+IF(circ_int,eq_c1/2,0))),IF(((4+0.5)*(4*IF(circ_int,0,eq_c1/2)+4*IF(circ_int,0,eq_c2/2)+2*PI()*(s_0+4*s_r+IF(circ_int,eq_c1/2,0)))/INDEX(lk_legs,5))&lt;(((((2*IF(circ_int,0,eq_c2/2))+(PI()*(s_0+4*s_r+IF(circ_int,eq_c1/2,0))/2))+2*IF(circ_int,0,eq_c1/2))+(PI()*(s_0+4*s_r+IF(circ_int,eq_c1/2,0))/2))+2*IF(circ_int,0,eq_c2/2)),IF(circ_int,0,eq_c2/2)-(((4+0.5)*(4*IF(circ_int,0,eq_c1/2)+4*IF(circ_int,0,eq_c2/2)+2*PI()*(s_0+4*s_r+IF(circ_int,eq_c1/2,0)))/INDEX(lk_legs,5))-((((2*IF(circ_int,0,eq_c2/2))+(PI()*(s_0+4*s_r+IF(circ_int,eq_c1/2,0))/2))+2*IF(circ_int,0,eq_c1/2))+(PI()*(s_0+4*s_r+IF(circ_int,eq_c1/2,0))/2))),IF(((4+0.5)*(4*IF(circ_int,0,eq_c1/2)+4*IF(circ_int,0,eq_c2/2)+2*PI()*(s_0+4*s_r+IF(circ_int,eq_c1/2,0)))/INDEX(lk_legs,5))&lt;((((((2*IF(circ_int,0,eq_c2/2))+(PI()*(s_0+4*s_r+IF(circ_int,eq_c1/2,0))/2))+2*IF(circ_int,0,eq_c1/2))+(PI()*(s_0+4*s_r+IF(circ_int,eq_c1/2,0))/2))+2*IF(circ_int,0,eq_c2/2))+(PI()*(s_0+4*s_r+IF(circ_int,eq_c1/2,0))/2)),-IF(circ_int,0,eq_c2/2)+(s_0+4*s_r+IF(circ_int,eq_c1/2,0))*SIN(PI()+(((4+0.5)*(4*IF(circ_int,0,eq_c1/2)+4*IF(circ_int,0,eq_c2/2)+2*PI()*(s_0+4*s_r+IF(circ_int,eq_c1/2,0)))/INDEX(lk_legs,5))-(((((2*IF(circ_int,0,eq_c2/2))+(PI()*(s_0+4*s_r+IF(circ_int,eq_c1/2,0))/2))+2*IF(circ_int,0,eq_c1/2))+(PI()*(s_0+4*s_r+IF(circ_int,eq_c1/2,0))/2))+2*IF(circ_int,0,eq_c2/2)))/(s_0+4*s_r+IF(circ_int,eq_c1/2,0))),IF(((4+0.5)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(4+0.5)*(4*IF(circ_int,0,eq_c1/2)+4*IF(circ_int,0,eq_c2/2)+2*PI()*(s_0+4*s_r+IF(circ_int,eq_c1/2,0)))/INDEX(lk_legs,5))-(((((((2*IF(circ_int,0,eq_c2/2))+(PI()*(s_0+4*s_r+IF(circ_int,eq_c1/2,0))/2))+2*IF(circ_int,0,eq_c1/2))+(PI()*(s_0+4*s_r+IF(circ_int,eq_c1/2,0))/2))+2*IF(circ_int,0,eq_c2/2))+(PI()*(s_0+4*s_r+IF(circ_int,eq_c1/2,0))/2))+2*IF(circ_int,0,eq_c1/2)))/(s_0+4*s_r+IF(circ_int,eq_c1/2,0)))))))))),NA())</f>
        <v/>
      </c>
      <c r="CA7">
        <f>IF(AND(links_on,6&lt;=n_per),IF(circ_int,(g_ox)+(c_1/2+(s_0+5*s_r))*0.885456,CHOOSE(INDEX(lk_kind,6),(g_ox+eq_c1/2)+((s_0+5*s_r))*0.866025,(eq_a1+eq_c1)+((s_0+5*s_r))*0.382683,(eq_a1+eq_c1)+((s_0+5*s_r))*0.382683,(eq_a1)+((s_0+5*s_r))*-0.923880)),NA())</f>
        <v/>
      </c>
      <c r="CB7">
        <f>IF(AND(links_on,6&lt;=n_per),IF(circ_int,(g_oy)+(c_1/2+(s_0+5*s_r))*0.464723,CHOOSE(INDEX(lk_kind,6),(g_oy+eq_c2/2)+((s_0+5*s_r))*0.500000,(g_oy+eq_c2/2)+((s_0+5*s_r))*0.923880,(eq_a2+eq_c2)+((s_0+5*s_r))*0.923880,(eq_a2+eq_c2)+((s_0+5*s_r))*0.382683)),NA())</f>
        <v/>
      </c>
      <c r="CD7">
        <f>IF(AND(AND(links_on,6&lt;=n_per),INDEX(lk_kind,6)=1,4&lt;INDEX(lk_legs,6)),g_ox+IF(((4+0.5)*(4*IF(circ_int,0,eq_c1/2)+4*IF(circ_int,0,eq_c2/2)+2*PI()*(s_0+5*s_r+IF(circ_int,eq_c1/2,0)))/INDEX(lk_legs,6))&lt;(2*IF(circ_int,0,eq_c2/2)),IF(circ_int,0,eq_c1/2)+(s_0+5*s_r+IF(circ_int,eq_c1/2,0)),IF(((4+0.5)*(4*IF(circ_int,0,eq_c1/2)+4*IF(circ_int,0,eq_c2/2)+2*PI()*(s_0+5*s_r+IF(circ_int,eq_c1/2,0)))/INDEX(lk_legs,6))&lt;((2*IF(circ_int,0,eq_c2/2))+(PI()*(s_0+5*s_r+IF(circ_int,eq_c1/2,0))/2)),IF(circ_int,0,eq_c1/2)+(s_0+5*s_r+IF(circ_int,eq_c1/2,0))*COS((((4+0.5)*(4*IF(circ_int,0,eq_c1/2)+4*IF(circ_int,0,eq_c2/2)+2*PI()*(s_0+5*s_r+IF(circ_int,eq_c1/2,0)))/INDEX(lk_legs,6))-(2*IF(circ_int,0,eq_c2/2)))/(s_0+5*s_r+IF(circ_int,eq_c1/2,0))),IF(((4+0.5)*(4*IF(circ_int,0,eq_c1/2)+4*IF(circ_int,0,eq_c2/2)+2*PI()*(s_0+5*s_r+IF(circ_int,eq_c1/2,0)))/INDEX(lk_legs,6))&lt;(((2*IF(circ_int,0,eq_c2/2))+(PI()*(s_0+5*s_r+IF(circ_int,eq_c1/2,0))/2))+2*IF(circ_int,0,eq_c1/2)),IF(circ_int,0,eq_c1/2)-(((4+0.5)*(4*IF(circ_int,0,eq_c1/2)+4*IF(circ_int,0,eq_c2/2)+2*PI()*(s_0+5*s_r+IF(circ_int,eq_c1/2,0)))/INDEX(lk_legs,6))-((2*IF(circ_int,0,eq_c2/2))+(PI()*(s_0+5*s_r+IF(circ_int,eq_c1/2,0))/2))),IF(((4+0.5)*(4*IF(circ_int,0,eq_c1/2)+4*IF(circ_int,0,eq_c2/2)+2*PI()*(s_0+5*s_r+IF(circ_int,eq_c1/2,0)))/INDEX(lk_legs,6))&lt;((((2*IF(circ_int,0,eq_c2/2))+(PI()*(s_0+5*s_r+IF(circ_int,eq_c1/2,0))/2))+2*IF(circ_int,0,eq_c1/2))+(PI()*(s_0+5*s_r+IF(circ_int,eq_c1/2,0))/2)),-IF(circ_int,0,eq_c1/2)+(s_0+5*s_r+IF(circ_int,eq_c1/2,0))*COS(PI()/2+(((4+0.5)*(4*IF(circ_int,0,eq_c1/2)+4*IF(circ_int,0,eq_c2/2)+2*PI()*(s_0+5*s_r+IF(circ_int,eq_c1/2,0)))/INDEX(lk_legs,6))-(((2*IF(circ_int,0,eq_c2/2))+(PI()*(s_0+5*s_r+IF(circ_int,eq_c1/2,0))/2))+2*IF(circ_int,0,eq_c1/2)))/(s_0+5*s_r+IF(circ_int,eq_c1/2,0))),IF(((4+0.5)*(4*IF(circ_int,0,eq_c1/2)+4*IF(circ_int,0,eq_c2/2)+2*PI()*(s_0+5*s_r+IF(circ_int,eq_c1/2,0)))/INDEX(lk_legs,6))&lt;(((((2*IF(circ_int,0,eq_c2/2))+(PI()*(s_0+5*s_r+IF(circ_int,eq_c1/2,0))/2))+2*IF(circ_int,0,eq_c1/2))+(PI()*(s_0+5*s_r+IF(circ_int,eq_c1/2,0))/2))+2*IF(circ_int,0,eq_c2/2)),-IF(circ_int,0,eq_c1/2)-(s_0+5*s_r+IF(circ_int,eq_c1/2,0)),IF(((4+0.5)*(4*IF(circ_int,0,eq_c1/2)+4*IF(circ_int,0,eq_c2/2)+2*PI()*(s_0+5*s_r+IF(circ_int,eq_c1/2,0)))/INDEX(lk_legs,6))&lt;((((((2*IF(circ_int,0,eq_c2/2))+(PI()*(s_0+5*s_r+IF(circ_int,eq_c1/2,0))/2))+2*IF(circ_int,0,eq_c1/2))+(PI()*(s_0+5*s_r+IF(circ_int,eq_c1/2,0))/2))+2*IF(circ_int,0,eq_c2/2))+(PI()*(s_0+5*s_r+IF(circ_int,eq_c1/2,0))/2)),-IF(circ_int,0,eq_c1/2)+(s_0+5*s_r+IF(circ_int,eq_c1/2,0))*COS(PI()+(((4+0.5)*(4*IF(circ_int,0,eq_c1/2)+4*IF(circ_int,0,eq_c2/2)+2*PI()*(s_0+5*s_r+IF(circ_int,eq_c1/2,0)))/INDEX(lk_legs,6))-(((((2*IF(circ_int,0,eq_c2/2))+(PI()*(s_0+5*s_r+IF(circ_int,eq_c1/2,0))/2))+2*IF(circ_int,0,eq_c1/2))+(PI()*(s_0+5*s_r+IF(circ_int,eq_c1/2,0))/2))+2*IF(circ_int,0,eq_c2/2)))/(s_0+5*s_r+IF(circ_int,eq_c1/2,0))),IF(((4+0.5)*(4*IF(circ_int,0,eq_c1/2)+4*IF(circ_int,0,eq_c2/2)+2*PI()*(s_0+5*s_r+IF(circ_int,eq_c1/2,0)))/INDEX(lk_legs,6))&lt;(((((((2*IF(circ_int,0,eq_c2/2))+(PI()*(s_0+5*s_r+IF(circ_int,eq_c1/2,0))/2))+2*IF(circ_int,0,eq_c1/2))+(PI()*(s_0+5*s_r+IF(circ_int,eq_c1/2,0))/2))+2*IF(circ_int,0,eq_c2/2))+(PI()*(s_0+5*s_r+IF(circ_int,eq_c1/2,0))/2))+2*IF(circ_int,0,eq_c1/2)),-IF(circ_int,0,eq_c1/2)+(((4+0.5)*(4*IF(circ_int,0,eq_c1/2)+4*IF(circ_int,0,eq_c2/2)+2*PI()*(s_0+5*s_r+IF(circ_int,eq_c1/2,0)))/INDEX(lk_legs,6))-((((((2*IF(circ_int,0,eq_c2/2))+(PI()*(s_0+5*s_r+IF(circ_int,eq_c1/2,0))/2))+2*IF(circ_int,0,eq_c1/2))+(PI()*(s_0+5*s_r+IF(circ_int,eq_c1/2,0))/2))+2*IF(circ_int,0,eq_c2/2))+(PI()*(s_0+5*s_r+IF(circ_int,eq_c1/2,0))/2))),IF(circ_int,0,eq_c1/2)+(s_0+5*s_r+IF(circ_int,eq_c1/2,0))*COS(3*PI()/2+(((4+0.5)*(4*IF(circ_int,0,eq_c1/2)+4*IF(circ_int,0,eq_c2/2)+2*PI()*(s_0+5*s_r+IF(circ_int,eq_c1/2,0)))/INDEX(lk_legs,6))-(((((((2*IF(circ_int,0,eq_c2/2))+(PI()*(s_0+5*s_r+IF(circ_int,eq_c1/2,0))/2))+2*IF(circ_int,0,eq_c1/2))+(PI()*(s_0+5*s_r+IF(circ_int,eq_c1/2,0))/2))+2*IF(circ_int,0,eq_c2/2))+(PI()*(s_0+5*s_r+IF(circ_int,eq_c1/2,0))/2))+2*IF(circ_int,0,eq_c1/2)))/(s_0+5*s_r+IF(circ_int,eq_c1/2,0)))))))))),NA())</f>
        <v/>
      </c>
      <c r="CE7">
        <f>IF(AND(AND(links_on,6&lt;=n_per),INDEX(lk_kind,6)=1,4&lt;INDEX(lk_legs,6)),g_oy+IF(((4+0.5)*(4*IF(circ_int,0,eq_c1/2)+4*IF(circ_int,0,eq_c2/2)+2*PI()*(s_0+5*s_r+IF(circ_int,eq_c1/2,0)))/INDEX(lk_legs,6))&lt;(2*IF(circ_int,0,eq_c2/2)),-IF(circ_int,0,eq_c2/2)+((4+0.5)*(4*IF(circ_int,0,eq_c1/2)+4*IF(circ_int,0,eq_c2/2)+2*PI()*(s_0+5*s_r+IF(circ_int,eq_c1/2,0)))/INDEX(lk_legs,6)),IF(((4+0.5)*(4*IF(circ_int,0,eq_c1/2)+4*IF(circ_int,0,eq_c2/2)+2*PI()*(s_0+5*s_r+IF(circ_int,eq_c1/2,0)))/INDEX(lk_legs,6))&lt;((2*IF(circ_int,0,eq_c2/2))+(PI()*(s_0+5*s_r+IF(circ_int,eq_c1/2,0))/2)),IF(circ_int,0,eq_c2/2)+(s_0+5*s_r+IF(circ_int,eq_c1/2,0))*SIN((((4+0.5)*(4*IF(circ_int,0,eq_c1/2)+4*IF(circ_int,0,eq_c2/2)+2*PI()*(s_0+5*s_r+IF(circ_int,eq_c1/2,0)))/INDEX(lk_legs,6))-(2*IF(circ_int,0,eq_c2/2)))/(s_0+5*s_r+IF(circ_int,eq_c1/2,0))),IF(((4+0.5)*(4*IF(circ_int,0,eq_c1/2)+4*IF(circ_int,0,eq_c2/2)+2*PI()*(s_0+5*s_r+IF(circ_int,eq_c1/2,0)))/INDEX(lk_legs,6))&lt;(((2*IF(circ_int,0,eq_c2/2))+(PI()*(s_0+5*s_r+IF(circ_int,eq_c1/2,0))/2))+2*IF(circ_int,0,eq_c1/2)),IF(circ_int,0,eq_c2/2)+(s_0+5*s_r+IF(circ_int,eq_c1/2,0)),IF(((4+0.5)*(4*IF(circ_int,0,eq_c1/2)+4*IF(circ_int,0,eq_c2/2)+2*PI()*(s_0+5*s_r+IF(circ_int,eq_c1/2,0)))/INDEX(lk_legs,6))&lt;((((2*IF(circ_int,0,eq_c2/2))+(PI()*(s_0+5*s_r+IF(circ_int,eq_c1/2,0))/2))+2*IF(circ_int,0,eq_c1/2))+(PI()*(s_0+5*s_r+IF(circ_int,eq_c1/2,0))/2)),IF(circ_int,0,eq_c2/2)+(s_0+5*s_r+IF(circ_int,eq_c1/2,0))*SIN(PI()/2+(((4+0.5)*(4*IF(circ_int,0,eq_c1/2)+4*IF(circ_int,0,eq_c2/2)+2*PI()*(s_0+5*s_r+IF(circ_int,eq_c1/2,0)))/INDEX(lk_legs,6))-(((2*IF(circ_int,0,eq_c2/2))+(PI()*(s_0+5*s_r+IF(circ_int,eq_c1/2,0))/2))+2*IF(circ_int,0,eq_c1/2)))/(s_0+5*s_r+IF(circ_int,eq_c1/2,0))),IF(((4+0.5)*(4*IF(circ_int,0,eq_c1/2)+4*IF(circ_int,0,eq_c2/2)+2*PI()*(s_0+5*s_r+IF(circ_int,eq_c1/2,0)))/INDEX(lk_legs,6))&lt;(((((2*IF(circ_int,0,eq_c2/2))+(PI()*(s_0+5*s_r+IF(circ_int,eq_c1/2,0))/2))+2*IF(circ_int,0,eq_c1/2))+(PI()*(s_0+5*s_r+IF(circ_int,eq_c1/2,0))/2))+2*IF(circ_int,0,eq_c2/2)),IF(circ_int,0,eq_c2/2)-(((4+0.5)*(4*IF(circ_int,0,eq_c1/2)+4*IF(circ_int,0,eq_c2/2)+2*PI()*(s_0+5*s_r+IF(circ_int,eq_c1/2,0)))/INDEX(lk_legs,6))-((((2*IF(circ_int,0,eq_c2/2))+(PI()*(s_0+5*s_r+IF(circ_int,eq_c1/2,0))/2))+2*IF(circ_int,0,eq_c1/2))+(PI()*(s_0+5*s_r+IF(circ_int,eq_c1/2,0))/2))),IF(((4+0.5)*(4*IF(circ_int,0,eq_c1/2)+4*IF(circ_int,0,eq_c2/2)+2*PI()*(s_0+5*s_r+IF(circ_int,eq_c1/2,0)))/INDEX(lk_legs,6))&lt;((((((2*IF(circ_int,0,eq_c2/2))+(PI()*(s_0+5*s_r+IF(circ_int,eq_c1/2,0))/2))+2*IF(circ_int,0,eq_c1/2))+(PI()*(s_0+5*s_r+IF(circ_int,eq_c1/2,0))/2))+2*IF(circ_int,0,eq_c2/2))+(PI()*(s_0+5*s_r+IF(circ_int,eq_c1/2,0))/2)),-IF(circ_int,0,eq_c2/2)+(s_0+5*s_r+IF(circ_int,eq_c1/2,0))*SIN(PI()+(((4+0.5)*(4*IF(circ_int,0,eq_c1/2)+4*IF(circ_int,0,eq_c2/2)+2*PI()*(s_0+5*s_r+IF(circ_int,eq_c1/2,0)))/INDEX(lk_legs,6))-(((((2*IF(circ_int,0,eq_c2/2))+(PI()*(s_0+5*s_r+IF(circ_int,eq_c1/2,0))/2))+2*IF(circ_int,0,eq_c1/2))+(PI()*(s_0+5*s_r+IF(circ_int,eq_c1/2,0))/2))+2*IF(circ_int,0,eq_c2/2)))/(s_0+5*s_r+IF(circ_int,eq_c1/2,0))),IF(((4+0.5)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(4+0.5)*(4*IF(circ_int,0,eq_c1/2)+4*IF(circ_int,0,eq_c2/2)+2*PI()*(s_0+5*s_r+IF(circ_int,eq_c1/2,0)))/INDEX(lk_legs,6))-(((((((2*IF(circ_int,0,eq_c2/2))+(PI()*(s_0+5*s_r+IF(circ_int,eq_c1/2,0))/2))+2*IF(circ_int,0,eq_c1/2))+(PI()*(s_0+5*s_r+IF(circ_int,eq_c1/2,0))/2))+2*IF(circ_int,0,eq_c2/2))+(PI()*(s_0+5*s_r+IF(circ_int,eq_c1/2,0))/2))+2*IF(circ_int,0,eq_c1/2)))/(s_0+5*s_r+IF(circ_int,eq_c1/2,0)))))))))),NA())</f>
        <v/>
      </c>
      <c r="CG7">
        <f>IF(AND(links_on,7&lt;=n_per),IF(circ_int,(g_ox)+(c_1/2+(s_0+6*s_r))*0.885456,CHOOSE(INDEX(lk_kind,7),(g_ox+eq_c1/2)+((s_0+6*s_r))*0.866025,(eq_a1+eq_c1)+((s_0+6*s_r))*0.382683,(eq_a1+eq_c1)+((s_0+6*s_r))*0.382683,(eq_a1)+((s_0+6*s_r))*-0.923880)),NA())</f>
        <v/>
      </c>
      <c r="CH7">
        <f>IF(AND(links_on,7&lt;=n_per),IF(circ_int,(g_oy)+(c_1/2+(s_0+6*s_r))*0.464723,CHOOSE(INDEX(lk_kind,7),(g_oy+eq_c2/2)+((s_0+6*s_r))*0.500000,(g_oy+eq_c2/2)+((s_0+6*s_r))*0.923880,(eq_a2+eq_c2)+((s_0+6*s_r))*0.923880,(eq_a2+eq_c2)+((s_0+6*s_r))*0.382683)),NA())</f>
        <v/>
      </c>
      <c r="CJ7">
        <f>IF(AND(AND(links_on,7&lt;=n_per),INDEX(lk_kind,7)=1,4&lt;INDEX(lk_legs,7)),g_ox+IF(((4+0.5)*(4*IF(circ_int,0,eq_c1/2)+4*IF(circ_int,0,eq_c2/2)+2*PI()*(s_0+6*s_r+IF(circ_int,eq_c1/2,0)))/INDEX(lk_legs,7))&lt;(2*IF(circ_int,0,eq_c2/2)),IF(circ_int,0,eq_c1/2)+(s_0+6*s_r+IF(circ_int,eq_c1/2,0)),IF(((4+0.5)*(4*IF(circ_int,0,eq_c1/2)+4*IF(circ_int,0,eq_c2/2)+2*PI()*(s_0+6*s_r+IF(circ_int,eq_c1/2,0)))/INDEX(lk_legs,7))&lt;((2*IF(circ_int,0,eq_c2/2))+(PI()*(s_0+6*s_r+IF(circ_int,eq_c1/2,0))/2)),IF(circ_int,0,eq_c1/2)+(s_0+6*s_r+IF(circ_int,eq_c1/2,0))*COS((((4+0.5)*(4*IF(circ_int,0,eq_c1/2)+4*IF(circ_int,0,eq_c2/2)+2*PI()*(s_0+6*s_r+IF(circ_int,eq_c1/2,0)))/INDEX(lk_legs,7))-(2*IF(circ_int,0,eq_c2/2)))/(s_0+6*s_r+IF(circ_int,eq_c1/2,0))),IF(((4+0.5)*(4*IF(circ_int,0,eq_c1/2)+4*IF(circ_int,0,eq_c2/2)+2*PI()*(s_0+6*s_r+IF(circ_int,eq_c1/2,0)))/INDEX(lk_legs,7))&lt;(((2*IF(circ_int,0,eq_c2/2))+(PI()*(s_0+6*s_r+IF(circ_int,eq_c1/2,0))/2))+2*IF(circ_int,0,eq_c1/2)),IF(circ_int,0,eq_c1/2)-(((4+0.5)*(4*IF(circ_int,0,eq_c1/2)+4*IF(circ_int,0,eq_c2/2)+2*PI()*(s_0+6*s_r+IF(circ_int,eq_c1/2,0)))/INDEX(lk_legs,7))-((2*IF(circ_int,0,eq_c2/2))+(PI()*(s_0+6*s_r+IF(circ_int,eq_c1/2,0))/2))),IF(((4+0.5)*(4*IF(circ_int,0,eq_c1/2)+4*IF(circ_int,0,eq_c2/2)+2*PI()*(s_0+6*s_r+IF(circ_int,eq_c1/2,0)))/INDEX(lk_legs,7))&lt;((((2*IF(circ_int,0,eq_c2/2))+(PI()*(s_0+6*s_r+IF(circ_int,eq_c1/2,0))/2))+2*IF(circ_int,0,eq_c1/2))+(PI()*(s_0+6*s_r+IF(circ_int,eq_c1/2,0))/2)),-IF(circ_int,0,eq_c1/2)+(s_0+6*s_r+IF(circ_int,eq_c1/2,0))*COS(PI()/2+(((4+0.5)*(4*IF(circ_int,0,eq_c1/2)+4*IF(circ_int,0,eq_c2/2)+2*PI()*(s_0+6*s_r+IF(circ_int,eq_c1/2,0)))/INDEX(lk_legs,7))-(((2*IF(circ_int,0,eq_c2/2))+(PI()*(s_0+6*s_r+IF(circ_int,eq_c1/2,0))/2))+2*IF(circ_int,0,eq_c1/2)))/(s_0+6*s_r+IF(circ_int,eq_c1/2,0))),IF(((4+0.5)*(4*IF(circ_int,0,eq_c1/2)+4*IF(circ_int,0,eq_c2/2)+2*PI()*(s_0+6*s_r+IF(circ_int,eq_c1/2,0)))/INDEX(lk_legs,7))&lt;(((((2*IF(circ_int,0,eq_c2/2))+(PI()*(s_0+6*s_r+IF(circ_int,eq_c1/2,0))/2))+2*IF(circ_int,0,eq_c1/2))+(PI()*(s_0+6*s_r+IF(circ_int,eq_c1/2,0))/2))+2*IF(circ_int,0,eq_c2/2)),-IF(circ_int,0,eq_c1/2)-(s_0+6*s_r+IF(circ_int,eq_c1/2,0)),IF(((4+0.5)*(4*IF(circ_int,0,eq_c1/2)+4*IF(circ_int,0,eq_c2/2)+2*PI()*(s_0+6*s_r+IF(circ_int,eq_c1/2,0)))/INDEX(lk_legs,7))&lt;((((((2*IF(circ_int,0,eq_c2/2))+(PI()*(s_0+6*s_r+IF(circ_int,eq_c1/2,0))/2))+2*IF(circ_int,0,eq_c1/2))+(PI()*(s_0+6*s_r+IF(circ_int,eq_c1/2,0))/2))+2*IF(circ_int,0,eq_c2/2))+(PI()*(s_0+6*s_r+IF(circ_int,eq_c1/2,0))/2)),-IF(circ_int,0,eq_c1/2)+(s_0+6*s_r+IF(circ_int,eq_c1/2,0))*COS(PI()+(((4+0.5)*(4*IF(circ_int,0,eq_c1/2)+4*IF(circ_int,0,eq_c2/2)+2*PI()*(s_0+6*s_r+IF(circ_int,eq_c1/2,0)))/INDEX(lk_legs,7))-(((((2*IF(circ_int,0,eq_c2/2))+(PI()*(s_0+6*s_r+IF(circ_int,eq_c1/2,0))/2))+2*IF(circ_int,0,eq_c1/2))+(PI()*(s_0+6*s_r+IF(circ_int,eq_c1/2,0))/2))+2*IF(circ_int,0,eq_c2/2)))/(s_0+6*s_r+IF(circ_int,eq_c1/2,0))),IF(((4+0.5)*(4*IF(circ_int,0,eq_c1/2)+4*IF(circ_int,0,eq_c2/2)+2*PI()*(s_0+6*s_r+IF(circ_int,eq_c1/2,0)))/INDEX(lk_legs,7))&lt;(((((((2*IF(circ_int,0,eq_c2/2))+(PI()*(s_0+6*s_r+IF(circ_int,eq_c1/2,0))/2))+2*IF(circ_int,0,eq_c1/2))+(PI()*(s_0+6*s_r+IF(circ_int,eq_c1/2,0))/2))+2*IF(circ_int,0,eq_c2/2))+(PI()*(s_0+6*s_r+IF(circ_int,eq_c1/2,0))/2))+2*IF(circ_int,0,eq_c1/2)),-IF(circ_int,0,eq_c1/2)+(((4+0.5)*(4*IF(circ_int,0,eq_c1/2)+4*IF(circ_int,0,eq_c2/2)+2*PI()*(s_0+6*s_r+IF(circ_int,eq_c1/2,0)))/INDEX(lk_legs,7))-((((((2*IF(circ_int,0,eq_c2/2))+(PI()*(s_0+6*s_r+IF(circ_int,eq_c1/2,0))/2))+2*IF(circ_int,0,eq_c1/2))+(PI()*(s_0+6*s_r+IF(circ_int,eq_c1/2,0))/2))+2*IF(circ_int,0,eq_c2/2))+(PI()*(s_0+6*s_r+IF(circ_int,eq_c1/2,0))/2))),IF(circ_int,0,eq_c1/2)+(s_0+6*s_r+IF(circ_int,eq_c1/2,0))*COS(3*PI()/2+(((4+0.5)*(4*IF(circ_int,0,eq_c1/2)+4*IF(circ_int,0,eq_c2/2)+2*PI()*(s_0+6*s_r+IF(circ_int,eq_c1/2,0)))/INDEX(lk_legs,7))-(((((((2*IF(circ_int,0,eq_c2/2))+(PI()*(s_0+6*s_r+IF(circ_int,eq_c1/2,0))/2))+2*IF(circ_int,0,eq_c1/2))+(PI()*(s_0+6*s_r+IF(circ_int,eq_c1/2,0))/2))+2*IF(circ_int,0,eq_c2/2))+(PI()*(s_0+6*s_r+IF(circ_int,eq_c1/2,0))/2))+2*IF(circ_int,0,eq_c1/2)))/(s_0+6*s_r+IF(circ_int,eq_c1/2,0)))))))))),NA())</f>
        <v/>
      </c>
      <c r="CK7">
        <f>IF(AND(AND(links_on,7&lt;=n_per),INDEX(lk_kind,7)=1,4&lt;INDEX(lk_legs,7)),g_oy+IF(((4+0.5)*(4*IF(circ_int,0,eq_c1/2)+4*IF(circ_int,0,eq_c2/2)+2*PI()*(s_0+6*s_r+IF(circ_int,eq_c1/2,0)))/INDEX(lk_legs,7))&lt;(2*IF(circ_int,0,eq_c2/2)),-IF(circ_int,0,eq_c2/2)+((4+0.5)*(4*IF(circ_int,0,eq_c1/2)+4*IF(circ_int,0,eq_c2/2)+2*PI()*(s_0+6*s_r+IF(circ_int,eq_c1/2,0)))/INDEX(lk_legs,7)),IF(((4+0.5)*(4*IF(circ_int,0,eq_c1/2)+4*IF(circ_int,0,eq_c2/2)+2*PI()*(s_0+6*s_r+IF(circ_int,eq_c1/2,0)))/INDEX(lk_legs,7))&lt;((2*IF(circ_int,0,eq_c2/2))+(PI()*(s_0+6*s_r+IF(circ_int,eq_c1/2,0))/2)),IF(circ_int,0,eq_c2/2)+(s_0+6*s_r+IF(circ_int,eq_c1/2,0))*SIN((((4+0.5)*(4*IF(circ_int,0,eq_c1/2)+4*IF(circ_int,0,eq_c2/2)+2*PI()*(s_0+6*s_r+IF(circ_int,eq_c1/2,0)))/INDEX(lk_legs,7))-(2*IF(circ_int,0,eq_c2/2)))/(s_0+6*s_r+IF(circ_int,eq_c1/2,0))),IF(((4+0.5)*(4*IF(circ_int,0,eq_c1/2)+4*IF(circ_int,0,eq_c2/2)+2*PI()*(s_0+6*s_r+IF(circ_int,eq_c1/2,0)))/INDEX(lk_legs,7))&lt;(((2*IF(circ_int,0,eq_c2/2))+(PI()*(s_0+6*s_r+IF(circ_int,eq_c1/2,0))/2))+2*IF(circ_int,0,eq_c1/2)),IF(circ_int,0,eq_c2/2)+(s_0+6*s_r+IF(circ_int,eq_c1/2,0)),IF(((4+0.5)*(4*IF(circ_int,0,eq_c1/2)+4*IF(circ_int,0,eq_c2/2)+2*PI()*(s_0+6*s_r+IF(circ_int,eq_c1/2,0)))/INDEX(lk_legs,7))&lt;((((2*IF(circ_int,0,eq_c2/2))+(PI()*(s_0+6*s_r+IF(circ_int,eq_c1/2,0))/2))+2*IF(circ_int,0,eq_c1/2))+(PI()*(s_0+6*s_r+IF(circ_int,eq_c1/2,0))/2)),IF(circ_int,0,eq_c2/2)+(s_0+6*s_r+IF(circ_int,eq_c1/2,0))*SIN(PI()/2+(((4+0.5)*(4*IF(circ_int,0,eq_c1/2)+4*IF(circ_int,0,eq_c2/2)+2*PI()*(s_0+6*s_r+IF(circ_int,eq_c1/2,0)))/INDEX(lk_legs,7))-(((2*IF(circ_int,0,eq_c2/2))+(PI()*(s_0+6*s_r+IF(circ_int,eq_c1/2,0))/2))+2*IF(circ_int,0,eq_c1/2)))/(s_0+6*s_r+IF(circ_int,eq_c1/2,0))),IF(((4+0.5)*(4*IF(circ_int,0,eq_c1/2)+4*IF(circ_int,0,eq_c2/2)+2*PI()*(s_0+6*s_r+IF(circ_int,eq_c1/2,0)))/INDEX(lk_legs,7))&lt;(((((2*IF(circ_int,0,eq_c2/2))+(PI()*(s_0+6*s_r+IF(circ_int,eq_c1/2,0))/2))+2*IF(circ_int,0,eq_c1/2))+(PI()*(s_0+6*s_r+IF(circ_int,eq_c1/2,0))/2))+2*IF(circ_int,0,eq_c2/2)),IF(circ_int,0,eq_c2/2)-(((4+0.5)*(4*IF(circ_int,0,eq_c1/2)+4*IF(circ_int,0,eq_c2/2)+2*PI()*(s_0+6*s_r+IF(circ_int,eq_c1/2,0)))/INDEX(lk_legs,7))-((((2*IF(circ_int,0,eq_c2/2))+(PI()*(s_0+6*s_r+IF(circ_int,eq_c1/2,0))/2))+2*IF(circ_int,0,eq_c1/2))+(PI()*(s_0+6*s_r+IF(circ_int,eq_c1/2,0))/2))),IF(((4+0.5)*(4*IF(circ_int,0,eq_c1/2)+4*IF(circ_int,0,eq_c2/2)+2*PI()*(s_0+6*s_r+IF(circ_int,eq_c1/2,0)))/INDEX(lk_legs,7))&lt;((((((2*IF(circ_int,0,eq_c2/2))+(PI()*(s_0+6*s_r+IF(circ_int,eq_c1/2,0))/2))+2*IF(circ_int,0,eq_c1/2))+(PI()*(s_0+6*s_r+IF(circ_int,eq_c1/2,0))/2))+2*IF(circ_int,0,eq_c2/2))+(PI()*(s_0+6*s_r+IF(circ_int,eq_c1/2,0))/2)),-IF(circ_int,0,eq_c2/2)+(s_0+6*s_r+IF(circ_int,eq_c1/2,0))*SIN(PI()+(((4+0.5)*(4*IF(circ_int,0,eq_c1/2)+4*IF(circ_int,0,eq_c2/2)+2*PI()*(s_0+6*s_r+IF(circ_int,eq_c1/2,0)))/INDEX(lk_legs,7))-(((((2*IF(circ_int,0,eq_c2/2))+(PI()*(s_0+6*s_r+IF(circ_int,eq_c1/2,0))/2))+2*IF(circ_int,0,eq_c1/2))+(PI()*(s_0+6*s_r+IF(circ_int,eq_c1/2,0))/2))+2*IF(circ_int,0,eq_c2/2)))/(s_0+6*s_r+IF(circ_int,eq_c1/2,0))),IF(((4+0.5)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(4+0.5)*(4*IF(circ_int,0,eq_c1/2)+4*IF(circ_int,0,eq_c2/2)+2*PI()*(s_0+6*s_r+IF(circ_int,eq_c1/2,0)))/INDEX(lk_legs,7))-(((((((2*IF(circ_int,0,eq_c2/2))+(PI()*(s_0+6*s_r+IF(circ_int,eq_c1/2,0))/2))+2*IF(circ_int,0,eq_c1/2))+(PI()*(s_0+6*s_r+IF(circ_int,eq_c1/2,0))/2))+2*IF(circ_int,0,eq_c2/2))+(PI()*(s_0+6*s_r+IF(circ_int,eq_c1/2,0))/2))+2*IF(circ_int,0,eq_c1/2)))/(s_0+6*s_r+IF(circ_int,eq_c1/2,0)))))))))),NA())</f>
        <v/>
      </c>
      <c r="CM7">
        <f>IF(AND(links_on,8&lt;=n_per),IF(circ_int,(g_ox)+(c_1/2+(s_0+7*s_r))*0.885456,CHOOSE(INDEX(lk_kind,8),(g_ox+eq_c1/2)+((s_0+7*s_r))*0.866025,(eq_a1+eq_c1)+((s_0+7*s_r))*0.382683,(eq_a1+eq_c1)+((s_0+7*s_r))*0.382683,(eq_a1)+((s_0+7*s_r))*-0.923880)),NA())</f>
        <v/>
      </c>
      <c r="CN7">
        <f>IF(AND(links_on,8&lt;=n_per),IF(circ_int,(g_oy)+(c_1/2+(s_0+7*s_r))*0.464723,CHOOSE(INDEX(lk_kind,8),(g_oy+eq_c2/2)+((s_0+7*s_r))*0.500000,(g_oy+eq_c2/2)+((s_0+7*s_r))*0.923880,(eq_a2+eq_c2)+((s_0+7*s_r))*0.923880,(eq_a2+eq_c2)+((s_0+7*s_r))*0.382683)),NA())</f>
        <v/>
      </c>
      <c r="CP7">
        <f>IF(AND(AND(links_on,8&lt;=n_per),INDEX(lk_kind,8)=1,4&lt;INDEX(lk_legs,8)),g_ox+IF(((4+0.5)*(4*IF(circ_int,0,eq_c1/2)+4*IF(circ_int,0,eq_c2/2)+2*PI()*(s_0+7*s_r+IF(circ_int,eq_c1/2,0)))/INDEX(lk_legs,8))&lt;(2*IF(circ_int,0,eq_c2/2)),IF(circ_int,0,eq_c1/2)+(s_0+7*s_r+IF(circ_int,eq_c1/2,0)),IF(((4+0.5)*(4*IF(circ_int,0,eq_c1/2)+4*IF(circ_int,0,eq_c2/2)+2*PI()*(s_0+7*s_r+IF(circ_int,eq_c1/2,0)))/INDEX(lk_legs,8))&lt;((2*IF(circ_int,0,eq_c2/2))+(PI()*(s_0+7*s_r+IF(circ_int,eq_c1/2,0))/2)),IF(circ_int,0,eq_c1/2)+(s_0+7*s_r+IF(circ_int,eq_c1/2,0))*COS((((4+0.5)*(4*IF(circ_int,0,eq_c1/2)+4*IF(circ_int,0,eq_c2/2)+2*PI()*(s_0+7*s_r+IF(circ_int,eq_c1/2,0)))/INDEX(lk_legs,8))-(2*IF(circ_int,0,eq_c2/2)))/(s_0+7*s_r+IF(circ_int,eq_c1/2,0))),IF(((4+0.5)*(4*IF(circ_int,0,eq_c1/2)+4*IF(circ_int,0,eq_c2/2)+2*PI()*(s_0+7*s_r+IF(circ_int,eq_c1/2,0)))/INDEX(lk_legs,8))&lt;(((2*IF(circ_int,0,eq_c2/2))+(PI()*(s_0+7*s_r+IF(circ_int,eq_c1/2,0))/2))+2*IF(circ_int,0,eq_c1/2)),IF(circ_int,0,eq_c1/2)-(((4+0.5)*(4*IF(circ_int,0,eq_c1/2)+4*IF(circ_int,0,eq_c2/2)+2*PI()*(s_0+7*s_r+IF(circ_int,eq_c1/2,0)))/INDEX(lk_legs,8))-((2*IF(circ_int,0,eq_c2/2))+(PI()*(s_0+7*s_r+IF(circ_int,eq_c1/2,0))/2))),IF(((4+0.5)*(4*IF(circ_int,0,eq_c1/2)+4*IF(circ_int,0,eq_c2/2)+2*PI()*(s_0+7*s_r+IF(circ_int,eq_c1/2,0)))/INDEX(lk_legs,8))&lt;((((2*IF(circ_int,0,eq_c2/2))+(PI()*(s_0+7*s_r+IF(circ_int,eq_c1/2,0))/2))+2*IF(circ_int,0,eq_c1/2))+(PI()*(s_0+7*s_r+IF(circ_int,eq_c1/2,0))/2)),-IF(circ_int,0,eq_c1/2)+(s_0+7*s_r+IF(circ_int,eq_c1/2,0))*COS(PI()/2+(((4+0.5)*(4*IF(circ_int,0,eq_c1/2)+4*IF(circ_int,0,eq_c2/2)+2*PI()*(s_0+7*s_r+IF(circ_int,eq_c1/2,0)))/INDEX(lk_legs,8))-(((2*IF(circ_int,0,eq_c2/2))+(PI()*(s_0+7*s_r+IF(circ_int,eq_c1/2,0))/2))+2*IF(circ_int,0,eq_c1/2)))/(s_0+7*s_r+IF(circ_int,eq_c1/2,0))),IF(((4+0.5)*(4*IF(circ_int,0,eq_c1/2)+4*IF(circ_int,0,eq_c2/2)+2*PI()*(s_0+7*s_r+IF(circ_int,eq_c1/2,0)))/INDEX(lk_legs,8))&lt;(((((2*IF(circ_int,0,eq_c2/2))+(PI()*(s_0+7*s_r+IF(circ_int,eq_c1/2,0))/2))+2*IF(circ_int,0,eq_c1/2))+(PI()*(s_0+7*s_r+IF(circ_int,eq_c1/2,0))/2))+2*IF(circ_int,0,eq_c2/2)),-IF(circ_int,0,eq_c1/2)-(s_0+7*s_r+IF(circ_int,eq_c1/2,0)),IF(((4+0.5)*(4*IF(circ_int,0,eq_c1/2)+4*IF(circ_int,0,eq_c2/2)+2*PI()*(s_0+7*s_r+IF(circ_int,eq_c1/2,0)))/INDEX(lk_legs,8))&lt;((((((2*IF(circ_int,0,eq_c2/2))+(PI()*(s_0+7*s_r+IF(circ_int,eq_c1/2,0))/2))+2*IF(circ_int,0,eq_c1/2))+(PI()*(s_0+7*s_r+IF(circ_int,eq_c1/2,0))/2))+2*IF(circ_int,0,eq_c2/2))+(PI()*(s_0+7*s_r+IF(circ_int,eq_c1/2,0))/2)),-IF(circ_int,0,eq_c1/2)+(s_0+7*s_r+IF(circ_int,eq_c1/2,0))*COS(PI()+(((4+0.5)*(4*IF(circ_int,0,eq_c1/2)+4*IF(circ_int,0,eq_c2/2)+2*PI()*(s_0+7*s_r+IF(circ_int,eq_c1/2,0)))/INDEX(lk_legs,8))-(((((2*IF(circ_int,0,eq_c2/2))+(PI()*(s_0+7*s_r+IF(circ_int,eq_c1/2,0))/2))+2*IF(circ_int,0,eq_c1/2))+(PI()*(s_0+7*s_r+IF(circ_int,eq_c1/2,0))/2))+2*IF(circ_int,0,eq_c2/2)))/(s_0+7*s_r+IF(circ_int,eq_c1/2,0))),IF(((4+0.5)*(4*IF(circ_int,0,eq_c1/2)+4*IF(circ_int,0,eq_c2/2)+2*PI()*(s_0+7*s_r+IF(circ_int,eq_c1/2,0)))/INDEX(lk_legs,8))&lt;(((((((2*IF(circ_int,0,eq_c2/2))+(PI()*(s_0+7*s_r+IF(circ_int,eq_c1/2,0))/2))+2*IF(circ_int,0,eq_c1/2))+(PI()*(s_0+7*s_r+IF(circ_int,eq_c1/2,0))/2))+2*IF(circ_int,0,eq_c2/2))+(PI()*(s_0+7*s_r+IF(circ_int,eq_c1/2,0))/2))+2*IF(circ_int,0,eq_c1/2)),-IF(circ_int,0,eq_c1/2)+(((4+0.5)*(4*IF(circ_int,0,eq_c1/2)+4*IF(circ_int,0,eq_c2/2)+2*PI()*(s_0+7*s_r+IF(circ_int,eq_c1/2,0)))/INDEX(lk_legs,8))-((((((2*IF(circ_int,0,eq_c2/2))+(PI()*(s_0+7*s_r+IF(circ_int,eq_c1/2,0))/2))+2*IF(circ_int,0,eq_c1/2))+(PI()*(s_0+7*s_r+IF(circ_int,eq_c1/2,0))/2))+2*IF(circ_int,0,eq_c2/2))+(PI()*(s_0+7*s_r+IF(circ_int,eq_c1/2,0))/2))),IF(circ_int,0,eq_c1/2)+(s_0+7*s_r+IF(circ_int,eq_c1/2,0))*COS(3*PI()/2+(((4+0.5)*(4*IF(circ_int,0,eq_c1/2)+4*IF(circ_int,0,eq_c2/2)+2*PI()*(s_0+7*s_r+IF(circ_int,eq_c1/2,0)))/INDEX(lk_legs,8))-(((((((2*IF(circ_int,0,eq_c2/2))+(PI()*(s_0+7*s_r+IF(circ_int,eq_c1/2,0))/2))+2*IF(circ_int,0,eq_c1/2))+(PI()*(s_0+7*s_r+IF(circ_int,eq_c1/2,0))/2))+2*IF(circ_int,0,eq_c2/2))+(PI()*(s_0+7*s_r+IF(circ_int,eq_c1/2,0))/2))+2*IF(circ_int,0,eq_c1/2)))/(s_0+7*s_r+IF(circ_int,eq_c1/2,0)))))))))),NA())</f>
        <v/>
      </c>
      <c r="CQ7">
        <f>IF(AND(AND(links_on,8&lt;=n_per),INDEX(lk_kind,8)=1,4&lt;INDEX(lk_legs,8)),g_oy+IF(((4+0.5)*(4*IF(circ_int,0,eq_c1/2)+4*IF(circ_int,0,eq_c2/2)+2*PI()*(s_0+7*s_r+IF(circ_int,eq_c1/2,0)))/INDEX(lk_legs,8))&lt;(2*IF(circ_int,0,eq_c2/2)),-IF(circ_int,0,eq_c2/2)+((4+0.5)*(4*IF(circ_int,0,eq_c1/2)+4*IF(circ_int,0,eq_c2/2)+2*PI()*(s_0+7*s_r+IF(circ_int,eq_c1/2,0)))/INDEX(lk_legs,8)),IF(((4+0.5)*(4*IF(circ_int,0,eq_c1/2)+4*IF(circ_int,0,eq_c2/2)+2*PI()*(s_0+7*s_r+IF(circ_int,eq_c1/2,0)))/INDEX(lk_legs,8))&lt;((2*IF(circ_int,0,eq_c2/2))+(PI()*(s_0+7*s_r+IF(circ_int,eq_c1/2,0))/2)),IF(circ_int,0,eq_c2/2)+(s_0+7*s_r+IF(circ_int,eq_c1/2,0))*SIN((((4+0.5)*(4*IF(circ_int,0,eq_c1/2)+4*IF(circ_int,0,eq_c2/2)+2*PI()*(s_0+7*s_r+IF(circ_int,eq_c1/2,0)))/INDEX(lk_legs,8))-(2*IF(circ_int,0,eq_c2/2)))/(s_0+7*s_r+IF(circ_int,eq_c1/2,0))),IF(((4+0.5)*(4*IF(circ_int,0,eq_c1/2)+4*IF(circ_int,0,eq_c2/2)+2*PI()*(s_0+7*s_r+IF(circ_int,eq_c1/2,0)))/INDEX(lk_legs,8))&lt;(((2*IF(circ_int,0,eq_c2/2))+(PI()*(s_0+7*s_r+IF(circ_int,eq_c1/2,0))/2))+2*IF(circ_int,0,eq_c1/2)),IF(circ_int,0,eq_c2/2)+(s_0+7*s_r+IF(circ_int,eq_c1/2,0)),IF(((4+0.5)*(4*IF(circ_int,0,eq_c1/2)+4*IF(circ_int,0,eq_c2/2)+2*PI()*(s_0+7*s_r+IF(circ_int,eq_c1/2,0)))/INDEX(lk_legs,8))&lt;((((2*IF(circ_int,0,eq_c2/2))+(PI()*(s_0+7*s_r+IF(circ_int,eq_c1/2,0))/2))+2*IF(circ_int,0,eq_c1/2))+(PI()*(s_0+7*s_r+IF(circ_int,eq_c1/2,0))/2)),IF(circ_int,0,eq_c2/2)+(s_0+7*s_r+IF(circ_int,eq_c1/2,0))*SIN(PI()/2+(((4+0.5)*(4*IF(circ_int,0,eq_c1/2)+4*IF(circ_int,0,eq_c2/2)+2*PI()*(s_0+7*s_r+IF(circ_int,eq_c1/2,0)))/INDEX(lk_legs,8))-(((2*IF(circ_int,0,eq_c2/2))+(PI()*(s_0+7*s_r+IF(circ_int,eq_c1/2,0))/2))+2*IF(circ_int,0,eq_c1/2)))/(s_0+7*s_r+IF(circ_int,eq_c1/2,0))),IF(((4+0.5)*(4*IF(circ_int,0,eq_c1/2)+4*IF(circ_int,0,eq_c2/2)+2*PI()*(s_0+7*s_r+IF(circ_int,eq_c1/2,0)))/INDEX(lk_legs,8))&lt;(((((2*IF(circ_int,0,eq_c2/2))+(PI()*(s_0+7*s_r+IF(circ_int,eq_c1/2,0))/2))+2*IF(circ_int,0,eq_c1/2))+(PI()*(s_0+7*s_r+IF(circ_int,eq_c1/2,0))/2))+2*IF(circ_int,0,eq_c2/2)),IF(circ_int,0,eq_c2/2)-(((4+0.5)*(4*IF(circ_int,0,eq_c1/2)+4*IF(circ_int,0,eq_c2/2)+2*PI()*(s_0+7*s_r+IF(circ_int,eq_c1/2,0)))/INDEX(lk_legs,8))-((((2*IF(circ_int,0,eq_c2/2))+(PI()*(s_0+7*s_r+IF(circ_int,eq_c1/2,0))/2))+2*IF(circ_int,0,eq_c1/2))+(PI()*(s_0+7*s_r+IF(circ_int,eq_c1/2,0))/2))),IF(((4+0.5)*(4*IF(circ_int,0,eq_c1/2)+4*IF(circ_int,0,eq_c2/2)+2*PI()*(s_0+7*s_r+IF(circ_int,eq_c1/2,0)))/INDEX(lk_legs,8))&lt;((((((2*IF(circ_int,0,eq_c2/2))+(PI()*(s_0+7*s_r+IF(circ_int,eq_c1/2,0))/2))+2*IF(circ_int,0,eq_c1/2))+(PI()*(s_0+7*s_r+IF(circ_int,eq_c1/2,0))/2))+2*IF(circ_int,0,eq_c2/2))+(PI()*(s_0+7*s_r+IF(circ_int,eq_c1/2,0))/2)),-IF(circ_int,0,eq_c2/2)+(s_0+7*s_r+IF(circ_int,eq_c1/2,0))*SIN(PI()+(((4+0.5)*(4*IF(circ_int,0,eq_c1/2)+4*IF(circ_int,0,eq_c2/2)+2*PI()*(s_0+7*s_r+IF(circ_int,eq_c1/2,0)))/INDEX(lk_legs,8))-(((((2*IF(circ_int,0,eq_c2/2))+(PI()*(s_0+7*s_r+IF(circ_int,eq_c1/2,0))/2))+2*IF(circ_int,0,eq_c1/2))+(PI()*(s_0+7*s_r+IF(circ_int,eq_c1/2,0))/2))+2*IF(circ_int,0,eq_c2/2)))/(s_0+7*s_r+IF(circ_int,eq_c1/2,0))),IF(((4+0.5)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(4+0.5)*(4*IF(circ_int,0,eq_c1/2)+4*IF(circ_int,0,eq_c2/2)+2*PI()*(s_0+7*s_r+IF(circ_int,eq_c1/2,0)))/INDEX(lk_legs,8))-(((((((2*IF(circ_int,0,eq_c2/2))+(PI()*(s_0+7*s_r+IF(circ_int,eq_c1/2,0))/2))+2*IF(circ_int,0,eq_c1/2))+(PI()*(s_0+7*s_r+IF(circ_int,eq_c1/2,0))/2))+2*IF(circ_int,0,eq_c2/2))+(PI()*(s_0+7*s_r+IF(circ_int,eq_c1/2,0))/2))+2*IF(circ_int,0,eq_c1/2)))/(s_0+7*s_r+IF(circ_int,eq_c1/2,0)))))))))),NA())</f>
        <v/>
      </c>
      <c r="CS7">
        <f>IF(AND(links_on,9&lt;=n_per),IF(circ_int,(g_ox)+(c_1/2+(s_0+8*s_r))*0.885456,CHOOSE(INDEX(lk_kind,9),(g_ox+eq_c1/2)+((s_0+8*s_r))*0.866025,(eq_a1+eq_c1)+((s_0+8*s_r))*0.382683,(eq_a1+eq_c1)+((s_0+8*s_r))*0.382683,(eq_a1)+((s_0+8*s_r))*-0.923880)),NA())</f>
        <v/>
      </c>
      <c r="CT7">
        <f>IF(AND(links_on,9&lt;=n_per),IF(circ_int,(g_oy)+(c_1/2+(s_0+8*s_r))*0.464723,CHOOSE(INDEX(lk_kind,9),(g_oy+eq_c2/2)+((s_0+8*s_r))*0.500000,(g_oy+eq_c2/2)+((s_0+8*s_r))*0.923880,(eq_a2+eq_c2)+((s_0+8*s_r))*0.923880,(eq_a2+eq_c2)+((s_0+8*s_r))*0.382683)),NA())</f>
        <v/>
      </c>
      <c r="CV7">
        <f>IF(AND(AND(links_on,9&lt;=n_per),INDEX(lk_kind,9)=1,4&lt;INDEX(lk_legs,9)),g_ox+IF(((4+0.5)*(4*IF(circ_int,0,eq_c1/2)+4*IF(circ_int,0,eq_c2/2)+2*PI()*(s_0+8*s_r+IF(circ_int,eq_c1/2,0)))/INDEX(lk_legs,9))&lt;(2*IF(circ_int,0,eq_c2/2)),IF(circ_int,0,eq_c1/2)+(s_0+8*s_r+IF(circ_int,eq_c1/2,0)),IF(((4+0.5)*(4*IF(circ_int,0,eq_c1/2)+4*IF(circ_int,0,eq_c2/2)+2*PI()*(s_0+8*s_r+IF(circ_int,eq_c1/2,0)))/INDEX(lk_legs,9))&lt;((2*IF(circ_int,0,eq_c2/2))+(PI()*(s_0+8*s_r+IF(circ_int,eq_c1/2,0))/2)),IF(circ_int,0,eq_c1/2)+(s_0+8*s_r+IF(circ_int,eq_c1/2,0))*COS((((4+0.5)*(4*IF(circ_int,0,eq_c1/2)+4*IF(circ_int,0,eq_c2/2)+2*PI()*(s_0+8*s_r+IF(circ_int,eq_c1/2,0)))/INDEX(lk_legs,9))-(2*IF(circ_int,0,eq_c2/2)))/(s_0+8*s_r+IF(circ_int,eq_c1/2,0))),IF(((4+0.5)*(4*IF(circ_int,0,eq_c1/2)+4*IF(circ_int,0,eq_c2/2)+2*PI()*(s_0+8*s_r+IF(circ_int,eq_c1/2,0)))/INDEX(lk_legs,9))&lt;(((2*IF(circ_int,0,eq_c2/2))+(PI()*(s_0+8*s_r+IF(circ_int,eq_c1/2,0))/2))+2*IF(circ_int,0,eq_c1/2)),IF(circ_int,0,eq_c1/2)-(((4+0.5)*(4*IF(circ_int,0,eq_c1/2)+4*IF(circ_int,0,eq_c2/2)+2*PI()*(s_0+8*s_r+IF(circ_int,eq_c1/2,0)))/INDEX(lk_legs,9))-((2*IF(circ_int,0,eq_c2/2))+(PI()*(s_0+8*s_r+IF(circ_int,eq_c1/2,0))/2))),IF(((4+0.5)*(4*IF(circ_int,0,eq_c1/2)+4*IF(circ_int,0,eq_c2/2)+2*PI()*(s_0+8*s_r+IF(circ_int,eq_c1/2,0)))/INDEX(lk_legs,9))&lt;((((2*IF(circ_int,0,eq_c2/2))+(PI()*(s_0+8*s_r+IF(circ_int,eq_c1/2,0))/2))+2*IF(circ_int,0,eq_c1/2))+(PI()*(s_0+8*s_r+IF(circ_int,eq_c1/2,0))/2)),-IF(circ_int,0,eq_c1/2)+(s_0+8*s_r+IF(circ_int,eq_c1/2,0))*COS(PI()/2+(((4+0.5)*(4*IF(circ_int,0,eq_c1/2)+4*IF(circ_int,0,eq_c2/2)+2*PI()*(s_0+8*s_r+IF(circ_int,eq_c1/2,0)))/INDEX(lk_legs,9))-(((2*IF(circ_int,0,eq_c2/2))+(PI()*(s_0+8*s_r+IF(circ_int,eq_c1/2,0))/2))+2*IF(circ_int,0,eq_c1/2)))/(s_0+8*s_r+IF(circ_int,eq_c1/2,0))),IF(((4+0.5)*(4*IF(circ_int,0,eq_c1/2)+4*IF(circ_int,0,eq_c2/2)+2*PI()*(s_0+8*s_r+IF(circ_int,eq_c1/2,0)))/INDEX(lk_legs,9))&lt;(((((2*IF(circ_int,0,eq_c2/2))+(PI()*(s_0+8*s_r+IF(circ_int,eq_c1/2,0))/2))+2*IF(circ_int,0,eq_c1/2))+(PI()*(s_0+8*s_r+IF(circ_int,eq_c1/2,0))/2))+2*IF(circ_int,0,eq_c2/2)),-IF(circ_int,0,eq_c1/2)-(s_0+8*s_r+IF(circ_int,eq_c1/2,0)),IF(((4+0.5)*(4*IF(circ_int,0,eq_c1/2)+4*IF(circ_int,0,eq_c2/2)+2*PI()*(s_0+8*s_r+IF(circ_int,eq_c1/2,0)))/INDEX(lk_legs,9))&lt;((((((2*IF(circ_int,0,eq_c2/2))+(PI()*(s_0+8*s_r+IF(circ_int,eq_c1/2,0))/2))+2*IF(circ_int,0,eq_c1/2))+(PI()*(s_0+8*s_r+IF(circ_int,eq_c1/2,0))/2))+2*IF(circ_int,0,eq_c2/2))+(PI()*(s_0+8*s_r+IF(circ_int,eq_c1/2,0))/2)),-IF(circ_int,0,eq_c1/2)+(s_0+8*s_r+IF(circ_int,eq_c1/2,0))*COS(PI()+(((4+0.5)*(4*IF(circ_int,0,eq_c1/2)+4*IF(circ_int,0,eq_c2/2)+2*PI()*(s_0+8*s_r+IF(circ_int,eq_c1/2,0)))/INDEX(lk_legs,9))-(((((2*IF(circ_int,0,eq_c2/2))+(PI()*(s_0+8*s_r+IF(circ_int,eq_c1/2,0))/2))+2*IF(circ_int,0,eq_c1/2))+(PI()*(s_0+8*s_r+IF(circ_int,eq_c1/2,0))/2))+2*IF(circ_int,0,eq_c2/2)))/(s_0+8*s_r+IF(circ_int,eq_c1/2,0))),IF(((4+0.5)*(4*IF(circ_int,0,eq_c1/2)+4*IF(circ_int,0,eq_c2/2)+2*PI()*(s_0+8*s_r+IF(circ_int,eq_c1/2,0)))/INDEX(lk_legs,9))&lt;(((((((2*IF(circ_int,0,eq_c2/2))+(PI()*(s_0+8*s_r+IF(circ_int,eq_c1/2,0))/2))+2*IF(circ_int,0,eq_c1/2))+(PI()*(s_0+8*s_r+IF(circ_int,eq_c1/2,0))/2))+2*IF(circ_int,0,eq_c2/2))+(PI()*(s_0+8*s_r+IF(circ_int,eq_c1/2,0))/2))+2*IF(circ_int,0,eq_c1/2)),-IF(circ_int,0,eq_c1/2)+(((4+0.5)*(4*IF(circ_int,0,eq_c1/2)+4*IF(circ_int,0,eq_c2/2)+2*PI()*(s_0+8*s_r+IF(circ_int,eq_c1/2,0)))/INDEX(lk_legs,9))-((((((2*IF(circ_int,0,eq_c2/2))+(PI()*(s_0+8*s_r+IF(circ_int,eq_c1/2,0))/2))+2*IF(circ_int,0,eq_c1/2))+(PI()*(s_0+8*s_r+IF(circ_int,eq_c1/2,0))/2))+2*IF(circ_int,0,eq_c2/2))+(PI()*(s_0+8*s_r+IF(circ_int,eq_c1/2,0))/2))),IF(circ_int,0,eq_c1/2)+(s_0+8*s_r+IF(circ_int,eq_c1/2,0))*COS(3*PI()/2+(((4+0.5)*(4*IF(circ_int,0,eq_c1/2)+4*IF(circ_int,0,eq_c2/2)+2*PI()*(s_0+8*s_r+IF(circ_int,eq_c1/2,0)))/INDEX(lk_legs,9))-(((((((2*IF(circ_int,0,eq_c2/2))+(PI()*(s_0+8*s_r+IF(circ_int,eq_c1/2,0))/2))+2*IF(circ_int,0,eq_c1/2))+(PI()*(s_0+8*s_r+IF(circ_int,eq_c1/2,0))/2))+2*IF(circ_int,0,eq_c2/2))+(PI()*(s_0+8*s_r+IF(circ_int,eq_c1/2,0))/2))+2*IF(circ_int,0,eq_c1/2)))/(s_0+8*s_r+IF(circ_int,eq_c1/2,0)))))))))),NA())</f>
        <v/>
      </c>
      <c r="CW7">
        <f>IF(AND(AND(links_on,9&lt;=n_per),INDEX(lk_kind,9)=1,4&lt;INDEX(lk_legs,9)),g_oy+IF(((4+0.5)*(4*IF(circ_int,0,eq_c1/2)+4*IF(circ_int,0,eq_c2/2)+2*PI()*(s_0+8*s_r+IF(circ_int,eq_c1/2,0)))/INDEX(lk_legs,9))&lt;(2*IF(circ_int,0,eq_c2/2)),-IF(circ_int,0,eq_c2/2)+((4+0.5)*(4*IF(circ_int,0,eq_c1/2)+4*IF(circ_int,0,eq_c2/2)+2*PI()*(s_0+8*s_r+IF(circ_int,eq_c1/2,0)))/INDEX(lk_legs,9)),IF(((4+0.5)*(4*IF(circ_int,0,eq_c1/2)+4*IF(circ_int,0,eq_c2/2)+2*PI()*(s_0+8*s_r+IF(circ_int,eq_c1/2,0)))/INDEX(lk_legs,9))&lt;((2*IF(circ_int,0,eq_c2/2))+(PI()*(s_0+8*s_r+IF(circ_int,eq_c1/2,0))/2)),IF(circ_int,0,eq_c2/2)+(s_0+8*s_r+IF(circ_int,eq_c1/2,0))*SIN((((4+0.5)*(4*IF(circ_int,0,eq_c1/2)+4*IF(circ_int,0,eq_c2/2)+2*PI()*(s_0+8*s_r+IF(circ_int,eq_c1/2,0)))/INDEX(lk_legs,9))-(2*IF(circ_int,0,eq_c2/2)))/(s_0+8*s_r+IF(circ_int,eq_c1/2,0))),IF(((4+0.5)*(4*IF(circ_int,0,eq_c1/2)+4*IF(circ_int,0,eq_c2/2)+2*PI()*(s_0+8*s_r+IF(circ_int,eq_c1/2,0)))/INDEX(lk_legs,9))&lt;(((2*IF(circ_int,0,eq_c2/2))+(PI()*(s_0+8*s_r+IF(circ_int,eq_c1/2,0))/2))+2*IF(circ_int,0,eq_c1/2)),IF(circ_int,0,eq_c2/2)+(s_0+8*s_r+IF(circ_int,eq_c1/2,0)),IF(((4+0.5)*(4*IF(circ_int,0,eq_c1/2)+4*IF(circ_int,0,eq_c2/2)+2*PI()*(s_0+8*s_r+IF(circ_int,eq_c1/2,0)))/INDEX(lk_legs,9))&lt;((((2*IF(circ_int,0,eq_c2/2))+(PI()*(s_0+8*s_r+IF(circ_int,eq_c1/2,0))/2))+2*IF(circ_int,0,eq_c1/2))+(PI()*(s_0+8*s_r+IF(circ_int,eq_c1/2,0))/2)),IF(circ_int,0,eq_c2/2)+(s_0+8*s_r+IF(circ_int,eq_c1/2,0))*SIN(PI()/2+(((4+0.5)*(4*IF(circ_int,0,eq_c1/2)+4*IF(circ_int,0,eq_c2/2)+2*PI()*(s_0+8*s_r+IF(circ_int,eq_c1/2,0)))/INDEX(lk_legs,9))-(((2*IF(circ_int,0,eq_c2/2))+(PI()*(s_0+8*s_r+IF(circ_int,eq_c1/2,0))/2))+2*IF(circ_int,0,eq_c1/2)))/(s_0+8*s_r+IF(circ_int,eq_c1/2,0))),IF(((4+0.5)*(4*IF(circ_int,0,eq_c1/2)+4*IF(circ_int,0,eq_c2/2)+2*PI()*(s_0+8*s_r+IF(circ_int,eq_c1/2,0)))/INDEX(lk_legs,9))&lt;(((((2*IF(circ_int,0,eq_c2/2))+(PI()*(s_0+8*s_r+IF(circ_int,eq_c1/2,0))/2))+2*IF(circ_int,0,eq_c1/2))+(PI()*(s_0+8*s_r+IF(circ_int,eq_c1/2,0))/2))+2*IF(circ_int,0,eq_c2/2)),IF(circ_int,0,eq_c2/2)-(((4+0.5)*(4*IF(circ_int,0,eq_c1/2)+4*IF(circ_int,0,eq_c2/2)+2*PI()*(s_0+8*s_r+IF(circ_int,eq_c1/2,0)))/INDEX(lk_legs,9))-((((2*IF(circ_int,0,eq_c2/2))+(PI()*(s_0+8*s_r+IF(circ_int,eq_c1/2,0))/2))+2*IF(circ_int,0,eq_c1/2))+(PI()*(s_0+8*s_r+IF(circ_int,eq_c1/2,0))/2))),IF(((4+0.5)*(4*IF(circ_int,0,eq_c1/2)+4*IF(circ_int,0,eq_c2/2)+2*PI()*(s_0+8*s_r+IF(circ_int,eq_c1/2,0)))/INDEX(lk_legs,9))&lt;((((((2*IF(circ_int,0,eq_c2/2))+(PI()*(s_0+8*s_r+IF(circ_int,eq_c1/2,0))/2))+2*IF(circ_int,0,eq_c1/2))+(PI()*(s_0+8*s_r+IF(circ_int,eq_c1/2,0))/2))+2*IF(circ_int,0,eq_c2/2))+(PI()*(s_0+8*s_r+IF(circ_int,eq_c1/2,0))/2)),-IF(circ_int,0,eq_c2/2)+(s_0+8*s_r+IF(circ_int,eq_c1/2,0))*SIN(PI()+(((4+0.5)*(4*IF(circ_int,0,eq_c1/2)+4*IF(circ_int,0,eq_c2/2)+2*PI()*(s_0+8*s_r+IF(circ_int,eq_c1/2,0)))/INDEX(lk_legs,9))-(((((2*IF(circ_int,0,eq_c2/2))+(PI()*(s_0+8*s_r+IF(circ_int,eq_c1/2,0))/2))+2*IF(circ_int,0,eq_c1/2))+(PI()*(s_0+8*s_r+IF(circ_int,eq_c1/2,0))/2))+2*IF(circ_int,0,eq_c2/2)))/(s_0+8*s_r+IF(circ_int,eq_c1/2,0))),IF(((4+0.5)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(4+0.5)*(4*IF(circ_int,0,eq_c1/2)+4*IF(circ_int,0,eq_c2/2)+2*PI()*(s_0+8*s_r+IF(circ_int,eq_c1/2,0)))/INDEX(lk_legs,9))-(((((((2*IF(circ_int,0,eq_c2/2))+(PI()*(s_0+8*s_r+IF(circ_int,eq_c1/2,0))/2))+2*IF(circ_int,0,eq_c1/2))+(PI()*(s_0+8*s_r+IF(circ_int,eq_c1/2,0))/2))+2*IF(circ_int,0,eq_c2/2))+(PI()*(s_0+8*s_r+IF(circ_int,eq_c1/2,0))/2))+2*IF(circ_int,0,eq_c1/2)))/(s_0+8*s_r+IF(circ_int,eq_c1/2,0)))))))))),NA())</f>
        <v/>
      </c>
      <c r="CY7">
        <f>IF(AND(links_on,10&lt;=n_per),IF(circ_int,(g_ox)+(c_1/2+(s_0+9*s_r))*0.885456,CHOOSE(INDEX(lk_kind,10),(g_ox+eq_c1/2)+((s_0+9*s_r))*0.866025,(eq_a1+eq_c1)+((s_0+9*s_r))*0.382683,(eq_a1+eq_c1)+((s_0+9*s_r))*0.382683,(eq_a1)+((s_0+9*s_r))*-0.923880)),NA())</f>
        <v/>
      </c>
      <c r="CZ7">
        <f>IF(AND(links_on,10&lt;=n_per),IF(circ_int,(g_oy)+(c_1/2+(s_0+9*s_r))*0.464723,CHOOSE(INDEX(lk_kind,10),(g_oy+eq_c2/2)+((s_0+9*s_r))*0.500000,(g_oy+eq_c2/2)+((s_0+9*s_r))*0.923880,(eq_a2+eq_c2)+((s_0+9*s_r))*0.923880,(eq_a2+eq_c2)+((s_0+9*s_r))*0.382683)),NA())</f>
        <v/>
      </c>
      <c r="DB7">
        <f>IF(AND(AND(links_on,10&lt;=n_per),INDEX(lk_kind,10)=1,4&lt;INDEX(lk_legs,10)),g_ox+IF(((4+0.5)*(4*IF(circ_int,0,eq_c1/2)+4*IF(circ_int,0,eq_c2/2)+2*PI()*(s_0+9*s_r+IF(circ_int,eq_c1/2,0)))/INDEX(lk_legs,10))&lt;(2*IF(circ_int,0,eq_c2/2)),IF(circ_int,0,eq_c1/2)+(s_0+9*s_r+IF(circ_int,eq_c1/2,0)),IF(((4+0.5)*(4*IF(circ_int,0,eq_c1/2)+4*IF(circ_int,0,eq_c2/2)+2*PI()*(s_0+9*s_r+IF(circ_int,eq_c1/2,0)))/INDEX(lk_legs,10))&lt;((2*IF(circ_int,0,eq_c2/2))+(PI()*(s_0+9*s_r+IF(circ_int,eq_c1/2,0))/2)),IF(circ_int,0,eq_c1/2)+(s_0+9*s_r+IF(circ_int,eq_c1/2,0))*COS((((4+0.5)*(4*IF(circ_int,0,eq_c1/2)+4*IF(circ_int,0,eq_c2/2)+2*PI()*(s_0+9*s_r+IF(circ_int,eq_c1/2,0)))/INDEX(lk_legs,10))-(2*IF(circ_int,0,eq_c2/2)))/(s_0+9*s_r+IF(circ_int,eq_c1/2,0))),IF(((4+0.5)*(4*IF(circ_int,0,eq_c1/2)+4*IF(circ_int,0,eq_c2/2)+2*PI()*(s_0+9*s_r+IF(circ_int,eq_c1/2,0)))/INDEX(lk_legs,10))&lt;(((2*IF(circ_int,0,eq_c2/2))+(PI()*(s_0+9*s_r+IF(circ_int,eq_c1/2,0))/2))+2*IF(circ_int,0,eq_c1/2)),IF(circ_int,0,eq_c1/2)-(((4+0.5)*(4*IF(circ_int,0,eq_c1/2)+4*IF(circ_int,0,eq_c2/2)+2*PI()*(s_0+9*s_r+IF(circ_int,eq_c1/2,0)))/INDEX(lk_legs,10))-((2*IF(circ_int,0,eq_c2/2))+(PI()*(s_0+9*s_r+IF(circ_int,eq_c1/2,0))/2))),IF(((4+0.5)*(4*IF(circ_int,0,eq_c1/2)+4*IF(circ_int,0,eq_c2/2)+2*PI()*(s_0+9*s_r+IF(circ_int,eq_c1/2,0)))/INDEX(lk_legs,10))&lt;((((2*IF(circ_int,0,eq_c2/2))+(PI()*(s_0+9*s_r+IF(circ_int,eq_c1/2,0))/2))+2*IF(circ_int,0,eq_c1/2))+(PI()*(s_0+9*s_r+IF(circ_int,eq_c1/2,0))/2)),-IF(circ_int,0,eq_c1/2)+(s_0+9*s_r+IF(circ_int,eq_c1/2,0))*COS(PI()/2+(((4+0.5)*(4*IF(circ_int,0,eq_c1/2)+4*IF(circ_int,0,eq_c2/2)+2*PI()*(s_0+9*s_r+IF(circ_int,eq_c1/2,0)))/INDEX(lk_legs,10))-(((2*IF(circ_int,0,eq_c2/2))+(PI()*(s_0+9*s_r+IF(circ_int,eq_c1/2,0))/2))+2*IF(circ_int,0,eq_c1/2)))/(s_0+9*s_r+IF(circ_int,eq_c1/2,0))),IF(((4+0.5)*(4*IF(circ_int,0,eq_c1/2)+4*IF(circ_int,0,eq_c2/2)+2*PI()*(s_0+9*s_r+IF(circ_int,eq_c1/2,0)))/INDEX(lk_legs,10))&lt;(((((2*IF(circ_int,0,eq_c2/2))+(PI()*(s_0+9*s_r+IF(circ_int,eq_c1/2,0))/2))+2*IF(circ_int,0,eq_c1/2))+(PI()*(s_0+9*s_r+IF(circ_int,eq_c1/2,0))/2))+2*IF(circ_int,0,eq_c2/2)),-IF(circ_int,0,eq_c1/2)-(s_0+9*s_r+IF(circ_int,eq_c1/2,0)),IF(((4+0.5)*(4*IF(circ_int,0,eq_c1/2)+4*IF(circ_int,0,eq_c2/2)+2*PI()*(s_0+9*s_r+IF(circ_int,eq_c1/2,0)))/INDEX(lk_legs,10))&lt;((((((2*IF(circ_int,0,eq_c2/2))+(PI()*(s_0+9*s_r+IF(circ_int,eq_c1/2,0))/2))+2*IF(circ_int,0,eq_c1/2))+(PI()*(s_0+9*s_r+IF(circ_int,eq_c1/2,0))/2))+2*IF(circ_int,0,eq_c2/2))+(PI()*(s_0+9*s_r+IF(circ_int,eq_c1/2,0))/2)),-IF(circ_int,0,eq_c1/2)+(s_0+9*s_r+IF(circ_int,eq_c1/2,0))*COS(PI()+(((4+0.5)*(4*IF(circ_int,0,eq_c1/2)+4*IF(circ_int,0,eq_c2/2)+2*PI()*(s_0+9*s_r+IF(circ_int,eq_c1/2,0)))/INDEX(lk_legs,10))-(((((2*IF(circ_int,0,eq_c2/2))+(PI()*(s_0+9*s_r+IF(circ_int,eq_c1/2,0))/2))+2*IF(circ_int,0,eq_c1/2))+(PI()*(s_0+9*s_r+IF(circ_int,eq_c1/2,0))/2))+2*IF(circ_int,0,eq_c2/2)))/(s_0+9*s_r+IF(circ_int,eq_c1/2,0))),IF(((4+0.5)*(4*IF(circ_int,0,eq_c1/2)+4*IF(circ_int,0,eq_c2/2)+2*PI()*(s_0+9*s_r+IF(circ_int,eq_c1/2,0)))/INDEX(lk_legs,10))&lt;(((((((2*IF(circ_int,0,eq_c2/2))+(PI()*(s_0+9*s_r+IF(circ_int,eq_c1/2,0))/2))+2*IF(circ_int,0,eq_c1/2))+(PI()*(s_0+9*s_r+IF(circ_int,eq_c1/2,0))/2))+2*IF(circ_int,0,eq_c2/2))+(PI()*(s_0+9*s_r+IF(circ_int,eq_c1/2,0))/2))+2*IF(circ_int,0,eq_c1/2)),-IF(circ_int,0,eq_c1/2)+(((4+0.5)*(4*IF(circ_int,0,eq_c1/2)+4*IF(circ_int,0,eq_c2/2)+2*PI()*(s_0+9*s_r+IF(circ_int,eq_c1/2,0)))/INDEX(lk_legs,10))-((((((2*IF(circ_int,0,eq_c2/2))+(PI()*(s_0+9*s_r+IF(circ_int,eq_c1/2,0))/2))+2*IF(circ_int,0,eq_c1/2))+(PI()*(s_0+9*s_r+IF(circ_int,eq_c1/2,0))/2))+2*IF(circ_int,0,eq_c2/2))+(PI()*(s_0+9*s_r+IF(circ_int,eq_c1/2,0))/2))),IF(circ_int,0,eq_c1/2)+(s_0+9*s_r+IF(circ_int,eq_c1/2,0))*COS(3*PI()/2+(((4+0.5)*(4*IF(circ_int,0,eq_c1/2)+4*IF(circ_int,0,eq_c2/2)+2*PI()*(s_0+9*s_r+IF(circ_int,eq_c1/2,0)))/INDEX(lk_legs,10))-(((((((2*IF(circ_int,0,eq_c2/2))+(PI()*(s_0+9*s_r+IF(circ_int,eq_c1/2,0))/2))+2*IF(circ_int,0,eq_c1/2))+(PI()*(s_0+9*s_r+IF(circ_int,eq_c1/2,0))/2))+2*IF(circ_int,0,eq_c2/2))+(PI()*(s_0+9*s_r+IF(circ_int,eq_c1/2,0))/2))+2*IF(circ_int,0,eq_c1/2)))/(s_0+9*s_r+IF(circ_int,eq_c1/2,0)))))))))),NA())</f>
        <v/>
      </c>
      <c r="DC7">
        <f>IF(AND(AND(links_on,10&lt;=n_per),INDEX(lk_kind,10)=1,4&lt;INDEX(lk_legs,10)),g_oy+IF(((4+0.5)*(4*IF(circ_int,0,eq_c1/2)+4*IF(circ_int,0,eq_c2/2)+2*PI()*(s_0+9*s_r+IF(circ_int,eq_c1/2,0)))/INDEX(lk_legs,10))&lt;(2*IF(circ_int,0,eq_c2/2)),-IF(circ_int,0,eq_c2/2)+((4+0.5)*(4*IF(circ_int,0,eq_c1/2)+4*IF(circ_int,0,eq_c2/2)+2*PI()*(s_0+9*s_r+IF(circ_int,eq_c1/2,0)))/INDEX(lk_legs,10)),IF(((4+0.5)*(4*IF(circ_int,0,eq_c1/2)+4*IF(circ_int,0,eq_c2/2)+2*PI()*(s_0+9*s_r+IF(circ_int,eq_c1/2,0)))/INDEX(lk_legs,10))&lt;((2*IF(circ_int,0,eq_c2/2))+(PI()*(s_0+9*s_r+IF(circ_int,eq_c1/2,0))/2)),IF(circ_int,0,eq_c2/2)+(s_0+9*s_r+IF(circ_int,eq_c1/2,0))*SIN((((4+0.5)*(4*IF(circ_int,0,eq_c1/2)+4*IF(circ_int,0,eq_c2/2)+2*PI()*(s_0+9*s_r+IF(circ_int,eq_c1/2,0)))/INDEX(lk_legs,10))-(2*IF(circ_int,0,eq_c2/2)))/(s_0+9*s_r+IF(circ_int,eq_c1/2,0))),IF(((4+0.5)*(4*IF(circ_int,0,eq_c1/2)+4*IF(circ_int,0,eq_c2/2)+2*PI()*(s_0+9*s_r+IF(circ_int,eq_c1/2,0)))/INDEX(lk_legs,10))&lt;(((2*IF(circ_int,0,eq_c2/2))+(PI()*(s_0+9*s_r+IF(circ_int,eq_c1/2,0))/2))+2*IF(circ_int,0,eq_c1/2)),IF(circ_int,0,eq_c2/2)+(s_0+9*s_r+IF(circ_int,eq_c1/2,0)),IF(((4+0.5)*(4*IF(circ_int,0,eq_c1/2)+4*IF(circ_int,0,eq_c2/2)+2*PI()*(s_0+9*s_r+IF(circ_int,eq_c1/2,0)))/INDEX(lk_legs,10))&lt;((((2*IF(circ_int,0,eq_c2/2))+(PI()*(s_0+9*s_r+IF(circ_int,eq_c1/2,0))/2))+2*IF(circ_int,0,eq_c1/2))+(PI()*(s_0+9*s_r+IF(circ_int,eq_c1/2,0))/2)),IF(circ_int,0,eq_c2/2)+(s_0+9*s_r+IF(circ_int,eq_c1/2,0))*SIN(PI()/2+(((4+0.5)*(4*IF(circ_int,0,eq_c1/2)+4*IF(circ_int,0,eq_c2/2)+2*PI()*(s_0+9*s_r+IF(circ_int,eq_c1/2,0)))/INDEX(lk_legs,10))-(((2*IF(circ_int,0,eq_c2/2))+(PI()*(s_0+9*s_r+IF(circ_int,eq_c1/2,0))/2))+2*IF(circ_int,0,eq_c1/2)))/(s_0+9*s_r+IF(circ_int,eq_c1/2,0))),IF(((4+0.5)*(4*IF(circ_int,0,eq_c1/2)+4*IF(circ_int,0,eq_c2/2)+2*PI()*(s_0+9*s_r+IF(circ_int,eq_c1/2,0)))/INDEX(lk_legs,10))&lt;(((((2*IF(circ_int,0,eq_c2/2))+(PI()*(s_0+9*s_r+IF(circ_int,eq_c1/2,0))/2))+2*IF(circ_int,0,eq_c1/2))+(PI()*(s_0+9*s_r+IF(circ_int,eq_c1/2,0))/2))+2*IF(circ_int,0,eq_c2/2)),IF(circ_int,0,eq_c2/2)-(((4+0.5)*(4*IF(circ_int,0,eq_c1/2)+4*IF(circ_int,0,eq_c2/2)+2*PI()*(s_0+9*s_r+IF(circ_int,eq_c1/2,0)))/INDEX(lk_legs,10))-((((2*IF(circ_int,0,eq_c2/2))+(PI()*(s_0+9*s_r+IF(circ_int,eq_c1/2,0))/2))+2*IF(circ_int,0,eq_c1/2))+(PI()*(s_0+9*s_r+IF(circ_int,eq_c1/2,0))/2))),IF(((4+0.5)*(4*IF(circ_int,0,eq_c1/2)+4*IF(circ_int,0,eq_c2/2)+2*PI()*(s_0+9*s_r+IF(circ_int,eq_c1/2,0)))/INDEX(lk_legs,10))&lt;((((((2*IF(circ_int,0,eq_c2/2))+(PI()*(s_0+9*s_r+IF(circ_int,eq_c1/2,0))/2))+2*IF(circ_int,0,eq_c1/2))+(PI()*(s_0+9*s_r+IF(circ_int,eq_c1/2,0))/2))+2*IF(circ_int,0,eq_c2/2))+(PI()*(s_0+9*s_r+IF(circ_int,eq_c1/2,0))/2)),-IF(circ_int,0,eq_c2/2)+(s_0+9*s_r+IF(circ_int,eq_c1/2,0))*SIN(PI()+(((4+0.5)*(4*IF(circ_int,0,eq_c1/2)+4*IF(circ_int,0,eq_c2/2)+2*PI()*(s_0+9*s_r+IF(circ_int,eq_c1/2,0)))/INDEX(lk_legs,10))-(((((2*IF(circ_int,0,eq_c2/2))+(PI()*(s_0+9*s_r+IF(circ_int,eq_c1/2,0))/2))+2*IF(circ_int,0,eq_c1/2))+(PI()*(s_0+9*s_r+IF(circ_int,eq_c1/2,0))/2))+2*IF(circ_int,0,eq_c2/2)))/(s_0+9*s_r+IF(circ_int,eq_c1/2,0))),IF(((4+0.5)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(4+0.5)*(4*IF(circ_int,0,eq_c1/2)+4*IF(circ_int,0,eq_c2/2)+2*PI()*(s_0+9*s_r+IF(circ_int,eq_c1/2,0)))/INDEX(lk_legs,10))-(((((((2*IF(circ_int,0,eq_c2/2))+(PI()*(s_0+9*s_r+IF(circ_int,eq_c1/2,0))/2))+2*IF(circ_int,0,eq_c1/2))+(PI()*(s_0+9*s_r+IF(circ_int,eq_c1/2,0))/2))+2*IF(circ_int,0,eq_c2/2))+(PI()*(s_0+9*s_r+IF(circ_int,eq_c1/2,0))/2))+2*IF(circ_int,0,eq_c1/2)))/(s_0+9*s_r+IF(circ_int,eq_c1/2,0)))))))))),NA())</f>
        <v/>
      </c>
      <c r="DE7">
        <f>IF(AND(links_on,11&lt;=n_per),IF(circ_int,(g_ox)+(c_1/2+(s_0+10*s_r))*0.885456,CHOOSE(INDEX(lk_kind,11),(g_ox+eq_c1/2)+((s_0+10*s_r))*0.866025,(eq_a1+eq_c1)+((s_0+10*s_r))*0.382683,(eq_a1+eq_c1)+((s_0+10*s_r))*0.382683,(eq_a1)+((s_0+10*s_r))*-0.923880)),NA())</f>
        <v/>
      </c>
      <c r="DF7">
        <f>IF(AND(links_on,11&lt;=n_per),IF(circ_int,(g_oy)+(c_1/2+(s_0+10*s_r))*0.464723,CHOOSE(INDEX(lk_kind,11),(g_oy+eq_c2/2)+((s_0+10*s_r))*0.500000,(g_oy+eq_c2/2)+((s_0+10*s_r))*0.923880,(eq_a2+eq_c2)+((s_0+10*s_r))*0.923880,(eq_a2+eq_c2)+((s_0+10*s_r))*0.382683)),NA())</f>
        <v/>
      </c>
      <c r="DH7">
        <f>IF(AND(AND(links_on,11&lt;=n_per),INDEX(lk_kind,11)=1,4&lt;INDEX(lk_legs,11)),g_ox+IF(((4+0.5)*(4*IF(circ_int,0,eq_c1/2)+4*IF(circ_int,0,eq_c2/2)+2*PI()*(s_0+10*s_r+IF(circ_int,eq_c1/2,0)))/INDEX(lk_legs,11))&lt;(2*IF(circ_int,0,eq_c2/2)),IF(circ_int,0,eq_c1/2)+(s_0+10*s_r+IF(circ_int,eq_c1/2,0)),IF(((4+0.5)*(4*IF(circ_int,0,eq_c1/2)+4*IF(circ_int,0,eq_c2/2)+2*PI()*(s_0+10*s_r+IF(circ_int,eq_c1/2,0)))/INDEX(lk_legs,11))&lt;((2*IF(circ_int,0,eq_c2/2))+(PI()*(s_0+10*s_r+IF(circ_int,eq_c1/2,0))/2)),IF(circ_int,0,eq_c1/2)+(s_0+10*s_r+IF(circ_int,eq_c1/2,0))*COS((((4+0.5)*(4*IF(circ_int,0,eq_c1/2)+4*IF(circ_int,0,eq_c2/2)+2*PI()*(s_0+10*s_r+IF(circ_int,eq_c1/2,0)))/INDEX(lk_legs,11))-(2*IF(circ_int,0,eq_c2/2)))/(s_0+10*s_r+IF(circ_int,eq_c1/2,0))),IF(((4+0.5)*(4*IF(circ_int,0,eq_c1/2)+4*IF(circ_int,0,eq_c2/2)+2*PI()*(s_0+10*s_r+IF(circ_int,eq_c1/2,0)))/INDEX(lk_legs,11))&lt;(((2*IF(circ_int,0,eq_c2/2))+(PI()*(s_0+10*s_r+IF(circ_int,eq_c1/2,0))/2))+2*IF(circ_int,0,eq_c1/2)),IF(circ_int,0,eq_c1/2)-(((4+0.5)*(4*IF(circ_int,0,eq_c1/2)+4*IF(circ_int,0,eq_c2/2)+2*PI()*(s_0+10*s_r+IF(circ_int,eq_c1/2,0)))/INDEX(lk_legs,11))-((2*IF(circ_int,0,eq_c2/2))+(PI()*(s_0+10*s_r+IF(circ_int,eq_c1/2,0))/2))),IF(((4+0.5)*(4*IF(circ_int,0,eq_c1/2)+4*IF(circ_int,0,eq_c2/2)+2*PI()*(s_0+10*s_r+IF(circ_int,eq_c1/2,0)))/INDEX(lk_legs,11))&lt;((((2*IF(circ_int,0,eq_c2/2))+(PI()*(s_0+10*s_r+IF(circ_int,eq_c1/2,0))/2))+2*IF(circ_int,0,eq_c1/2))+(PI()*(s_0+10*s_r+IF(circ_int,eq_c1/2,0))/2)),-IF(circ_int,0,eq_c1/2)+(s_0+10*s_r+IF(circ_int,eq_c1/2,0))*COS(PI()/2+(((4+0.5)*(4*IF(circ_int,0,eq_c1/2)+4*IF(circ_int,0,eq_c2/2)+2*PI()*(s_0+10*s_r+IF(circ_int,eq_c1/2,0)))/INDEX(lk_legs,11))-(((2*IF(circ_int,0,eq_c2/2))+(PI()*(s_0+10*s_r+IF(circ_int,eq_c1/2,0))/2))+2*IF(circ_int,0,eq_c1/2)))/(s_0+10*s_r+IF(circ_int,eq_c1/2,0))),IF(((4+0.5)*(4*IF(circ_int,0,eq_c1/2)+4*IF(circ_int,0,eq_c2/2)+2*PI()*(s_0+10*s_r+IF(circ_int,eq_c1/2,0)))/INDEX(lk_legs,11))&lt;(((((2*IF(circ_int,0,eq_c2/2))+(PI()*(s_0+10*s_r+IF(circ_int,eq_c1/2,0))/2))+2*IF(circ_int,0,eq_c1/2))+(PI()*(s_0+10*s_r+IF(circ_int,eq_c1/2,0))/2))+2*IF(circ_int,0,eq_c2/2)),-IF(circ_int,0,eq_c1/2)-(s_0+10*s_r+IF(circ_int,eq_c1/2,0)),IF(((4+0.5)*(4*IF(circ_int,0,eq_c1/2)+4*IF(circ_int,0,eq_c2/2)+2*PI()*(s_0+10*s_r+IF(circ_int,eq_c1/2,0)))/INDEX(lk_legs,11))&lt;((((((2*IF(circ_int,0,eq_c2/2))+(PI()*(s_0+10*s_r+IF(circ_int,eq_c1/2,0))/2))+2*IF(circ_int,0,eq_c1/2))+(PI()*(s_0+10*s_r+IF(circ_int,eq_c1/2,0))/2))+2*IF(circ_int,0,eq_c2/2))+(PI()*(s_0+10*s_r+IF(circ_int,eq_c1/2,0))/2)),-IF(circ_int,0,eq_c1/2)+(s_0+10*s_r+IF(circ_int,eq_c1/2,0))*COS(PI()+(((4+0.5)*(4*IF(circ_int,0,eq_c1/2)+4*IF(circ_int,0,eq_c2/2)+2*PI()*(s_0+10*s_r+IF(circ_int,eq_c1/2,0)))/INDEX(lk_legs,11))-(((((2*IF(circ_int,0,eq_c2/2))+(PI()*(s_0+10*s_r+IF(circ_int,eq_c1/2,0))/2))+2*IF(circ_int,0,eq_c1/2))+(PI()*(s_0+10*s_r+IF(circ_int,eq_c1/2,0))/2))+2*IF(circ_int,0,eq_c2/2)))/(s_0+10*s_r+IF(circ_int,eq_c1/2,0))),IF(((4+0.5)*(4*IF(circ_int,0,eq_c1/2)+4*IF(circ_int,0,eq_c2/2)+2*PI()*(s_0+10*s_r+IF(circ_int,eq_c1/2,0)))/INDEX(lk_legs,11))&lt;(((((((2*IF(circ_int,0,eq_c2/2))+(PI()*(s_0+10*s_r+IF(circ_int,eq_c1/2,0))/2))+2*IF(circ_int,0,eq_c1/2))+(PI()*(s_0+10*s_r+IF(circ_int,eq_c1/2,0))/2))+2*IF(circ_int,0,eq_c2/2))+(PI()*(s_0+10*s_r+IF(circ_int,eq_c1/2,0))/2))+2*IF(circ_int,0,eq_c1/2)),-IF(circ_int,0,eq_c1/2)+(((4+0.5)*(4*IF(circ_int,0,eq_c1/2)+4*IF(circ_int,0,eq_c2/2)+2*PI()*(s_0+10*s_r+IF(circ_int,eq_c1/2,0)))/INDEX(lk_legs,11))-((((((2*IF(circ_int,0,eq_c2/2))+(PI()*(s_0+10*s_r+IF(circ_int,eq_c1/2,0))/2))+2*IF(circ_int,0,eq_c1/2))+(PI()*(s_0+10*s_r+IF(circ_int,eq_c1/2,0))/2))+2*IF(circ_int,0,eq_c2/2))+(PI()*(s_0+10*s_r+IF(circ_int,eq_c1/2,0))/2))),IF(circ_int,0,eq_c1/2)+(s_0+10*s_r+IF(circ_int,eq_c1/2,0))*COS(3*PI()/2+(((4+0.5)*(4*IF(circ_int,0,eq_c1/2)+4*IF(circ_int,0,eq_c2/2)+2*PI()*(s_0+10*s_r+IF(circ_int,eq_c1/2,0)))/INDEX(lk_legs,11))-(((((((2*IF(circ_int,0,eq_c2/2))+(PI()*(s_0+10*s_r+IF(circ_int,eq_c1/2,0))/2))+2*IF(circ_int,0,eq_c1/2))+(PI()*(s_0+10*s_r+IF(circ_int,eq_c1/2,0))/2))+2*IF(circ_int,0,eq_c2/2))+(PI()*(s_0+10*s_r+IF(circ_int,eq_c1/2,0))/2))+2*IF(circ_int,0,eq_c1/2)))/(s_0+10*s_r+IF(circ_int,eq_c1/2,0)))))))))),NA())</f>
        <v/>
      </c>
      <c r="DI7">
        <f>IF(AND(AND(links_on,11&lt;=n_per),INDEX(lk_kind,11)=1,4&lt;INDEX(lk_legs,11)),g_oy+IF(((4+0.5)*(4*IF(circ_int,0,eq_c1/2)+4*IF(circ_int,0,eq_c2/2)+2*PI()*(s_0+10*s_r+IF(circ_int,eq_c1/2,0)))/INDEX(lk_legs,11))&lt;(2*IF(circ_int,0,eq_c2/2)),-IF(circ_int,0,eq_c2/2)+((4+0.5)*(4*IF(circ_int,0,eq_c1/2)+4*IF(circ_int,0,eq_c2/2)+2*PI()*(s_0+10*s_r+IF(circ_int,eq_c1/2,0)))/INDEX(lk_legs,11)),IF(((4+0.5)*(4*IF(circ_int,0,eq_c1/2)+4*IF(circ_int,0,eq_c2/2)+2*PI()*(s_0+10*s_r+IF(circ_int,eq_c1/2,0)))/INDEX(lk_legs,11))&lt;((2*IF(circ_int,0,eq_c2/2))+(PI()*(s_0+10*s_r+IF(circ_int,eq_c1/2,0))/2)),IF(circ_int,0,eq_c2/2)+(s_0+10*s_r+IF(circ_int,eq_c1/2,0))*SIN((((4+0.5)*(4*IF(circ_int,0,eq_c1/2)+4*IF(circ_int,0,eq_c2/2)+2*PI()*(s_0+10*s_r+IF(circ_int,eq_c1/2,0)))/INDEX(lk_legs,11))-(2*IF(circ_int,0,eq_c2/2)))/(s_0+10*s_r+IF(circ_int,eq_c1/2,0))),IF(((4+0.5)*(4*IF(circ_int,0,eq_c1/2)+4*IF(circ_int,0,eq_c2/2)+2*PI()*(s_0+10*s_r+IF(circ_int,eq_c1/2,0)))/INDEX(lk_legs,11))&lt;(((2*IF(circ_int,0,eq_c2/2))+(PI()*(s_0+10*s_r+IF(circ_int,eq_c1/2,0))/2))+2*IF(circ_int,0,eq_c1/2)),IF(circ_int,0,eq_c2/2)+(s_0+10*s_r+IF(circ_int,eq_c1/2,0)),IF(((4+0.5)*(4*IF(circ_int,0,eq_c1/2)+4*IF(circ_int,0,eq_c2/2)+2*PI()*(s_0+10*s_r+IF(circ_int,eq_c1/2,0)))/INDEX(lk_legs,11))&lt;((((2*IF(circ_int,0,eq_c2/2))+(PI()*(s_0+10*s_r+IF(circ_int,eq_c1/2,0))/2))+2*IF(circ_int,0,eq_c1/2))+(PI()*(s_0+10*s_r+IF(circ_int,eq_c1/2,0))/2)),IF(circ_int,0,eq_c2/2)+(s_0+10*s_r+IF(circ_int,eq_c1/2,0))*SIN(PI()/2+(((4+0.5)*(4*IF(circ_int,0,eq_c1/2)+4*IF(circ_int,0,eq_c2/2)+2*PI()*(s_0+10*s_r+IF(circ_int,eq_c1/2,0)))/INDEX(lk_legs,11))-(((2*IF(circ_int,0,eq_c2/2))+(PI()*(s_0+10*s_r+IF(circ_int,eq_c1/2,0))/2))+2*IF(circ_int,0,eq_c1/2)))/(s_0+10*s_r+IF(circ_int,eq_c1/2,0))),IF(((4+0.5)*(4*IF(circ_int,0,eq_c1/2)+4*IF(circ_int,0,eq_c2/2)+2*PI()*(s_0+10*s_r+IF(circ_int,eq_c1/2,0)))/INDEX(lk_legs,11))&lt;(((((2*IF(circ_int,0,eq_c2/2))+(PI()*(s_0+10*s_r+IF(circ_int,eq_c1/2,0))/2))+2*IF(circ_int,0,eq_c1/2))+(PI()*(s_0+10*s_r+IF(circ_int,eq_c1/2,0))/2))+2*IF(circ_int,0,eq_c2/2)),IF(circ_int,0,eq_c2/2)-(((4+0.5)*(4*IF(circ_int,0,eq_c1/2)+4*IF(circ_int,0,eq_c2/2)+2*PI()*(s_0+10*s_r+IF(circ_int,eq_c1/2,0)))/INDEX(lk_legs,11))-((((2*IF(circ_int,0,eq_c2/2))+(PI()*(s_0+10*s_r+IF(circ_int,eq_c1/2,0))/2))+2*IF(circ_int,0,eq_c1/2))+(PI()*(s_0+10*s_r+IF(circ_int,eq_c1/2,0))/2))),IF(((4+0.5)*(4*IF(circ_int,0,eq_c1/2)+4*IF(circ_int,0,eq_c2/2)+2*PI()*(s_0+10*s_r+IF(circ_int,eq_c1/2,0)))/INDEX(lk_legs,11))&lt;((((((2*IF(circ_int,0,eq_c2/2))+(PI()*(s_0+10*s_r+IF(circ_int,eq_c1/2,0))/2))+2*IF(circ_int,0,eq_c1/2))+(PI()*(s_0+10*s_r+IF(circ_int,eq_c1/2,0))/2))+2*IF(circ_int,0,eq_c2/2))+(PI()*(s_0+10*s_r+IF(circ_int,eq_c1/2,0))/2)),-IF(circ_int,0,eq_c2/2)+(s_0+10*s_r+IF(circ_int,eq_c1/2,0))*SIN(PI()+(((4+0.5)*(4*IF(circ_int,0,eq_c1/2)+4*IF(circ_int,0,eq_c2/2)+2*PI()*(s_0+10*s_r+IF(circ_int,eq_c1/2,0)))/INDEX(lk_legs,11))-(((((2*IF(circ_int,0,eq_c2/2))+(PI()*(s_0+10*s_r+IF(circ_int,eq_c1/2,0))/2))+2*IF(circ_int,0,eq_c1/2))+(PI()*(s_0+10*s_r+IF(circ_int,eq_c1/2,0))/2))+2*IF(circ_int,0,eq_c2/2)))/(s_0+10*s_r+IF(circ_int,eq_c1/2,0))),IF(((4+0.5)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(4+0.5)*(4*IF(circ_int,0,eq_c1/2)+4*IF(circ_int,0,eq_c2/2)+2*PI()*(s_0+10*s_r+IF(circ_int,eq_c1/2,0)))/INDEX(lk_legs,11))-(((((((2*IF(circ_int,0,eq_c2/2))+(PI()*(s_0+10*s_r+IF(circ_int,eq_c1/2,0))/2))+2*IF(circ_int,0,eq_c1/2))+(PI()*(s_0+10*s_r+IF(circ_int,eq_c1/2,0))/2))+2*IF(circ_int,0,eq_c2/2))+(PI()*(s_0+10*s_r+IF(circ_int,eq_c1/2,0))/2))+2*IF(circ_int,0,eq_c1/2)))/(s_0+10*s_r+IF(circ_int,eq_c1/2,0)))))))))),NA())</f>
        <v/>
      </c>
      <c r="DK7">
        <f>IF(AND(links_on,12&lt;=n_per),IF(circ_int,(g_ox)+(c_1/2+(s_0+11*s_r))*0.885456,CHOOSE(INDEX(lk_kind,12),(g_ox+eq_c1/2)+((s_0+11*s_r))*0.866025,(eq_a1+eq_c1)+((s_0+11*s_r))*0.382683,(eq_a1+eq_c1)+((s_0+11*s_r))*0.382683,(eq_a1)+((s_0+11*s_r))*-0.923880)),NA())</f>
        <v/>
      </c>
      <c r="DL7">
        <f>IF(AND(links_on,12&lt;=n_per),IF(circ_int,(g_oy)+(c_1/2+(s_0+11*s_r))*0.464723,CHOOSE(INDEX(lk_kind,12),(g_oy+eq_c2/2)+((s_0+11*s_r))*0.500000,(g_oy+eq_c2/2)+((s_0+11*s_r))*0.923880,(eq_a2+eq_c2)+((s_0+11*s_r))*0.923880,(eq_a2+eq_c2)+((s_0+11*s_r))*0.382683)),NA())</f>
        <v/>
      </c>
      <c r="DN7">
        <f>IF(AND(AND(links_on,12&lt;=n_per),INDEX(lk_kind,12)=1,4&lt;INDEX(lk_legs,12)),g_ox+IF(((4+0.5)*(4*IF(circ_int,0,eq_c1/2)+4*IF(circ_int,0,eq_c2/2)+2*PI()*(s_0+11*s_r+IF(circ_int,eq_c1/2,0)))/INDEX(lk_legs,12))&lt;(2*IF(circ_int,0,eq_c2/2)),IF(circ_int,0,eq_c1/2)+(s_0+11*s_r+IF(circ_int,eq_c1/2,0)),IF(((4+0.5)*(4*IF(circ_int,0,eq_c1/2)+4*IF(circ_int,0,eq_c2/2)+2*PI()*(s_0+11*s_r+IF(circ_int,eq_c1/2,0)))/INDEX(lk_legs,12))&lt;((2*IF(circ_int,0,eq_c2/2))+(PI()*(s_0+11*s_r+IF(circ_int,eq_c1/2,0))/2)),IF(circ_int,0,eq_c1/2)+(s_0+11*s_r+IF(circ_int,eq_c1/2,0))*COS((((4+0.5)*(4*IF(circ_int,0,eq_c1/2)+4*IF(circ_int,0,eq_c2/2)+2*PI()*(s_0+11*s_r+IF(circ_int,eq_c1/2,0)))/INDEX(lk_legs,12))-(2*IF(circ_int,0,eq_c2/2)))/(s_0+11*s_r+IF(circ_int,eq_c1/2,0))),IF(((4+0.5)*(4*IF(circ_int,0,eq_c1/2)+4*IF(circ_int,0,eq_c2/2)+2*PI()*(s_0+11*s_r+IF(circ_int,eq_c1/2,0)))/INDEX(lk_legs,12))&lt;(((2*IF(circ_int,0,eq_c2/2))+(PI()*(s_0+11*s_r+IF(circ_int,eq_c1/2,0))/2))+2*IF(circ_int,0,eq_c1/2)),IF(circ_int,0,eq_c1/2)-(((4+0.5)*(4*IF(circ_int,0,eq_c1/2)+4*IF(circ_int,0,eq_c2/2)+2*PI()*(s_0+11*s_r+IF(circ_int,eq_c1/2,0)))/INDEX(lk_legs,12))-((2*IF(circ_int,0,eq_c2/2))+(PI()*(s_0+11*s_r+IF(circ_int,eq_c1/2,0))/2))),IF(((4+0.5)*(4*IF(circ_int,0,eq_c1/2)+4*IF(circ_int,0,eq_c2/2)+2*PI()*(s_0+11*s_r+IF(circ_int,eq_c1/2,0)))/INDEX(lk_legs,12))&lt;((((2*IF(circ_int,0,eq_c2/2))+(PI()*(s_0+11*s_r+IF(circ_int,eq_c1/2,0))/2))+2*IF(circ_int,0,eq_c1/2))+(PI()*(s_0+11*s_r+IF(circ_int,eq_c1/2,0))/2)),-IF(circ_int,0,eq_c1/2)+(s_0+11*s_r+IF(circ_int,eq_c1/2,0))*COS(PI()/2+(((4+0.5)*(4*IF(circ_int,0,eq_c1/2)+4*IF(circ_int,0,eq_c2/2)+2*PI()*(s_0+11*s_r+IF(circ_int,eq_c1/2,0)))/INDEX(lk_legs,12))-(((2*IF(circ_int,0,eq_c2/2))+(PI()*(s_0+11*s_r+IF(circ_int,eq_c1/2,0))/2))+2*IF(circ_int,0,eq_c1/2)))/(s_0+11*s_r+IF(circ_int,eq_c1/2,0))),IF(((4+0.5)*(4*IF(circ_int,0,eq_c1/2)+4*IF(circ_int,0,eq_c2/2)+2*PI()*(s_0+11*s_r+IF(circ_int,eq_c1/2,0)))/INDEX(lk_legs,12))&lt;(((((2*IF(circ_int,0,eq_c2/2))+(PI()*(s_0+11*s_r+IF(circ_int,eq_c1/2,0))/2))+2*IF(circ_int,0,eq_c1/2))+(PI()*(s_0+11*s_r+IF(circ_int,eq_c1/2,0))/2))+2*IF(circ_int,0,eq_c2/2)),-IF(circ_int,0,eq_c1/2)-(s_0+11*s_r+IF(circ_int,eq_c1/2,0)),IF(((4+0.5)*(4*IF(circ_int,0,eq_c1/2)+4*IF(circ_int,0,eq_c2/2)+2*PI()*(s_0+11*s_r+IF(circ_int,eq_c1/2,0)))/INDEX(lk_legs,12))&lt;((((((2*IF(circ_int,0,eq_c2/2))+(PI()*(s_0+11*s_r+IF(circ_int,eq_c1/2,0))/2))+2*IF(circ_int,0,eq_c1/2))+(PI()*(s_0+11*s_r+IF(circ_int,eq_c1/2,0))/2))+2*IF(circ_int,0,eq_c2/2))+(PI()*(s_0+11*s_r+IF(circ_int,eq_c1/2,0))/2)),-IF(circ_int,0,eq_c1/2)+(s_0+11*s_r+IF(circ_int,eq_c1/2,0))*COS(PI()+(((4+0.5)*(4*IF(circ_int,0,eq_c1/2)+4*IF(circ_int,0,eq_c2/2)+2*PI()*(s_0+11*s_r+IF(circ_int,eq_c1/2,0)))/INDEX(lk_legs,12))-(((((2*IF(circ_int,0,eq_c2/2))+(PI()*(s_0+11*s_r+IF(circ_int,eq_c1/2,0))/2))+2*IF(circ_int,0,eq_c1/2))+(PI()*(s_0+11*s_r+IF(circ_int,eq_c1/2,0))/2))+2*IF(circ_int,0,eq_c2/2)))/(s_0+11*s_r+IF(circ_int,eq_c1/2,0))),IF(((4+0.5)*(4*IF(circ_int,0,eq_c1/2)+4*IF(circ_int,0,eq_c2/2)+2*PI()*(s_0+11*s_r+IF(circ_int,eq_c1/2,0)))/INDEX(lk_legs,12))&lt;(((((((2*IF(circ_int,0,eq_c2/2))+(PI()*(s_0+11*s_r+IF(circ_int,eq_c1/2,0))/2))+2*IF(circ_int,0,eq_c1/2))+(PI()*(s_0+11*s_r+IF(circ_int,eq_c1/2,0))/2))+2*IF(circ_int,0,eq_c2/2))+(PI()*(s_0+11*s_r+IF(circ_int,eq_c1/2,0))/2))+2*IF(circ_int,0,eq_c1/2)),-IF(circ_int,0,eq_c1/2)+(((4+0.5)*(4*IF(circ_int,0,eq_c1/2)+4*IF(circ_int,0,eq_c2/2)+2*PI()*(s_0+11*s_r+IF(circ_int,eq_c1/2,0)))/INDEX(lk_legs,12))-((((((2*IF(circ_int,0,eq_c2/2))+(PI()*(s_0+11*s_r+IF(circ_int,eq_c1/2,0))/2))+2*IF(circ_int,0,eq_c1/2))+(PI()*(s_0+11*s_r+IF(circ_int,eq_c1/2,0))/2))+2*IF(circ_int,0,eq_c2/2))+(PI()*(s_0+11*s_r+IF(circ_int,eq_c1/2,0))/2))),IF(circ_int,0,eq_c1/2)+(s_0+11*s_r+IF(circ_int,eq_c1/2,0))*COS(3*PI()/2+(((4+0.5)*(4*IF(circ_int,0,eq_c1/2)+4*IF(circ_int,0,eq_c2/2)+2*PI()*(s_0+11*s_r+IF(circ_int,eq_c1/2,0)))/INDEX(lk_legs,12))-(((((((2*IF(circ_int,0,eq_c2/2))+(PI()*(s_0+11*s_r+IF(circ_int,eq_c1/2,0))/2))+2*IF(circ_int,0,eq_c1/2))+(PI()*(s_0+11*s_r+IF(circ_int,eq_c1/2,0))/2))+2*IF(circ_int,0,eq_c2/2))+(PI()*(s_0+11*s_r+IF(circ_int,eq_c1/2,0))/2))+2*IF(circ_int,0,eq_c1/2)))/(s_0+11*s_r+IF(circ_int,eq_c1/2,0)))))))))),NA())</f>
        <v/>
      </c>
      <c r="DO7">
        <f>IF(AND(AND(links_on,12&lt;=n_per),INDEX(lk_kind,12)=1,4&lt;INDEX(lk_legs,12)),g_oy+IF(((4+0.5)*(4*IF(circ_int,0,eq_c1/2)+4*IF(circ_int,0,eq_c2/2)+2*PI()*(s_0+11*s_r+IF(circ_int,eq_c1/2,0)))/INDEX(lk_legs,12))&lt;(2*IF(circ_int,0,eq_c2/2)),-IF(circ_int,0,eq_c2/2)+((4+0.5)*(4*IF(circ_int,0,eq_c1/2)+4*IF(circ_int,0,eq_c2/2)+2*PI()*(s_0+11*s_r+IF(circ_int,eq_c1/2,0)))/INDEX(lk_legs,12)),IF(((4+0.5)*(4*IF(circ_int,0,eq_c1/2)+4*IF(circ_int,0,eq_c2/2)+2*PI()*(s_0+11*s_r+IF(circ_int,eq_c1/2,0)))/INDEX(lk_legs,12))&lt;((2*IF(circ_int,0,eq_c2/2))+(PI()*(s_0+11*s_r+IF(circ_int,eq_c1/2,0))/2)),IF(circ_int,0,eq_c2/2)+(s_0+11*s_r+IF(circ_int,eq_c1/2,0))*SIN((((4+0.5)*(4*IF(circ_int,0,eq_c1/2)+4*IF(circ_int,0,eq_c2/2)+2*PI()*(s_0+11*s_r+IF(circ_int,eq_c1/2,0)))/INDEX(lk_legs,12))-(2*IF(circ_int,0,eq_c2/2)))/(s_0+11*s_r+IF(circ_int,eq_c1/2,0))),IF(((4+0.5)*(4*IF(circ_int,0,eq_c1/2)+4*IF(circ_int,0,eq_c2/2)+2*PI()*(s_0+11*s_r+IF(circ_int,eq_c1/2,0)))/INDEX(lk_legs,12))&lt;(((2*IF(circ_int,0,eq_c2/2))+(PI()*(s_0+11*s_r+IF(circ_int,eq_c1/2,0))/2))+2*IF(circ_int,0,eq_c1/2)),IF(circ_int,0,eq_c2/2)+(s_0+11*s_r+IF(circ_int,eq_c1/2,0)),IF(((4+0.5)*(4*IF(circ_int,0,eq_c1/2)+4*IF(circ_int,0,eq_c2/2)+2*PI()*(s_0+11*s_r+IF(circ_int,eq_c1/2,0)))/INDEX(lk_legs,12))&lt;((((2*IF(circ_int,0,eq_c2/2))+(PI()*(s_0+11*s_r+IF(circ_int,eq_c1/2,0))/2))+2*IF(circ_int,0,eq_c1/2))+(PI()*(s_0+11*s_r+IF(circ_int,eq_c1/2,0))/2)),IF(circ_int,0,eq_c2/2)+(s_0+11*s_r+IF(circ_int,eq_c1/2,0))*SIN(PI()/2+(((4+0.5)*(4*IF(circ_int,0,eq_c1/2)+4*IF(circ_int,0,eq_c2/2)+2*PI()*(s_0+11*s_r+IF(circ_int,eq_c1/2,0)))/INDEX(lk_legs,12))-(((2*IF(circ_int,0,eq_c2/2))+(PI()*(s_0+11*s_r+IF(circ_int,eq_c1/2,0))/2))+2*IF(circ_int,0,eq_c1/2)))/(s_0+11*s_r+IF(circ_int,eq_c1/2,0))),IF(((4+0.5)*(4*IF(circ_int,0,eq_c1/2)+4*IF(circ_int,0,eq_c2/2)+2*PI()*(s_0+11*s_r+IF(circ_int,eq_c1/2,0)))/INDEX(lk_legs,12))&lt;(((((2*IF(circ_int,0,eq_c2/2))+(PI()*(s_0+11*s_r+IF(circ_int,eq_c1/2,0))/2))+2*IF(circ_int,0,eq_c1/2))+(PI()*(s_0+11*s_r+IF(circ_int,eq_c1/2,0))/2))+2*IF(circ_int,0,eq_c2/2)),IF(circ_int,0,eq_c2/2)-(((4+0.5)*(4*IF(circ_int,0,eq_c1/2)+4*IF(circ_int,0,eq_c2/2)+2*PI()*(s_0+11*s_r+IF(circ_int,eq_c1/2,0)))/INDEX(lk_legs,12))-((((2*IF(circ_int,0,eq_c2/2))+(PI()*(s_0+11*s_r+IF(circ_int,eq_c1/2,0))/2))+2*IF(circ_int,0,eq_c1/2))+(PI()*(s_0+11*s_r+IF(circ_int,eq_c1/2,0))/2))),IF(((4+0.5)*(4*IF(circ_int,0,eq_c1/2)+4*IF(circ_int,0,eq_c2/2)+2*PI()*(s_0+11*s_r+IF(circ_int,eq_c1/2,0)))/INDEX(lk_legs,12))&lt;((((((2*IF(circ_int,0,eq_c2/2))+(PI()*(s_0+11*s_r+IF(circ_int,eq_c1/2,0))/2))+2*IF(circ_int,0,eq_c1/2))+(PI()*(s_0+11*s_r+IF(circ_int,eq_c1/2,0))/2))+2*IF(circ_int,0,eq_c2/2))+(PI()*(s_0+11*s_r+IF(circ_int,eq_c1/2,0))/2)),-IF(circ_int,0,eq_c2/2)+(s_0+11*s_r+IF(circ_int,eq_c1/2,0))*SIN(PI()+(((4+0.5)*(4*IF(circ_int,0,eq_c1/2)+4*IF(circ_int,0,eq_c2/2)+2*PI()*(s_0+11*s_r+IF(circ_int,eq_c1/2,0)))/INDEX(lk_legs,12))-(((((2*IF(circ_int,0,eq_c2/2))+(PI()*(s_0+11*s_r+IF(circ_int,eq_c1/2,0))/2))+2*IF(circ_int,0,eq_c1/2))+(PI()*(s_0+11*s_r+IF(circ_int,eq_c1/2,0))/2))+2*IF(circ_int,0,eq_c2/2)))/(s_0+11*s_r+IF(circ_int,eq_c1/2,0))),IF(((4+0.5)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(4+0.5)*(4*IF(circ_int,0,eq_c1/2)+4*IF(circ_int,0,eq_c2/2)+2*PI()*(s_0+11*s_r+IF(circ_int,eq_c1/2,0)))/INDEX(lk_legs,12))-(((((((2*IF(circ_int,0,eq_c2/2))+(PI()*(s_0+11*s_r+IF(circ_int,eq_c1/2,0))/2))+2*IF(circ_int,0,eq_c1/2))+(PI()*(s_0+11*s_r+IF(circ_int,eq_c1/2,0))/2))+2*IF(circ_int,0,eq_c2/2))+(PI()*(s_0+11*s_r+IF(circ_int,eq_c1/2,0))/2))+2*IF(circ_int,0,eq_c1/2)))/(s_0+11*s_r+IF(circ_int,eq_c1/2,0)))))))))),NA())</f>
        <v/>
      </c>
    </row>
    <row r="8">
      <c r="A8">
        <f>IF(shape="Circular",(g_ox)+(c_1/2+0)*0.822984,CHOOSE(1,(g_ox+eq_c1/2)+(0)*0.793353,(eq_a1+eq_c1)+(0)*0.500000,(eq_a1+eq_c1)+(0)*0.500000,(eq_a1)+(0)*-0.866025))</f>
        <v/>
      </c>
      <c r="B8">
        <f>IF(shape="Circular",(g_oy)+(c_1/2+0)*0.568065,CHOOSE(1,(g_oy+eq_c2/2)+(0)*0.608761,(g_oy+eq_c2/2)+(0)*0.866025,(eq_a2+eq_c2)+(0)*0.866025,(eq_a2+eq_c2)+(0)*0.500000))</f>
        <v/>
      </c>
      <c r="D8">
        <f>IF(circ_int,(g_ox)+(c_1/2+2*d_eff)*0.822984,CHOOSE(geo_idx,(g_ox+eq_c1/2)+(2*d_eff)*0.793353,(eq_a1+eq_c1)+(2*d_eff)*0.500000,(eq_a1+eq_c1)+(2*d_eff)*0.500000,(eq_a1)+(2*d_eff)*-0.866025))</f>
        <v/>
      </c>
      <c r="E8">
        <f>IF(circ_int,(g_oy)+(c_1/2+2*d_eff)*0.568065,CHOOSE(geo_idx,(g_oy+eq_c2/2)+(2*d_eff)*0.608761,(g_oy+eq_c2/2)+(2*d_eff)*0.866025,(eq_a2+eq_c2)+(2*d_eff)*0.866025,(eq_a2+eq_c2)+(2*d_eff)*0.500000))</f>
        <v/>
      </c>
      <c r="G8">
        <f>IF(AND(inputs_ok,punch_ok,A_sw&gt;0),IF(circ_int,(g_ox)+(c_1/2+r_out)*0.822984,CHOOSE(kind_out,(g_ox+eq_c1/2)+(r_out)*0.793353,(eq_a1+eq_c1)+(r_out)*0.500000,(eq_a1+eq_c1)+(r_out)*0.500000,(eq_a1)+(r_out)*-0.866025)),NA())</f>
        <v/>
      </c>
      <c r="H8">
        <f>IF(AND(inputs_ok,punch_ok,A_sw&gt;0),IF(circ_int,(g_oy)+(c_1/2+r_out)*0.568065,CHOOSE(kind_out,(g_oy+eq_c2/2)+(r_out)*0.608761,(g_oy+eq_c2/2)+(r_out)*0.866025,(eq_a2+eq_c2)+(r_out)*0.866025,(eq_a2+eq_c2)+(r_out)*0.500000)),NA())</f>
        <v/>
      </c>
      <c r="AW8">
        <f>IF(AND(links_on,1&lt;=n_per),IF(circ_int,(g_ox)+(c_1/2+(s_0+0*s_r))*0.822984,CHOOSE(INDEX(lk_kind,1),(g_ox+eq_c1/2)+((s_0+0*s_r))*0.793353,(eq_a1+eq_c1)+((s_0+0*s_r))*0.500000,(eq_a1+eq_c1)+((s_0+0*s_r))*0.500000,(eq_a1)+((s_0+0*s_r))*-0.866025)),NA())</f>
        <v/>
      </c>
      <c r="AX8">
        <f>IF(AND(links_on,1&lt;=n_per),IF(circ_int,(g_oy)+(c_1/2+(s_0+0*s_r))*0.568065,CHOOSE(INDEX(lk_kind,1),(g_oy+eq_c2/2)+((s_0+0*s_r))*0.608761,(g_oy+eq_c2/2)+((s_0+0*s_r))*0.866025,(eq_a2+eq_c2)+((s_0+0*s_r))*0.866025,(eq_a2+eq_c2)+((s_0+0*s_r))*0.500000)),NA())</f>
        <v/>
      </c>
      <c r="AZ8">
        <f>IF(AND(AND(links_on,1&lt;=n_per),INDEX(lk_kind,1)=1,5&lt;INDEX(lk_legs,1)),g_ox+IF(((5+0.5)*(4*IF(circ_int,0,eq_c1/2)+4*IF(circ_int,0,eq_c2/2)+2*PI()*(s_0+0*s_r+IF(circ_int,eq_c1/2,0)))/INDEX(lk_legs,1))&lt;(2*IF(circ_int,0,eq_c2/2)),IF(circ_int,0,eq_c1/2)+(s_0+0*s_r+IF(circ_int,eq_c1/2,0)),IF(((5+0.5)*(4*IF(circ_int,0,eq_c1/2)+4*IF(circ_int,0,eq_c2/2)+2*PI()*(s_0+0*s_r+IF(circ_int,eq_c1/2,0)))/INDEX(lk_legs,1))&lt;((2*IF(circ_int,0,eq_c2/2))+(PI()*(s_0+0*s_r+IF(circ_int,eq_c1/2,0))/2)),IF(circ_int,0,eq_c1/2)+(s_0+0*s_r+IF(circ_int,eq_c1/2,0))*COS((((5+0.5)*(4*IF(circ_int,0,eq_c1/2)+4*IF(circ_int,0,eq_c2/2)+2*PI()*(s_0+0*s_r+IF(circ_int,eq_c1/2,0)))/INDEX(lk_legs,1))-(2*IF(circ_int,0,eq_c2/2)))/(s_0+0*s_r+IF(circ_int,eq_c1/2,0))),IF(((5+0.5)*(4*IF(circ_int,0,eq_c1/2)+4*IF(circ_int,0,eq_c2/2)+2*PI()*(s_0+0*s_r+IF(circ_int,eq_c1/2,0)))/INDEX(lk_legs,1))&lt;(((2*IF(circ_int,0,eq_c2/2))+(PI()*(s_0+0*s_r+IF(circ_int,eq_c1/2,0))/2))+2*IF(circ_int,0,eq_c1/2)),IF(circ_int,0,eq_c1/2)-(((5+0.5)*(4*IF(circ_int,0,eq_c1/2)+4*IF(circ_int,0,eq_c2/2)+2*PI()*(s_0+0*s_r+IF(circ_int,eq_c1/2,0)))/INDEX(lk_legs,1))-((2*IF(circ_int,0,eq_c2/2))+(PI()*(s_0+0*s_r+IF(circ_int,eq_c1/2,0))/2))),IF(((5+0.5)*(4*IF(circ_int,0,eq_c1/2)+4*IF(circ_int,0,eq_c2/2)+2*PI()*(s_0+0*s_r+IF(circ_int,eq_c1/2,0)))/INDEX(lk_legs,1))&lt;((((2*IF(circ_int,0,eq_c2/2))+(PI()*(s_0+0*s_r+IF(circ_int,eq_c1/2,0))/2))+2*IF(circ_int,0,eq_c1/2))+(PI()*(s_0+0*s_r+IF(circ_int,eq_c1/2,0))/2)),-IF(circ_int,0,eq_c1/2)+(s_0+0*s_r+IF(circ_int,eq_c1/2,0))*COS(PI()/2+(((5+0.5)*(4*IF(circ_int,0,eq_c1/2)+4*IF(circ_int,0,eq_c2/2)+2*PI()*(s_0+0*s_r+IF(circ_int,eq_c1/2,0)))/INDEX(lk_legs,1))-(((2*IF(circ_int,0,eq_c2/2))+(PI()*(s_0+0*s_r+IF(circ_int,eq_c1/2,0))/2))+2*IF(circ_int,0,eq_c1/2)))/(s_0+0*s_r+IF(circ_int,eq_c1/2,0))),IF(((5+0.5)*(4*IF(circ_int,0,eq_c1/2)+4*IF(circ_int,0,eq_c2/2)+2*PI()*(s_0+0*s_r+IF(circ_int,eq_c1/2,0)))/INDEX(lk_legs,1))&lt;(((((2*IF(circ_int,0,eq_c2/2))+(PI()*(s_0+0*s_r+IF(circ_int,eq_c1/2,0))/2))+2*IF(circ_int,0,eq_c1/2))+(PI()*(s_0+0*s_r+IF(circ_int,eq_c1/2,0))/2))+2*IF(circ_int,0,eq_c2/2)),-IF(circ_int,0,eq_c1/2)-(s_0+0*s_r+IF(circ_int,eq_c1/2,0)),IF(((5+0.5)*(4*IF(circ_int,0,eq_c1/2)+4*IF(circ_int,0,eq_c2/2)+2*PI()*(s_0+0*s_r+IF(circ_int,eq_c1/2,0)))/INDEX(lk_legs,1))&lt;((((((2*IF(circ_int,0,eq_c2/2))+(PI()*(s_0+0*s_r+IF(circ_int,eq_c1/2,0))/2))+2*IF(circ_int,0,eq_c1/2))+(PI()*(s_0+0*s_r+IF(circ_int,eq_c1/2,0))/2))+2*IF(circ_int,0,eq_c2/2))+(PI()*(s_0+0*s_r+IF(circ_int,eq_c1/2,0))/2)),-IF(circ_int,0,eq_c1/2)+(s_0+0*s_r+IF(circ_int,eq_c1/2,0))*COS(PI()+(((5+0.5)*(4*IF(circ_int,0,eq_c1/2)+4*IF(circ_int,0,eq_c2/2)+2*PI()*(s_0+0*s_r+IF(circ_int,eq_c1/2,0)))/INDEX(lk_legs,1))-(((((2*IF(circ_int,0,eq_c2/2))+(PI()*(s_0+0*s_r+IF(circ_int,eq_c1/2,0))/2))+2*IF(circ_int,0,eq_c1/2))+(PI()*(s_0+0*s_r+IF(circ_int,eq_c1/2,0))/2))+2*IF(circ_int,0,eq_c2/2)))/(s_0+0*s_r+IF(circ_int,eq_c1/2,0))),IF(((5+0.5)*(4*IF(circ_int,0,eq_c1/2)+4*IF(circ_int,0,eq_c2/2)+2*PI()*(s_0+0*s_r+IF(circ_int,eq_c1/2,0)))/INDEX(lk_legs,1))&lt;(((((((2*IF(circ_int,0,eq_c2/2))+(PI()*(s_0+0*s_r+IF(circ_int,eq_c1/2,0))/2))+2*IF(circ_int,0,eq_c1/2))+(PI()*(s_0+0*s_r+IF(circ_int,eq_c1/2,0))/2))+2*IF(circ_int,0,eq_c2/2))+(PI()*(s_0+0*s_r+IF(circ_int,eq_c1/2,0))/2))+2*IF(circ_int,0,eq_c1/2)),-IF(circ_int,0,eq_c1/2)+(((5+0.5)*(4*IF(circ_int,0,eq_c1/2)+4*IF(circ_int,0,eq_c2/2)+2*PI()*(s_0+0*s_r+IF(circ_int,eq_c1/2,0)))/INDEX(lk_legs,1))-((((((2*IF(circ_int,0,eq_c2/2))+(PI()*(s_0+0*s_r+IF(circ_int,eq_c1/2,0))/2))+2*IF(circ_int,0,eq_c1/2))+(PI()*(s_0+0*s_r+IF(circ_int,eq_c1/2,0))/2))+2*IF(circ_int,0,eq_c2/2))+(PI()*(s_0+0*s_r+IF(circ_int,eq_c1/2,0))/2))),IF(circ_int,0,eq_c1/2)+(s_0+0*s_r+IF(circ_int,eq_c1/2,0))*COS(3*PI()/2+(((5+0.5)*(4*IF(circ_int,0,eq_c1/2)+4*IF(circ_int,0,eq_c2/2)+2*PI()*(s_0+0*s_r+IF(circ_int,eq_c1/2,0)))/INDEX(lk_legs,1))-(((((((2*IF(circ_int,0,eq_c2/2))+(PI()*(s_0+0*s_r+IF(circ_int,eq_c1/2,0))/2))+2*IF(circ_int,0,eq_c1/2))+(PI()*(s_0+0*s_r+IF(circ_int,eq_c1/2,0))/2))+2*IF(circ_int,0,eq_c2/2))+(PI()*(s_0+0*s_r+IF(circ_int,eq_c1/2,0))/2))+2*IF(circ_int,0,eq_c1/2)))/(s_0+0*s_r+IF(circ_int,eq_c1/2,0)))))))))),NA())</f>
        <v/>
      </c>
      <c r="BA8">
        <f>IF(AND(AND(links_on,1&lt;=n_per),INDEX(lk_kind,1)=1,5&lt;INDEX(lk_legs,1)),g_oy+IF(((5+0.5)*(4*IF(circ_int,0,eq_c1/2)+4*IF(circ_int,0,eq_c2/2)+2*PI()*(s_0+0*s_r+IF(circ_int,eq_c1/2,0)))/INDEX(lk_legs,1))&lt;(2*IF(circ_int,0,eq_c2/2)),-IF(circ_int,0,eq_c2/2)+((5+0.5)*(4*IF(circ_int,0,eq_c1/2)+4*IF(circ_int,0,eq_c2/2)+2*PI()*(s_0+0*s_r+IF(circ_int,eq_c1/2,0)))/INDEX(lk_legs,1)),IF(((5+0.5)*(4*IF(circ_int,0,eq_c1/2)+4*IF(circ_int,0,eq_c2/2)+2*PI()*(s_0+0*s_r+IF(circ_int,eq_c1/2,0)))/INDEX(lk_legs,1))&lt;((2*IF(circ_int,0,eq_c2/2))+(PI()*(s_0+0*s_r+IF(circ_int,eq_c1/2,0))/2)),IF(circ_int,0,eq_c2/2)+(s_0+0*s_r+IF(circ_int,eq_c1/2,0))*SIN((((5+0.5)*(4*IF(circ_int,0,eq_c1/2)+4*IF(circ_int,0,eq_c2/2)+2*PI()*(s_0+0*s_r+IF(circ_int,eq_c1/2,0)))/INDEX(lk_legs,1))-(2*IF(circ_int,0,eq_c2/2)))/(s_0+0*s_r+IF(circ_int,eq_c1/2,0))),IF(((5+0.5)*(4*IF(circ_int,0,eq_c1/2)+4*IF(circ_int,0,eq_c2/2)+2*PI()*(s_0+0*s_r+IF(circ_int,eq_c1/2,0)))/INDEX(lk_legs,1))&lt;(((2*IF(circ_int,0,eq_c2/2))+(PI()*(s_0+0*s_r+IF(circ_int,eq_c1/2,0))/2))+2*IF(circ_int,0,eq_c1/2)),IF(circ_int,0,eq_c2/2)+(s_0+0*s_r+IF(circ_int,eq_c1/2,0)),IF(((5+0.5)*(4*IF(circ_int,0,eq_c1/2)+4*IF(circ_int,0,eq_c2/2)+2*PI()*(s_0+0*s_r+IF(circ_int,eq_c1/2,0)))/INDEX(lk_legs,1))&lt;((((2*IF(circ_int,0,eq_c2/2))+(PI()*(s_0+0*s_r+IF(circ_int,eq_c1/2,0))/2))+2*IF(circ_int,0,eq_c1/2))+(PI()*(s_0+0*s_r+IF(circ_int,eq_c1/2,0))/2)),IF(circ_int,0,eq_c2/2)+(s_0+0*s_r+IF(circ_int,eq_c1/2,0))*SIN(PI()/2+(((5+0.5)*(4*IF(circ_int,0,eq_c1/2)+4*IF(circ_int,0,eq_c2/2)+2*PI()*(s_0+0*s_r+IF(circ_int,eq_c1/2,0)))/INDEX(lk_legs,1))-(((2*IF(circ_int,0,eq_c2/2))+(PI()*(s_0+0*s_r+IF(circ_int,eq_c1/2,0))/2))+2*IF(circ_int,0,eq_c1/2)))/(s_0+0*s_r+IF(circ_int,eq_c1/2,0))),IF(((5+0.5)*(4*IF(circ_int,0,eq_c1/2)+4*IF(circ_int,0,eq_c2/2)+2*PI()*(s_0+0*s_r+IF(circ_int,eq_c1/2,0)))/INDEX(lk_legs,1))&lt;(((((2*IF(circ_int,0,eq_c2/2))+(PI()*(s_0+0*s_r+IF(circ_int,eq_c1/2,0))/2))+2*IF(circ_int,0,eq_c1/2))+(PI()*(s_0+0*s_r+IF(circ_int,eq_c1/2,0))/2))+2*IF(circ_int,0,eq_c2/2)),IF(circ_int,0,eq_c2/2)-(((5+0.5)*(4*IF(circ_int,0,eq_c1/2)+4*IF(circ_int,0,eq_c2/2)+2*PI()*(s_0+0*s_r+IF(circ_int,eq_c1/2,0)))/INDEX(lk_legs,1))-((((2*IF(circ_int,0,eq_c2/2))+(PI()*(s_0+0*s_r+IF(circ_int,eq_c1/2,0))/2))+2*IF(circ_int,0,eq_c1/2))+(PI()*(s_0+0*s_r+IF(circ_int,eq_c1/2,0))/2))),IF(((5+0.5)*(4*IF(circ_int,0,eq_c1/2)+4*IF(circ_int,0,eq_c2/2)+2*PI()*(s_0+0*s_r+IF(circ_int,eq_c1/2,0)))/INDEX(lk_legs,1))&lt;((((((2*IF(circ_int,0,eq_c2/2))+(PI()*(s_0+0*s_r+IF(circ_int,eq_c1/2,0))/2))+2*IF(circ_int,0,eq_c1/2))+(PI()*(s_0+0*s_r+IF(circ_int,eq_c1/2,0))/2))+2*IF(circ_int,0,eq_c2/2))+(PI()*(s_0+0*s_r+IF(circ_int,eq_c1/2,0))/2)),-IF(circ_int,0,eq_c2/2)+(s_0+0*s_r+IF(circ_int,eq_c1/2,0))*SIN(PI()+(((5+0.5)*(4*IF(circ_int,0,eq_c1/2)+4*IF(circ_int,0,eq_c2/2)+2*PI()*(s_0+0*s_r+IF(circ_int,eq_c1/2,0)))/INDEX(lk_legs,1))-(((((2*IF(circ_int,0,eq_c2/2))+(PI()*(s_0+0*s_r+IF(circ_int,eq_c1/2,0))/2))+2*IF(circ_int,0,eq_c1/2))+(PI()*(s_0+0*s_r+IF(circ_int,eq_c1/2,0))/2))+2*IF(circ_int,0,eq_c2/2)))/(s_0+0*s_r+IF(circ_int,eq_c1/2,0))),IF(((5+0.5)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(5+0.5)*(4*IF(circ_int,0,eq_c1/2)+4*IF(circ_int,0,eq_c2/2)+2*PI()*(s_0+0*s_r+IF(circ_int,eq_c1/2,0)))/INDEX(lk_legs,1))-(((((((2*IF(circ_int,0,eq_c2/2))+(PI()*(s_0+0*s_r+IF(circ_int,eq_c1/2,0))/2))+2*IF(circ_int,0,eq_c1/2))+(PI()*(s_0+0*s_r+IF(circ_int,eq_c1/2,0))/2))+2*IF(circ_int,0,eq_c2/2))+(PI()*(s_0+0*s_r+IF(circ_int,eq_c1/2,0))/2))+2*IF(circ_int,0,eq_c1/2)))/(s_0+0*s_r+IF(circ_int,eq_c1/2,0)))))))))),NA())</f>
        <v/>
      </c>
      <c r="BC8">
        <f>IF(AND(links_on,2&lt;=n_per),IF(circ_int,(g_ox)+(c_1/2+(s_0+1*s_r))*0.822984,CHOOSE(INDEX(lk_kind,2),(g_ox+eq_c1/2)+((s_0+1*s_r))*0.793353,(eq_a1+eq_c1)+((s_0+1*s_r))*0.500000,(eq_a1+eq_c1)+((s_0+1*s_r))*0.500000,(eq_a1)+((s_0+1*s_r))*-0.866025)),NA())</f>
        <v/>
      </c>
      <c r="BD8">
        <f>IF(AND(links_on,2&lt;=n_per),IF(circ_int,(g_oy)+(c_1/2+(s_0+1*s_r))*0.568065,CHOOSE(INDEX(lk_kind,2),(g_oy+eq_c2/2)+((s_0+1*s_r))*0.608761,(g_oy+eq_c2/2)+((s_0+1*s_r))*0.866025,(eq_a2+eq_c2)+((s_0+1*s_r))*0.866025,(eq_a2+eq_c2)+((s_0+1*s_r))*0.500000)),NA())</f>
        <v/>
      </c>
      <c r="BF8">
        <f>IF(AND(AND(links_on,2&lt;=n_per),INDEX(lk_kind,2)=1,5&lt;INDEX(lk_legs,2)),g_ox+IF(((5+0.5)*(4*IF(circ_int,0,eq_c1/2)+4*IF(circ_int,0,eq_c2/2)+2*PI()*(s_0+1*s_r+IF(circ_int,eq_c1/2,0)))/INDEX(lk_legs,2))&lt;(2*IF(circ_int,0,eq_c2/2)),IF(circ_int,0,eq_c1/2)+(s_0+1*s_r+IF(circ_int,eq_c1/2,0)),IF(((5+0.5)*(4*IF(circ_int,0,eq_c1/2)+4*IF(circ_int,0,eq_c2/2)+2*PI()*(s_0+1*s_r+IF(circ_int,eq_c1/2,0)))/INDEX(lk_legs,2))&lt;((2*IF(circ_int,0,eq_c2/2))+(PI()*(s_0+1*s_r+IF(circ_int,eq_c1/2,0))/2)),IF(circ_int,0,eq_c1/2)+(s_0+1*s_r+IF(circ_int,eq_c1/2,0))*COS((((5+0.5)*(4*IF(circ_int,0,eq_c1/2)+4*IF(circ_int,0,eq_c2/2)+2*PI()*(s_0+1*s_r+IF(circ_int,eq_c1/2,0)))/INDEX(lk_legs,2))-(2*IF(circ_int,0,eq_c2/2)))/(s_0+1*s_r+IF(circ_int,eq_c1/2,0))),IF(((5+0.5)*(4*IF(circ_int,0,eq_c1/2)+4*IF(circ_int,0,eq_c2/2)+2*PI()*(s_0+1*s_r+IF(circ_int,eq_c1/2,0)))/INDEX(lk_legs,2))&lt;(((2*IF(circ_int,0,eq_c2/2))+(PI()*(s_0+1*s_r+IF(circ_int,eq_c1/2,0))/2))+2*IF(circ_int,0,eq_c1/2)),IF(circ_int,0,eq_c1/2)-(((5+0.5)*(4*IF(circ_int,0,eq_c1/2)+4*IF(circ_int,0,eq_c2/2)+2*PI()*(s_0+1*s_r+IF(circ_int,eq_c1/2,0)))/INDEX(lk_legs,2))-((2*IF(circ_int,0,eq_c2/2))+(PI()*(s_0+1*s_r+IF(circ_int,eq_c1/2,0))/2))),IF(((5+0.5)*(4*IF(circ_int,0,eq_c1/2)+4*IF(circ_int,0,eq_c2/2)+2*PI()*(s_0+1*s_r+IF(circ_int,eq_c1/2,0)))/INDEX(lk_legs,2))&lt;((((2*IF(circ_int,0,eq_c2/2))+(PI()*(s_0+1*s_r+IF(circ_int,eq_c1/2,0))/2))+2*IF(circ_int,0,eq_c1/2))+(PI()*(s_0+1*s_r+IF(circ_int,eq_c1/2,0))/2)),-IF(circ_int,0,eq_c1/2)+(s_0+1*s_r+IF(circ_int,eq_c1/2,0))*COS(PI()/2+(((5+0.5)*(4*IF(circ_int,0,eq_c1/2)+4*IF(circ_int,0,eq_c2/2)+2*PI()*(s_0+1*s_r+IF(circ_int,eq_c1/2,0)))/INDEX(lk_legs,2))-(((2*IF(circ_int,0,eq_c2/2))+(PI()*(s_0+1*s_r+IF(circ_int,eq_c1/2,0))/2))+2*IF(circ_int,0,eq_c1/2)))/(s_0+1*s_r+IF(circ_int,eq_c1/2,0))),IF(((5+0.5)*(4*IF(circ_int,0,eq_c1/2)+4*IF(circ_int,0,eq_c2/2)+2*PI()*(s_0+1*s_r+IF(circ_int,eq_c1/2,0)))/INDEX(lk_legs,2))&lt;(((((2*IF(circ_int,0,eq_c2/2))+(PI()*(s_0+1*s_r+IF(circ_int,eq_c1/2,0))/2))+2*IF(circ_int,0,eq_c1/2))+(PI()*(s_0+1*s_r+IF(circ_int,eq_c1/2,0))/2))+2*IF(circ_int,0,eq_c2/2)),-IF(circ_int,0,eq_c1/2)-(s_0+1*s_r+IF(circ_int,eq_c1/2,0)),IF(((5+0.5)*(4*IF(circ_int,0,eq_c1/2)+4*IF(circ_int,0,eq_c2/2)+2*PI()*(s_0+1*s_r+IF(circ_int,eq_c1/2,0)))/INDEX(lk_legs,2))&lt;((((((2*IF(circ_int,0,eq_c2/2))+(PI()*(s_0+1*s_r+IF(circ_int,eq_c1/2,0))/2))+2*IF(circ_int,0,eq_c1/2))+(PI()*(s_0+1*s_r+IF(circ_int,eq_c1/2,0))/2))+2*IF(circ_int,0,eq_c2/2))+(PI()*(s_0+1*s_r+IF(circ_int,eq_c1/2,0))/2)),-IF(circ_int,0,eq_c1/2)+(s_0+1*s_r+IF(circ_int,eq_c1/2,0))*COS(PI()+(((5+0.5)*(4*IF(circ_int,0,eq_c1/2)+4*IF(circ_int,0,eq_c2/2)+2*PI()*(s_0+1*s_r+IF(circ_int,eq_c1/2,0)))/INDEX(lk_legs,2))-(((((2*IF(circ_int,0,eq_c2/2))+(PI()*(s_0+1*s_r+IF(circ_int,eq_c1/2,0))/2))+2*IF(circ_int,0,eq_c1/2))+(PI()*(s_0+1*s_r+IF(circ_int,eq_c1/2,0))/2))+2*IF(circ_int,0,eq_c2/2)))/(s_0+1*s_r+IF(circ_int,eq_c1/2,0))),IF(((5+0.5)*(4*IF(circ_int,0,eq_c1/2)+4*IF(circ_int,0,eq_c2/2)+2*PI()*(s_0+1*s_r+IF(circ_int,eq_c1/2,0)))/INDEX(lk_legs,2))&lt;(((((((2*IF(circ_int,0,eq_c2/2))+(PI()*(s_0+1*s_r+IF(circ_int,eq_c1/2,0))/2))+2*IF(circ_int,0,eq_c1/2))+(PI()*(s_0+1*s_r+IF(circ_int,eq_c1/2,0))/2))+2*IF(circ_int,0,eq_c2/2))+(PI()*(s_0+1*s_r+IF(circ_int,eq_c1/2,0))/2))+2*IF(circ_int,0,eq_c1/2)),-IF(circ_int,0,eq_c1/2)+(((5+0.5)*(4*IF(circ_int,0,eq_c1/2)+4*IF(circ_int,0,eq_c2/2)+2*PI()*(s_0+1*s_r+IF(circ_int,eq_c1/2,0)))/INDEX(lk_legs,2))-((((((2*IF(circ_int,0,eq_c2/2))+(PI()*(s_0+1*s_r+IF(circ_int,eq_c1/2,0))/2))+2*IF(circ_int,0,eq_c1/2))+(PI()*(s_0+1*s_r+IF(circ_int,eq_c1/2,0))/2))+2*IF(circ_int,0,eq_c2/2))+(PI()*(s_0+1*s_r+IF(circ_int,eq_c1/2,0))/2))),IF(circ_int,0,eq_c1/2)+(s_0+1*s_r+IF(circ_int,eq_c1/2,0))*COS(3*PI()/2+(((5+0.5)*(4*IF(circ_int,0,eq_c1/2)+4*IF(circ_int,0,eq_c2/2)+2*PI()*(s_0+1*s_r+IF(circ_int,eq_c1/2,0)))/INDEX(lk_legs,2))-(((((((2*IF(circ_int,0,eq_c2/2))+(PI()*(s_0+1*s_r+IF(circ_int,eq_c1/2,0))/2))+2*IF(circ_int,0,eq_c1/2))+(PI()*(s_0+1*s_r+IF(circ_int,eq_c1/2,0))/2))+2*IF(circ_int,0,eq_c2/2))+(PI()*(s_0+1*s_r+IF(circ_int,eq_c1/2,0))/2))+2*IF(circ_int,0,eq_c1/2)))/(s_0+1*s_r+IF(circ_int,eq_c1/2,0)))))))))),NA())</f>
        <v/>
      </c>
      <c r="BG8">
        <f>IF(AND(AND(links_on,2&lt;=n_per),INDEX(lk_kind,2)=1,5&lt;INDEX(lk_legs,2)),g_oy+IF(((5+0.5)*(4*IF(circ_int,0,eq_c1/2)+4*IF(circ_int,0,eq_c2/2)+2*PI()*(s_0+1*s_r+IF(circ_int,eq_c1/2,0)))/INDEX(lk_legs,2))&lt;(2*IF(circ_int,0,eq_c2/2)),-IF(circ_int,0,eq_c2/2)+((5+0.5)*(4*IF(circ_int,0,eq_c1/2)+4*IF(circ_int,0,eq_c2/2)+2*PI()*(s_0+1*s_r+IF(circ_int,eq_c1/2,0)))/INDEX(lk_legs,2)),IF(((5+0.5)*(4*IF(circ_int,0,eq_c1/2)+4*IF(circ_int,0,eq_c2/2)+2*PI()*(s_0+1*s_r+IF(circ_int,eq_c1/2,0)))/INDEX(lk_legs,2))&lt;((2*IF(circ_int,0,eq_c2/2))+(PI()*(s_0+1*s_r+IF(circ_int,eq_c1/2,0))/2)),IF(circ_int,0,eq_c2/2)+(s_0+1*s_r+IF(circ_int,eq_c1/2,0))*SIN((((5+0.5)*(4*IF(circ_int,0,eq_c1/2)+4*IF(circ_int,0,eq_c2/2)+2*PI()*(s_0+1*s_r+IF(circ_int,eq_c1/2,0)))/INDEX(lk_legs,2))-(2*IF(circ_int,0,eq_c2/2)))/(s_0+1*s_r+IF(circ_int,eq_c1/2,0))),IF(((5+0.5)*(4*IF(circ_int,0,eq_c1/2)+4*IF(circ_int,0,eq_c2/2)+2*PI()*(s_0+1*s_r+IF(circ_int,eq_c1/2,0)))/INDEX(lk_legs,2))&lt;(((2*IF(circ_int,0,eq_c2/2))+(PI()*(s_0+1*s_r+IF(circ_int,eq_c1/2,0))/2))+2*IF(circ_int,0,eq_c1/2)),IF(circ_int,0,eq_c2/2)+(s_0+1*s_r+IF(circ_int,eq_c1/2,0)),IF(((5+0.5)*(4*IF(circ_int,0,eq_c1/2)+4*IF(circ_int,0,eq_c2/2)+2*PI()*(s_0+1*s_r+IF(circ_int,eq_c1/2,0)))/INDEX(lk_legs,2))&lt;((((2*IF(circ_int,0,eq_c2/2))+(PI()*(s_0+1*s_r+IF(circ_int,eq_c1/2,0))/2))+2*IF(circ_int,0,eq_c1/2))+(PI()*(s_0+1*s_r+IF(circ_int,eq_c1/2,0))/2)),IF(circ_int,0,eq_c2/2)+(s_0+1*s_r+IF(circ_int,eq_c1/2,0))*SIN(PI()/2+(((5+0.5)*(4*IF(circ_int,0,eq_c1/2)+4*IF(circ_int,0,eq_c2/2)+2*PI()*(s_0+1*s_r+IF(circ_int,eq_c1/2,0)))/INDEX(lk_legs,2))-(((2*IF(circ_int,0,eq_c2/2))+(PI()*(s_0+1*s_r+IF(circ_int,eq_c1/2,0))/2))+2*IF(circ_int,0,eq_c1/2)))/(s_0+1*s_r+IF(circ_int,eq_c1/2,0))),IF(((5+0.5)*(4*IF(circ_int,0,eq_c1/2)+4*IF(circ_int,0,eq_c2/2)+2*PI()*(s_0+1*s_r+IF(circ_int,eq_c1/2,0)))/INDEX(lk_legs,2))&lt;(((((2*IF(circ_int,0,eq_c2/2))+(PI()*(s_0+1*s_r+IF(circ_int,eq_c1/2,0))/2))+2*IF(circ_int,0,eq_c1/2))+(PI()*(s_0+1*s_r+IF(circ_int,eq_c1/2,0))/2))+2*IF(circ_int,0,eq_c2/2)),IF(circ_int,0,eq_c2/2)-(((5+0.5)*(4*IF(circ_int,0,eq_c1/2)+4*IF(circ_int,0,eq_c2/2)+2*PI()*(s_0+1*s_r+IF(circ_int,eq_c1/2,0)))/INDEX(lk_legs,2))-((((2*IF(circ_int,0,eq_c2/2))+(PI()*(s_0+1*s_r+IF(circ_int,eq_c1/2,0))/2))+2*IF(circ_int,0,eq_c1/2))+(PI()*(s_0+1*s_r+IF(circ_int,eq_c1/2,0))/2))),IF(((5+0.5)*(4*IF(circ_int,0,eq_c1/2)+4*IF(circ_int,0,eq_c2/2)+2*PI()*(s_0+1*s_r+IF(circ_int,eq_c1/2,0)))/INDEX(lk_legs,2))&lt;((((((2*IF(circ_int,0,eq_c2/2))+(PI()*(s_0+1*s_r+IF(circ_int,eq_c1/2,0))/2))+2*IF(circ_int,0,eq_c1/2))+(PI()*(s_0+1*s_r+IF(circ_int,eq_c1/2,0))/2))+2*IF(circ_int,0,eq_c2/2))+(PI()*(s_0+1*s_r+IF(circ_int,eq_c1/2,0))/2)),-IF(circ_int,0,eq_c2/2)+(s_0+1*s_r+IF(circ_int,eq_c1/2,0))*SIN(PI()+(((5+0.5)*(4*IF(circ_int,0,eq_c1/2)+4*IF(circ_int,0,eq_c2/2)+2*PI()*(s_0+1*s_r+IF(circ_int,eq_c1/2,0)))/INDEX(lk_legs,2))-(((((2*IF(circ_int,0,eq_c2/2))+(PI()*(s_0+1*s_r+IF(circ_int,eq_c1/2,0))/2))+2*IF(circ_int,0,eq_c1/2))+(PI()*(s_0+1*s_r+IF(circ_int,eq_c1/2,0))/2))+2*IF(circ_int,0,eq_c2/2)))/(s_0+1*s_r+IF(circ_int,eq_c1/2,0))),IF(((5+0.5)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(5+0.5)*(4*IF(circ_int,0,eq_c1/2)+4*IF(circ_int,0,eq_c2/2)+2*PI()*(s_0+1*s_r+IF(circ_int,eq_c1/2,0)))/INDEX(lk_legs,2))-(((((((2*IF(circ_int,0,eq_c2/2))+(PI()*(s_0+1*s_r+IF(circ_int,eq_c1/2,0))/2))+2*IF(circ_int,0,eq_c1/2))+(PI()*(s_0+1*s_r+IF(circ_int,eq_c1/2,0))/2))+2*IF(circ_int,0,eq_c2/2))+(PI()*(s_0+1*s_r+IF(circ_int,eq_c1/2,0))/2))+2*IF(circ_int,0,eq_c1/2)))/(s_0+1*s_r+IF(circ_int,eq_c1/2,0)))))))))),NA())</f>
        <v/>
      </c>
      <c r="BI8">
        <f>IF(AND(links_on,3&lt;=n_per),IF(circ_int,(g_ox)+(c_1/2+(s_0+2*s_r))*0.822984,CHOOSE(INDEX(lk_kind,3),(g_ox+eq_c1/2)+((s_0+2*s_r))*0.793353,(eq_a1+eq_c1)+((s_0+2*s_r))*0.500000,(eq_a1+eq_c1)+((s_0+2*s_r))*0.500000,(eq_a1)+((s_0+2*s_r))*-0.866025)),NA())</f>
        <v/>
      </c>
      <c r="BJ8">
        <f>IF(AND(links_on,3&lt;=n_per),IF(circ_int,(g_oy)+(c_1/2+(s_0+2*s_r))*0.568065,CHOOSE(INDEX(lk_kind,3),(g_oy+eq_c2/2)+((s_0+2*s_r))*0.608761,(g_oy+eq_c2/2)+((s_0+2*s_r))*0.866025,(eq_a2+eq_c2)+((s_0+2*s_r))*0.866025,(eq_a2+eq_c2)+((s_0+2*s_r))*0.500000)),NA())</f>
        <v/>
      </c>
      <c r="BL8">
        <f>IF(AND(AND(links_on,3&lt;=n_per),INDEX(lk_kind,3)=1,5&lt;INDEX(lk_legs,3)),g_ox+IF(((5+0.5)*(4*IF(circ_int,0,eq_c1/2)+4*IF(circ_int,0,eq_c2/2)+2*PI()*(s_0+2*s_r+IF(circ_int,eq_c1/2,0)))/INDEX(lk_legs,3))&lt;(2*IF(circ_int,0,eq_c2/2)),IF(circ_int,0,eq_c1/2)+(s_0+2*s_r+IF(circ_int,eq_c1/2,0)),IF(((5+0.5)*(4*IF(circ_int,0,eq_c1/2)+4*IF(circ_int,0,eq_c2/2)+2*PI()*(s_0+2*s_r+IF(circ_int,eq_c1/2,0)))/INDEX(lk_legs,3))&lt;((2*IF(circ_int,0,eq_c2/2))+(PI()*(s_0+2*s_r+IF(circ_int,eq_c1/2,0))/2)),IF(circ_int,0,eq_c1/2)+(s_0+2*s_r+IF(circ_int,eq_c1/2,0))*COS((((5+0.5)*(4*IF(circ_int,0,eq_c1/2)+4*IF(circ_int,0,eq_c2/2)+2*PI()*(s_0+2*s_r+IF(circ_int,eq_c1/2,0)))/INDEX(lk_legs,3))-(2*IF(circ_int,0,eq_c2/2)))/(s_0+2*s_r+IF(circ_int,eq_c1/2,0))),IF(((5+0.5)*(4*IF(circ_int,0,eq_c1/2)+4*IF(circ_int,0,eq_c2/2)+2*PI()*(s_0+2*s_r+IF(circ_int,eq_c1/2,0)))/INDEX(lk_legs,3))&lt;(((2*IF(circ_int,0,eq_c2/2))+(PI()*(s_0+2*s_r+IF(circ_int,eq_c1/2,0))/2))+2*IF(circ_int,0,eq_c1/2)),IF(circ_int,0,eq_c1/2)-(((5+0.5)*(4*IF(circ_int,0,eq_c1/2)+4*IF(circ_int,0,eq_c2/2)+2*PI()*(s_0+2*s_r+IF(circ_int,eq_c1/2,0)))/INDEX(lk_legs,3))-((2*IF(circ_int,0,eq_c2/2))+(PI()*(s_0+2*s_r+IF(circ_int,eq_c1/2,0))/2))),IF(((5+0.5)*(4*IF(circ_int,0,eq_c1/2)+4*IF(circ_int,0,eq_c2/2)+2*PI()*(s_0+2*s_r+IF(circ_int,eq_c1/2,0)))/INDEX(lk_legs,3))&lt;((((2*IF(circ_int,0,eq_c2/2))+(PI()*(s_0+2*s_r+IF(circ_int,eq_c1/2,0))/2))+2*IF(circ_int,0,eq_c1/2))+(PI()*(s_0+2*s_r+IF(circ_int,eq_c1/2,0))/2)),-IF(circ_int,0,eq_c1/2)+(s_0+2*s_r+IF(circ_int,eq_c1/2,0))*COS(PI()/2+(((5+0.5)*(4*IF(circ_int,0,eq_c1/2)+4*IF(circ_int,0,eq_c2/2)+2*PI()*(s_0+2*s_r+IF(circ_int,eq_c1/2,0)))/INDEX(lk_legs,3))-(((2*IF(circ_int,0,eq_c2/2))+(PI()*(s_0+2*s_r+IF(circ_int,eq_c1/2,0))/2))+2*IF(circ_int,0,eq_c1/2)))/(s_0+2*s_r+IF(circ_int,eq_c1/2,0))),IF(((5+0.5)*(4*IF(circ_int,0,eq_c1/2)+4*IF(circ_int,0,eq_c2/2)+2*PI()*(s_0+2*s_r+IF(circ_int,eq_c1/2,0)))/INDEX(lk_legs,3))&lt;(((((2*IF(circ_int,0,eq_c2/2))+(PI()*(s_0+2*s_r+IF(circ_int,eq_c1/2,0))/2))+2*IF(circ_int,0,eq_c1/2))+(PI()*(s_0+2*s_r+IF(circ_int,eq_c1/2,0))/2))+2*IF(circ_int,0,eq_c2/2)),-IF(circ_int,0,eq_c1/2)-(s_0+2*s_r+IF(circ_int,eq_c1/2,0)),IF(((5+0.5)*(4*IF(circ_int,0,eq_c1/2)+4*IF(circ_int,0,eq_c2/2)+2*PI()*(s_0+2*s_r+IF(circ_int,eq_c1/2,0)))/INDEX(lk_legs,3))&lt;((((((2*IF(circ_int,0,eq_c2/2))+(PI()*(s_0+2*s_r+IF(circ_int,eq_c1/2,0))/2))+2*IF(circ_int,0,eq_c1/2))+(PI()*(s_0+2*s_r+IF(circ_int,eq_c1/2,0))/2))+2*IF(circ_int,0,eq_c2/2))+(PI()*(s_0+2*s_r+IF(circ_int,eq_c1/2,0))/2)),-IF(circ_int,0,eq_c1/2)+(s_0+2*s_r+IF(circ_int,eq_c1/2,0))*COS(PI()+(((5+0.5)*(4*IF(circ_int,0,eq_c1/2)+4*IF(circ_int,0,eq_c2/2)+2*PI()*(s_0+2*s_r+IF(circ_int,eq_c1/2,0)))/INDEX(lk_legs,3))-(((((2*IF(circ_int,0,eq_c2/2))+(PI()*(s_0+2*s_r+IF(circ_int,eq_c1/2,0))/2))+2*IF(circ_int,0,eq_c1/2))+(PI()*(s_0+2*s_r+IF(circ_int,eq_c1/2,0))/2))+2*IF(circ_int,0,eq_c2/2)))/(s_0+2*s_r+IF(circ_int,eq_c1/2,0))),IF(((5+0.5)*(4*IF(circ_int,0,eq_c1/2)+4*IF(circ_int,0,eq_c2/2)+2*PI()*(s_0+2*s_r+IF(circ_int,eq_c1/2,0)))/INDEX(lk_legs,3))&lt;(((((((2*IF(circ_int,0,eq_c2/2))+(PI()*(s_0+2*s_r+IF(circ_int,eq_c1/2,0))/2))+2*IF(circ_int,0,eq_c1/2))+(PI()*(s_0+2*s_r+IF(circ_int,eq_c1/2,0))/2))+2*IF(circ_int,0,eq_c2/2))+(PI()*(s_0+2*s_r+IF(circ_int,eq_c1/2,0))/2))+2*IF(circ_int,0,eq_c1/2)),-IF(circ_int,0,eq_c1/2)+(((5+0.5)*(4*IF(circ_int,0,eq_c1/2)+4*IF(circ_int,0,eq_c2/2)+2*PI()*(s_0+2*s_r+IF(circ_int,eq_c1/2,0)))/INDEX(lk_legs,3))-((((((2*IF(circ_int,0,eq_c2/2))+(PI()*(s_0+2*s_r+IF(circ_int,eq_c1/2,0))/2))+2*IF(circ_int,0,eq_c1/2))+(PI()*(s_0+2*s_r+IF(circ_int,eq_c1/2,0))/2))+2*IF(circ_int,0,eq_c2/2))+(PI()*(s_0+2*s_r+IF(circ_int,eq_c1/2,0))/2))),IF(circ_int,0,eq_c1/2)+(s_0+2*s_r+IF(circ_int,eq_c1/2,0))*COS(3*PI()/2+(((5+0.5)*(4*IF(circ_int,0,eq_c1/2)+4*IF(circ_int,0,eq_c2/2)+2*PI()*(s_0+2*s_r+IF(circ_int,eq_c1/2,0)))/INDEX(lk_legs,3))-(((((((2*IF(circ_int,0,eq_c2/2))+(PI()*(s_0+2*s_r+IF(circ_int,eq_c1/2,0))/2))+2*IF(circ_int,0,eq_c1/2))+(PI()*(s_0+2*s_r+IF(circ_int,eq_c1/2,0))/2))+2*IF(circ_int,0,eq_c2/2))+(PI()*(s_0+2*s_r+IF(circ_int,eq_c1/2,0))/2))+2*IF(circ_int,0,eq_c1/2)))/(s_0+2*s_r+IF(circ_int,eq_c1/2,0)))))))))),NA())</f>
        <v/>
      </c>
      <c r="BM8">
        <f>IF(AND(AND(links_on,3&lt;=n_per),INDEX(lk_kind,3)=1,5&lt;INDEX(lk_legs,3)),g_oy+IF(((5+0.5)*(4*IF(circ_int,0,eq_c1/2)+4*IF(circ_int,0,eq_c2/2)+2*PI()*(s_0+2*s_r+IF(circ_int,eq_c1/2,0)))/INDEX(lk_legs,3))&lt;(2*IF(circ_int,0,eq_c2/2)),-IF(circ_int,0,eq_c2/2)+((5+0.5)*(4*IF(circ_int,0,eq_c1/2)+4*IF(circ_int,0,eq_c2/2)+2*PI()*(s_0+2*s_r+IF(circ_int,eq_c1/2,0)))/INDEX(lk_legs,3)),IF(((5+0.5)*(4*IF(circ_int,0,eq_c1/2)+4*IF(circ_int,0,eq_c2/2)+2*PI()*(s_0+2*s_r+IF(circ_int,eq_c1/2,0)))/INDEX(lk_legs,3))&lt;((2*IF(circ_int,0,eq_c2/2))+(PI()*(s_0+2*s_r+IF(circ_int,eq_c1/2,0))/2)),IF(circ_int,0,eq_c2/2)+(s_0+2*s_r+IF(circ_int,eq_c1/2,0))*SIN((((5+0.5)*(4*IF(circ_int,0,eq_c1/2)+4*IF(circ_int,0,eq_c2/2)+2*PI()*(s_0+2*s_r+IF(circ_int,eq_c1/2,0)))/INDEX(lk_legs,3))-(2*IF(circ_int,0,eq_c2/2)))/(s_0+2*s_r+IF(circ_int,eq_c1/2,0))),IF(((5+0.5)*(4*IF(circ_int,0,eq_c1/2)+4*IF(circ_int,0,eq_c2/2)+2*PI()*(s_0+2*s_r+IF(circ_int,eq_c1/2,0)))/INDEX(lk_legs,3))&lt;(((2*IF(circ_int,0,eq_c2/2))+(PI()*(s_0+2*s_r+IF(circ_int,eq_c1/2,0))/2))+2*IF(circ_int,0,eq_c1/2)),IF(circ_int,0,eq_c2/2)+(s_0+2*s_r+IF(circ_int,eq_c1/2,0)),IF(((5+0.5)*(4*IF(circ_int,0,eq_c1/2)+4*IF(circ_int,0,eq_c2/2)+2*PI()*(s_0+2*s_r+IF(circ_int,eq_c1/2,0)))/INDEX(lk_legs,3))&lt;((((2*IF(circ_int,0,eq_c2/2))+(PI()*(s_0+2*s_r+IF(circ_int,eq_c1/2,0))/2))+2*IF(circ_int,0,eq_c1/2))+(PI()*(s_0+2*s_r+IF(circ_int,eq_c1/2,0))/2)),IF(circ_int,0,eq_c2/2)+(s_0+2*s_r+IF(circ_int,eq_c1/2,0))*SIN(PI()/2+(((5+0.5)*(4*IF(circ_int,0,eq_c1/2)+4*IF(circ_int,0,eq_c2/2)+2*PI()*(s_0+2*s_r+IF(circ_int,eq_c1/2,0)))/INDEX(lk_legs,3))-(((2*IF(circ_int,0,eq_c2/2))+(PI()*(s_0+2*s_r+IF(circ_int,eq_c1/2,0))/2))+2*IF(circ_int,0,eq_c1/2)))/(s_0+2*s_r+IF(circ_int,eq_c1/2,0))),IF(((5+0.5)*(4*IF(circ_int,0,eq_c1/2)+4*IF(circ_int,0,eq_c2/2)+2*PI()*(s_0+2*s_r+IF(circ_int,eq_c1/2,0)))/INDEX(lk_legs,3))&lt;(((((2*IF(circ_int,0,eq_c2/2))+(PI()*(s_0+2*s_r+IF(circ_int,eq_c1/2,0))/2))+2*IF(circ_int,0,eq_c1/2))+(PI()*(s_0+2*s_r+IF(circ_int,eq_c1/2,0))/2))+2*IF(circ_int,0,eq_c2/2)),IF(circ_int,0,eq_c2/2)-(((5+0.5)*(4*IF(circ_int,0,eq_c1/2)+4*IF(circ_int,0,eq_c2/2)+2*PI()*(s_0+2*s_r+IF(circ_int,eq_c1/2,0)))/INDEX(lk_legs,3))-((((2*IF(circ_int,0,eq_c2/2))+(PI()*(s_0+2*s_r+IF(circ_int,eq_c1/2,0))/2))+2*IF(circ_int,0,eq_c1/2))+(PI()*(s_0+2*s_r+IF(circ_int,eq_c1/2,0))/2))),IF(((5+0.5)*(4*IF(circ_int,0,eq_c1/2)+4*IF(circ_int,0,eq_c2/2)+2*PI()*(s_0+2*s_r+IF(circ_int,eq_c1/2,0)))/INDEX(lk_legs,3))&lt;((((((2*IF(circ_int,0,eq_c2/2))+(PI()*(s_0+2*s_r+IF(circ_int,eq_c1/2,0))/2))+2*IF(circ_int,0,eq_c1/2))+(PI()*(s_0+2*s_r+IF(circ_int,eq_c1/2,0))/2))+2*IF(circ_int,0,eq_c2/2))+(PI()*(s_0+2*s_r+IF(circ_int,eq_c1/2,0))/2)),-IF(circ_int,0,eq_c2/2)+(s_0+2*s_r+IF(circ_int,eq_c1/2,0))*SIN(PI()+(((5+0.5)*(4*IF(circ_int,0,eq_c1/2)+4*IF(circ_int,0,eq_c2/2)+2*PI()*(s_0+2*s_r+IF(circ_int,eq_c1/2,0)))/INDEX(lk_legs,3))-(((((2*IF(circ_int,0,eq_c2/2))+(PI()*(s_0+2*s_r+IF(circ_int,eq_c1/2,0))/2))+2*IF(circ_int,0,eq_c1/2))+(PI()*(s_0+2*s_r+IF(circ_int,eq_c1/2,0))/2))+2*IF(circ_int,0,eq_c2/2)))/(s_0+2*s_r+IF(circ_int,eq_c1/2,0))),IF(((5+0.5)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(5+0.5)*(4*IF(circ_int,0,eq_c1/2)+4*IF(circ_int,0,eq_c2/2)+2*PI()*(s_0+2*s_r+IF(circ_int,eq_c1/2,0)))/INDEX(lk_legs,3))-(((((((2*IF(circ_int,0,eq_c2/2))+(PI()*(s_0+2*s_r+IF(circ_int,eq_c1/2,0))/2))+2*IF(circ_int,0,eq_c1/2))+(PI()*(s_0+2*s_r+IF(circ_int,eq_c1/2,0))/2))+2*IF(circ_int,0,eq_c2/2))+(PI()*(s_0+2*s_r+IF(circ_int,eq_c1/2,0))/2))+2*IF(circ_int,0,eq_c1/2)))/(s_0+2*s_r+IF(circ_int,eq_c1/2,0)))))))))),NA())</f>
        <v/>
      </c>
      <c r="BO8">
        <f>IF(AND(links_on,4&lt;=n_per),IF(circ_int,(g_ox)+(c_1/2+(s_0+3*s_r))*0.822984,CHOOSE(INDEX(lk_kind,4),(g_ox+eq_c1/2)+((s_0+3*s_r))*0.793353,(eq_a1+eq_c1)+((s_0+3*s_r))*0.500000,(eq_a1+eq_c1)+((s_0+3*s_r))*0.500000,(eq_a1)+((s_0+3*s_r))*-0.866025)),NA())</f>
        <v/>
      </c>
      <c r="BP8">
        <f>IF(AND(links_on,4&lt;=n_per),IF(circ_int,(g_oy)+(c_1/2+(s_0+3*s_r))*0.568065,CHOOSE(INDEX(lk_kind,4),(g_oy+eq_c2/2)+((s_0+3*s_r))*0.608761,(g_oy+eq_c2/2)+((s_0+3*s_r))*0.866025,(eq_a2+eq_c2)+((s_0+3*s_r))*0.866025,(eq_a2+eq_c2)+((s_0+3*s_r))*0.500000)),NA())</f>
        <v/>
      </c>
      <c r="BR8">
        <f>IF(AND(AND(links_on,4&lt;=n_per),INDEX(lk_kind,4)=1,5&lt;INDEX(lk_legs,4)),g_ox+IF(((5+0.5)*(4*IF(circ_int,0,eq_c1/2)+4*IF(circ_int,0,eq_c2/2)+2*PI()*(s_0+3*s_r+IF(circ_int,eq_c1/2,0)))/INDEX(lk_legs,4))&lt;(2*IF(circ_int,0,eq_c2/2)),IF(circ_int,0,eq_c1/2)+(s_0+3*s_r+IF(circ_int,eq_c1/2,0)),IF(((5+0.5)*(4*IF(circ_int,0,eq_c1/2)+4*IF(circ_int,0,eq_c2/2)+2*PI()*(s_0+3*s_r+IF(circ_int,eq_c1/2,0)))/INDEX(lk_legs,4))&lt;((2*IF(circ_int,0,eq_c2/2))+(PI()*(s_0+3*s_r+IF(circ_int,eq_c1/2,0))/2)),IF(circ_int,0,eq_c1/2)+(s_0+3*s_r+IF(circ_int,eq_c1/2,0))*COS((((5+0.5)*(4*IF(circ_int,0,eq_c1/2)+4*IF(circ_int,0,eq_c2/2)+2*PI()*(s_0+3*s_r+IF(circ_int,eq_c1/2,0)))/INDEX(lk_legs,4))-(2*IF(circ_int,0,eq_c2/2)))/(s_0+3*s_r+IF(circ_int,eq_c1/2,0))),IF(((5+0.5)*(4*IF(circ_int,0,eq_c1/2)+4*IF(circ_int,0,eq_c2/2)+2*PI()*(s_0+3*s_r+IF(circ_int,eq_c1/2,0)))/INDEX(lk_legs,4))&lt;(((2*IF(circ_int,0,eq_c2/2))+(PI()*(s_0+3*s_r+IF(circ_int,eq_c1/2,0))/2))+2*IF(circ_int,0,eq_c1/2)),IF(circ_int,0,eq_c1/2)-(((5+0.5)*(4*IF(circ_int,0,eq_c1/2)+4*IF(circ_int,0,eq_c2/2)+2*PI()*(s_0+3*s_r+IF(circ_int,eq_c1/2,0)))/INDEX(lk_legs,4))-((2*IF(circ_int,0,eq_c2/2))+(PI()*(s_0+3*s_r+IF(circ_int,eq_c1/2,0))/2))),IF(((5+0.5)*(4*IF(circ_int,0,eq_c1/2)+4*IF(circ_int,0,eq_c2/2)+2*PI()*(s_0+3*s_r+IF(circ_int,eq_c1/2,0)))/INDEX(lk_legs,4))&lt;((((2*IF(circ_int,0,eq_c2/2))+(PI()*(s_0+3*s_r+IF(circ_int,eq_c1/2,0))/2))+2*IF(circ_int,0,eq_c1/2))+(PI()*(s_0+3*s_r+IF(circ_int,eq_c1/2,0))/2)),-IF(circ_int,0,eq_c1/2)+(s_0+3*s_r+IF(circ_int,eq_c1/2,0))*COS(PI()/2+(((5+0.5)*(4*IF(circ_int,0,eq_c1/2)+4*IF(circ_int,0,eq_c2/2)+2*PI()*(s_0+3*s_r+IF(circ_int,eq_c1/2,0)))/INDEX(lk_legs,4))-(((2*IF(circ_int,0,eq_c2/2))+(PI()*(s_0+3*s_r+IF(circ_int,eq_c1/2,0))/2))+2*IF(circ_int,0,eq_c1/2)))/(s_0+3*s_r+IF(circ_int,eq_c1/2,0))),IF(((5+0.5)*(4*IF(circ_int,0,eq_c1/2)+4*IF(circ_int,0,eq_c2/2)+2*PI()*(s_0+3*s_r+IF(circ_int,eq_c1/2,0)))/INDEX(lk_legs,4))&lt;(((((2*IF(circ_int,0,eq_c2/2))+(PI()*(s_0+3*s_r+IF(circ_int,eq_c1/2,0))/2))+2*IF(circ_int,0,eq_c1/2))+(PI()*(s_0+3*s_r+IF(circ_int,eq_c1/2,0))/2))+2*IF(circ_int,0,eq_c2/2)),-IF(circ_int,0,eq_c1/2)-(s_0+3*s_r+IF(circ_int,eq_c1/2,0)),IF(((5+0.5)*(4*IF(circ_int,0,eq_c1/2)+4*IF(circ_int,0,eq_c2/2)+2*PI()*(s_0+3*s_r+IF(circ_int,eq_c1/2,0)))/INDEX(lk_legs,4))&lt;((((((2*IF(circ_int,0,eq_c2/2))+(PI()*(s_0+3*s_r+IF(circ_int,eq_c1/2,0))/2))+2*IF(circ_int,0,eq_c1/2))+(PI()*(s_0+3*s_r+IF(circ_int,eq_c1/2,0))/2))+2*IF(circ_int,0,eq_c2/2))+(PI()*(s_0+3*s_r+IF(circ_int,eq_c1/2,0))/2)),-IF(circ_int,0,eq_c1/2)+(s_0+3*s_r+IF(circ_int,eq_c1/2,0))*COS(PI()+(((5+0.5)*(4*IF(circ_int,0,eq_c1/2)+4*IF(circ_int,0,eq_c2/2)+2*PI()*(s_0+3*s_r+IF(circ_int,eq_c1/2,0)))/INDEX(lk_legs,4))-(((((2*IF(circ_int,0,eq_c2/2))+(PI()*(s_0+3*s_r+IF(circ_int,eq_c1/2,0))/2))+2*IF(circ_int,0,eq_c1/2))+(PI()*(s_0+3*s_r+IF(circ_int,eq_c1/2,0))/2))+2*IF(circ_int,0,eq_c2/2)))/(s_0+3*s_r+IF(circ_int,eq_c1/2,0))),IF(((5+0.5)*(4*IF(circ_int,0,eq_c1/2)+4*IF(circ_int,0,eq_c2/2)+2*PI()*(s_0+3*s_r+IF(circ_int,eq_c1/2,0)))/INDEX(lk_legs,4))&lt;(((((((2*IF(circ_int,0,eq_c2/2))+(PI()*(s_0+3*s_r+IF(circ_int,eq_c1/2,0))/2))+2*IF(circ_int,0,eq_c1/2))+(PI()*(s_0+3*s_r+IF(circ_int,eq_c1/2,0))/2))+2*IF(circ_int,0,eq_c2/2))+(PI()*(s_0+3*s_r+IF(circ_int,eq_c1/2,0))/2))+2*IF(circ_int,0,eq_c1/2)),-IF(circ_int,0,eq_c1/2)+(((5+0.5)*(4*IF(circ_int,0,eq_c1/2)+4*IF(circ_int,0,eq_c2/2)+2*PI()*(s_0+3*s_r+IF(circ_int,eq_c1/2,0)))/INDEX(lk_legs,4))-((((((2*IF(circ_int,0,eq_c2/2))+(PI()*(s_0+3*s_r+IF(circ_int,eq_c1/2,0))/2))+2*IF(circ_int,0,eq_c1/2))+(PI()*(s_0+3*s_r+IF(circ_int,eq_c1/2,0))/2))+2*IF(circ_int,0,eq_c2/2))+(PI()*(s_0+3*s_r+IF(circ_int,eq_c1/2,0))/2))),IF(circ_int,0,eq_c1/2)+(s_0+3*s_r+IF(circ_int,eq_c1/2,0))*COS(3*PI()/2+(((5+0.5)*(4*IF(circ_int,0,eq_c1/2)+4*IF(circ_int,0,eq_c2/2)+2*PI()*(s_0+3*s_r+IF(circ_int,eq_c1/2,0)))/INDEX(lk_legs,4))-(((((((2*IF(circ_int,0,eq_c2/2))+(PI()*(s_0+3*s_r+IF(circ_int,eq_c1/2,0))/2))+2*IF(circ_int,0,eq_c1/2))+(PI()*(s_0+3*s_r+IF(circ_int,eq_c1/2,0))/2))+2*IF(circ_int,0,eq_c2/2))+(PI()*(s_0+3*s_r+IF(circ_int,eq_c1/2,0))/2))+2*IF(circ_int,0,eq_c1/2)))/(s_0+3*s_r+IF(circ_int,eq_c1/2,0)))))))))),NA())</f>
        <v/>
      </c>
      <c r="BS8">
        <f>IF(AND(AND(links_on,4&lt;=n_per),INDEX(lk_kind,4)=1,5&lt;INDEX(lk_legs,4)),g_oy+IF(((5+0.5)*(4*IF(circ_int,0,eq_c1/2)+4*IF(circ_int,0,eq_c2/2)+2*PI()*(s_0+3*s_r+IF(circ_int,eq_c1/2,0)))/INDEX(lk_legs,4))&lt;(2*IF(circ_int,0,eq_c2/2)),-IF(circ_int,0,eq_c2/2)+((5+0.5)*(4*IF(circ_int,0,eq_c1/2)+4*IF(circ_int,0,eq_c2/2)+2*PI()*(s_0+3*s_r+IF(circ_int,eq_c1/2,0)))/INDEX(lk_legs,4)),IF(((5+0.5)*(4*IF(circ_int,0,eq_c1/2)+4*IF(circ_int,0,eq_c2/2)+2*PI()*(s_0+3*s_r+IF(circ_int,eq_c1/2,0)))/INDEX(lk_legs,4))&lt;((2*IF(circ_int,0,eq_c2/2))+(PI()*(s_0+3*s_r+IF(circ_int,eq_c1/2,0))/2)),IF(circ_int,0,eq_c2/2)+(s_0+3*s_r+IF(circ_int,eq_c1/2,0))*SIN((((5+0.5)*(4*IF(circ_int,0,eq_c1/2)+4*IF(circ_int,0,eq_c2/2)+2*PI()*(s_0+3*s_r+IF(circ_int,eq_c1/2,0)))/INDEX(lk_legs,4))-(2*IF(circ_int,0,eq_c2/2)))/(s_0+3*s_r+IF(circ_int,eq_c1/2,0))),IF(((5+0.5)*(4*IF(circ_int,0,eq_c1/2)+4*IF(circ_int,0,eq_c2/2)+2*PI()*(s_0+3*s_r+IF(circ_int,eq_c1/2,0)))/INDEX(lk_legs,4))&lt;(((2*IF(circ_int,0,eq_c2/2))+(PI()*(s_0+3*s_r+IF(circ_int,eq_c1/2,0))/2))+2*IF(circ_int,0,eq_c1/2)),IF(circ_int,0,eq_c2/2)+(s_0+3*s_r+IF(circ_int,eq_c1/2,0)),IF(((5+0.5)*(4*IF(circ_int,0,eq_c1/2)+4*IF(circ_int,0,eq_c2/2)+2*PI()*(s_0+3*s_r+IF(circ_int,eq_c1/2,0)))/INDEX(lk_legs,4))&lt;((((2*IF(circ_int,0,eq_c2/2))+(PI()*(s_0+3*s_r+IF(circ_int,eq_c1/2,0))/2))+2*IF(circ_int,0,eq_c1/2))+(PI()*(s_0+3*s_r+IF(circ_int,eq_c1/2,0))/2)),IF(circ_int,0,eq_c2/2)+(s_0+3*s_r+IF(circ_int,eq_c1/2,0))*SIN(PI()/2+(((5+0.5)*(4*IF(circ_int,0,eq_c1/2)+4*IF(circ_int,0,eq_c2/2)+2*PI()*(s_0+3*s_r+IF(circ_int,eq_c1/2,0)))/INDEX(lk_legs,4))-(((2*IF(circ_int,0,eq_c2/2))+(PI()*(s_0+3*s_r+IF(circ_int,eq_c1/2,0))/2))+2*IF(circ_int,0,eq_c1/2)))/(s_0+3*s_r+IF(circ_int,eq_c1/2,0))),IF(((5+0.5)*(4*IF(circ_int,0,eq_c1/2)+4*IF(circ_int,0,eq_c2/2)+2*PI()*(s_0+3*s_r+IF(circ_int,eq_c1/2,0)))/INDEX(lk_legs,4))&lt;(((((2*IF(circ_int,0,eq_c2/2))+(PI()*(s_0+3*s_r+IF(circ_int,eq_c1/2,0))/2))+2*IF(circ_int,0,eq_c1/2))+(PI()*(s_0+3*s_r+IF(circ_int,eq_c1/2,0))/2))+2*IF(circ_int,0,eq_c2/2)),IF(circ_int,0,eq_c2/2)-(((5+0.5)*(4*IF(circ_int,0,eq_c1/2)+4*IF(circ_int,0,eq_c2/2)+2*PI()*(s_0+3*s_r+IF(circ_int,eq_c1/2,0)))/INDEX(lk_legs,4))-((((2*IF(circ_int,0,eq_c2/2))+(PI()*(s_0+3*s_r+IF(circ_int,eq_c1/2,0))/2))+2*IF(circ_int,0,eq_c1/2))+(PI()*(s_0+3*s_r+IF(circ_int,eq_c1/2,0))/2))),IF(((5+0.5)*(4*IF(circ_int,0,eq_c1/2)+4*IF(circ_int,0,eq_c2/2)+2*PI()*(s_0+3*s_r+IF(circ_int,eq_c1/2,0)))/INDEX(lk_legs,4))&lt;((((((2*IF(circ_int,0,eq_c2/2))+(PI()*(s_0+3*s_r+IF(circ_int,eq_c1/2,0))/2))+2*IF(circ_int,0,eq_c1/2))+(PI()*(s_0+3*s_r+IF(circ_int,eq_c1/2,0))/2))+2*IF(circ_int,0,eq_c2/2))+(PI()*(s_0+3*s_r+IF(circ_int,eq_c1/2,0))/2)),-IF(circ_int,0,eq_c2/2)+(s_0+3*s_r+IF(circ_int,eq_c1/2,0))*SIN(PI()+(((5+0.5)*(4*IF(circ_int,0,eq_c1/2)+4*IF(circ_int,0,eq_c2/2)+2*PI()*(s_0+3*s_r+IF(circ_int,eq_c1/2,0)))/INDEX(lk_legs,4))-(((((2*IF(circ_int,0,eq_c2/2))+(PI()*(s_0+3*s_r+IF(circ_int,eq_c1/2,0))/2))+2*IF(circ_int,0,eq_c1/2))+(PI()*(s_0+3*s_r+IF(circ_int,eq_c1/2,0))/2))+2*IF(circ_int,0,eq_c2/2)))/(s_0+3*s_r+IF(circ_int,eq_c1/2,0))),IF(((5+0.5)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(5+0.5)*(4*IF(circ_int,0,eq_c1/2)+4*IF(circ_int,0,eq_c2/2)+2*PI()*(s_0+3*s_r+IF(circ_int,eq_c1/2,0)))/INDEX(lk_legs,4))-(((((((2*IF(circ_int,0,eq_c2/2))+(PI()*(s_0+3*s_r+IF(circ_int,eq_c1/2,0))/2))+2*IF(circ_int,0,eq_c1/2))+(PI()*(s_0+3*s_r+IF(circ_int,eq_c1/2,0))/2))+2*IF(circ_int,0,eq_c2/2))+(PI()*(s_0+3*s_r+IF(circ_int,eq_c1/2,0))/2))+2*IF(circ_int,0,eq_c1/2)))/(s_0+3*s_r+IF(circ_int,eq_c1/2,0)))))))))),NA())</f>
        <v/>
      </c>
      <c r="BU8">
        <f>IF(AND(links_on,5&lt;=n_per),IF(circ_int,(g_ox)+(c_1/2+(s_0+4*s_r))*0.822984,CHOOSE(INDEX(lk_kind,5),(g_ox+eq_c1/2)+((s_0+4*s_r))*0.793353,(eq_a1+eq_c1)+((s_0+4*s_r))*0.500000,(eq_a1+eq_c1)+((s_0+4*s_r))*0.500000,(eq_a1)+((s_0+4*s_r))*-0.866025)),NA())</f>
        <v/>
      </c>
      <c r="BV8">
        <f>IF(AND(links_on,5&lt;=n_per),IF(circ_int,(g_oy)+(c_1/2+(s_0+4*s_r))*0.568065,CHOOSE(INDEX(lk_kind,5),(g_oy+eq_c2/2)+((s_0+4*s_r))*0.608761,(g_oy+eq_c2/2)+((s_0+4*s_r))*0.866025,(eq_a2+eq_c2)+((s_0+4*s_r))*0.866025,(eq_a2+eq_c2)+((s_0+4*s_r))*0.500000)),NA())</f>
        <v/>
      </c>
      <c r="BX8">
        <f>IF(AND(AND(links_on,5&lt;=n_per),INDEX(lk_kind,5)=1,5&lt;INDEX(lk_legs,5)),g_ox+IF(((5+0.5)*(4*IF(circ_int,0,eq_c1/2)+4*IF(circ_int,0,eq_c2/2)+2*PI()*(s_0+4*s_r+IF(circ_int,eq_c1/2,0)))/INDEX(lk_legs,5))&lt;(2*IF(circ_int,0,eq_c2/2)),IF(circ_int,0,eq_c1/2)+(s_0+4*s_r+IF(circ_int,eq_c1/2,0)),IF(((5+0.5)*(4*IF(circ_int,0,eq_c1/2)+4*IF(circ_int,0,eq_c2/2)+2*PI()*(s_0+4*s_r+IF(circ_int,eq_c1/2,0)))/INDEX(lk_legs,5))&lt;((2*IF(circ_int,0,eq_c2/2))+(PI()*(s_0+4*s_r+IF(circ_int,eq_c1/2,0))/2)),IF(circ_int,0,eq_c1/2)+(s_0+4*s_r+IF(circ_int,eq_c1/2,0))*COS((((5+0.5)*(4*IF(circ_int,0,eq_c1/2)+4*IF(circ_int,0,eq_c2/2)+2*PI()*(s_0+4*s_r+IF(circ_int,eq_c1/2,0)))/INDEX(lk_legs,5))-(2*IF(circ_int,0,eq_c2/2)))/(s_0+4*s_r+IF(circ_int,eq_c1/2,0))),IF(((5+0.5)*(4*IF(circ_int,0,eq_c1/2)+4*IF(circ_int,0,eq_c2/2)+2*PI()*(s_0+4*s_r+IF(circ_int,eq_c1/2,0)))/INDEX(lk_legs,5))&lt;(((2*IF(circ_int,0,eq_c2/2))+(PI()*(s_0+4*s_r+IF(circ_int,eq_c1/2,0))/2))+2*IF(circ_int,0,eq_c1/2)),IF(circ_int,0,eq_c1/2)-(((5+0.5)*(4*IF(circ_int,0,eq_c1/2)+4*IF(circ_int,0,eq_c2/2)+2*PI()*(s_0+4*s_r+IF(circ_int,eq_c1/2,0)))/INDEX(lk_legs,5))-((2*IF(circ_int,0,eq_c2/2))+(PI()*(s_0+4*s_r+IF(circ_int,eq_c1/2,0))/2))),IF(((5+0.5)*(4*IF(circ_int,0,eq_c1/2)+4*IF(circ_int,0,eq_c2/2)+2*PI()*(s_0+4*s_r+IF(circ_int,eq_c1/2,0)))/INDEX(lk_legs,5))&lt;((((2*IF(circ_int,0,eq_c2/2))+(PI()*(s_0+4*s_r+IF(circ_int,eq_c1/2,0))/2))+2*IF(circ_int,0,eq_c1/2))+(PI()*(s_0+4*s_r+IF(circ_int,eq_c1/2,0))/2)),-IF(circ_int,0,eq_c1/2)+(s_0+4*s_r+IF(circ_int,eq_c1/2,0))*COS(PI()/2+(((5+0.5)*(4*IF(circ_int,0,eq_c1/2)+4*IF(circ_int,0,eq_c2/2)+2*PI()*(s_0+4*s_r+IF(circ_int,eq_c1/2,0)))/INDEX(lk_legs,5))-(((2*IF(circ_int,0,eq_c2/2))+(PI()*(s_0+4*s_r+IF(circ_int,eq_c1/2,0))/2))+2*IF(circ_int,0,eq_c1/2)))/(s_0+4*s_r+IF(circ_int,eq_c1/2,0))),IF(((5+0.5)*(4*IF(circ_int,0,eq_c1/2)+4*IF(circ_int,0,eq_c2/2)+2*PI()*(s_0+4*s_r+IF(circ_int,eq_c1/2,0)))/INDEX(lk_legs,5))&lt;(((((2*IF(circ_int,0,eq_c2/2))+(PI()*(s_0+4*s_r+IF(circ_int,eq_c1/2,0))/2))+2*IF(circ_int,0,eq_c1/2))+(PI()*(s_0+4*s_r+IF(circ_int,eq_c1/2,0))/2))+2*IF(circ_int,0,eq_c2/2)),-IF(circ_int,0,eq_c1/2)-(s_0+4*s_r+IF(circ_int,eq_c1/2,0)),IF(((5+0.5)*(4*IF(circ_int,0,eq_c1/2)+4*IF(circ_int,0,eq_c2/2)+2*PI()*(s_0+4*s_r+IF(circ_int,eq_c1/2,0)))/INDEX(lk_legs,5))&lt;((((((2*IF(circ_int,0,eq_c2/2))+(PI()*(s_0+4*s_r+IF(circ_int,eq_c1/2,0))/2))+2*IF(circ_int,0,eq_c1/2))+(PI()*(s_0+4*s_r+IF(circ_int,eq_c1/2,0))/2))+2*IF(circ_int,0,eq_c2/2))+(PI()*(s_0+4*s_r+IF(circ_int,eq_c1/2,0))/2)),-IF(circ_int,0,eq_c1/2)+(s_0+4*s_r+IF(circ_int,eq_c1/2,0))*COS(PI()+(((5+0.5)*(4*IF(circ_int,0,eq_c1/2)+4*IF(circ_int,0,eq_c2/2)+2*PI()*(s_0+4*s_r+IF(circ_int,eq_c1/2,0)))/INDEX(lk_legs,5))-(((((2*IF(circ_int,0,eq_c2/2))+(PI()*(s_0+4*s_r+IF(circ_int,eq_c1/2,0))/2))+2*IF(circ_int,0,eq_c1/2))+(PI()*(s_0+4*s_r+IF(circ_int,eq_c1/2,0))/2))+2*IF(circ_int,0,eq_c2/2)))/(s_0+4*s_r+IF(circ_int,eq_c1/2,0))),IF(((5+0.5)*(4*IF(circ_int,0,eq_c1/2)+4*IF(circ_int,0,eq_c2/2)+2*PI()*(s_0+4*s_r+IF(circ_int,eq_c1/2,0)))/INDEX(lk_legs,5))&lt;(((((((2*IF(circ_int,0,eq_c2/2))+(PI()*(s_0+4*s_r+IF(circ_int,eq_c1/2,0))/2))+2*IF(circ_int,0,eq_c1/2))+(PI()*(s_0+4*s_r+IF(circ_int,eq_c1/2,0))/2))+2*IF(circ_int,0,eq_c2/2))+(PI()*(s_0+4*s_r+IF(circ_int,eq_c1/2,0))/2))+2*IF(circ_int,0,eq_c1/2)),-IF(circ_int,0,eq_c1/2)+(((5+0.5)*(4*IF(circ_int,0,eq_c1/2)+4*IF(circ_int,0,eq_c2/2)+2*PI()*(s_0+4*s_r+IF(circ_int,eq_c1/2,0)))/INDEX(lk_legs,5))-((((((2*IF(circ_int,0,eq_c2/2))+(PI()*(s_0+4*s_r+IF(circ_int,eq_c1/2,0))/2))+2*IF(circ_int,0,eq_c1/2))+(PI()*(s_0+4*s_r+IF(circ_int,eq_c1/2,0))/2))+2*IF(circ_int,0,eq_c2/2))+(PI()*(s_0+4*s_r+IF(circ_int,eq_c1/2,0))/2))),IF(circ_int,0,eq_c1/2)+(s_0+4*s_r+IF(circ_int,eq_c1/2,0))*COS(3*PI()/2+(((5+0.5)*(4*IF(circ_int,0,eq_c1/2)+4*IF(circ_int,0,eq_c2/2)+2*PI()*(s_0+4*s_r+IF(circ_int,eq_c1/2,0)))/INDEX(lk_legs,5))-(((((((2*IF(circ_int,0,eq_c2/2))+(PI()*(s_0+4*s_r+IF(circ_int,eq_c1/2,0))/2))+2*IF(circ_int,0,eq_c1/2))+(PI()*(s_0+4*s_r+IF(circ_int,eq_c1/2,0))/2))+2*IF(circ_int,0,eq_c2/2))+(PI()*(s_0+4*s_r+IF(circ_int,eq_c1/2,0))/2))+2*IF(circ_int,0,eq_c1/2)))/(s_0+4*s_r+IF(circ_int,eq_c1/2,0)))))))))),NA())</f>
        <v/>
      </c>
      <c r="BY8">
        <f>IF(AND(AND(links_on,5&lt;=n_per),INDEX(lk_kind,5)=1,5&lt;INDEX(lk_legs,5)),g_oy+IF(((5+0.5)*(4*IF(circ_int,0,eq_c1/2)+4*IF(circ_int,0,eq_c2/2)+2*PI()*(s_0+4*s_r+IF(circ_int,eq_c1/2,0)))/INDEX(lk_legs,5))&lt;(2*IF(circ_int,0,eq_c2/2)),-IF(circ_int,0,eq_c2/2)+((5+0.5)*(4*IF(circ_int,0,eq_c1/2)+4*IF(circ_int,0,eq_c2/2)+2*PI()*(s_0+4*s_r+IF(circ_int,eq_c1/2,0)))/INDEX(lk_legs,5)),IF(((5+0.5)*(4*IF(circ_int,0,eq_c1/2)+4*IF(circ_int,0,eq_c2/2)+2*PI()*(s_0+4*s_r+IF(circ_int,eq_c1/2,0)))/INDEX(lk_legs,5))&lt;((2*IF(circ_int,0,eq_c2/2))+(PI()*(s_0+4*s_r+IF(circ_int,eq_c1/2,0))/2)),IF(circ_int,0,eq_c2/2)+(s_0+4*s_r+IF(circ_int,eq_c1/2,0))*SIN((((5+0.5)*(4*IF(circ_int,0,eq_c1/2)+4*IF(circ_int,0,eq_c2/2)+2*PI()*(s_0+4*s_r+IF(circ_int,eq_c1/2,0)))/INDEX(lk_legs,5))-(2*IF(circ_int,0,eq_c2/2)))/(s_0+4*s_r+IF(circ_int,eq_c1/2,0))),IF(((5+0.5)*(4*IF(circ_int,0,eq_c1/2)+4*IF(circ_int,0,eq_c2/2)+2*PI()*(s_0+4*s_r+IF(circ_int,eq_c1/2,0)))/INDEX(lk_legs,5))&lt;(((2*IF(circ_int,0,eq_c2/2))+(PI()*(s_0+4*s_r+IF(circ_int,eq_c1/2,0))/2))+2*IF(circ_int,0,eq_c1/2)),IF(circ_int,0,eq_c2/2)+(s_0+4*s_r+IF(circ_int,eq_c1/2,0)),IF(((5+0.5)*(4*IF(circ_int,0,eq_c1/2)+4*IF(circ_int,0,eq_c2/2)+2*PI()*(s_0+4*s_r+IF(circ_int,eq_c1/2,0)))/INDEX(lk_legs,5))&lt;((((2*IF(circ_int,0,eq_c2/2))+(PI()*(s_0+4*s_r+IF(circ_int,eq_c1/2,0))/2))+2*IF(circ_int,0,eq_c1/2))+(PI()*(s_0+4*s_r+IF(circ_int,eq_c1/2,0))/2)),IF(circ_int,0,eq_c2/2)+(s_0+4*s_r+IF(circ_int,eq_c1/2,0))*SIN(PI()/2+(((5+0.5)*(4*IF(circ_int,0,eq_c1/2)+4*IF(circ_int,0,eq_c2/2)+2*PI()*(s_0+4*s_r+IF(circ_int,eq_c1/2,0)))/INDEX(lk_legs,5))-(((2*IF(circ_int,0,eq_c2/2))+(PI()*(s_0+4*s_r+IF(circ_int,eq_c1/2,0))/2))+2*IF(circ_int,0,eq_c1/2)))/(s_0+4*s_r+IF(circ_int,eq_c1/2,0))),IF(((5+0.5)*(4*IF(circ_int,0,eq_c1/2)+4*IF(circ_int,0,eq_c2/2)+2*PI()*(s_0+4*s_r+IF(circ_int,eq_c1/2,0)))/INDEX(lk_legs,5))&lt;(((((2*IF(circ_int,0,eq_c2/2))+(PI()*(s_0+4*s_r+IF(circ_int,eq_c1/2,0))/2))+2*IF(circ_int,0,eq_c1/2))+(PI()*(s_0+4*s_r+IF(circ_int,eq_c1/2,0))/2))+2*IF(circ_int,0,eq_c2/2)),IF(circ_int,0,eq_c2/2)-(((5+0.5)*(4*IF(circ_int,0,eq_c1/2)+4*IF(circ_int,0,eq_c2/2)+2*PI()*(s_0+4*s_r+IF(circ_int,eq_c1/2,0)))/INDEX(lk_legs,5))-((((2*IF(circ_int,0,eq_c2/2))+(PI()*(s_0+4*s_r+IF(circ_int,eq_c1/2,0))/2))+2*IF(circ_int,0,eq_c1/2))+(PI()*(s_0+4*s_r+IF(circ_int,eq_c1/2,0))/2))),IF(((5+0.5)*(4*IF(circ_int,0,eq_c1/2)+4*IF(circ_int,0,eq_c2/2)+2*PI()*(s_0+4*s_r+IF(circ_int,eq_c1/2,0)))/INDEX(lk_legs,5))&lt;((((((2*IF(circ_int,0,eq_c2/2))+(PI()*(s_0+4*s_r+IF(circ_int,eq_c1/2,0))/2))+2*IF(circ_int,0,eq_c1/2))+(PI()*(s_0+4*s_r+IF(circ_int,eq_c1/2,0))/2))+2*IF(circ_int,0,eq_c2/2))+(PI()*(s_0+4*s_r+IF(circ_int,eq_c1/2,0))/2)),-IF(circ_int,0,eq_c2/2)+(s_0+4*s_r+IF(circ_int,eq_c1/2,0))*SIN(PI()+(((5+0.5)*(4*IF(circ_int,0,eq_c1/2)+4*IF(circ_int,0,eq_c2/2)+2*PI()*(s_0+4*s_r+IF(circ_int,eq_c1/2,0)))/INDEX(lk_legs,5))-(((((2*IF(circ_int,0,eq_c2/2))+(PI()*(s_0+4*s_r+IF(circ_int,eq_c1/2,0))/2))+2*IF(circ_int,0,eq_c1/2))+(PI()*(s_0+4*s_r+IF(circ_int,eq_c1/2,0))/2))+2*IF(circ_int,0,eq_c2/2)))/(s_0+4*s_r+IF(circ_int,eq_c1/2,0))),IF(((5+0.5)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(5+0.5)*(4*IF(circ_int,0,eq_c1/2)+4*IF(circ_int,0,eq_c2/2)+2*PI()*(s_0+4*s_r+IF(circ_int,eq_c1/2,0)))/INDEX(lk_legs,5))-(((((((2*IF(circ_int,0,eq_c2/2))+(PI()*(s_0+4*s_r+IF(circ_int,eq_c1/2,0))/2))+2*IF(circ_int,0,eq_c1/2))+(PI()*(s_0+4*s_r+IF(circ_int,eq_c1/2,0))/2))+2*IF(circ_int,0,eq_c2/2))+(PI()*(s_0+4*s_r+IF(circ_int,eq_c1/2,0))/2))+2*IF(circ_int,0,eq_c1/2)))/(s_0+4*s_r+IF(circ_int,eq_c1/2,0)))))))))),NA())</f>
        <v/>
      </c>
      <c r="CA8">
        <f>IF(AND(links_on,6&lt;=n_per),IF(circ_int,(g_ox)+(c_1/2+(s_0+5*s_r))*0.822984,CHOOSE(INDEX(lk_kind,6),(g_ox+eq_c1/2)+((s_0+5*s_r))*0.793353,(eq_a1+eq_c1)+((s_0+5*s_r))*0.500000,(eq_a1+eq_c1)+((s_0+5*s_r))*0.500000,(eq_a1)+((s_0+5*s_r))*-0.866025)),NA())</f>
        <v/>
      </c>
      <c r="CB8">
        <f>IF(AND(links_on,6&lt;=n_per),IF(circ_int,(g_oy)+(c_1/2+(s_0+5*s_r))*0.568065,CHOOSE(INDEX(lk_kind,6),(g_oy+eq_c2/2)+((s_0+5*s_r))*0.608761,(g_oy+eq_c2/2)+((s_0+5*s_r))*0.866025,(eq_a2+eq_c2)+((s_0+5*s_r))*0.866025,(eq_a2+eq_c2)+((s_0+5*s_r))*0.500000)),NA())</f>
        <v/>
      </c>
      <c r="CD8">
        <f>IF(AND(AND(links_on,6&lt;=n_per),INDEX(lk_kind,6)=1,5&lt;INDEX(lk_legs,6)),g_ox+IF(((5+0.5)*(4*IF(circ_int,0,eq_c1/2)+4*IF(circ_int,0,eq_c2/2)+2*PI()*(s_0+5*s_r+IF(circ_int,eq_c1/2,0)))/INDEX(lk_legs,6))&lt;(2*IF(circ_int,0,eq_c2/2)),IF(circ_int,0,eq_c1/2)+(s_0+5*s_r+IF(circ_int,eq_c1/2,0)),IF(((5+0.5)*(4*IF(circ_int,0,eq_c1/2)+4*IF(circ_int,0,eq_c2/2)+2*PI()*(s_0+5*s_r+IF(circ_int,eq_c1/2,0)))/INDEX(lk_legs,6))&lt;((2*IF(circ_int,0,eq_c2/2))+(PI()*(s_0+5*s_r+IF(circ_int,eq_c1/2,0))/2)),IF(circ_int,0,eq_c1/2)+(s_0+5*s_r+IF(circ_int,eq_c1/2,0))*COS((((5+0.5)*(4*IF(circ_int,0,eq_c1/2)+4*IF(circ_int,0,eq_c2/2)+2*PI()*(s_0+5*s_r+IF(circ_int,eq_c1/2,0)))/INDEX(lk_legs,6))-(2*IF(circ_int,0,eq_c2/2)))/(s_0+5*s_r+IF(circ_int,eq_c1/2,0))),IF(((5+0.5)*(4*IF(circ_int,0,eq_c1/2)+4*IF(circ_int,0,eq_c2/2)+2*PI()*(s_0+5*s_r+IF(circ_int,eq_c1/2,0)))/INDEX(lk_legs,6))&lt;(((2*IF(circ_int,0,eq_c2/2))+(PI()*(s_0+5*s_r+IF(circ_int,eq_c1/2,0))/2))+2*IF(circ_int,0,eq_c1/2)),IF(circ_int,0,eq_c1/2)-(((5+0.5)*(4*IF(circ_int,0,eq_c1/2)+4*IF(circ_int,0,eq_c2/2)+2*PI()*(s_0+5*s_r+IF(circ_int,eq_c1/2,0)))/INDEX(lk_legs,6))-((2*IF(circ_int,0,eq_c2/2))+(PI()*(s_0+5*s_r+IF(circ_int,eq_c1/2,0))/2))),IF(((5+0.5)*(4*IF(circ_int,0,eq_c1/2)+4*IF(circ_int,0,eq_c2/2)+2*PI()*(s_0+5*s_r+IF(circ_int,eq_c1/2,0)))/INDEX(lk_legs,6))&lt;((((2*IF(circ_int,0,eq_c2/2))+(PI()*(s_0+5*s_r+IF(circ_int,eq_c1/2,0))/2))+2*IF(circ_int,0,eq_c1/2))+(PI()*(s_0+5*s_r+IF(circ_int,eq_c1/2,0))/2)),-IF(circ_int,0,eq_c1/2)+(s_0+5*s_r+IF(circ_int,eq_c1/2,0))*COS(PI()/2+(((5+0.5)*(4*IF(circ_int,0,eq_c1/2)+4*IF(circ_int,0,eq_c2/2)+2*PI()*(s_0+5*s_r+IF(circ_int,eq_c1/2,0)))/INDEX(lk_legs,6))-(((2*IF(circ_int,0,eq_c2/2))+(PI()*(s_0+5*s_r+IF(circ_int,eq_c1/2,0))/2))+2*IF(circ_int,0,eq_c1/2)))/(s_0+5*s_r+IF(circ_int,eq_c1/2,0))),IF(((5+0.5)*(4*IF(circ_int,0,eq_c1/2)+4*IF(circ_int,0,eq_c2/2)+2*PI()*(s_0+5*s_r+IF(circ_int,eq_c1/2,0)))/INDEX(lk_legs,6))&lt;(((((2*IF(circ_int,0,eq_c2/2))+(PI()*(s_0+5*s_r+IF(circ_int,eq_c1/2,0))/2))+2*IF(circ_int,0,eq_c1/2))+(PI()*(s_0+5*s_r+IF(circ_int,eq_c1/2,0))/2))+2*IF(circ_int,0,eq_c2/2)),-IF(circ_int,0,eq_c1/2)-(s_0+5*s_r+IF(circ_int,eq_c1/2,0)),IF(((5+0.5)*(4*IF(circ_int,0,eq_c1/2)+4*IF(circ_int,0,eq_c2/2)+2*PI()*(s_0+5*s_r+IF(circ_int,eq_c1/2,0)))/INDEX(lk_legs,6))&lt;((((((2*IF(circ_int,0,eq_c2/2))+(PI()*(s_0+5*s_r+IF(circ_int,eq_c1/2,0))/2))+2*IF(circ_int,0,eq_c1/2))+(PI()*(s_0+5*s_r+IF(circ_int,eq_c1/2,0))/2))+2*IF(circ_int,0,eq_c2/2))+(PI()*(s_0+5*s_r+IF(circ_int,eq_c1/2,0))/2)),-IF(circ_int,0,eq_c1/2)+(s_0+5*s_r+IF(circ_int,eq_c1/2,0))*COS(PI()+(((5+0.5)*(4*IF(circ_int,0,eq_c1/2)+4*IF(circ_int,0,eq_c2/2)+2*PI()*(s_0+5*s_r+IF(circ_int,eq_c1/2,0)))/INDEX(lk_legs,6))-(((((2*IF(circ_int,0,eq_c2/2))+(PI()*(s_0+5*s_r+IF(circ_int,eq_c1/2,0))/2))+2*IF(circ_int,0,eq_c1/2))+(PI()*(s_0+5*s_r+IF(circ_int,eq_c1/2,0))/2))+2*IF(circ_int,0,eq_c2/2)))/(s_0+5*s_r+IF(circ_int,eq_c1/2,0))),IF(((5+0.5)*(4*IF(circ_int,0,eq_c1/2)+4*IF(circ_int,0,eq_c2/2)+2*PI()*(s_0+5*s_r+IF(circ_int,eq_c1/2,0)))/INDEX(lk_legs,6))&lt;(((((((2*IF(circ_int,0,eq_c2/2))+(PI()*(s_0+5*s_r+IF(circ_int,eq_c1/2,0))/2))+2*IF(circ_int,0,eq_c1/2))+(PI()*(s_0+5*s_r+IF(circ_int,eq_c1/2,0))/2))+2*IF(circ_int,0,eq_c2/2))+(PI()*(s_0+5*s_r+IF(circ_int,eq_c1/2,0))/2))+2*IF(circ_int,0,eq_c1/2)),-IF(circ_int,0,eq_c1/2)+(((5+0.5)*(4*IF(circ_int,0,eq_c1/2)+4*IF(circ_int,0,eq_c2/2)+2*PI()*(s_0+5*s_r+IF(circ_int,eq_c1/2,0)))/INDEX(lk_legs,6))-((((((2*IF(circ_int,0,eq_c2/2))+(PI()*(s_0+5*s_r+IF(circ_int,eq_c1/2,0))/2))+2*IF(circ_int,0,eq_c1/2))+(PI()*(s_0+5*s_r+IF(circ_int,eq_c1/2,0))/2))+2*IF(circ_int,0,eq_c2/2))+(PI()*(s_0+5*s_r+IF(circ_int,eq_c1/2,0))/2))),IF(circ_int,0,eq_c1/2)+(s_0+5*s_r+IF(circ_int,eq_c1/2,0))*COS(3*PI()/2+(((5+0.5)*(4*IF(circ_int,0,eq_c1/2)+4*IF(circ_int,0,eq_c2/2)+2*PI()*(s_0+5*s_r+IF(circ_int,eq_c1/2,0)))/INDEX(lk_legs,6))-(((((((2*IF(circ_int,0,eq_c2/2))+(PI()*(s_0+5*s_r+IF(circ_int,eq_c1/2,0))/2))+2*IF(circ_int,0,eq_c1/2))+(PI()*(s_0+5*s_r+IF(circ_int,eq_c1/2,0))/2))+2*IF(circ_int,0,eq_c2/2))+(PI()*(s_0+5*s_r+IF(circ_int,eq_c1/2,0))/2))+2*IF(circ_int,0,eq_c1/2)))/(s_0+5*s_r+IF(circ_int,eq_c1/2,0)))))))))),NA())</f>
        <v/>
      </c>
      <c r="CE8">
        <f>IF(AND(AND(links_on,6&lt;=n_per),INDEX(lk_kind,6)=1,5&lt;INDEX(lk_legs,6)),g_oy+IF(((5+0.5)*(4*IF(circ_int,0,eq_c1/2)+4*IF(circ_int,0,eq_c2/2)+2*PI()*(s_0+5*s_r+IF(circ_int,eq_c1/2,0)))/INDEX(lk_legs,6))&lt;(2*IF(circ_int,0,eq_c2/2)),-IF(circ_int,0,eq_c2/2)+((5+0.5)*(4*IF(circ_int,0,eq_c1/2)+4*IF(circ_int,0,eq_c2/2)+2*PI()*(s_0+5*s_r+IF(circ_int,eq_c1/2,0)))/INDEX(lk_legs,6)),IF(((5+0.5)*(4*IF(circ_int,0,eq_c1/2)+4*IF(circ_int,0,eq_c2/2)+2*PI()*(s_0+5*s_r+IF(circ_int,eq_c1/2,0)))/INDEX(lk_legs,6))&lt;((2*IF(circ_int,0,eq_c2/2))+(PI()*(s_0+5*s_r+IF(circ_int,eq_c1/2,0))/2)),IF(circ_int,0,eq_c2/2)+(s_0+5*s_r+IF(circ_int,eq_c1/2,0))*SIN((((5+0.5)*(4*IF(circ_int,0,eq_c1/2)+4*IF(circ_int,0,eq_c2/2)+2*PI()*(s_0+5*s_r+IF(circ_int,eq_c1/2,0)))/INDEX(lk_legs,6))-(2*IF(circ_int,0,eq_c2/2)))/(s_0+5*s_r+IF(circ_int,eq_c1/2,0))),IF(((5+0.5)*(4*IF(circ_int,0,eq_c1/2)+4*IF(circ_int,0,eq_c2/2)+2*PI()*(s_0+5*s_r+IF(circ_int,eq_c1/2,0)))/INDEX(lk_legs,6))&lt;(((2*IF(circ_int,0,eq_c2/2))+(PI()*(s_0+5*s_r+IF(circ_int,eq_c1/2,0))/2))+2*IF(circ_int,0,eq_c1/2)),IF(circ_int,0,eq_c2/2)+(s_0+5*s_r+IF(circ_int,eq_c1/2,0)),IF(((5+0.5)*(4*IF(circ_int,0,eq_c1/2)+4*IF(circ_int,0,eq_c2/2)+2*PI()*(s_0+5*s_r+IF(circ_int,eq_c1/2,0)))/INDEX(lk_legs,6))&lt;((((2*IF(circ_int,0,eq_c2/2))+(PI()*(s_0+5*s_r+IF(circ_int,eq_c1/2,0))/2))+2*IF(circ_int,0,eq_c1/2))+(PI()*(s_0+5*s_r+IF(circ_int,eq_c1/2,0))/2)),IF(circ_int,0,eq_c2/2)+(s_0+5*s_r+IF(circ_int,eq_c1/2,0))*SIN(PI()/2+(((5+0.5)*(4*IF(circ_int,0,eq_c1/2)+4*IF(circ_int,0,eq_c2/2)+2*PI()*(s_0+5*s_r+IF(circ_int,eq_c1/2,0)))/INDEX(lk_legs,6))-(((2*IF(circ_int,0,eq_c2/2))+(PI()*(s_0+5*s_r+IF(circ_int,eq_c1/2,0))/2))+2*IF(circ_int,0,eq_c1/2)))/(s_0+5*s_r+IF(circ_int,eq_c1/2,0))),IF(((5+0.5)*(4*IF(circ_int,0,eq_c1/2)+4*IF(circ_int,0,eq_c2/2)+2*PI()*(s_0+5*s_r+IF(circ_int,eq_c1/2,0)))/INDEX(lk_legs,6))&lt;(((((2*IF(circ_int,0,eq_c2/2))+(PI()*(s_0+5*s_r+IF(circ_int,eq_c1/2,0))/2))+2*IF(circ_int,0,eq_c1/2))+(PI()*(s_0+5*s_r+IF(circ_int,eq_c1/2,0))/2))+2*IF(circ_int,0,eq_c2/2)),IF(circ_int,0,eq_c2/2)-(((5+0.5)*(4*IF(circ_int,0,eq_c1/2)+4*IF(circ_int,0,eq_c2/2)+2*PI()*(s_0+5*s_r+IF(circ_int,eq_c1/2,0)))/INDEX(lk_legs,6))-((((2*IF(circ_int,0,eq_c2/2))+(PI()*(s_0+5*s_r+IF(circ_int,eq_c1/2,0))/2))+2*IF(circ_int,0,eq_c1/2))+(PI()*(s_0+5*s_r+IF(circ_int,eq_c1/2,0))/2))),IF(((5+0.5)*(4*IF(circ_int,0,eq_c1/2)+4*IF(circ_int,0,eq_c2/2)+2*PI()*(s_0+5*s_r+IF(circ_int,eq_c1/2,0)))/INDEX(lk_legs,6))&lt;((((((2*IF(circ_int,0,eq_c2/2))+(PI()*(s_0+5*s_r+IF(circ_int,eq_c1/2,0))/2))+2*IF(circ_int,0,eq_c1/2))+(PI()*(s_0+5*s_r+IF(circ_int,eq_c1/2,0))/2))+2*IF(circ_int,0,eq_c2/2))+(PI()*(s_0+5*s_r+IF(circ_int,eq_c1/2,0))/2)),-IF(circ_int,0,eq_c2/2)+(s_0+5*s_r+IF(circ_int,eq_c1/2,0))*SIN(PI()+(((5+0.5)*(4*IF(circ_int,0,eq_c1/2)+4*IF(circ_int,0,eq_c2/2)+2*PI()*(s_0+5*s_r+IF(circ_int,eq_c1/2,0)))/INDEX(lk_legs,6))-(((((2*IF(circ_int,0,eq_c2/2))+(PI()*(s_0+5*s_r+IF(circ_int,eq_c1/2,0))/2))+2*IF(circ_int,0,eq_c1/2))+(PI()*(s_0+5*s_r+IF(circ_int,eq_c1/2,0))/2))+2*IF(circ_int,0,eq_c2/2)))/(s_0+5*s_r+IF(circ_int,eq_c1/2,0))),IF(((5+0.5)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(5+0.5)*(4*IF(circ_int,0,eq_c1/2)+4*IF(circ_int,0,eq_c2/2)+2*PI()*(s_0+5*s_r+IF(circ_int,eq_c1/2,0)))/INDEX(lk_legs,6))-(((((((2*IF(circ_int,0,eq_c2/2))+(PI()*(s_0+5*s_r+IF(circ_int,eq_c1/2,0))/2))+2*IF(circ_int,0,eq_c1/2))+(PI()*(s_0+5*s_r+IF(circ_int,eq_c1/2,0))/2))+2*IF(circ_int,0,eq_c2/2))+(PI()*(s_0+5*s_r+IF(circ_int,eq_c1/2,0))/2))+2*IF(circ_int,0,eq_c1/2)))/(s_0+5*s_r+IF(circ_int,eq_c1/2,0)))))))))),NA())</f>
        <v/>
      </c>
      <c r="CG8">
        <f>IF(AND(links_on,7&lt;=n_per),IF(circ_int,(g_ox)+(c_1/2+(s_0+6*s_r))*0.822984,CHOOSE(INDEX(lk_kind,7),(g_ox+eq_c1/2)+((s_0+6*s_r))*0.793353,(eq_a1+eq_c1)+((s_0+6*s_r))*0.500000,(eq_a1+eq_c1)+((s_0+6*s_r))*0.500000,(eq_a1)+((s_0+6*s_r))*-0.866025)),NA())</f>
        <v/>
      </c>
      <c r="CH8">
        <f>IF(AND(links_on,7&lt;=n_per),IF(circ_int,(g_oy)+(c_1/2+(s_0+6*s_r))*0.568065,CHOOSE(INDEX(lk_kind,7),(g_oy+eq_c2/2)+((s_0+6*s_r))*0.608761,(g_oy+eq_c2/2)+((s_0+6*s_r))*0.866025,(eq_a2+eq_c2)+((s_0+6*s_r))*0.866025,(eq_a2+eq_c2)+((s_0+6*s_r))*0.500000)),NA())</f>
        <v/>
      </c>
      <c r="CJ8">
        <f>IF(AND(AND(links_on,7&lt;=n_per),INDEX(lk_kind,7)=1,5&lt;INDEX(lk_legs,7)),g_ox+IF(((5+0.5)*(4*IF(circ_int,0,eq_c1/2)+4*IF(circ_int,0,eq_c2/2)+2*PI()*(s_0+6*s_r+IF(circ_int,eq_c1/2,0)))/INDEX(lk_legs,7))&lt;(2*IF(circ_int,0,eq_c2/2)),IF(circ_int,0,eq_c1/2)+(s_0+6*s_r+IF(circ_int,eq_c1/2,0)),IF(((5+0.5)*(4*IF(circ_int,0,eq_c1/2)+4*IF(circ_int,0,eq_c2/2)+2*PI()*(s_0+6*s_r+IF(circ_int,eq_c1/2,0)))/INDEX(lk_legs,7))&lt;((2*IF(circ_int,0,eq_c2/2))+(PI()*(s_0+6*s_r+IF(circ_int,eq_c1/2,0))/2)),IF(circ_int,0,eq_c1/2)+(s_0+6*s_r+IF(circ_int,eq_c1/2,0))*COS((((5+0.5)*(4*IF(circ_int,0,eq_c1/2)+4*IF(circ_int,0,eq_c2/2)+2*PI()*(s_0+6*s_r+IF(circ_int,eq_c1/2,0)))/INDEX(lk_legs,7))-(2*IF(circ_int,0,eq_c2/2)))/(s_0+6*s_r+IF(circ_int,eq_c1/2,0))),IF(((5+0.5)*(4*IF(circ_int,0,eq_c1/2)+4*IF(circ_int,0,eq_c2/2)+2*PI()*(s_0+6*s_r+IF(circ_int,eq_c1/2,0)))/INDEX(lk_legs,7))&lt;(((2*IF(circ_int,0,eq_c2/2))+(PI()*(s_0+6*s_r+IF(circ_int,eq_c1/2,0))/2))+2*IF(circ_int,0,eq_c1/2)),IF(circ_int,0,eq_c1/2)-(((5+0.5)*(4*IF(circ_int,0,eq_c1/2)+4*IF(circ_int,0,eq_c2/2)+2*PI()*(s_0+6*s_r+IF(circ_int,eq_c1/2,0)))/INDEX(lk_legs,7))-((2*IF(circ_int,0,eq_c2/2))+(PI()*(s_0+6*s_r+IF(circ_int,eq_c1/2,0))/2))),IF(((5+0.5)*(4*IF(circ_int,0,eq_c1/2)+4*IF(circ_int,0,eq_c2/2)+2*PI()*(s_0+6*s_r+IF(circ_int,eq_c1/2,0)))/INDEX(lk_legs,7))&lt;((((2*IF(circ_int,0,eq_c2/2))+(PI()*(s_0+6*s_r+IF(circ_int,eq_c1/2,0))/2))+2*IF(circ_int,0,eq_c1/2))+(PI()*(s_0+6*s_r+IF(circ_int,eq_c1/2,0))/2)),-IF(circ_int,0,eq_c1/2)+(s_0+6*s_r+IF(circ_int,eq_c1/2,0))*COS(PI()/2+(((5+0.5)*(4*IF(circ_int,0,eq_c1/2)+4*IF(circ_int,0,eq_c2/2)+2*PI()*(s_0+6*s_r+IF(circ_int,eq_c1/2,0)))/INDEX(lk_legs,7))-(((2*IF(circ_int,0,eq_c2/2))+(PI()*(s_0+6*s_r+IF(circ_int,eq_c1/2,0))/2))+2*IF(circ_int,0,eq_c1/2)))/(s_0+6*s_r+IF(circ_int,eq_c1/2,0))),IF(((5+0.5)*(4*IF(circ_int,0,eq_c1/2)+4*IF(circ_int,0,eq_c2/2)+2*PI()*(s_0+6*s_r+IF(circ_int,eq_c1/2,0)))/INDEX(lk_legs,7))&lt;(((((2*IF(circ_int,0,eq_c2/2))+(PI()*(s_0+6*s_r+IF(circ_int,eq_c1/2,0))/2))+2*IF(circ_int,0,eq_c1/2))+(PI()*(s_0+6*s_r+IF(circ_int,eq_c1/2,0))/2))+2*IF(circ_int,0,eq_c2/2)),-IF(circ_int,0,eq_c1/2)-(s_0+6*s_r+IF(circ_int,eq_c1/2,0)),IF(((5+0.5)*(4*IF(circ_int,0,eq_c1/2)+4*IF(circ_int,0,eq_c2/2)+2*PI()*(s_0+6*s_r+IF(circ_int,eq_c1/2,0)))/INDEX(lk_legs,7))&lt;((((((2*IF(circ_int,0,eq_c2/2))+(PI()*(s_0+6*s_r+IF(circ_int,eq_c1/2,0))/2))+2*IF(circ_int,0,eq_c1/2))+(PI()*(s_0+6*s_r+IF(circ_int,eq_c1/2,0))/2))+2*IF(circ_int,0,eq_c2/2))+(PI()*(s_0+6*s_r+IF(circ_int,eq_c1/2,0))/2)),-IF(circ_int,0,eq_c1/2)+(s_0+6*s_r+IF(circ_int,eq_c1/2,0))*COS(PI()+(((5+0.5)*(4*IF(circ_int,0,eq_c1/2)+4*IF(circ_int,0,eq_c2/2)+2*PI()*(s_0+6*s_r+IF(circ_int,eq_c1/2,0)))/INDEX(lk_legs,7))-(((((2*IF(circ_int,0,eq_c2/2))+(PI()*(s_0+6*s_r+IF(circ_int,eq_c1/2,0))/2))+2*IF(circ_int,0,eq_c1/2))+(PI()*(s_0+6*s_r+IF(circ_int,eq_c1/2,0))/2))+2*IF(circ_int,0,eq_c2/2)))/(s_0+6*s_r+IF(circ_int,eq_c1/2,0))),IF(((5+0.5)*(4*IF(circ_int,0,eq_c1/2)+4*IF(circ_int,0,eq_c2/2)+2*PI()*(s_0+6*s_r+IF(circ_int,eq_c1/2,0)))/INDEX(lk_legs,7))&lt;(((((((2*IF(circ_int,0,eq_c2/2))+(PI()*(s_0+6*s_r+IF(circ_int,eq_c1/2,0))/2))+2*IF(circ_int,0,eq_c1/2))+(PI()*(s_0+6*s_r+IF(circ_int,eq_c1/2,0))/2))+2*IF(circ_int,0,eq_c2/2))+(PI()*(s_0+6*s_r+IF(circ_int,eq_c1/2,0))/2))+2*IF(circ_int,0,eq_c1/2)),-IF(circ_int,0,eq_c1/2)+(((5+0.5)*(4*IF(circ_int,0,eq_c1/2)+4*IF(circ_int,0,eq_c2/2)+2*PI()*(s_0+6*s_r+IF(circ_int,eq_c1/2,0)))/INDEX(lk_legs,7))-((((((2*IF(circ_int,0,eq_c2/2))+(PI()*(s_0+6*s_r+IF(circ_int,eq_c1/2,0))/2))+2*IF(circ_int,0,eq_c1/2))+(PI()*(s_0+6*s_r+IF(circ_int,eq_c1/2,0))/2))+2*IF(circ_int,0,eq_c2/2))+(PI()*(s_0+6*s_r+IF(circ_int,eq_c1/2,0))/2))),IF(circ_int,0,eq_c1/2)+(s_0+6*s_r+IF(circ_int,eq_c1/2,0))*COS(3*PI()/2+(((5+0.5)*(4*IF(circ_int,0,eq_c1/2)+4*IF(circ_int,0,eq_c2/2)+2*PI()*(s_0+6*s_r+IF(circ_int,eq_c1/2,0)))/INDEX(lk_legs,7))-(((((((2*IF(circ_int,0,eq_c2/2))+(PI()*(s_0+6*s_r+IF(circ_int,eq_c1/2,0))/2))+2*IF(circ_int,0,eq_c1/2))+(PI()*(s_0+6*s_r+IF(circ_int,eq_c1/2,0))/2))+2*IF(circ_int,0,eq_c2/2))+(PI()*(s_0+6*s_r+IF(circ_int,eq_c1/2,0))/2))+2*IF(circ_int,0,eq_c1/2)))/(s_0+6*s_r+IF(circ_int,eq_c1/2,0)))))))))),NA())</f>
        <v/>
      </c>
      <c r="CK8">
        <f>IF(AND(AND(links_on,7&lt;=n_per),INDEX(lk_kind,7)=1,5&lt;INDEX(lk_legs,7)),g_oy+IF(((5+0.5)*(4*IF(circ_int,0,eq_c1/2)+4*IF(circ_int,0,eq_c2/2)+2*PI()*(s_0+6*s_r+IF(circ_int,eq_c1/2,0)))/INDEX(lk_legs,7))&lt;(2*IF(circ_int,0,eq_c2/2)),-IF(circ_int,0,eq_c2/2)+((5+0.5)*(4*IF(circ_int,0,eq_c1/2)+4*IF(circ_int,0,eq_c2/2)+2*PI()*(s_0+6*s_r+IF(circ_int,eq_c1/2,0)))/INDEX(lk_legs,7)),IF(((5+0.5)*(4*IF(circ_int,0,eq_c1/2)+4*IF(circ_int,0,eq_c2/2)+2*PI()*(s_0+6*s_r+IF(circ_int,eq_c1/2,0)))/INDEX(lk_legs,7))&lt;((2*IF(circ_int,0,eq_c2/2))+(PI()*(s_0+6*s_r+IF(circ_int,eq_c1/2,0))/2)),IF(circ_int,0,eq_c2/2)+(s_0+6*s_r+IF(circ_int,eq_c1/2,0))*SIN((((5+0.5)*(4*IF(circ_int,0,eq_c1/2)+4*IF(circ_int,0,eq_c2/2)+2*PI()*(s_0+6*s_r+IF(circ_int,eq_c1/2,0)))/INDEX(lk_legs,7))-(2*IF(circ_int,0,eq_c2/2)))/(s_0+6*s_r+IF(circ_int,eq_c1/2,0))),IF(((5+0.5)*(4*IF(circ_int,0,eq_c1/2)+4*IF(circ_int,0,eq_c2/2)+2*PI()*(s_0+6*s_r+IF(circ_int,eq_c1/2,0)))/INDEX(lk_legs,7))&lt;(((2*IF(circ_int,0,eq_c2/2))+(PI()*(s_0+6*s_r+IF(circ_int,eq_c1/2,0))/2))+2*IF(circ_int,0,eq_c1/2)),IF(circ_int,0,eq_c2/2)+(s_0+6*s_r+IF(circ_int,eq_c1/2,0)),IF(((5+0.5)*(4*IF(circ_int,0,eq_c1/2)+4*IF(circ_int,0,eq_c2/2)+2*PI()*(s_0+6*s_r+IF(circ_int,eq_c1/2,0)))/INDEX(lk_legs,7))&lt;((((2*IF(circ_int,0,eq_c2/2))+(PI()*(s_0+6*s_r+IF(circ_int,eq_c1/2,0))/2))+2*IF(circ_int,0,eq_c1/2))+(PI()*(s_0+6*s_r+IF(circ_int,eq_c1/2,0))/2)),IF(circ_int,0,eq_c2/2)+(s_0+6*s_r+IF(circ_int,eq_c1/2,0))*SIN(PI()/2+(((5+0.5)*(4*IF(circ_int,0,eq_c1/2)+4*IF(circ_int,0,eq_c2/2)+2*PI()*(s_0+6*s_r+IF(circ_int,eq_c1/2,0)))/INDEX(lk_legs,7))-(((2*IF(circ_int,0,eq_c2/2))+(PI()*(s_0+6*s_r+IF(circ_int,eq_c1/2,0))/2))+2*IF(circ_int,0,eq_c1/2)))/(s_0+6*s_r+IF(circ_int,eq_c1/2,0))),IF(((5+0.5)*(4*IF(circ_int,0,eq_c1/2)+4*IF(circ_int,0,eq_c2/2)+2*PI()*(s_0+6*s_r+IF(circ_int,eq_c1/2,0)))/INDEX(lk_legs,7))&lt;(((((2*IF(circ_int,0,eq_c2/2))+(PI()*(s_0+6*s_r+IF(circ_int,eq_c1/2,0))/2))+2*IF(circ_int,0,eq_c1/2))+(PI()*(s_0+6*s_r+IF(circ_int,eq_c1/2,0))/2))+2*IF(circ_int,0,eq_c2/2)),IF(circ_int,0,eq_c2/2)-(((5+0.5)*(4*IF(circ_int,0,eq_c1/2)+4*IF(circ_int,0,eq_c2/2)+2*PI()*(s_0+6*s_r+IF(circ_int,eq_c1/2,0)))/INDEX(lk_legs,7))-((((2*IF(circ_int,0,eq_c2/2))+(PI()*(s_0+6*s_r+IF(circ_int,eq_c1/2,0))/2))+2*IF(circ_int,0,eq_c1/2))+(PI()*(s_0+6*s_r+IF(circ_int,eq_c1/2,0))/2))),IF(((5+0.5)*(4*IF(circ_int,0,eq_c1/2)+4*IF(circ_int,0,eq_c2/2)+2*PI()*(s_0+6*s_r+IF(circ_int,eq_c1/2,0)))/INDEX(lk_legs,7))&lt;((((((2*IF(circ_int,0,eq_c2/2))+(PI()*(s_0+6*s_r+IF(circ_int,eq_c1/2,0))/2))+2*IF(circ_int,0,eq_c1/2))+(PI()*(s_0+6*s_r+IF(circ_int,eq_c1/2,0))/2))+2*IF(circ_int,0,eq_c2/2))+(PI()*(s_0+6*s_r+IF(circ_int,eq_c1/2,0))/2)),-IF(circ_int,0,eq_c2/2)+(s_0+6*s_r+IF(circ_int,eq_c1/2,0))*SIN(PI()+(((5+0.5)*(4*IF(circ_int,0,eq_c1/2)+4*IF(circ_int,0,eq_c2/2)+2*PI()*(s_0+6*s_r+IF(circ_int,eq_c1/2,0)))/INDEX(lk_legs,7))-(((((2*IF(circ_int,0,eq_c2/2))+(PI()*(s_0+6*s_r+IF(circ_int,eq_c1/2,0))/2))+2*IF(circ_int,0,eq_c1/2))+(PI()*(s_0+6*s_r+IF(circ_int,eq_c1/2,0))/2))+2*IF(circ_int,0,eq_c2/2)))/(s_0+6*s_r+IF(circ_int,eq_c1/2,0))),IF(((5+0.5)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(5+0.5)*(4*IF(circ_int,0,eq_c1/2)+4*IF(circ_int,0,eq_c2/2)+2*PI()*(s_0+6*s_r+IF(circ_int,eq_c1/2,0)))/INDEX(lk_legs,7))-(((((((2*IF(circ_int,0,eq_c2/2))+(PI()*(s_0+6*s_r+IF(circ_int,eq_c1/2,0))/2))+2*IF(circ_int,0,eq_c1/2))+(PI()*(s_0+6*s_r+IF(circ_int,eq_c1/2,0))/2))+2*IF(circ_int,0,eq_c2/2))+(PI()*(s_0+6*s_r+IF(circ_int,eq_c1/2,0))/2))+2*IF(circ_int,0,eq_c1/2)))/(s_0+6*s_r+IF(circ_int,eq_c1/2,0)))))))))),NA())</f>
        <v/>
      </c>
      <c r="CM8">
        <f>IF(AND(links_on,8&lt;=n_per),IF(circ_int,(g_ox)+(c_1/2+(s_0+7*s_r))*0.822984,CHOOSE(INDEX(lk_kind,8),(g_ox+eq_c1/2)+((s_0+7*s_r))*0.793353,(eq_a1+eq_c1)+((s_0+7*s_r))*0.500000,(eq_a1+eq_c1)+((s_0+7*s_r))*0.500000,(eq_a1)+((s_0+7*s_r))*-0.866025)),NA())</f>
        <v/>
      </c>
      <c r="CN8">
        <f>IF(AND(links_on,8&lt;=n_per),IF(circ_int,(g_oy)+(c_1/2+(s_0+7*s_r))*0.568065,CHOOSE(INDEX(lk_kind,8),(g_oy+eq_c2/2)+((s_0+7*s_r))*0.608761,(g_oy+eq_c2/2)+((s_0+7*s_r))*0.866025,(eq_a2+eq_c2)+((s_0+7*s_r))*0.866025,(eq_a2+eq_c2)+((s_0+7*s_r))*0.500000)),NA())</f>
        <v/>
      </c>
      <c r="CP8">
        <f>IF(AND(AND(links_on,8&lt;=n_per),INDEX(lk_kind,8)=1,5&lt;INDEX(lk_legs,8)),g_ox+IF(((5+0.5)*(4*IF(circ_int,0,eq_c1/2)+4*IF(circ_int,0,eq_c2/2)+2*PI()*(s_0+7*s_r+IF(circ_int,eq_c1/2,0)))/INDEX(lk_legs,8))&lt;(2*IF(circ_int,0,eq_c2/2)),IF(circ_int,0,eq_c1/2)+(s_0+7*s_r+IF(circ_int,eq_c1/2,0)),IF(((5+0.5)*(4*IF(circ_int,0,eq_c1/2)+4*IF(circ_int,0,eq_c2/2)+2*PI()*(s_0+7*s_r+IF(circ_int,eq_c1/2,0)))/INDEX(lk_legs,8))&lt;((2*IF(circ_int,0,eq_c2/2))+(PI()*(s_0+7*s_r+IF(circ_int,eq_c1/2,0))/2)),IF(circ_int,0,eq_c1/2)+(s_0+7*s_r+IF(circ_int,eq_c1/2,0))*COS((((5+0.5)*(4*IF(circ_int,0,eq_c1/2)+4*IF(circ_int,0,eq_c2/2)+2*PI()*(s_0+7*s_r+IF(circ_int,eq_c1/2,0)))/INDEX(lk_legs,8))-(2*IF(circ_int,0,eq_c2/2)))/(s_0+7*s_r+IF(circ_int,eq_c1/2,0))),IF(((5+0.5)*(4*IF(circ_int,0,eq_c1/2)+4*IF(circ_int,0,eq_c2/2)+2*PI()*(s_0+7*s_r+IF(circ_int,eq_c1/2,0)))/INDEX(lk_legs,8))&lt;(((2*IF(circ_int,0,eq_c2/2))+(PI()*(s_0+7*s_r+IF(circ_int,eq_c1/2,0))/2))+2*IF(circ_int,0,eq_c1/2)),IF(circ_int,0,eq_c1/2)-(((5+0.5)*(4*IF(circ_int,0,eq_c1/2)+4*IF(circ_int,0,eq_c2/2)+2*PI()*(s_0+7*s_r+IF(circ_int,eq_c1/2,0)))/INDEX(lk_legs,8))-((2*IF(circ_int,0,eq_c2/2))+(PI()*(s_0+7*s_r+IF(circ_int,eq_c1/2,0))/2))),IF(((5+0.5)*(4*IF(circ_int,0,eq_c1/2)+4*IF(circ_int,0,eq_c2/2)+2*PI()*(s_0+7*s_r+IF(circ_int,eq_c1/2,0)))/INDEX(lk_legs,8))&lt;((((2*IF(circ_int,0,eq_c2/2))+(PI()*(s_0+7*s_r+IF(circ_int,eq_c1/2,0))/2))+2*IF(circ_int,0,eq_c1/2))+(PI()*(s_0+7*s_r+IF(circ_int,eq_c1/2,0))/2)),-IF(circ_int,0,eq_c1/2)+(s_0+7*s_r+IF(circ_int,eq_c1/2,0))*COS(PI()/2+(((5+0.5)*(4*IF(circ_int,0,eq_c1/2)+4*IF(circ_int,0,eq_c2/2)+2*PI()*(s_0+7*s_r+IF(circ_int,eq_c1/2,0)))/INDEX(lk_legs,8))-(((2*IF(circ_int,0,eq_c2/2))+(PI()*(s_0+7*s_r+IF(circ_int,eq_c1/2,0))/2))+2*IF(circ_int,0,eq_c1/2)))/(s_0+7*s_r+IF(circ_int,eq_c1/2,0))),IF(((5+0.5)*(4*IF(circ_int,0,eq_c1/2)+4*IF(circ_int,0,eq_c2/2)+2*PI()*(s_0+7*s_r+IF(circ_int,eq_c1/2,0)))/INDEX(lk_legs,8))&lt;(((((2*IF(circ_int,0,eq_c2/2))+(PI()*(s_0+7*s_r+IF(circ_int,eq_c1/2,0))/2))+2*IF(circ_int,0,eq_c1/2))+(PI()*(s_0+7*s_r+IF(circ_int,eq_c1/2,0))/2))+2*IF(circ_int,0,eq_c2/2)),-IF(circ_int,0,eq_c1/2)-(s_0+7*s_r+IF(circ_int,eq_c1/2,0)),IF(((5+0.5)*(4*IF(circ_int,0,eq_c1/2)+4*IF(circ_int,0,eq_c2/2)+2*PI()*(s_0+7*s_r+IF(circ_int,eq_c1/2,0)))/INDEX(lk_legs,8))&lt;((((((2*IF(circ_int,0,eq_c2/2))+(PI()*(s_0+7*s_r+IF(circ_int,eq_c1/2,0))/2))+2*IF(circ_int,0,eq_c1/2))+(PI()*(s_0+7*s_r+IF(circ_int,eq_c1/2,0))/2))+2*IF(circ_int,0,eq_c2/2))+(PI()*(s_0+7*s_r+IF(circ_int,eq_c1/2,0))/2)),-IF(circ_int,0,eq_c1/2)+(s_0+7*s_r+IF(circ_int,eq_c1/2,0))*COS(PI()+(((5+0.5)*(4*IF(circ_int,0,eq_c1/2)+4*IF(circ_int,0,eq_c2/2)+2*PI()*(s_0+7*s_r+IF(circ_int,eq_c1/2,0)))/INDEX(lk_legs,8))-(((((2*IF(circ_int,0,eq_c2/2))+(PI()*(s_0+7*s_r+IF(circ_int,eq_c1/2,0))/2))+2*IF(circ_int,0,eq_c1/2))+(PI()*(s_0+7*s_r+IF(circ_int,eq_c1/2,0))/2))+2*IF(circ_int,0,eq_c2/2)))/(s_0+7*s_r+IF(circ_int,eq_c1/2,0))),IF(((5+0.5)*(4*IF(circ_int,0,eq_c1/2)+4*IF(circ_int,0,eq_c2/2)+2*PI()*(s_0+7*s_r+IF(circ_int,eq_c1/2,0)))/INDEX(lk_legs,8))&lt;(((((((2*IF(circ_int,0,eq_c2/2))+(PI()*(s_0+7*s_r+IF(circ_int,eq_c1/2,0))/2))+2*IF(circ_int,0,eq_c1/2))+(PI()*(s_0+7*s_r+IF(circ_int,eq_c1/2,0))/2))+2*IF(circ_int,0,eq_c2/2))+(PI()*(s_0+7*s_r+IF(circ_int,eq_c1/2,0))/2))+2*IF(circ_int,0,eq_c1/2)),-IF(circ_int,0,eq_c1/2)+(((5+0.5)*(4*IF(circ_int,0,eq_c1/2)+4*IF(circ_int,0,eq_c2/2)+2*PI()*(s_0+7*s_r+IF(circ_int,eq_c1/2,0)))/INDEX(lk_legs,8))-((((((2*IF(circ_int,0,eq_c2/2))+(PI()*(s_0+7*s_r+IF(circ_int,eq_c1/2,0))/2))+2*IF(circ_int,0,eq_c1/2))+(PI()*(s_0+7*s_r+IF(circ_int,eq_c1/2,0))/2))+2*IF(circ_int,0,eq_c2/2))+(PI()*(s_0+7*s_r+IF(circ_int,eq_c1/2,0))/2))),IF(circ_int,0,eq_c1/2)+(s_0+7*s_r+IF(circ_int,eq_c1/2,0))*COS(3*PI()/2+(((5+0.5)*(4*IF(circ_int,0,eq_c1/2)+4*IF(circ_int,0,eq_c2/2)+2*PI()*(s_0+7*s_r+IF(circ_int,eq_c1/2,0)))/INDEX(lk_legs,8))-(((((((2*IF(circ_int,0,eq_c2/2))+(PI()*(s_0+7*s_r+IF(circ_int,eq_c1/2,0))/2))+2*IF(circ_int,0,eq_c1/2))+(PI()*(s_0+7*s_r+IF(circ_int,eq_c1/2,0))/2))+2*IF(circ_int,0,eq_c2/2))+(PI()*(s_0+7*s_r+IF(circ_int,eq_c1/2,0))/2))+2*IF(circ_int,0,eq_c1/2)))/(s_0+7*s_r+IF(circ_int,eq_c1/2,0)))))))))),NA())</f>
        <v/>
      </c>
      <c r="CQ8">
        <f>IF(AND(AND(links_on,8&lt;=n_per),INDEX(lk_kind,8)=1,5&lt;INDEX(lk_legs,8)),g_oy+IF(((5+0.5)*(4*IF(circ_int,0,eq_c1/2)+4*IF(circ_int,0,eq_c2/2)+2*PI()*(s_0+7*s_r+IF(circ_int,eq_c1/2,0)))/INDEX(lk_legs,8))&lt;(2*IF(circ_int,0,eq_c2/2)),-IF(circ_int,0,eq_c2/2)+((5+0.5)*(4*IF(circ_int,0,eq_c1/2)+4*IF(circ_int,0,eq_c2/2)+2*PI()*(s_0+7*s_r+IF(circ_int,eq_c1/2,0)))/INDEX(lk_legs,8)),IF(((5+0.5)*(4*IF(circ_int,0,eq_c1/2)+4*IF(circ_int,0,eq_c2/2)+2*PI()*(s_0+7*s_r+IF(circ_int,eq_c1/2,0)))/INDEX(lk_legs,8))&lt;((2*IF(circ_int,0,eq_c2/2))+(PI()*(s_0+7*s_r+IF(circ_int,eq_c1/2,0))/2)),IF(circ_int,0,eq_c2/2)+(s_0+7*s_r+IF(circ_int,eq_c1/2,0))*SIN((((5+0.5)*(4*IF(circ_int,0,eq_c1/2)+4*IF(circ_int,0,eq_c2/2)+2*PI()*(s_0+7*s_r+IF(circ_int,eq_c1/2,0)))/INDEX(lk_legs,8))-(2*IF(circ_int,0,eq_c2/2)))/(s_0+7*s_r+IF(circ_int,eq_c1/2,0))),IF(((5+0.5)*(4*IF(circ_int,0,eq_c1/2)+4*IF(circ_int,0,eq_c2/2)+2*PI()*(s_0+7*s_r+IF(circ_int,eq_c1/2,0)))/INDEX(lk_legs,8))&lt;(((2*IF(circ_int,0,eq_c2/2))+(PI()*(s_0+7*s_r+IF(circ_int,eq_c1/2,0))/2))+2*IF(circ_int,0,eq_c1/2)),IF(circ_int,0,eq_c2/2)+(s_0+7*s_r+IF(circ_int,eq_c1/2,0)),IF(((5+0.5)*(4*IF(circ_int,0,eq_c1/2)+4*IF(circ_int,0,eq_c2/2)+2*PI()*(s_0+7*s_r+IF(circ_int,eq_c1/2,0)))/INDEX(lk_legs,8))&lt;((((2*IF(circ_int,0,eq_c2/2))+(PI()*(s_0+7*s_r+IF(circ_int,eq_c1/2,0))/2))+2*IF(circ_int,0,eq_c1/2))+(PI()*(s_0+7*s_r+IF(circ_int,eq_c1/2,0))/2)),IF(circ_int,0,eq_c2/2)+(s_0+7*s_r+IF(circ_int,eq_c1/2,0))*SIN(PI()/2+(((5+0.5)*(4*IF(circ_int,0,eq_c1/2)+4*IF(circ_int,0,eq_c2/2)+2*PI()*(s_0+7*s_r+IF(circ_int,eq_c1/2,0)))/INDEX(lk_legs,8))-(((2*IF(circ_int,0,eq_c2/2))+(PI()*(s_0+7*s_r+IF(circ_int,eq_c1/2,0))/2))+2*IF(circ_int,0,eq_c1/2)))/(s_0+7*s_r+IF(circ_int,eq_c1/2,0))),IF(((5+0.5)*(4*IF(circ_int,0,eq_c1/2)+4*IF(circ_int,0,eq_c2/2)+2*PI()*(s_0+7*s_r+IF(circ_int,eq_c1/2,0)))/INDEX(lk_legs,8))&lt;(((((2*IF(circ_int,0,eq_c2/2))+(PI()*(s_0+7*s_r+IF(circ_int,eq_c1/2,0))/2))+2*IF(circ_int,0,eq_c1/2))+(PI()*(s_0+7*s_r+IF(circ_int,eq_c1/2,0))/2))+2*IF(circ_int,0,eq_c2/2)),IF(circ_int,0,eq_c2/2)-(((5+0.5)*(4*IF(circ_int,0,eq_c1/2)+4*IF(circ_int,0,eq_c2/2)+2*PI()*(s_0+7*s_r+IF(circ_int,eq_c1/2,0)))/INDEX(lk_legs,8))-((((2*IF(circ_int,0,eq_c2/2))+(PI()*(s_0+7*s_r+IF(circ_int,eq_c1/2,0))/2))+2*IF(circ_int,0,eq_c1/2))+(PI()*(s_0+7*s_r+IF(circ_int,eq_c1/2,0))/2))),IF(((5+0.5)*(4*IF(circ_int,0,eq_c1/2)+4*IF(circ_int,0,eq_c2/2)+2*PI()*(s_0+7*s_r+IF(circ_int,eq_c1/2,0)))/INDEX(lk_legs,8))&lt;((((((2*IF(circ_int,0,eq_c2/2))+(PI()*(s_0+7*s_r+IF(circ_int,eq_c1/2,0))/2))+2*IF(circ_int,0,eq_c1/2))+(PI()*(s_0+7*s_r+IF(circ_int,eq_c1/2,0))/2))+2*IF(circ_int,0,eq_c2/2))+(PI()*(s_0+7*s_r+IF(circ_int,eq_c1/2,0))/2)),-IF(circ_int,0,eq_c2/2)+(s_0+7*s_r+IF(circ_int,eq_c1/2,0))*SIN(PI()+(((5+0.5)*(4*IF(circ_int,0,eq_c1/2)+4*IF(circ_int,0,eq_c2/2)+2*PI()*(s_0+7*s_r+IF(circ_int,eq_c1/2,0)))/INDEX(lk_legs,8))-(((((2*IF(circ_int,0,eq_c2/2))+(PI()*(s_0+7*s_r+IF(circ_int,eq_c1/2,0))/2))+2*IF(circ_int,0,eq_c1/2))+(PI()*(s_0+7*s_r+IF(circ_int,eq_c1/2,0))/2))+2*IF(circ_int,0,eq_c2/2)))/(s_0+7*s_r+IF(circ_int,eq_c1/2,0))),IF(((5+0.5)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(5+0.5)*(4*IF(circ_int,0,eq_c1/2)+4*IF(circ_int,0,eq_c2/2)+2*PI()*(s_0+7*s_r+IF(circ_int,eq_c1/2,0)))/INDEX(lk_legs,8))-(((((((2*IF(circ_int,0,eq_c2/2))+(PI()*(s_0+7*s_r+IF(circ_int,eq_c1/2,0))/2))+2*IF(circ_int,0,eq_c1/2))+(PI()*(s_0+7*s_r+IF(circ_int,eq_c1/2,0))/2))+2*IF(circ_int,0,eq_c2/2))+(PI()*(s_0+7*s_r+IF(circ_int,eq_c1/2,0))/2))+2*IF(circ_int,0,eq_c1/2)))/(s_0+7*s_r+IF(circ_int,eq_c1/2,0)))))))))),NA())</f>
        <v/>
      </c>
      <c r="CS8">
        <f>IF(AND(links_on,9&lt;=n_per),IF(circ_int,(g_ox)+(c_1/2+(s_0+8*s_r))*0.822984,CHOOSE(INDEX(lk_kind,9),(g_ox+eq_c1/2)+((s_0+8*s_r))*0.793353,(eq_a1+eq_c1)+((s_0+8*s_r))*0.500000,(eq_a1+eq_c1)+((s_0+8*s_r))*0.500000,(eq_a1)+((s_0+8*s_r))*-0.866025)),NA())</f>
        <v/>
      </c>
      <c r="CT8">
        <f>IF(AND(links_on,9&lt;=n_per),IF(circ_int,(g_oy)+(c_1/2+(s_0+8*s_r))*0.568065,CHOOSE(INDEX(lk_kind,9),(g_oy+eq_c2/2)+((s_0+8*s_r))*0.608761,(g_oy+eq_c2/2)+((s_0+8*s_r))*0.866025,(eq_a2+eq_c2)+((s_0+8*s_r))*0.866025,(eq_a2+eq_c2)+((s_0+8*s_r))*0.500000)),NA())</f>
        <v/>
      </c>
      <c r="CV8">
        <f>IF(AND(AND(links_on,9&lt;=n_per),INDEX(lk_kind,9)=1,5&lt;INDEX(lk_legs,9)),g_ox+IF(((5+0.5)*(4*IF(circ_int,0,eq_c1/2)+4*IF(circ_int,0,eq_c2/2)+2*PI()*(s_0+8*s_r+IF(circ_int,eq_c1/2,0)))/INDEX(lk_legs,9))&lt;(2*IF(circ_int,0,eq_c2/2)),IF(circ_int,0,eq_c1/2)+(s_0+8*s_r+IF(circ_int,eq_c1/2,0)),IF(((5+0.5)*(4*IF(circ_int,0,eq_c1/2)+4*IF(circ_int,0,eq_c2/2)+2*PI()*(s_0+8*s_r+IF(circ_int,eq_c1/2,0)))/INDEX(lk_legs,9))&lt;((2*IF(circ_int,0,eq_c2/2))+(PI()*(s_0+8*s_r+IF(circ_int,eq_c1/2,0))/2)),IF(circ_int,0,eq_c1/2)+(s_0+8*s_r+IF(circ_int,eq_c1/2,0))*COS((((5+0.5)*(4*IF(circ_int,0,eq_c1/2)+4*IF(circ_int,0,eq_c2/2)+2*PI()*(s_0+8*s_r+IF(circ_int,eq_c1/2,0)))/INDEX(lk_legs,9))-(2*IF(circ_int,0,eq_c2/2)))/(s_0+8*s_r+IF(circ_int,eq_c1/2,0))),IF(((5+0.5)*(4*IF(circ_int,0,eq_c1/2)+4*IF(circ_int,0,eq_c2/2)+2*PI()*(s_0+8*s_r+IF(circ_int,eq_c1/2,0)))/INDEX(lk_legs,9))&lt;(((2*IF(circ_int,0,eq_c2/2))+(PI()*(s_0+8*s_r+IF(circ_int,eq_c1/2,0))/2))+2*IF(circ_int,0,eq_c1/2)),IF(circ_int,0,eq_c1/2)-(((5+0.5)*(4*IF(circ_int,0,eq_c1/2)+4*IF(circ_int,0,eq_c2/2)+2*PI()*(s_0+8*s_r+IF(circ_int,eq_c1/2,0)))/INDEX(lk_legs,9))-((2*IF(circ_int,0,eq_c2/2))+(PI()*(s_0+8*s_r+IF(circ_int,eq_c1/2,0))/2))),IF(((5+0.5)*(4*IF(circ_int,0,eq_c1/2)+4*IF(circ_int,0,eq_c2/2)+2*PI()*(s_0+8*s_r+IF(circ_int,eq_c1/2,0)))/INDEX(lk_legs,9))&lt;((((2*IF(circ_int,0,eq_c2/2))+(PI()*(s_0+8*s_r+IF(circ_int,eq_c1/2,0))/2))+2*IF(circ_int,0,eq_c1/2))+(PI()*(s_0+8*s_r+IF(circ_int,eq_c1/2,0))/2)),-IF(circ_int,0,eq_c1/2)+(s_0+8*s_r+IF(circ_int,eq_c1/2,0))*COS(PI()/2+(((5+0.5)*(4*IF(circ_int,0,eq_c1/2)+4*IF(circ_int,0,eq_c2/2)+2*PI()*(s_0+8*s_r+IF(circ_int,eq_c1/2,0)))/INDEX(lk_legs,9))-(((2*IF(circ_int,0,eq_c2/2))+(PI()*(s_0+8*s_r+IF(circ_int,eq_c1/2,0))/2))+2*IF(circ_int,0,eq_c1/2)))/(s_0+8*s_r+IF(circ_int,eq_c1/2,0))),IF(((5+0.5)*(4*IF(circ_int,0,eq_c1/2)+4*IF(circ_int,0,eq_c2/2)+2*PI()*(s_0+8*s_r+IF(circ_int,eq_c1/2,0)))/INDEX(lk_legs,9))&lt;(((((2*IF(circ_int,0,eq_c2/2))+(PI()*(s_0+8*s_r+IF(circ_int,eq_c1/2,0))/2))+2*IF(circ_int,0,eq_c1/2))+(PI()*(s_0+8*s_r+IF(circ_int,eq_c1/2,0))/2))+2*IF(circ_int,0,eq_c2/2)),-IF(circ_int,0,eq_c1/2)-(s_0+8*s_r+IF(circ_int,eq_c1/2,0)),IF(((5+0.5)*(4*IF(circ_int,0,eq_c1/2)+4*IF(circ_int,0,eq_c2/2)+2*PI()*(s_0+8*s_r+IF(circ_int,eq_c1/2,0)))/INDEX(lk_legs,9))&lt;((((((2*IF(circ_int,0,eq_c2/2))+(PI()*(s_0+8*s_r+IF(circ_int,eq_c1/2,0))/2))+2*IF(circ_int,0,eq_c1/2))+(PI()*(s_0+8*s_r+IF(circ_int,eq_c1/2,0))/2))+2*IF(circ_int,0,eq_c2/2))+(PI()*(s_0+8*s_r+IF(circ_int,eq_c1/2,0))/2)),-IF(circ_int,0,eq_c1/2)+(s_0+8*s_r+IF(circ_int,eq_c1/2,0))*COS(PI()+(((5+0.5)*(4*IF(circ_int,0,eq_c1/2)+4*IF(circ_int,0,eq_c2/2)+2*PI()*(s_0+8*s_r+IF(circ_int,eq_c1/2,0)))/INDEX(lk_legs,9))-(((((2*IF(circ_int,0,eq_c2/2))+(PI()*(s_0+8*s_r+IF(circ_int,eq_c1/2,0))/2))+2*IF(circ_int,0,eq_c1/2))+(PI()*(s_0+8*s_r+IF(circ_int,eq_c1/2,0))/2))+2*IF(circ_int,0,eq_c2/2)))/(s_0+8*s_r+IF(circ_int,eq_c1/2,0))),IF(((5+0.5)*(4*IF(circ_int,0,eq_c1/2)+4*IF(circ_int,0,eq_c2/2)+2*PI()*(s_0+8*s_r+IF(circ_int,eq_c1/2,0)))/INDEX(lk_legs,9))&lt;(((((((2*IF(circ_int,0,eq_c2/2))+(PI()*(s_0+8*s_r+IF(circ_int,eq_c1/2,0))/2))+2*IF(circ_int,0,eq_c1/2))+(PI()*(s_0+8*s_r+IF(circ_int,eq_c1/2,0))/2))+2*IF(circ_int,0,eq_c2/2))+(PI()*(s_0+8*s_r+IF(circ_int,eq_c1/2,0))/2))+2*IF(circ_int,0,eq_c1/2)),-IF(circ_int,0,eq_c1/2)+(((5+0.5)*(4*IF(circ_int,0,eq_c1/2)+4*IF(circ_int,0,eq_c2/2)+2*PI()*(s_0+8*s_r+IF(circ_int,eq_c1/2,0)))/INDEX(lk_legs,9))-((((((2*IF(circ_int,0,eq_c2/2))+(PI()*(s_0+8*s_r+IF(circ_int,eq_c1/2,0))/2))+2*IF(circ_int,0,eq_c1/2))+(PI()*(s_0+8*s_r+IF(circ_int,eq_c1/2,0))/2))+2*IF(circ_int,0,eq_c2/2))+(PI()*(s_0+8*s_r+IF(circ_int,eq_c1/2,0))/2))),IF(circ_int,0,eq_c1/2)+(s_0+8*s_r+IF(circ_int,eq_c1/2,0))*COS(3*PI()/2+(((5+0.5)*(4*IF(circ_int,0,eq_c1/2)+4*IF(circ_int,0,eq_c2/2)+2*PI()*(s_0+8*s_r+IF(circ_int,eq_c1/2,0)))/INDEX(lk_legs,9))-(((((((2*IF(circ_int,0,eq_c2/2))+(PI()*(s_0+8*s_r+IF(circ_int,eq_c1/2,0))/2))+2*IF(circ_int,0,eq_c1/2))+(PI()*(s_0+8*s_r+IF(circ_int,eq_c1/2,0))/2))+2*IF(circ_int,0,eq_c2/2))+(PI()*(s_0+8*s_r+IF(circ_int,eq_c1/2,0))/2))+2*IF(circ_int,0,eq_c1/2)))/(s_0+8*s_r+IF(circ_int,eq_c1/2,0)))))))))),NA())</f>
        <v/>
      </c>
      <c r="CW8">
        <f>IF(AND(AND(links_on,9&lt;=n_per),INDEX(lk_kind,9)=1,5&lt;INDEX(lk_legs,9)),g_oy+IF(((5+0.5)*(4*IF(circ_int,0,eq_c1/2)+4*IF(circ_int,0,eq_c2/2)+2*PI()*(s_0+8*s_r+IF(circ_int,eq_c1/2,0)))/INDEX(lk_legs,9))&lt;(2*IF(circ_int,0,eq_c2/2)),-IF(circ_int,0,eq_c2/2)+((5+0.5)*(4*IF(circ_int,0,eq_c1/2)+4*IF(circ_int,0,eq_c2/2)+2*PI()*(s_0+8*s_r+IF(circ_int,eq_c1/2,0)))/INDEX(lk_legs,9)),IF(((5+0.5)*(4*IF(circ_int,0,eq_c1/2)+4*IF(circ_int,0,eq_c2/2)+2*PI()*(s_0+8*s_r+IF(circ_int,eq_c1/2,0)))/INDEX(lk_legs,9))&lt;((2*IF(circ_int,0,eq_c2/2))+(PI()*(s_0+8*s_r+IF(circ_int,eq_c1/2,0))/2)),IF(circ_int,0,eq_c2/2)+(s_0+8*s_r+IF(circ_int,eq_c1/2,0))*SIN((((5+0.5)*(4*IF(circ_int,0,eq_c1/2)+4*IF(circ_int,0,eq_c2/2)+2*PI()*(s_0+8*s_r+IF(circ_int,eq_c1/2,0)))/INDEX(lk_legs,9))-(2*IF(circ_int,0,eq_c2/2)))/(s_0+8*s_r+IF(circ_int,eq_c1/2,0))),IF(((5+0.5)*(4*IF(circ_int,0,eq_c1/2)+4*IF(circ_int,0,eq_c2/2)+2*PI()*(s_0+8*s_r+IF(circ_int,eq_c1/2,0)))/INDEX(lk_legs,9))&lt;(((2*IF(circ_int,0,eq_c2/2))+(PI()*(s_0+8*s_r+IF(circ_int,eq_c1/2,0))/2))+2*IF(circ_int,0,eq_c1/2)),IF(circ_int,0,eq_c2/2)+(s_0+8*s_r+IF(circ_int,eq_c1/2,0)),IF(((5+0.5)*(4*IF(circ_int,0,eq_c1/2)+4*IF(circ_int,0,eq_c2/2)+2*PI()*(s_0+8*s_r+IF(circ_int,eq_c1/2,0)))/INDEX(lk_legs,9))&lt;((((2*IF(circ_int,0,eq_c2/2))+(PI()*(s_0+8*s_r+IF(circ_int,eq_c1/2,0))/2))+2*IF(circ_int,0,eq_c1/2))+(PI()*(s_0+8*s_r+IF(circ_int,eq_c1/2,0))/2)),IF(circ_int,0,eq_c2/2)+(s_0+8*s_r+IF(circ_int,eq_c1/2,0))*SIN(PI()/2+(((5+0.5)*(4*IF(circ_int,0,eq_c1/2)+4*IF(circ_int,0,eq_c2/2)+2*PI()*(s_0+8*s_r+IF(circ_int,eq_c1/2,0)))/INDEX(lk_legs,9))-(((2*IF(circ_int,0,eq_c2/2))+(PI()*(s_0+8*s_r+IF(circ_int,eq_c1/2,0))/2))+2*IF(circ_int,0,eq_c1/2)))/(s_0+8*s_r+IF(circ_int,eq_c1/2,0))),IF(((5+0.5)*(4*IF(circ_int,0,eq_c1/2)+4*IF(circ_int,0,eq_c2/2)+2*PI()*(s_0+8*s_r+IF(circ_int,eq_c1/2,0)))/INDEX(lk_legs,9))&lt;(((((2*IF(circ_int,0,eq_c2/2))+(PI()*(s_0+8*s_r+IF(circ_int,eq_c1/2,0))/2))+2*IF(circ_int,0,eq_c1/2))+(PI()*(s_0+8*s_r+IF(circ_int,eq_c1/2,0))/2))+2*IF(circ_int,0,eq_c2/2)),IF(circ_int,0,eq_c2/2)-(((5+0.5)*(4*IF(circ_int,0,eq_c1/2)+4*IF(circ_int,0,eq_c2/2)+2*PI()*(s_0+8*s_r+IF(circ_int,eq_c1/2,0)))/INDEX(lk_legs,9))-((((2*IF(circ_int,0,eq_c2/2))+(PI()*(s_0+8*s_r+IF(circ_int,eq_c1/2,0))/2))+2*IF(circ_int,0,eq_c1/2))+(PI()*(s_0+8*s_r+IF(circ_int,eq_c1/2,0))/2))),IF(((5+0.5)*(4*IF(circ_int,0,eq_c1/2)+4*IF(circ_int,0,eq_c2/2)+2*PI()*(s_0+8*s_r+IF(circ_int,eq_c1/2,0)))/INDEX(lk_legs,9))&lt;((((((2*IF(circ_int,0,eq_c2/2))+(PI()*(s_0+8*s_r+IF(circ_int,eq_c1/2,0))/2))+2*IF(circ_int,0,eq_c1/2))+(PI()*(s_0+8*s_r+IF(circ_int,eq_c1/2,0))/2))+2*IF(circ_int,0,eq_c2/2))+(PI()*(s_0+8*s_r+IF(circ_int,eq_c1/2,0))/2)),-IF(circ_int,0,eq_c2/2)+(s_0+8*s_r+IF(circ_int,eq_c1/2,0))*SIN(PI()+(((5+0.5)*(4*IF(circ_int,0,eq_c1/2)+4*IF(circ_int,0,eq_c2/2)+2*PI()*(s_0+8*s_r+IF(circ_int,eq_c1/2,0)))/INDEX(lk_legs,9))-(((((2*IF(circ_int,0,eq_c2/2))+(PI()*(s_0+8*s_r+IF(circ_int,eq_c1/2,0))/2))+2*IF(circ_int,0,eq_c1/2))+(PI()*(s_0+8*s_r+IF(circ_int,eq_c1/2,0))/2))+2*IF(circ_int,0,eq_c2/2)))/(s_0+8*s_r+IF(circ_int,eq_c1/2,0))),IF(((5+0.5)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(5+0.5)*(4*IF(circ_int,0,eq_c1/2)+4*IF(circ_int,0,eq_c2/2)+2*PI()*(s_0+8*s_r+IF(circ_int,eq_c1/2,0)))/INDEX(lk_legs,9))-(((((((2*IF(circ_int,0,eq_c2/2))+(PI()*(s_0+8*s_r+IF(circ_int,eq_c1/2,0))/2))+2*IF(circ_int,0,eq_c1/2))+(PI()*(s_0+8*s_r+IF(circ_int,eq_c1/2,0))/2))+2*IF(circ_int,0,eq_c2/2))+(PI()*(s_0+8*s_r+IF(circ_int,eq_c1/2,0))/2))+2*IF(circ_int,0,eq_c1/2)))/(s_0+8*s_r+IF(circ_int,eq_c1/2,0)))))))))),NA())</f>
        <v/>
      </c>
      <c r="CY8">
        <f>IF(AND(links_on,10&lt;=n_per),IF(circ_int,(g_ox)+(c_1/2+(s_0+9*s_r))*0.822984,CHOOSE(INDEX(lk_kind,10),(g_ox+eq_c1/2)+((s_0+9*s_r))*0.793353,(eq_a1+eq_c1)+((s_0+9*s_r))*0.500000,(eq_a1+eq_c1)+((s_0+9*s_r))*0.500000,(eq_a1)+((s_0+9*s_r))*-0.866025)),NA())</f>
        <v/>
      </c>
      <c r="CZ8">
        <f>IF(AND(links_on,10&lt;=n_per),IF(circ_int,(g_oy)+(c_1/2+(s_0+9*s_r))*0.568065,CHOOSE(INDEX(lk_kind,10),(g_oy+eq_c2/2)+((s_0+9*s_r))*0.608761,(g_oy+eq_c2/2)+((s_0+9*s_r))*0.866025,(eq_a2+eq_c2)+((s_0+9*s_r))*0.866025,(eq_a2+eq_c2)+((s_0+9*s_r))*0.500000)),NA())</f>
        <v/>
      </c>
      <c r="DB8">
        <f>IF(AND(AND(links_on,10&lt;=n_per),INDEX(lk_kind,10)=1,5&lt;INDEX(lk_legs,10)),g_ox+IF(((5+0.5)*(4*IF(circ_int,0,eq_c1/2)+4*IF(circ_int,0,eq_c2/2)+2*PI()*(s_0+9*s_r+IF(circ_int,eq_c1/2,0)))/INDEX(lk_legs,10))&lt;(2*IF(circ_int,0,eq_c2/2)),IF(circ_int,0,eq_c1/2)+(s_0+9*s_r+IF(circ_int,eq_c1/2,0)),IF(((5+0.5)*(4*IF(circ_int,0,eq_c1/2)+4*IF(circ_int,0,eq_c2/2)+2*PI()*(s_0+9*s_r+IF(circ_int,eq_c1/2,0)))/INDEX(lk_legs,10))&lt;((2*IF(circ_int,0,eq_c2/2))+(PI()*(s_0+9*s_r+IF(circ_int,eq_c1/2,0))/2)),IF(circ_int,0,eq_c1/2)+(s_0+9*s_r+IF(circ_int,eq_c1/2,0))*COS((((5+0.5)*(4*IF(circ_int,0,eq_c1/2)+4*IF(circ_int,0,eq_c2/2)+2*PI()*(s_0+9*s_r+IF(circ_int,eq_c1/2,0)))/INDEX(lk_legs,10))-(2*IF(circ_int,0,eq_c2/2)))/(s_0+9*s_r+IF(circ_int,eq_c1/2,0))),IF(((5+0.5)*(4*IF(circ_int,0,eq_c1/2)+4*IF(circ_int,0,eq_c2/2)+2*PI()*(s_0+9*s_r+IF(circ_int,eq_c1/2,0)))/INDEX(lk_legs,10))&lt;(((2*IF(circ_int,0,eq_c2/2))+(PI()*(s_0+9*s_r+IF(circ_int,eq_c1/2,0))/2))+2*IF(circ_int,0,eq_c1/2)),IF(circ_int,0,eq_c1/2)-(((5+0.5)*(4*IF(circ_int,0,eq_c1/2)+4*IF(circ_int,0,eq_c2/2)+2*PI()*(s_0+9*s_r+IF(circ_int,eq_c1/2,0)))/INDEX(lk_legs,10))-((2*IF(circ_int,0,eq_c2/2))+(PI()*(s_0+9*s_r+IF(circ_int,eq_c1/2,0))/2))),IF(((5+0.5)*(4*IF(circ_int,0,eq_c1/2)+4*IF(circ_int,0,eq_c2/2)+2*PI()*(s_0+9*s_r+IF(circ_int,eq_c1/2,0)))/INDEX(lk_legs,10))&lt;((((2*IF(circ_int,0,eq_c2/2))+(PI()*(s_0+9*s_r+IF(circ_int,eq_c1/2,0))/2))+2*IF(circ_int,0,eq_c1/2))+(PI()*(s_0+9*s_r+IF(circ_int,eq_c1/2,0))/2)),-IF(circ_int,0,eq_c1/2)+(s_0+9*s_r+IF(circ_int,eq_c1/2,0))*COS(PI()/2+(((5+0.5)*(4*IF(circ_int,0,eq_c1/2)+4*IF(circ_int,0,eq_c2/2)+2*PI()*(s_0+9*s_r+IF(circ_int,eq_c1/2,0)))/INDEX(lk_legs,10))-(((2*IF(circ_int,0,eq_c2/2))+(PI()*(s_0+9*s_r+IF(circ_int,eq_c1/2,0))/2))+2*IF(circ_int,0,eq_c1/2)))/(s_0+9*s_r+IF(circ_int,eq_c1/2,0))),IF(((5+0.5)*(4*IF(circ_int,0,eq_c1/2)+4*IF(circ_int,0,eq_c2/2)+2*PI()*(s_0+9*s_r+IF(circ_int,eq_c1/2,0)))/INDEX(lk_legs,10))&lt;(((((2*IF(circ_int,0,eq_c2/2))+(PI()*(s_0+9*s_r+IF(circ_int,eq_c1/2,0))/2))+2*IF(circ_int,0,eq_c1/2))+(PI()*(s_0+9*s_r+IF(circ_int,eq_c1/2,0))/2))+2*IF(circ_int,0,eq_c2/2)),-IF(circ_int,0,eq_c1/2)-(s_0+9*s_r+IF(circ_int,eq_c1/2,0)),IF(((5+0.5)*(4*IF(circ_int,0,eq_c1/2)+4*IF(circ_int,0,eq_c2/2)+2*PI()*(s_0+9*s_r+IF(circ_int,eq_c1/2,0)))/INDEX(lk_legs,10))&lt;((((((2*IF(circ_int,0,eq_c2/2))+(PI()*(s_0+9*s_r+IF(circ_int,eq_c1/2,0))/2))+2*IF(circ_int,0,eq_c1/2))+(PI()*(s_0+9*s_r+IF(circ_int,eq_c1/2,0))/2))+2*IF(circ_int,0,eq_c2/2))+(PI()*(s_0+9*s_r+IF(circ_int,eq_c1/2,0))/2)),-IF(circ_int,0,eq_c1/2)+(s_0+9*s_r+IF(circ_int,eq_c1/2,0))*COS(PI()+(((5+0.5)*(4*IF(circ_int,0,eq_c1/2)+4*IF(circ_int,0,eq_c2/2)+2*PI()*(s_0+9*s_r+IF(circ_int,eq_c1/2,0)))/INDEX(lk_legs,10))-(((((2*IF(circ_int,0,eq_c2/2))+(PI()*(s_0+9*s_r+IF(circ_int,eq_c1/2,0))/2))+2*IF(circ_int,0,eq_c1/2))+(PI()*(s_0+9*s_r+IF(circ_int,eq_c1/2,0))/2))+2*IF(circ_int,0,eq_c2/2)))/(s_0+9*s_r+IF(circ_int,eq_c1/2,0))),IF(((5+0.5)*(4*IF(circ_int,0,eq_c1/2)+4*IF(circ_int,0,eq_c2/2)+2*PI()*(s_0+9*s_r+IF(circ_int,eq_c1/2,0)))/INDEX(lk_legs,10))&lt;(((((((2*IF(circ_int,0,eq_c2/2))+(PI()*(s_0+9*s_r+IF(circ_int,eq_c1/2,0))/2))+2*IF(circ_int,0,eq_c1/2))+(PI()*(s_0+9*s_r+IF(circ_int,eq_c1/2,0))/2))+2*IF(circ_int,0,eq_c2/2))+(PI()*(s_0+9*s_r+IF(circ_int,eq_c1/2,0))/2))+2*IF(circ_int,0,eq_c1/2)),-IF(circ_int,0,eq_c1/2)+(((5+0.5)*(4*IF(circ_int,0,eq_c1/2)+4*IF(circ_int,0,eq_c2/2)+2*PI()*(s_0+9*s_r+IF(circ_int,eq_c1/2,0)))/INDEX(lk_legs,10))-((((((2*IF(circ_int,0,eq_c2/2))+(PI()*(s_0+9*s_r+IF(circ_int,eq_c1/2,0))/2))+2*IF(circ_int,0,eq_c1/2))+(PI()*(s_0+9*s_r+IF(circ_int,eq_c1/2,0))/2))+2*IF(circ_int,0,eq_c2/2))+(PI()*(s_0+9*s_r+IF(circ_int,eq_c1/2,0))/2))),IF(circ_int,0,eq_c1/2)+(s_0+9*s_r+IF(circ_int,eq_c1/2,0))*COS(3*PI()/2+(((5+0.5)*(4*IF(circ_int,0,eq_c1/2)+4*IF(circ_int,0,eq_c2/2)+2*PI()*(s_0+9*s_r+IF(circ_int,eq_c1/2,0)))/INDEX(lk_legs,10))-(((((((2*IF(circ_int,0,eq_c2/2))+(PI()*(s_0+9*s_r+IF(circ_int,eq_c1/2,0))/2))+2*IF(circ_int,0,eq_c1/2))+(PI()*(s_0+9*s_r+IF(circ_int,eq_c1/2,0))/2))+2*IF(circ_int,0,eq_c2/2))+(PI()*(s_0+9*s_r+IF(circ_int,eq_c1/2,0))/2))+2*IF(circ_int,0,eq_c1/2)))/(s_0+9*s_r+IF(circ_int,eq_c1/2,0)))))))))),NA())</f>
        <v/>
      </c>
      <c r="DC8">
        <f>IF(AND(AND(links_on,10&lt;=n_per),INDEX(lk_kind,10)=1,5&lt;INDEX(lk_legs,10)),g_oy+IF(((5+0.5)*(4*IF(circ_int,0,eq_c1/2)+4*IF(circ_int,0,eq_c2/2)+2*PI()*(s_0+9*s_r+IF(circ_int,eq_c1/2,0)))/INDEX(lk_legs,10))&lt;(2*IF(circ_int,0,eq_c2/2)),-IF(circ_int,0,eq_c2/2)+((5+0.5)*(4*IF(circ_int,0,eq_c1/2)+4*IF(circ_int,0,eq_c2/2)+2*PI()*(s_0+9*s_r+IF(circ_int,eq_c1/2,0)))/INDEX(lk_legs,10)),IF(((5+0.5)*(4*IF(circ_int,0,eq_c1/2)+4*IF(circ_int,0,eq_c2/2)+2*PI()*(s_0+9*s_r+IF(circ_int,eq_c1/2,0)))/INDEX(lk_legs,10))&lt;((2*IF(circ_int,0,eq_c2/2))+(PI()*(s_0+9*s_r+IF(circ_int,eq_c1/2,0))/2)),IF(circ_int,0,eq_c2/2)+(s_0+9*s_r+IF(circ_int,eq_c1/2,0))*SIN((((5+0.5)*(4*IF(circ_int,0,eq_c1/2)+4*IF(circ_int,0,eq_c2/2)+2*PI()*(s_0+9*s_r+IF(circ_int,eq_c1/2,0)))/INDEX(lk_legs,10))-(2*IF(circ_int,0,eq_c2/2)))/(s_0+9*s_r+IF(circ_int,eq_c1/2,0))),IF(((5+0.5)*(4*IF(circ_int,0,eq_c1/2)+4*IF(circ_int,0,eq_c2/2)+2*PI()*(s_0+9*s_r+IF(circ_int,eq_c1/2,0)))/INDEX(lk_legs,10))&lt;(((2*IF(circ_int,0,eq_c2/2))+(PI()*(s_0+9*s_r+IF(circ_int,eq_c1/2,0))/2))+2*IF(circ_int,0,eq_c1/2)),IF(circ_int,0,eq_c2/2)+(s_0+9*s_r+IF(circ_int,eq_c1/2,0)),IF(((5+0.5)*(4*IF(circ_int,0,eq_c1/2)+4*IF(circ_int,0,eq_c2/2)+2*PI()*(s_0+9*s_r+IF(circ_int,eq_c1/2,0)))/INDEX(lk_legs,10))&lt;((((2*IF(circ_int,0,eq_c2/2))+(PI()*(s_0+9*s_r+IF(circ_int,eq_c1/2,0))/2))+2*IF(circ_int,0,eq_c1/2))+(PI()*(s_0+9*s_r+IF(circ_int,eq_c1/2,0))/2)),IF(circ_int,0,eq_c2/2)+(s_0+9*s_r+IF(circ_int,eq_c1/2,0))*SIN(PI()/2+(((5+0.5)*(4*IF(circ_int,0,eq_c1/2)+4*IF(circ_int,0,eq_c2/2)+2*PI()*(s_0+9*s_r+IF(circ_int,eq_c1/2,0)))/INDEX(lk_legs,10))-(((2*IF(circ_int,0,eq_c2/2))+(PI()*(s_0+9*s_r+IF(circ_int,eq_c1/2,0))/2))+2*IF(circ_int,0,eq_c1/2)))/(s_0+9*s_r+IF(circ_int,eq_c1/2,0))),IF(((5+0.5)*(4*IF(circ_int,0,eq_c1/2)+4*IF(circ_int,0,eq_c2/2)+2*PI()*(s_0+9*s_r+IF(circ_int,eq_c1/2,0)))/INDEX(lk_legs,10))&lt;(((((2*IF(circ_int,0,eq_c2/2))+(PI()*(s_0+9*s_r+IF(circ_int,eq_c1/2,0))/2))+2*IF(circ_int,0,eq_c1/2))+(PI()*(s_0+9*s_r+IF(circ_int,eq_c1/2,0))/2))+2*IF(circ_int,0,eq_c2/2)),IF(circ_int,0,eq_c2/2)-(((5+0.5)*(4*IF(circ_int,0,eq_c1/2)+4*IF(circ_int,0,eq_c2/2)+2*PI()*(s_0+9*s_r+IF(circ_int,eq_c1/2,0)))/INDEX(lk_legs,10))-((((2*IF(circ_int,0,eq_c2/2))+(PI()*(s_0+9*s_r+IF(circ_int,eq_c1/2,0))/2))+2*IF(circ_int,0,eq_c1/2))+(PI()*(s_0+9*s_r+IF(circ_int,eq_c1/2,0))/2))),IF(((5+0.5)*(4*IF(circ_int,0,eq_c1/2)+4*IF(circ_int,0,eq_c2/2)+2*PI()*(s_0+9*s_r+IF(circ_int,eq_c1/2,0)))/INDEX(lk_legs,10))&lt;((((((2*IF(circ_int,0,eq_c2/2))+(PI()*(s_0+9*s_r+IF(circ_int,eq_c1/2,0))/2))+2*IF(circ_int,0,eq_c1/2))+(PI()*(s_0+9*s_r+IF(circ_int,eq_c1/2,0))/2))+2*IF(circ_int,0,eq_c2/2))+(PI()*(s_0+9*s_r+IF(circ_int,eq_c1/2,0))/2)),-IF(circ_int,0,eq_c2/2)+(s_0+9*s_r+IF(circ_int,eq_c1/2,0))*SIN(PI()+(((5+0.5)*(4*IF(circ_int,0,eq_c1/2)+4*IF(circ_int,0,eq_c2/2)+2*PI()*(s_0+9*s_r+IF(circ_int,eq_c1/2,0)))/INDEX(lk_legs,10))-(((((2*IF(circ_int,0,eq_c2/2))+(PI()*(s_0+9*s_r+IF(circ_int,eq_c1/2,0))/2))+2*IF(circ_int,0,eq_c1/2))+(PI()*(s_0+9*s_r+IF(circ_int,eq_c1/2,0))/2))+2*IF(circ_int,0,eq_c2/2)))/(s_0+9*s_r+IF(circ_int,eq_c1/2,0))),IF(((5+0.5)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(5+0.5)*(4*IF(circ_int,0,eq_c1/2)+4*IF(circ_int,0,eq_c2/2)+2*PI()*(s_0+9*s_r+IF(circ_int,eq_c1/2,0)))/INDEX(lk_legs,10))-(((((((2*IF(circ_int,0,eq_c2/2))+(PI()*(s_0+9*s_r+IF(circ_int,eq_c1/2,0))/2))+2*IF(circ_int,0,eq_c1/2))+(PI()*(s_0+9*s_r+IF(circ_int,eq_c1/2,0))/2))+2*IF(circ_int,0,eq_c2/2))+(PI()*(s_0+9*s_r+IF(circ_int,eq_c1/2,0))/2))+2*IF(circ_int,0,eq_c1/2)))/(s_0+9*s_r+IF(circ_int,eq_c1/2,0)))))))))),NA())</f>
        <v/>
      </c>
      <c r="DE8">
        <f>IF(AND(links_on,11&lt;=n_per),IF(circ_int,(g_ox)+(c_1/2+(s_0+10*s_r))*0.822984,CHOOSE(INDEX(lk_kind,11),(g_ox+eq_c1/2)+((s_0+10*s_r))*0.793353,(eq_a1+eq_c1)+((s_0+10*s_r))*0.500000,(eq_a1+eq_c1)+((s_0+10*s_r))*0.500000,(eq_a1)+((s_0+10*s_r))*-0.866025)),NA())</f>
        <v/>
      </c>
      <c r="DF8">
        <f>IF(AND(links_on,11&lt;=n_per),IF(circ_int,(g_oy)+(c_1/2+(s_0+10*s_r))*0.568065,CHOOSE(INDEX(lk_kind,11),(g_oy+eq_c2/2)+((s_0+10*s_r))*0.608761,(g_oy+eq_c2/2)+((s_0+10*s_r))*0.866025,(eq_a2+eq_c2)+((s_0+10*s_r))*0.866025,(eq_a2+eq_c2)+((s_0+10*s_r))*0.500000)),NA())</f>
        <v/>
      </c>
      <c r="DH8">
        <f>IF(AND(AND(links_on,11&lt;=n_per),INDEX(lk_kind,11)=1,5&lt;INDEX(lk_legs,11)),g_ox+IF(((5+0.5)*(4*IF(circ_int,0,eq_c1/2)+4*IF(circ_int,0,eq_c2/2)+2*PI()*(s_0+10*s_r+IF(circ_int,eq_c1/2,0)))/INDEX(lk_legs,11))&lt;(2*IF(circ_int,0,eq_c2/2)),IF(circ_int,0,eq_c1/2)+(s_0+10*s_r+IF(circ_int,eq_c1/2,0)),IF(((5+0.5)*(4*IF(circ_int,0,eq_c1/2)+4*IF(circ_int,0,eq_c2/2)+2*PI()*(s_0+10*s_r+IF(circ_int,eq_c1/2,0)))/INDEX(lk_legs,11))&lt;((2*IF(circ_int,0,eq_c2/2))+(PI()*(s_0+10*s_r+IF(circ_int,eq_c1/2,0))/2)),IF(circ_int,0,eq_c1/2)+(s_0+10*s_r+IF(circ_int,eq_c1/2,0))*COS((((5+0.5)*(4*IF(circ_int,0,eq_c1/2)+4*IF(circ_int,0,eq_c2/2)+2*PI()*(s_0+10*s_r+IF(circ_int,eq_c1/2,0)))/INDEX(lk_legs,11))-(2*IF(circ_int,0,eq_c2/2)))/(s_0+10*s_r+IF(circ_int,eq_c1/2,0))),IF(((5+0.5)*(4*IF(circ_int,0,eq_c1/2)+4*IF(circ_int,0,eq_c2/2)+2*PI()*(s_0+10*s_r+IF(circ_int,eq_c1/2,0)))/INDEX(lk_legs,11))&lt;(((2*IF(circ_int,0,eq_c2/2))+(PI()*(s_0+10*s_r+IF(circ_int,eq_c1/2,0))/2))+2*IF(circ_int,0,eq_c1/2)),IF(circ_int,0,eq_c1/2)-(((5+0.5)*(4*IF(circ_int,0,eq_c1/2)+4*IF(circ_int,0,eq_c2/2)+2*PI()*(s_0+10*s_r+IF(circ_int,eq_c1/2,0)))/INDEX(lk_legs,11))-((2*IF(circ_int,0,eq_c2/2))+(PI()*(s_0+10*s_r+IF(circ_int,eq_c1/2,0))/2))),IF(((5+0.5)*(4*IF(circ_int,0,eq_c1/2)+4*IF(circ_int,0,eq_c2/2)+2*PI()*(s_0+10*s_r+IF(circ_int,eq_c1/2,0)))/INDEX(lk_legs,11))&lt;((((2*IF(circ_int,0,eq_c2/2))+(PI()*(s_0+10*s_r+IF(circ_int,eq_c1/2,0))/2))+2*IF(circ_int,0,eq_c1/2))+(PI()*(s_0+10*s_r+IF(circ_int,eq_c1/2,0))/2)),-IF(circ_int,0,eq_c1/2)+(s_0+10*s_r+IF(circ_int,eq_c1/2,0))*COS(PI()/2+(((5+0.5)*(4*IF(circ_int,0,eq_c1/2)+4*IF(circ_int,0,eq_c2/2)+2*PI()*(s_0+10*s_r+IF(circ_int,eq_c1/2,0)))/INDEX(lk_legs,11))-(((2*IF(circ_int,0,eq_c2/2))+(PI()*(s_0+10*s_r+IF(circ_int,eq_c1/2,0))/2))+2*IF(circ_int,0,eq_c1/2)))/(s_0+10*s_r+IF(circ_int,eq_c1/2,0))),IF(((5+0.5)*(4*IF(circ_int,0,eq_c1/2)+4*IF(circ_int,0,eq_c2/2)+2*PI()*(s_0+10*s_r+IF(circ_int,eq_c1/2,0)))/INDEX(lk_legs,11))&lt;(((((2*IF(circ_int,0,eq_c2/2))+(PI()*(s_0+10*s_r+IF(circ_int,eq_c1/2,0))/2))+2*IF(circ_int,0,eq_c1/2))+(PI()*(s_0+10*s_r+IF(circ_int,eq_c1/2,0))/2))+2*IF(circ_int,0,eq_c2/2)),-IF(circ_int,0,eq_c1/2)-(s_0+10*s_r+IF(circ_int,eq_c1/2,0)),IF(((5+0.5)*(4*IF(circ_int,0,eq_c1/2)+4*IF(circ_int,0,eq_c2/2)+2*PI()*(s_0+10*s_r+IF(circ_int,eq_c1/2,0)))/INDEX(lk_legs,11))&lt;((((((2*IF(circ_int,0,eq_c2/2))+(PI()*(s_0+10*s_r+IF(circ_int,eq_c1/2,0))/2))+2*IF(circ_int,0,eq_c1/2))+(PI()*(s_0+10*s_r+IF(circ_int,eq_c1/2,0))/2))+2*IF(circ_int,0,eq_c2/2))+(PI()*(s_0+10*s_r+IF(circ_int,eq_c1/2,0))/2)),-IF(circ_int,0,eq_c1/2)+(s_0+10*s_r+IF(circ_int,eq_c1/2,0))*COS(PI()+(((5+0.5)*(4*IF(circ_int,0,eq_c1/2)+4*IF(circ_int,0,eq_c2/2)+2*PI()*(s_0+10*s_r+IF(circ_int,eq_c1/2,0)))/INDEX(lk_legs,11))-(((((2*IF(circ_int,0,eq_c2/2))+(PI()*(s_0+10*s_r+IF(circ_int,eq_c1/2,0))/2))+2*IF(circ_int,0,eq_c1/2))+(PI()*(s_0+10*s_r+IF(circ_int,eq_c1/2,0))/2))+2*IF(circ_int,0,eq_c2/2)))/(s_0+10*s_r+IF(circ_int,eq_c1/2,0))),IF(((5+0.5)*(4*IF(circ_int,0,eq_c1/2)+4*IF(circ_int,0,eq_c2/2)+2*PI()*(s_0+10*s_r+IF(circ_int,eq_c1/2,0)))/INDEX(lk_legs,11))&lt;(((((((2*IF(circ_int,0,eq_c2/2))+(PI()*(s_0+10*s_r+IF(circ_int,eq_c1/2,0))/2))+2*IF(circ_int,0,eq_c1/2))+(PI()*(s_0+10*s_r+IF(circ_int,eq_c1/2,0))/2))+2*IF(circ_int,0,eq_c2/2))+(PI()*(s_0+10*s_r+IF(circ_int,eq_c1/2,0))/2))+2*IF(circ_int,0,eq_c1/2)),-IF(circ_int,0,eq_c1/2)+(((5+0.5)*(4*IF(circ_int,0,eq_c1/2)+4*IF(circ_int,0,eq_c2/2)+2*PI()*(s_0+10*s_r+IF(circ_int,eq_c1/2,0)))/INDEX(lk_legs,11))-((((((2*IF(circ_int,0,eq_c2/2))+(PI()*(s_0+10*s_r+IF(circ_int,eq_c1/2,0))/2))+2*IF(circ_int,0,eq_c1/2))+(PI()*(s_0+10*s_r+IF(circ_int,eq_c1/2,0))/2))+2*IF(circ_int,0,eq_c2/2))+(PI()*(s_0+10*s_r+IF(circ_int,eq_c1/2,0))/2))),IF(circ_int,0,eq_c1/2)+(s_0+10*s_r+IF(circ_int,eq_c1/2,0))*COS(3*PI()/2+(((5+0.5)*(4*IF(circ_int,0,eq_c1/2)+4*IF(circ_int,0,eq_c2/2)+2*PI()*(s_0+10*s_r+IF(circ_int,eq_c1/2,0)))/INDEX(lk_legs,11))-(((((((2*IF(circ_int,0,eq_c2/2))+(PI()*(s_0+10*s_r+IF(circ_int,eq_c1/2,0))/2))+2*IF(circ_int,0,eq_c1/2))+(PI()*(s_0+10*s_r+IF(circ_int,eq_c1/2,0))/2))+2*IF(circ_int,0,eq_c2/2))+(PI()*(s_0+10*s_r+IF(circ_int,eq_c1/2,0))/2))+2*IF(circ_int,0,eq_c1/2)))/(s_0+10*s_r+IF(circ_int,eq_c1/2,0)))))))))),NA())</f>
        <v/>
      </c>
      <c r="DI8">
        <f>IF(AND(AND(links_on,11&lt;=n_per),INDEX(lk_kind,11)=1,5&lt;INDEX(lk_legs,11)),g_oy+IF(((5+0.5)*(4*IF(circ_int,0,eq_c1/2)+4*IF(circ_int,0,eq_c2/2)+2*PI()*(s_0+10*s_r+IF(circ_int,eq_c1/2,0)))/INDEX(lk_legs,11))&lt;(2*IF(circ_int,0,eq_c2/2)),-IF(circ_int,0,eq_c2/2)+((5+0.5)*(4*IF(circ_int,0,eq_c1/2)+4*IF(circ_int,0,eq_c2/2)+2*PI()*(s_0+10*s_r+IF(circ_int,eq_c1/2,0)))/INDEX(lk_legs,11)),IF(((5+0.5)*(4*IF(circ_int,0,eq_c1/2)+4*IF(circ_int,0,eq_c2/2)+2*PI()*(s_0+10*s_r+IF(circ_int,eq_c1/2,0)))/INDEX(lk_legs,11))&lt;((2*IF(circ_int,0,eq_c2/2))+(PI()*(s_0+10*s_r+IF(circ_int,eq_c1/2,0))/2)),IF(circ_int,0,eq_c2/2)+(s_0+10*s_r+IF(circ_int,eq_c1/2,0))*SIN((((5+0.5)*(4*IF(circ_int,0,eq_c1/2)+4*IF(circ_int,0,eq_c2/2)+2*PI()*(s_0+10*s_r+IF(circ_int,eq_c1/2,0)))/INDEX(lk_legs,11))-(2*IF(circ_int,0,eq_c2/2)))/(s_0+10*s_r+IF(circ_int,eq_c1/2,0))),IF(((5+0.5)*(4*IF(circ_int,0,eq_c1/2)+4*IF(circ_int,0,eq_c2/2)+2*PI()*(s_0+10*s_r+IF(circ_int,eq_c1/2,0)))/INDEX(lk_legs,11))&lt;(((2*IF(circ_int,0,eq_c2/2))+(PI()*(s_0+10*s_r+IF(circ_int,eq_c1/2,0))/2))+2*IF(circ_int,0,eq_c1/2)),IF(circ_int,0,eq_c2/2)+(s_0+10*s_r+IF(circ_int,eq_c1/2,0)),IF(((5+0.5)*(4*IF(circ_int,0,eq_c1/2)+4*IF(circ_int,0,eq_c2/2)+2*PI()*(s_0+10*s_r+IF(circ_int,eq_c1/2,0)))/INDEX(lk_legs,11))&lt;((((2*IF(circ_int,0,eq_c2/2))+(PI()*(s_0+10*s_r+IF(circ_int,eq_c1/2,0))/2))+2*IF(circ_int,0,eq_c1/2))+(PI()*(s_0+10*s_r+IF(circ_int,eq_c1/2,0))/2)),IF(circ_int,0,eq_c2/2)+(s_0+10*s_r+IF(circ_int,eq_c1/2,0))*SIN(PI()/2+(((5+0.5)*(4*IF(circ_int,0,eq_c1/2)+4*IF(circ_int,0,eq_c2/2)+2*PI()*(s_0+10*s_r+IF(circ_int,eq_c1/2,0)))/INDEX(lk_legs,11))-(((2*IF(circ_int,0,eq_c2/2))+(PI()*(s_0+10*s_r+IF(circ_int,eq_c1/2,0))/2))+2*IF(circ_int,0,eq_c1/2)))/(s_0+10*s_r+IF(circ_int,eq_c1/2,0))),IF(((5+0.5)*(4*IF(circ_int,0,eq_c1/2)+4*IF(circ_int,0,eq_c2/2)+2*PI()*(s_0+10*s_r+IF(circ_int,eq_c1/2,0)))/INDEX(lk_legs,11))&lt;(((((2*IF(circ_int,0,eq_c2/2))+(PI()*(s_0+10*s_r+IF(circ_int,eq_c1/2,0))/2))+2*IF(circ_int,0,eq_c1/2))+(PI()*(s_0+10*s_r+IF(circ_int,eq_c1/2,0))/2))+2*IF(circ_int,0,eq_c2/2)),IF(circ_int,0,eq_c2/2)-(((5+0.5)*(4*IF(circ_int,0,eq_c1/2)+4*IF(circ_int,0,eq_c2/2)+2*PI()*(s_0+10*s_r+IF(circ_int,eq_c1/2,0)))/INDEX(lk_legs,11))-((((2*IF(circ_int,0,eq_c2/2))+(PI()*(s_0+10*s_r+IF(circ_int,eq_c1/2,0))/2))+2*IF(circ_int,0,eq_c1/2))+(PI()*(s_0+10*s_r+IF(circ_int,eq_c1/2,0))/2))),IF(((5+0.5)*(4*IF(circ_int,0,eq_c1/2)+4*IF(circ_int,0,eq_c2/2)+2*PI()*(s_0+10*s_r+IF(circ_int,eq_c1/2,0)))/INDEX(lk_legs,11))&lt;((((((2*IF(circ_int,0,eq_c2/2))+(PI()*(s_0+10*s_r+IF(circ_int,eq_c1/2,0))/2))+2*IF(circ_int,0,eq_c1/2))+(PI()*(s_0+10*s_r+IF(circ_int,eq_c1/2,0))/2))+2*IF(circ_int,0,eq_c2/2))+(PI()*(s_0+10*s_r+IF(circ_int,eq_c1/2,0))/2)),-IF(circ_int,0,eq_c2/2)+(s_0+10*s_r+IF(circ_int,eq_c1/2,0))*SIN(PI()+(((5+0.5)*(4*IF(circ_int,0,eq_c1/2)+4*IF(circ_int,0,eq_c2/2)+2*PI()*(s_0+10*s_r+IF(circ_int,eq_c1/2,0)))/INDEX(lk_legs,11))-(((((2*IF(circ_int,0,eq_c2/2))+(PI()*(s_0+10*s_r+IF(circ_int,eq_c1/2,0))/2))+2*IF(circ_int,0,eq_c1/2))+(PI()*(s_0+10*s_r+IF(circ_int,eq_c1/2,0))/2))+2*IF(circ_int,0,eq_c2/2)))/(s_0+10*s_r+IF(circ_int,eq_c1/2,0))),IF(((5+0.5)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(5+0.5)*(4*IF(circ_int,0,eq_c1/2)+4*IF(circ_int,0,eq_c2/2)+2*PI()*(s_0+10*s_r+IF(circ_int,eq_c1/2,0)))/INDEX(lk_legs,11))-(((((((2*IF(circ_int,0,eq_c2/2))+(PI()*(s_0+10*s_r+IF(circ_int,eq_c1/2,0))/2))+2*IF(circ_int,0,eq_c1/2))+(PI()*(s_0+10*s_r+IF(circ_int,eq_c1/2,0))/2))+2*IF(circ_int,0,eq_c2/2))+(PI()*(s_0+10*s_r+IF(circ_int,eq_c1/2,0))/2))+2*IF(circ_int,0,eq_c1/2)))/(s_0+10*s_r+IF(circ_int,eq_c1/2,0)))))))))),NA())</f>
        <v/>
      </c>
      <c r="DK8">
        <f>IF(AND(links_on,12&lt;=n_per),IF(circ_int,(g_ox)+(c_1/2+(s_0+11*s_r))*0.822984,CHOOSE(INDEX(lk_kind,12),(g_ox+eq_c1/2)+((s_0+11*s_r))*0.793353,(eq_a1+eq_c1)+((s_0+11*s_r))*0.500000,(eq_a1+eq_c1)+((s_0+11*s_r))*0.500000,(eq_a1)+((s_0+11*s_r))*-0.866025)),NA())</f>
        <v/>
      </c>
      <c r="DL8">
        <f>IF(AND(links_on,12&lt;=n_per),IF(circ_int,(g_oy)+(c_1/2+(s_0+11*s_r))*0.568065,CHOOSE(INDEX(lk_kind,12),(g_oy+eq_c2/2)+((s_0+11*s_r))*0.608761,(g_oy+eq_c2/2)+((s_0+11*s_r))*0.866025,(eq_a2+eq_c2)+((s_0+11*s_r))*0.866025,(eq_a2+eq_c2)+((s_0+11*s_r))*0.500000)),NA())</f>
        <v/>
      </c>
      <c r="DN8">
        <f>IF(AND(AND(links_on,12&lt;=n_per),INDEX(lk_kind,12)=1,5&lt;INDEX(lk_legs,12)),g_ox+IF(((5+0.5)*(4*IF(circ_int,0,eq_c1/2)+4*IF(circ_int,0,eq_c2/2)+2*PI()*(s_0+11*s_r+IF(circ_int,eq_c1/2,0)))/INDEX(lk_legs,12))&lt;(2*IF(circ_int,0,eq_c2/2)),IF(circ_int,0,eq_c1/2)+(s_0+11*s_r+IF(circ_int,eq_c1/2,0)),IF(((5+0.5)*(4*IF(circ_int,0,eq_c1/2)+4*IF(circ_int,0,eq_c2/2)+2*PI()*(s_0+11*s_r+IF(circ_int,eq_c1/2,0)))/INDEX(lk_legs,12))&lt;((2*IF(circ_int,0,eq_c2/2))+(PI()*(s_0+11*s_r+IF(circ_int,eq_c1/2,0))/2)),IF(circ_int,0,eq_c1/2)+(s_0+11*s_r+IF(circ_int,eq_c1/2,0))*COS((((5+0.5)*(4*IF(circ_int,0,eq_c1/2)+4*IF(circ_int,0,eq_c2/2)+2*PI()*(s_0+11*s_r+IF(circ_int,eq_c1/2,0)))/INDEX(lk_legs,12))-(2*IF(circ_int,0,eq_c2/2)))/(s_0+11*s_r+IF(circ_int,eq_c1/2,0))),IF(((5+0.5)*(4*IF(circ_int,0,eq_c1/2)+4*IF(circ_int,0,eq_c2/2)+2*PI()*(s_0+11*s_r+IF(circ_int,eq_c1/2,0)))/INDEX(lk_legs,12))&lt;(((2*IF(circ_int,0,eq_c2/2))+(PI()*(s_0+11*s_r+IF(circ_int,eq_c1/2,0))/2))+2*IF(circ_int,0,eq_c1/2)),IF(circ_int,0,eq_c1/2)-(((5+0.5)*(4*IF(circ_int,0,eq_c1/2)+4*IF(circ_int,0,eq_c2/2)+2*PI()*(s_0+11*s_r+IF(circ_int,eq_c1/2,0)))/INDEX(lk_legs,12))-((2*IF(circ_int,0,eq_c2/2))+(PI()*(s_0+11*s_r+IF(circ_int,eq_c1/2,0))/2))),IF(((5+0.5)*(4*IF(circ_int,0,eq_c1/2)+4*IF(circ_int,0,eq_c2/2)+2*PI()*(s_0+11*s_r+IF(circ_int,eq_c1/2,0)))/INDEX(lk_legs,12))&lt;((((2*IF(circ_int,0,eq_c2/2))+(PI()*(s_0+11*s_r+IF(circ_int,eq_c1/2,0))/2))+2*IF(circ_int,0,eq_c1/2))+(PI()*(s_0+11*s_r+IF(circ_int,eq_c1/2,0))/2)),-IF(circ_int,0,eq_c1/2)+(s_0+11*s_r+IF(circ_int,eq_c1/2,0))*COS(PI()/2+(((5+0.5)*(4*IF(circ_int,0,eq_c1/2)+4*IF(circ_int,0,eq_c2/2)+2*PI()*(s_0+11*s_r+IF(circ_int,eq_c1/2,0)))/INDEX(lk_legs,12))-(((2*IF(circ_int,0,eq_c2/2))+(PI()*(s_0+11*s_r+IF(circ_int,eq_c1/2,0))/2))+2*IF(circ_int,0,eq_c1/2)))/(s_0+11*s_r+IF(circ_int,eq_c1/2,0))),IF(((5+0.5)*(4*IF(circ_int,0,eq_c1/2)+4*IF(circ_int,0,eq_c2/2)+2*PI()*(s_0+11*s_r+IF(circ_int,eq_c1/2,0)))/INDEX(lk_legs,12))&lt;(((((2*IF(circ_int,0,eq_c2/2))+(PI()*(s_0+11*s_r+IF(circ_int,eq_c1/2,0))/2))+2*IF(circ_int,0,eq_c1/2))+(PI()*(s_0+11*s_r+IF(circ_int,eq_c1/2,0))/2))+2*IF(circ_int,0,eq_c2/2)),-IF(circ_int,0,eq_c1/2)-(s_0+11*s_r+IF(circ_int,eq_c1/2,0)),IF(((5+0.5)*(4*IF(circ_int,0,eq_c1/2)+4*IF(circ_int,0,eq_c2/2)+2*PI()*(s_0+11*s_r+IF(circ_int,eq_c1/2,0)))/INDEX(lk_legs,12))&lt;((((((2*IF(circ_int,0,eq_c2/2))+(PI()*(s_0+11*s_r+IF(circ_int,eq_c1/2,0))/2))+2*IF(circ_int,0,eq_c1/2))+(PI()*(s_0+11*s_r+IF(circ_int,eq_c1/2,0))/2))+2*IF(circ_int,0,eq_c2/2))+(PI()*(s_0+11*s_r+IF(circ_int,eq_c1/2,0))/2)),-IF(circ_int,0,eq_c1/2)+(s_0+11*s_r+IF(circ_int,eq_c1/2,0))*COS(PI()+(((5+0.5)*(4*IF(circ_int,0,eq_c1/2)+4*IF(circ_int,0,eq_c2/2)+2*PI()*(s_0+11*s_r+IF(circ_int,eq_c1/2,0)))/INDEX(lk_legs,12))-(((((2*IF(circ_int,0,eq_c2/2))+(PI()*(s_0+11*s_r+IF(circ_int,eq_c1/2,0))/2))+2*IF(circ_int,0,eq_c1/2))+(PI()*(s_0+11*s_r+IF(circ_int,eq_c1/2,0))/2))+2*IF(circ_int,0,eq_c2/2)))/(s_0+11*s_r+IF(circ_int,eq_c1/2,0))),IF(((5+0.5)*(4*IF(circ_int,0,eq_c1/2)+4*IF(circ_int,0,eq_c2/2)+2*PI()*(s_0+11*s_r+IF(circ_int,eq_c1/2,0)))/INDEX(lk_legs,12))&lt;(((((((2*IF(circ_int,0,eq_c2/2))+(PI()*(s_0+11*s_r+IF(circ_int,eq_c1/2,0))/2))+2*IF(circ_int,0,eq_c1/2))+(PI()*(s_0+11*s_r+IF(circ_int,eq_c1/2,0))/2))+2*IF(circ_int,0,eq_c2/2))+(PI()*(s_0+11*s_r+IF(circ_int,eq_c1/2,0))/2))+2*IF(circ_int,0,eq_c1/2)),-IF(circ_int,0,eq_c1/2)+(((5+0.5)*(4*IF(circ_int,0,eq_c1/2)+4*IF(circ_int,0,eq_c2/2)+2*PI()*(s_0+11*s_r+IF(circ_int,eq_c1/2,0)))/INDEX(lk_legs,12))-((((((2*IF(circ_int,0,eq_c2/2))+(PI()*(s_0+11*s_r+IF(circ_int,eq_c1/2,0))/2))+2*IF(circ_int,0,eq_c1/2))+(PI()*(s_0+11*s_r+IF(circ_int,eq_c1/2,0))/2))+2*IF(circ_int,0,eq_c2/2))+(PI()*(s_0+11*s_r+IF(circ_int,eq_c1/2,0))/2))),IF(circ_int,0,eq_c1/2)+(s_0+11*s_r+IF(circ_int,eq_c1/2,0))*COS(3*PI()/2+(((5+0.5)*(4*IF(circ_int,0,eq_c1/2)+4*IF(circ_int,0,eq_c2/2)+2*PI()*(s_0+11*s_r+IF(circ_int,eq_c1/2,0)))/INDEX(lk_legs,12))-(((((((2*IF(circ_int,0,eq_c2/2))+(PI()*(s_0+11*s_r+IF(circ_int,eq_c1/2,0))/2))+2*IF(circ_int,0,eq_c1/2))+(PI()*(s_0+11*s_r+IF(circ_int,eq_c1/2,0))/2))+2*IF(circ_int,0,eq_c2/2))+(PI()*(s_0+11*s_r+IF(circ_int,eq_c1/2,0))/2))+2*IF(circ_int,0,eq_c1/2)))/(s_0+11*s_r+IF(circ_int,eq_c1/2,0)))))))))),NA())</f>
        <v/>
      </c>
      <c r="DO8">
        <f>IF(AND(AND(links_on,12&lt;=n_per),INDEX(lk_kind,12)=1,5&lt;INDEX(lk_legs,12)),g_oy+IF(((5+0.5)*(4*IF(circ_int,0,eq_c1/2)+4*IF(circ_int,0,eq_c2/2)+2*PI()*(s_0+11*s_r+IF(circ_int,eq_c1/2,0)))/INDEX(lk_legs,12))&lt;(2*IF(circ_int,0,eq_c2/2)),-IF(circ_int,0,eq_c2/2)+((5+0.5)*(4*IF(circ_int,0,eq_c1/2)+4*IF(circ_int,0,eq_c2/2)+2*PI()*(s_0+11*s_r+IF(circ_int,eq_c1/2,0)))/INDEX(lk_legs,12)),IF(((5+0.5)*(4*IF(circ_int,0,eq_c1/2)+4*IF(circ_int,0,eq_c2/2)+2*PI()*(s_0+11*s_r+IF(circ_int,eq_c1/2,0)))/INDEX(lk_legs,12))&lt;((2*IF(circ_int,0,eq_c2/2))+(PI()*(s_0+11*s_r+IF(circ_int,eq_c1/2,0))/2)),IF(circ_int,0,eq_c2/2)+(s_0+11*s_r+IF(circ_int,eq_c1/2,0))*SIN((((5+0.5)*(4*IF(circ_int,0,eq_c1/2)+4*IF(circ_int,0,eq_c2/2)+2*PI()*(s_0+11*s_r+IF(circ_int,eq_c1/2,0)))/INDEX(lk_legs,12))-(2*IF(circ_int,0,eq_c2/2)))/(s_0+11*s_r+IF(circ_int,eq_c1/2,0))),IF(((5+0.5)*(4*IF(circ_int,0,eq_c1/2)+4*IF(circ_int,0,eq_c2/2)+2*PI()*(s_0+11*s_r+IF(circ_int,eq_c1/2,0)))/INDEX(lk_legs,12))&lt;(((2*IF(circ_int,0,eq_c2/2))+(PI()*(s_0+11*s_r+IF(circ_int,eq_c1/2,0))/2))+2*IF(circ_int,0,eq_c1/2)),IF(circ_int,0,eq_c2/2)+(s_0+11*s_r+IF(circ_int,eq_c1/2,0)),IF(((5+0.5)*(4*IF(circ_int,0,eq_c1/2)+4*IF(circ_int,0,eq_c2/2)+2*PI()*(s_0+11*s_r+IF(circ_int,eq_c1/2,0)))/INDEX(lk_legs,12))&lt;((((2*IF(circ_int,0,eq_c2/2))+(PI()*(s_0+11*s_r+IF(circ_int,eq_c1/2,0))/2))+2*IF(circ_int,0,eq_c1/2))+(PI()*(s_0+11*s_r+IF(circ_int,eq_c1/2,0))/2)),IF(circ_int,0,eq_c2/2)+(s_0+11*s_r+IF(circ_int,eq_c1/2,0))*SIN(PI()/2+(((5+0.5)*(4*IF(circ_int,0,eq_c1/2)+4*IF(circ_int,0,eq_c2/2)+2*PI()*(s_0+11*s_r+IF(circ_int,eq_c1/2,0)))/INDEX(lk_legs,12))-(((2*IF(circ_int,0,eq_c2/2))+(PI()*(s_0+11*s_r+IF(circ_int,eq_c1/2,0))/2))+2*IF(circ_int,0,eq_c1/2)))/(s_0+11*s_r+IF(circ_int,eq_c1/2,0))),IF(((5+0.5)*(4*IF(circ_int,0,eq_c1/2)+4*IF(circ_int,0,eq_c2/2)+2*PI()*(s_0+11*s_r+IF(circ_int,eq_c1/2,0)))/INDEX(lk_legs,12))&lt;(((((2*IF(circ_int,0,eq_c2/2))+(PI()*(s_0+11*s_r+IF(circ_int,eq_c1/2,0))/2))+2*IF(circ_int,0,eq_c1/2))+(PI()*(s_0+11*s_r+IF(circ_int,eq_c1/2,0))/2))+2*IF(circ_int,0,eq_c2/2)),IF(circ_int,0,eq_c2/2)-(((5+0.5)*(4*IF(circ_int,0,eq_c1/2)+4*IF(circ_int,0,eq_c2/2)+2*PI()*(s_0+11*s_r+IF(circ_int,eq_c1/2,0)))/INDEX(lk_legs,12))-((((2*IF(circ_int,0,eq_c2/2))+(PI()*(s_0+11*s_r+IF(circ_int,eq_c1/2,0))/2))+2*IF(circ_int,0,eq_c1/2))+(PI()*(s_0+11*s_r+IF(circ_int,eq_c1/2,0))/2))),IF(((5+0.5)*(4*IF(circ_int,0,eq_c1/2)+4*IF(circ_int,0,eq_c2/2)+2*PI()*(s_0+11*s_r+IF(circ_int,eq_c1/2,0)))/INDEX(lk_legs,12))&lt;((((((2*IF(circ_int,0,eq_c2/2))+(PI()*(s_0+11*s_r+IF(circ_int,eq_c1/2,0))/2))+2*IF(circ_int,0,eq_c1/2))+(PI()*(s_0+11*s_r+IF(circ_int,eq_c1/2,0))/2))+2*IF(circ_int,0,eq_c2/2))+(PI()*(s_0+11*s_r+IF(circ_int,eq_c1/2,0))/2)),-IF(circ_int,0,eq_c2/2)+(s_0+11*s_r+IF(circ_int,eq_c1/2,0))*SIN(PI()+(((5+0.5)*(4*IF(circ_int,0,eq_c1/2)+4*IF(circ_int,0,eq_c2/2)+2*PI()*(s_0+11*s_r+IF(circ_int,eq_c1/2,0)))/INDEX(lk_legs,12))-(((((2*IF(circ_int,0,eq_c2/2))+(PI()*(s_0+11*s_r+IF(circ_int,eq_c1/2,0))/2))+2*IF(circ_int,0,eq_c1/2))+(PI()*(s_0+11*s_r+IF(circ_int,eq_c1/2,0))/2))+2*IF(circ_int,0,eq_c2/2)))/(s_0+11*s_r+IF(circ_int,eq_c1/2,0))),IF(((5+0.5)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(5+0.5)*(4*IF(circ_int,0,eq_c1/2)+4*IF(circ_int,0,eq_c2/2)+2*PI()*(s_0+11*s_r+IF(circ_int,eq_c1/2,0)))/INDEX(lk_legs,12))-(((((((2*IF(circ_int,0,eq_c2/2))+(PI()*(s_0+11*s_r+IF(circ_int,eq_c1/2,0))/2))+2*IF(circ_int,0,eq_c1/2))+(PI()*(s_0+11*s_r+IF(circ_int,eq_c1/2,0))/2))+2*IF(circ_int,0,eq_c2/2))+(PI()*(s_0+11*s_r+IF(circ_int,eq_c1/2,0))/2))+2*IF(circ_int,0,eq_c1/2)))/(s_0+11*s_r+IF(circ_int,eq_c1/2,0)))))))))),NA())</f>
        <v/>
      </c>
    </row>
    <row r="9">
      <c r="A9">
        <f>IF(shape="Circular",(g_ox)+(c_1/2+0)*0.748511,CHOOSE(1,(g_ox+eq_c1/2)+(0)*0.707107,(eq_a1+eq_c1)+(0)*0.608761,(eq_a1+eq_c1)+(0)*0.608761,(eq_a1)+(0)*-0.793353))</f>
        <v/>
      </c>
      <c r="B9">
        <f>IF(shape="Circular",(g_oy)+(c_1/2+0)*0.663123,CHOOSE(1,(g_oy+eq_c2/2)+(0)*0.707107,(g_oy+eq_c2/2)+(0)*0.793353,(eq_a2+eq_c2)+(0)*0.793353,(eq_a2+eq_c2)+(0)*0.608761))</f>
        <v/>
      </c>
      <c r="D9">
        <f>IF(circ_int,(g_ox)+(c_1/2+2*d_eff)*0.748511,CHOOSE(geo_idx,(g_ox+eq_c1/2)+(2*d_eff)*0.707107,(eq_a1+eq_c1)+(2*d_eff)*0.608761,(eq_a1+eq_c1)+(2*d_eff)*0.608761,(eq_a1)+(2*d_eff)*-0.793353))</f>
        <v/>
      </c>
      <c r="E9">
        <f>IF(circ_int,(g_oy)+(c_1/2+2*d_eff)*0.663123,CHOOSE(geo_idx,(g_oy+eq_c2/2)+(2*d_eff)*0.707107,(g_oy+eq_c2/2)+(2*d_eff)*0.793353,(eq_a2+eq_c2)+(2*d_eff)*0.793353,(eq_a2+eq_c2)+(2*d_eff)*0.608761))</f>
        <v/>
      </c>
      <c r="G9">
        <f>IF(AND(inputs_ok,punch_ok,A_sw&gt;0),IF(circ_int,(g_ox)+(c_1/2+r_out)*0.748511,CHOOSE(kind_out,(g_ox+eq_c1/2)+(r_out)*0.707107,(eq_a1+eq_c1)+(r_out)*0.608761,(eq_a1+eq_c1)+(r_out)*0.608761,(eq_a1)+(r_out)*-0.793353)),NA())</f>
        <v/>
      </c>
      <c r="H9">
        <f>IF(AND(inputs_ok,punch_ok,A_sw&gt;0),IF(circ_int,(g_oy)+(c_1/2+r_out)*0.663123,CHOOSE(kind_out,(g_oy+eq_c2/2)+(r_out)*0.707107,(g_oy+eq_c2/2)+(r_out)*0.793353,(eq_a2+eq_c2)+(r_out)*0.793353,(eq_a2+eq_c2)+(r_out)*0.608761)),NA())</f>
        <v/>
      </c>
      <c r="AW9">
        <f>IF(AND(links_on,1&lt;=n_per),IF(circ_int,(g_ox)+(c_1/2+(s_0+0*s_r))*0.748511,CHOOSE(INDEX(lk_kind,1),(g_ox+eq_c1/2)+((s_0+0*s_r))*0.707107,(eq_a1+eq_c1)+((s_0+0*s_r))*0.608761,(eq_a1+eq_c1)+((s_0+0*s_r))*0.608761,(eq_a1)+((s_0+0*s_r))*-0.793353)),NA())</f>
        <v/>
      </c>
      <c r="AX9">
        <f>IF(AND(links_on,1&lt;=n_per),IF(circ_int,(g_oy)+(c_1/2+(s_0+0*s_r))*0.663123,CHOOSE(INDEX(lk_kind,1),(g_oy+eq_c2/2)+((s_0+0*s_r))*0.707107,(g_oy+eq_c2/2)+((s_0+0*s_r))*0.793353,(eq_a2+eq_c2)+((s_0+0*s_r))*0.793353,(eq_a2+eq_c2)+((s_0+0*s_r))*0.608761)),NA())</f>
        <v/>
      </c>
      <c r="AZ9">
        <f>IF(AND(AND(links_on,1&lt;=n_per),INDEX(lk_kind,1)=1,6&lt;INDEX(lk_legs,1)),g_ox+IF(((6+0.5)*(4*IF(circ_int,0,eq_c1/2)+4*IF(circ_int,0,eq_c2/2)+2*PI()*(s_0+0*s_r+IF(circ_int,eq_c1/2,0)))/INDEX(lk_legs,1))&lt;(2*IF(circ_int,0,eq_c2/2)),IF(circ_int,0,eq_c1/2)+(s_0+0*s_r+IF(circ_int,eq_c1/2,0)),IF(((6+0.5)*(4*IF(circ_int,0,eq_c1/2)+4*IF(circ_int,0,eq_c2/2)+2*PI()*(s_0+0*s_r+IF(circ_int,eq_c1/2,0)))/INDEX(lk_legs,1))&lt;((2*IF(circ_int,0,eq_c2/2))+(PI()*(s_0+0*s_r+IF(circ_int,eq_c1/2,0))/2)),IF(circ_int,0,eq_c1/2)+(s_0+0*s_r+IF(circ_int,eq_c1/2,0))*COS((((6+0.5)*(4*IF(circ_int,0,eq_c1/2)+4*IF(circ_int,0,eq_c2/2)+2*PI()*(s_0+0*s_r+IF(circ_int,eq_c1/2,0)))/INDEX(lk_legs,1))-(2*IF(circ_int,0,eq_c2/2)))/(s_0+0*s_r+IF(circ_int,eq_c1/2,0))),IF(((6+0.5)*(4*IF(circ_int,0,eq_c1/2)+4*IF(circ_int,0,eq_c2/2)+2*PI()*(s_0+0*s_r+IF(circ_int,eq_c1/2,0)))/INDEX(lk_legs,1))&lt;(((2*IF(circ_int,0,eq_c2/2))+(PI()*(s_0+0*s_r+IF(circ_int,eq_c1/2,0))/2))+2*IF(circ_int,0,eq_c1/2)),IF(circ_int,0,eq_c1/2)-(((6+0.5)*(4*IF(circ_int,0,eq_c1/2)+4*IF(circ_int,0,eq_c2/2)+2*PI()*(s_0+0*s_r+IF(circ_int,eq_c1/2,0)))/INDEX(lk_legs,1))-((2*IF(circ_int,0,eq_c2/2))+(PI()*(s_0+0*s_r+IF(circ_int,eq_c1/2,0))/2))),IF(((6+0.5)*(4*IF(circ_int,0,eq_c1/2)+4*IF(circ_int,0,eq_c2/2)+2*PI()*(s_0+0*s_r+IF(circ_int,eq_c1/2,0)))/INDEX(lk_legs,1))&lt;((((2*IF(circ_int,0,eq_c2/2))+(PI()*(s_0+0*s_r+IF(circ_int,eq_c1/2,0))/2))+2*IF(circ_int,0,eq_c1/2))+(PI()*(s_0+0*s_r+IF(circ_int,eq_c1/2,0))/2)),-IF(circ_int,0,eq_c1/2)+(s_0+0*s_r+IF(circ_int,eq_c1/2,0))*COS(PI()/2+(((6+0.5)*(4*IF(circ_int,0,eq_c1/2)+4*IF(circ_int,0,eq_c2/2)+2*PI()*(s_0+0*s_r+IF(circ_int,eq_c1/2,0)))/INDEX(lk_legs,1))-(((2*IF(circ_int,0,eq_c2/2))+(PI()*(s_0+0*s_r+IF(circ_int,eq_c1/2,0))/2))+2*IF(circ_int,0,eq_c1/2)))/(s_0+0*s_r+IF(circ_int,eq_c1/2,0))),IF(((6+0.5)*(4*IF(circ_int,0,eq_c1/2)+4*IF(circ_int,0,eq_c2/2)+2*PI()*(s_0+0*s_r+IF(circ_int,eq_c1/2,0)))/INDEX(lk_legs,1))&lt;(((((2*IF(circ_int,0,eq_c2/2))+(PI()*(s_0+0*s_r+IF(circ_int,eq_c1/2,0))/2))+2*IF(circ_int,0,eq_c1/2))+(PI()*(s_0+0*s_r+IF(circ_int,eq_c1/2,0))/2))+2*IF(circ_int,0,eq_c2/2)),-IF(circ_int,0,eq_c1/2)-(s_0+0*s_r+IF(circ_int,eq_c1/2,0)),IF(((6+0.5)*(4*IF(circ_int,0,eq_c1/2)+4*IF(circ_int,0,eq_c2/2)+2*PI()*(s_0+0*s_r+IF(circ_int,eq_c1/2,0)))/INDEX(lk_legs,1))&lt;((((((2*IF(circ_int,0,eq_c2/2))+(PI()*(s_0+0*s_r+IF(circ_int,eq_c1/2,0))/2))+2*IF(circ_int,0,eq_c1/2))+(PI()*(s_0+0*s_r+IF(circ_int,eq_c1/2,0))/2))+2*IF(circ_int,0,eq_c2/2))+(PI()*(s_0+0*s_r+IF(circ_int,eq_c1/2,0))/2)),-IF(circ_int,0,eq_c1/2)+(s_0+0*s_r+IF(circ_int,eq_c1/2,0))*COS(PI()+(((6+0.5)*(4*IF(circ_int,0,eq_c1/2)+4*IF(circ_int,0,eq_c2/2)+2*PI()*(s_0+0*s_r+IF(circ_int,eq_c1/2,0)))/INDEX(lk_legs,1))-(((((2*IF(circ_int,0,eq_c2/2))+(PI()*(s_0+0*s_r+IF(circ_int,eq_c1/2,0))/2))+2*IF(circ_int,0,eq_c1/2))+(PI()*(s_0+0*s_r+IF(circ_int,eq_c1/2,0))/2))+2*IF(circ_int,0,eq_c2/2)))/(s_0+0*s_r+IF(circ_int,eq_c1/2,0))),IF(((6+0.5)*(4*IF(circ_int,0,eq_c1/2)+4*IF(circ_int,0,eq_c2/2)+2*PI()*(s_0+0*s_r+IF(circ_int,eq_c1/2,0)))/INDEX(lk_legs,1))&lt;(((((((2*IF(circ_int,0,eq_c2/2))+(PI()*(s_0+0*s_r+IF(circ_int,eq_c1/2,0))/2))+2*IF(circ_int,0,eq_c1/2))+(PI()*(s_0+0*s_r+IF(circ_int,eq_c1/2,0))/2))+2*IF(circ_int,0,eq_c2/2))+(PI()*(s_0+0*s_r+IF(circ_int,eq_c1/2,0))/2))+2*IF(circ_int,0,eq_c1/2)),-IF(circ_int,0,eq_c1/2)+(((6+0.5)*(4*IF(circ_int,0,eq_c1/2)+4*IF(circ_int,0,eq_c2/2)+2*PI()*(s_0+0*s_r+IF(circ_int,eq_c1/2,0)))/INDEX(lk_legs,1))-((((((2*IF(circ_int,0,eq_c2/2))+(PI()*(s_0+0*s_r+IF(circ_int,eq_c1/2,0))/2))+2*IF(circ_int,0,eq_c1/2))+(PI()*(s_0+0*s_r+IF(circ_int,eq_c1/2,0))/2))+2*IF(circ_int,0,eq_c2/2))+(PI()*(s_0+0*s_r+IF(circ_int,eq_c1/2,0))/2))),IF(circ_int,0,eq_c1/2)+(s_0+0*s_r+IF(circ_int,eq_c1/2,0))*COS(3*PI()/2+(((6+0.5)*(4*IF(circ_int,0,eq_c1/2)+4*IF(circ_int,0,eq_c2/2)+2*PI()*(s_0+0*s_r+IF(circ_int,eq_c1/2,0)))/INDEX(lk_legs,1))-(((((((2*IF(circ_int,0,eq_c2/2))+(PI()*(s_0+0*s_r+IF(circ_int,eq_c1/2,0))/2))+2*IF(circ_int,0,eq_c1/2))+(PI()*(s_0+0*s_r+IF(circ_int,eq_c1/2,0))/2))+2*IF(circ_int,0,eq_c2/2))+(PI()*(s_0+0*s_r+IF(circ_int,eq_c1/2,0))/2))+2*IF(circ_int,0,eq_c1/2)))/(s_0+0*s_r+IF(circ_int,eq_c1/2,0)))))))))),NA())</f>
        <v/>
      </c>
      <c r="BA9">
        <f>IF(AND(AND(links_on,1&lt;=n_per),INDEX(lk_kind,1)=1,6&lt;INDEX(lk_legs,1)),g_oy+IF(((6+0.5)*(4*IF(circ_int,0,eq_c1/2)+4*IF(circ_int,0,eq_c2/2)+2*PI()*(s_0+0*s_r+IF(circ_int,eq_c1/2,0)))/INDEX(lk_legs,1))&lt;(2*IF(circ_int,0,eq_c2/2)),-IF(circ_int,0,eq_c2/2)+((6+0.5)*(4*IF(circ_int,0,eq_c1/2)+4*IF(circ_int,0,eq_c2/2)+2*PI()*(s_0+0*s_r+IF(circ_int,eq_c1/2,0)))/INDEX(lk_legs,1)),IF(((6+0.5)*(4*IF(circ_int,0,eq_c1/2)+4*IF(circ_int,0,eq_c2/2)+2*PI()*(s_0+0*s_r+IF(circ_int,eq_c1/2,0)))/INDEX(lk_legs,1))&lt;((2*IF(circ_int,0,eq_c2/2))+(PI()*(s_0+0*s_r+IF(circ_int,eq_c1/2,0))/2)),IF(circ_int,0,eq_c2/2)+(s_0+0*s_r+IF(circ_int,eq_c1/2,0))*SIN((((6+0.5)*(4*IF(circ_int,0,eq_c1/2)+4*IF(circ_int,0,eq_c2/2)+2*PI()*(s_0+0*s_r+IF(circ_int,eq_c1/2,0)))/INDEX(lk_legs,1))-(2*IF(circ_int,0,eq_c2/2)))/(s_0+0*s_r+IF(circ_int,eq_c1/2,0))),IF(((6+0.5)*(4*IF(circ_int,0,eq_c1/2)+4*IF(circ_int,0,eq_c2/2)+2*PI()*(s_0+0*s_r+IF(circ_int,eq_c1/2,0)))/INDEX(lk_legs,1))&lt;(((2*IF(circ_int,0,eq_c2/2))+(PI()*(s_0+0*s_r+IF(circ_int,eq_c1/2,0))/2))+2*IF(circ_int,0,eq_c1/2)),IF(circ_int,0,eq_c2/2)+(s_0+0*s_r+IF(circ_int,eq_c1/2,0)),IF(((6+0.5)*(4*IF(circ_int,0,eq_c1/2)+4*IF(circ_int,0,eq_c2/2)+2*PI()*(s_0+0*s_r+IF(circ_int,eq_c1/2,0)))/INDEX(lk_legs,1))&lt;((((2*IF(circ_int,0,eq_c2/2))+(PI()*(s_0+0*s_r+IF(circ_int,eq_c1/2,0))/2))+2*IF(circ_int,0,eq_c1/2))+(PI()*(s_0+0*s_r+IF(circ_int,eq_c1/2,0))/2)),IF(circ_int,0,eq_c2/2)+(s_0+0*s_r+IF(circ_int,eq_c1/2,0))*SIN(PI()/2+(((6+0.5)*(4*IF(circ_int,0,eq_c1/2)+4*IF(circ_int,0,eq_c2/2)+2*PI()*(s_0+0*s_r+IF(circ_int,eq_c1/2,0)))/INDEX(lk_legs,1))-(((2*IF(circ_int,0,eq_c2/2))+(PI()*(s_0+0*s_r+IF(circ_int,eq_c1/2,0))/2))+2*IF(circ_int,0,eq_c1/2)))/(s_0+0*s_r+IF(circ_int,eq_c1/2,0))),IF(((6+0.5)*(4*IF(circ_int,0,eq_c1/2)+4*IF(circ_int,0,eq_c2/2)+2*PI()*(s_0+0*s_r+IF(circ_int,eq_c1/2,0)))/INDEX(lk_legs,1))&lt;(((((2*IF(circ_int,0,eq_c2/2))+(PI()*(s_0+0*s_r+IF(circ_int,eq_c1/2,0))/2))+2*IF(circ_int,0,eq_c1/2))+(PI()*(s_0+0*s_r+IF(circ_int,eq_c1/2,0))/2))+2*IF(circ_int,0,eq_c2/2)),IF(circ_int,0,eq_c2/2)-(((6+0.5)*(4*IF(circ_int,0,eq_c1/2)+4*IF(circ_int,0,eq_c2/2)+2*PI()*(s_0+0*s_r+IF(circ_int,eq_c1/2,0)))/INDEX(lk_legs,1))-((((2*IF(circ_int,0,eq_c2/2))+(PI()*(s_0+0*s_r+IF(circ_int,eq_c1/2,0))/2))+2*IF(circ_int,0,eq_c1/2))+(PI()*(s_0+0*s_r+IF(circ_int,eq_c1/2,0))/2))),IF(((6+0.5)*(4*IF(circ_int,0,eq_c1/2)+4*IF(circ_int,0,eq_c2/2)+2*PI()*(s_0+0*s_r+IF(circ_int,eq_c1/2,0)))/INDEX(lk_legs,1))&lt;((((((2*IF(circ_int,0,eq_c2/2))+(PI()*(s_0+0*s_r+IF(circ_int,eq_c1/2,0))/2))+2*IF(circ_int,0,eq_c1/2))+(PI()*(s_0+0*s_r+IF(circ_int,eq_c1/2,0))/2))+2*IF(circ_int,0,eq_c2/2))+(PI()*(s_0+0*s_r+IF(circ_int,eq_c1/2,0))/2)),-IF(circ_int,0,eq_c2/2)+(s_0+0*s_r+IF(circ_int,eq_c1/2,0))*SIN(PI()+(((6+0.5)*(4*IF(circ_int,0,eq_c1/2)+4*IF(circ_int,0,eq_c2/2)+2*PI()*(s_0+0*s_r+IF(circ_int,eq_c1/2,0)))/INDEX(lk_legs,1))-(((((2*IF(circ_int,0,eq_c2/2))+(PI()*(s_0+0*s_r+IF(circ_int,eq_c1/2,0))/2))+2*IF(circ_int,0,eq_c1/2))+(PI()*(s_0+0*s_r+IF(circ_int,eq_c1/2,0))/2))+2*IF(circ_int,0,eq_c2/2)))/(s_0+0*s_r+IF(circ_int,eq_c1/2,0))),IF(((6+0.5)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(6+0.5)*(4*IF(circ_int,0,eq_c1/2)+4*IF(circ_int,0,eq_c2/2)+2*PI()*(s_0+0*s_r+IF(circ_int,eq_c1/2,0)))/INDEX(lk_legs,1))-(((((((2*IF(circ_int,0,eq_c2/2))+(PI()*(s_0+0*s_r+IF(circ_int,eq_c1/2,0))/2))+2*IF(circ_int,0,eq_c1/2))+(PI()*(s_0+0*s_r+IF(circ_int,eq_c1/2,0))/2))+2*IF(circ_int,0,eq_c2/2))+(PI()*(s_0+0*s_r+IF(circ_int,eq_c1/2,0))/2))+2*IF(circ_int,0,eq_c1/2)))/(s_0+0*s_r+IF(circ_int,eq_c1/2,0)))))))))),NA())</f>
        <v/>
      </c>
      <c r="BC9">
        <f>IF(AND(links_on,2&lt;=n_per),IF(circ_int,(g_ox)+(c_1/2+(s_0+1*s_r))*0.748511,CHOOSE(INDEX(lk_kind,2),(g_ox+eq_c1/2)+((s_0+1*s_r))*0.707107,(eq_a1+eq_c1)+((s_0+1*s_r))*0.608761,(eq_a1+eq_c1)+((s_0+1*s_r))*0.608761,(eq_a1)+((s_0+1*s_r))*-0.793353)),NA())</f>
        <v/>
      </c>
      <c r="BD9">
        <f>IF(AND(links_on,2&lt;=n_per),IF(circ_int,(g_oy)+(c_1/2+(s_0+1*s_r))*0.663123,CHOOSE(INDEX(lk_kind,2),(g_oy+eq_c2/2)+((s_0+1*s_r))*0.707107,(g_oy+eq_c2/2)+((s_0+1*s_r))*0.793353,(eq_a2+eq_c2)+((s_0+1*s_r))*0.793353,(eq_a2+eq_c2)+((s_0+1*s_r))*0.608761)),NA())</f>
        <v/>
      </c>
      <c r="BF9">
        <f>IF(AND(AND(links_on,2&lt;=n_per),INDEX(lk_kind,2)=1,6&lt;INDEX(lk_legs,2)),g_ox+IF(((6+0.5)*(4*IF(circ_int,0,eq_c1/2)+4*IF(circ_int,0,eq_c2/2)+2*PI()*(s_0+1*s_r+IF(circ_int,eq_c1/2,0)))/INDEX(lk_legs,2))&lt;(2*IF(circ_int,0,eq_c2/2)),IF(circ_int,0,eq_c1/2)+(s_0+1*s_r+IF(circ_int,eq_c1/2,0)),IF(((6+0.5)*(4*IF(circ_int,0,eq_c1/2)+4*IF(circ_int,0,eq_c2/2)+2*PI()*(s_0+1*s_r+IF(circ_int,eq_c1/2,0)))/INDEX(lk_legs,2))&lt;((2*IF(circ_int,0,eq_c2/2))+(PI()*(s_0+1*s_r+IF(circ_int,eq_c1/2,0))/2)),IF(circ_int,0,eq_c1/2)+(s_0+1*s_r+IF(circ_int,eq_c1/2,0))*COS((((6+0.5)*(4*IF(circ_int,0,eq_c1/2)+4*IF(circ_int,0,eq_c2/2)+2*PI()*(s_0+1*s_r+IF(circ_int,eq_c1/2,0)))/INDEX(lk_legs,2))-(2*IF(circ_int,0,eq_c2/2)))/(s_0+1*s_r+IF(circ_int,eq_c1/2,0))),IF(((6+0.5)*(4*IF(circ_int,0,eq_c1/2)+4*IF(circ_int,0,eq_c2/2)+2*PI()*(s_0+1*s_r+IF(circ_int,eq_c1/2,0)))/INDEX(lk_legs,2))&lt;(((2*IF(circ_int,0,eq_c2/2))+(PI()*(s_0+1*s_r+IF(circ_int,eq_c1/2,0))/2))+2*IF(circ_int,0,eq_c1/2)),IF(circ_int,0,eq_c1/2)-(((6+0.5)*(4*IF(circ_int,0,eq_c1/2)+4*IF(circ_int,0,eq_c2/2)+2*PI()*(s_0+1*s_r+IF(circ_int,eq_c1/2,0)))/INDEX(lk_legs,2))-((2*IF(circ_int,0,eq_c2/2))+(PI()*(s_0+1*s_r+IF(circ_int,eq_c1/2,0))/2))),IF(((6+0.5)*(4*IF(circ_int,0,eq_c1/2)+4*IF(circ_int,0,eq_c2/2)+2*PI()*(s_0+1*s_r+IF(circ_int,eq_c1/2,0)))/INDEX(lk_legs,2))&lt;((((2*IF(circ_int,0,eq_c2/2))+(PI()*(s_0+1*s_r+IF(circ_int,eq_c1/2,0))/2))+2*IF(circ_int,0,eq_c1/2))+(PI()*(s_0+1*s_r+IF(circ_int,eq_c1/2,0))/2)),-IF(circ_int,0,eq_c1/2)+(s_0+1*s_r+IF(circ_int,eq_c1/2,0))*COS(PI()/2+(((6+0.5)*(4*IF(circ_int,0,eq_c1/2)+4*IF(circ_int,0,eq_c2/2)+2*PI()*(s_0+1*s_r+IF(circ_int,eq_c1/2,0)))/INDEX(lk_legs,2))-(((2*IF(circ_int,0,eq_c2/2))+(PI()*(s_0+1*s_r+IF(circ_int,eq_c1/2,0))/2))+2*IF(circ_int,0,eq_c1/2)))/(s_0+1*s_r+IF(circ_int,eq_c1/2,0))),IF(((6+0.5)*(4*IF(circ_int,0,eq_c1/2)+4*IF(circ_int,0,eq_c2/2)+2*PI()*(s_0+1*s_r+IF(circ_int,eq_c1/2,0)))/INDEX(lk_legs,2))&lt;(((((2*IF(circ_int,0,eq_c2/2))+(PI()*(s_0+1*s_r+IF(circ_int,eq_c1/2,0))/2))+2*IF(circ_int,0,eq_c1/2))+(PI()*(s_0+1*s_r+IF(circ_int,eq_c1/2,0))/2))+2*IF(circ_int,0,eq_c2/2)),-IF(circ_int,0,eq_c1/2)-(s_0+1*s_r+IF(circ_int,eq_c1/2,0)),IF(((6+0.5)*(4*IF(circ_int,0,eq_c1/2)+4*IF(circ_int,0,eq_c2/2)+2*PI()*(s_0+1*s_r+IF(circ_int,eq_c1/2,0)))/INDEX(lk_legs,2))&lt;((((((2*IF(circ_int,0,eq_c2/2))+(PI()*(s_0+1*s_r+IF(circ_int,eq_c1/2,0))/2))+2*IF(circ_int,0,eq_c1/2))+(PI()*(s_0+1*s_r+IF(circ_int,eq_c1/2,0))/2))+2*IF(circ_int,0,eq_c2/2))+(PI()*(s_0+1*s_r+IF(circ_int,eq_c1/2,0))/2)),-IF(circ_int,0,eq_c1/2)+(s_0+1*s_r+IF(circ_int,eq_c1/2,0))*COS(PI()+(((6+0.5)*(4*IF(circ_int,0,eq_c1/2)+4*IF(circ_int,0,eq_c2/2)+2*PI()*(s_0+1*s_r+IF(circ_int,eq_c1/2,0)))/INDEX(lk_legs,2))-(((((2*IF(circ_int,0,eq_c2/2))+(PI()*(s_0+1*s_r+IF(circ_int,eq_c1/2,0))/2))+2*IF(circ_int,0,eq_c1/2))+(PI()*(s_0+1*s_r+IF(circ_int,eq_c1/2,0))/2))+2*IF(circ_int,0,eq_c2/2)))/(s_0+1*s_r+IF(circ_int,eq_c1/2,0))),IF(((6+0.5)*(4*IF(circ_int,0,eq_c1/2)+4*IF(circ_int,0,eq_c2/2)+2*PI()*(s_0+1*s_r+IF(circ_int,eq_c1/2,0)))/INDEX(lk_legs,2))&lt;(((((((2*IF(circ_int,0,eq_c2/2))+(PI()*(s_0+1*s_r+IF(circ_int,eq_c1/2,0))/2))+2*IF(circ_int,0,eq_c1/2))+(PI()*(s_0+1*s_r+IF(circ_int,eq_c1/2,0))/2))+2*IF(circ_int,0,eq_c2/2))+(PI()*(s_0+1*s_r+IF(circ_int,eq_c1/2,0))/2))+2*IF(circ_int,0,eq_c1/2)),-IF(circ_int,0,eq_c1/2)+(((6+0.5)*(4*IF(circ_int,0,eq_c1/2)+4*IF(circ_int,0,eq_c2/2)+2*PI()*(s_0+1*s_r+IF(circ_int,eq_c1/2,0)))/INDEX(lk_legs,2))-((((((2*IF(circ_int,0,eq_c2/2))+(PI()*(s_0+1*s_r+IF(circ_int,eq_c1/2,0))/2))+2*IF(circ_int,0,eq_c1/2))+(PI()*(s_0+1*s_r+IF(circ_int,eq_c1/2,0))/2))+2*IF(circ_int,0,eq_c2/2))+(PI()*(s_0+1*s_r+IF(circ_int,eq_c1/2,0))/2))),IF(circ_int,0,eq_c1/2)+(s_0+1*s_r+IF(circ_int,eq_c1/2,0))*COS(3*PI()/2+(((6+0.5)*(4*IF(circ_int,0,eq_c1/2)+4*IF(circ_int,0,eq_c2/2)+2*PI()*(s_0+1*s_r+IF(circ_int,eq_c1/2,0)))/INDEX(lk_legs,2))-(((((((2*IF(circ_int,0,eq_c2/2))+(PI()*(s_0+1*s_r+IF(circ_int,eq_c1/2,0))/2))+2*IF(circ_int,0,eq_c1/2))+(PI()*(s_0+1*s_r+IF(circ_int,eq_c1/2,0))/2))+2*IF(circ_int,0,eq_c2/2))+(PI()*(s_0+1*s_r+IF(circ_int,eq_c1/2,0))/2))+2*IF(circ_int,0,eq_c1/2)))/(s_0+1*s_r+IF(circ_int,eq_c1/2,0)))))))))),NA())</f>
        <v/>
      </c>
      <c r="BG9">
        <f>IF(AND(AND(links_on,2&lt;=n_per),INDEX(lk_kind,2)=1,6&lt;INDEX(lk_legs,2)),g_oy+IF(((6+0.5)*(4*IF(circ_int,0,eq_c1/2)+4*IF(circ_int,0,eq_c2/2)+2*PI()*(s_0+1*s_r+IF(circ_int,eq_c1/2,0)))/INDEX(lk_legs,2))&lt;(2*IF(circ_int,0,eq_c2/2)),-IF(circ_int,0,eq_c2/2)+((6+0.5)*(4*IF(circ_int,0,eq_c1/2)+4*IF(circ_int,0,eq_c2/2)+2*PI()*(s_0+1*s_r+IF(circ_int,eq_c1/2,0)))/INDEX(lk_legs,2)),IF(((6+0.5)*(4*IF(circ_int,0,eq_c1/2)+4*IF(circ_int,0,eq_c2/2)+2*PI()*(s_0+1*s_r+IF(circ_int,eq_c1/2,0)))/INDEX(lk_legs,2))&lt;((2*IF(circ_int,0,eq_c2/2))+(PI()*(s_0+1*s_r+IF(circ_int,eq_c1/2,0))/2)),IF(circ_int,0,eq_c2/2)+(s_0+1*s_r+IF(circ_int,eq_c1/2,0))*SIN((((6+0.5)*(4*IF(circ_int,0,eq_c1/2)+4*IF(circ_int,0,eq_c2/2)+2*PI()*(s_0+1*s_r+IF(circ_int,eq_c1/2,0)))/INDEX(lk_legs,2))-(2*IF(circ_int,0,eq_c2/2)))/(s_0+1*s_r+IF(circ_int,eq_c1/2,0))),IF(((6+0.5)*(4*IF(circ_int,0,eq_c1/2)+4*IF(circ_int,0,eq_c2/2)+2*PI()*(s_0+1*s_r+IF(circ_int,eq_c1/2,0)))/INDEX(lk_legs,2))&lt;(((2*IF(circ_int,0,eq_c2/2))+(PI()*(s_0+1*s_r+IF(circ_int,eq_c1/2,0))/2))+2*IF(circ_int,0,eq_c1/2)),IF(circ_int,0,eq_c2/2)+(s_0+1*s_r+IF(circ_int,eq_c1/2,0)),IF(((6+0.5)*(4*IF(circ_int,0,eq_c1/2)+4*IF(circ_int,0,eq_c2/2)+2*PI()*(s_0+1*s_r+IF(circ_int,eq_c1/2,0)))/INDEX(lk_legs,2))&lt;((((2*IF(circ_int,0,eq_c2/2))+(PI()*(s_0+1*s_r+IF(circ_int,eq_c1/2,0))/2))+2*IF(circ_int,0,eq_c1/2))+(PI()*(s_0+1*s_r+IF(circ_int,eq_c1/2,0))/2)),IF(circ_int,0,eq_c2/2)+(s_0+1*s_r+IF(circ_int,eq_c1/2,0))*SIN(PI()/2+(((6+0.5)*(4*IF(circ_int,0,eq_c1/2)+4*IF(circ_int,0,eq_c2/2)+2*PI()*(s_0+1*s_r+IF(circ_int,eq_c1/2,0)))/INDEX(lk_legs,2))-(((2*IF(circ_int,0,eq_c2/2))+(PI()*(s_0+1*s_r+IF(circ_int,eq_c1/2,0))/2))+2*IF(circ_int,0,eq_c1/2)))/(s_0+1*s_r+IF(circ_int,eq_c1/2,0))),IF(((6+0.5)*(4*IF(circ_int,0,eq_c1/2)+4*IF(circ_int,0,eq_c2/2)+2*PI()*(s_0+1*s_r+IF(circ_int,eq_c1/2,0)))/INDEX(lk_legs,2))&lt;(((((2*IF(circ_int,0,eq_c2/2))+(PI()*(s_0+1*s_r+IF(circ_int,eq_c1/2,0))/2))+2*IF(circ_int,0,eq_c1/2))+(PI()*(s_0+1*s_r+IF(circ_int,eq_c1/2,0))/2))+2*IF(circ_int,0,eq_c2/2)),IF(circ_int,0,eq_c2/2)-(((6+0.5)*(4*IF(circ_int,0,eq_c1/2)+4*IF(circ_int,0,eq_c2/2)+2*PI()*(s_0+1*s_r+IF(circ_int,eq_c1/2,0)))/INDEX(lk_legs,2))-((((2*IF(circ_int,0,eq_c2/2))+(PI()*(s_0+1*s_r+IF(circ_int,eq_c1/2,0))/2))+2*IF(circ_int,0,eq_c1/2))+(PI()*(s_0+1*s_r+IF(circ_int,eq_c1/2,0))/2))),IF(((6+0.5)*(4*IF(circ_int,0,eq_c1/2)+4*IF(circ_int,0,eq_c2/2)+2*PI()*(s_0+1*s_r+IF(circ_int,eq_c1/2,0)))/INDEX(lk_legs,2))&lt;((((((2*IF(circ_int,0,eq_c2/2))+(PI()*(s_0+1*s_r+IF(circ_int,eq_c1/2,0))/2))+2*IF(circ_int,0,eq_c1/2))+(PI()*(s_0+1*s_r+IF(circ_int,eq_c1/2,0))/2))+2*IF(circ_int,0,eq_c2/2))+(PI()*(s_0+1*s_r+IF(circ_int,eq_c1/2,0))/2)),-IF(circ_int,0,eq_c2/2)+(s_0+1*s_r+IF(circ_int,eq_c1/2,0))*SIN(PI()+(((6+0.5)*(4*IF(circ_int,0,eq_c1/2)+4*IF(circ_int,0,eq_c2/2)+2*PI()*(s_0+1*s_r+IF(circ_int,eq_c1/2,0)))/INDEX(lk_legs,2))-(((((2*IF(circ_int,0,eq_c2/2))+(PI()*(s_0+1*s_r+IF(circ_int,eq_c1/2,0))/2))+2*IF(circ_int,0,eq_c1/2))+(PI()*(s_0+1*s_r+IF(circ_int,eq_c1/2,0))/2))+2*IF(circ_int,0,eq_c2/2)))/(s_0+1*s_r+IF(circ_int,eq_c1/2,0))),IF(((6+0.5)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(6+0.5)*(4*IF(circ_int,0,eq_c1/2)+4*IF(circ_int,0,eq_c2/2)+2*PI()*(s_0+1*s_r+IF(circ_int,eq_c1/2,0)))/INDEX(lk_legs,2))-(((((((2*IF(circ_int,0,eq_c2/2))+(PI()*(s_0+1*s_r+IF(circ_int,eq_c1/2,0))/2))+2*IF(circ_int,0,eq_c1/2))+(PI()*(s_0+1*s_r+IF(circ_int,eq_c1/2,0))/2))+2*IF(circ_int,0,eq_c2/2))+(PI()*(s_0+1*s_r+IF(circ_int,eq_c1/2,0))/2))+2*IF(circ_int,0,eq_c1/2)))/(s_0+1*s_r+IF(circ_int,eq_c1/2,0)))))))))),NA())</f>
        <v/>
      </c>
      <c r="BI9">
        <f>IF(AND(links_on,3&lt;=n_per),IF(circ_int,(g_ox)+(c_1/2+(s_0+2*s_r))*0.748511,CHOOSE(INDEX(lk_kind,3),(g_ox+eq_c1/2)+((s_0+2*s_r))*0.707107,(eq_a1+eq_c1)+((s_0+2*s_r))*0.608761,(eq_a1+eq_c1)+((s_0+2*s_r))*0.608761,(eq_a1)+((s_0+2*s_r))*-0.793353)),NA())</f>
        <v/>
      </c>
      <c r="BJ9">
        <f>IF(AND(links_on,3&lt;=n_per),IF(circ_int,(g_oy)+(c_1/2+(s_0+2*s_r))*0.663123,CHOOSE(INDEX(lk_kind,3),(g_oy+eq_c2/2)+((s_0+2*s_r))*0.707107,(g_oy+eq_c2/2)+((s_0+2*s_r))*0.793353,(eq_a2+eq_c2)+((s_0+2*s_r))*0.793353,(eq_a2+eq_c2)+((s_0+2*s_r))*0.608761)),NA())</f>
        <v/>
      </c>
      <c r="BL9">
        <f>IF(AND(AND(links_on,3&lt;=n_per),INDEX(lk_kind,3)=1,6&lt;INDEX(lk_legs,3)),g_ox+IF(((6+0.5)*(4*IF(circ_int,0,eq_c1/2)+4*IF(circ_int,0,eq_c2/2)+2*PI()*(s_0+2*s_r+IF(circ_int,eq_c1/2,0)))/INDEX(lk_legs,3))&lt;(2*IF(circ_int,0,eq_c2/2)),IF(circ_int,0,eq_c1/2)+(s_0+2*s_r+IF(circ_int,eq_c1/2,0)),IF(((6+0.5)*(4*IF(circ_int,0,eq_c1/2)+4*IF(circ_int,0,eq_c2/2)+2*PI()*(s_0+2*s_r+IF(circ_int,eq_c1/2,0)))/INDEX(lk_legs,3))&lt;((2*IF(circ_int,0,eq_c2/2))+(PI()*(s_0+2*s_r+IF(circ_int,eq_c1/2,0))/2)),IF(circ_int,0,eq_c1/2)+(s_0+2*s_r+IF(circ_int,eq_c1/2,0))*COS((((6+0.5)*(4*IF(circ_int,0,eq_c1/2)+4*IF(circ_int,0,eq_c2/2)+2*PI()*(s_0+2*s_r+IF(circ_int,eq_c1/2,0)))/INDEX(lk_legs,3))-(2*IF(circ_int,0,eq_c2/2)))/(s_0+2*s_r+IF(circ_int,eq_c1/2,0))),IF(((6+0.5)*(4*IF(circ_int,0,eq_c1/2)+4*IF(circ_int,0,eq_c2/2)+2*PI()*(s_0+2*s_r+IF(circ_int,eq_c1/2,0)))/INDEX(lk_legs,3))&lt;(((2*IF(circ_int,0,eq_c2/2))+(PI()*(s_0+2*s_r+IF(circ_int,eq_c1/2,0))/2))+2*IF(circ_int,0,eq_c1/2)),IF(circ_int,0,eq_c1/2)-(((6+0.5)*(4*IF(circ_int,0,eq_c1/2)+4*IF(circ_int,0,eq_c2/2)+2*PI()*(s_0+2*s_r+IF(circ_int,eq_c1/2,0)))/INDEX(lk_legs,3))-((2*IF(circ_int,0,eq_c2/2))+(PI()*(s_0+2*s_r+IF(circ_int,eq_c1/2,0))/2))),IF(((6+0.5)*(4*IF(circ_int,0,eq_c1/2)+4*IF(circ_int,0,eq_c2/2)+2*PI()*(s_0+2*s_r+IF(circ_int,eq_c1/2,0)))/INDEX(lk_legs,3))&lt;((((2*IF(circ_int,0,eq_c2/2))+(PI()*(s_0+2*s_r+IF(circ_int,eq_c1/2,0))/2))+2*IF(circ_int,0,eq_c1/2))+(PI()*(s_0+2*s_r+IF(circ_int,eq_c1/2,0))/2)),-IF(circ_int,0,eq_c1/2)+(s_0+2*s_r+IF(circ_int,eq_c1/2,0))*COS(PI()/2+(((6+0.5)*(4*IF(circ_int,0,eq_c1/2)+4*IF(circ_int,0,eq_c2/2)+2*PI()*(s_0+2*s_r+IF(circ_int,eq_c1/2,0)))/INDEX(lk_legs,3))-(((2*IF(circ_int,0,eq_c2/2))+(PI()*(s_0+2*s_r+IF(circ_int,eq_c1/2,0))/2))+2*IF(circ_int,0,eq_c1/2)))/(s_0+2*s_r+IF(circ_int,eq_c1/2,0))),IF(((6+0.5)*(4*IF(circ_int,0,eq_c1/2)+4*IF(circ_int,0,eq_c2/2)+2*PI()*(s_0+2*s_r+IF(circ_int,eq_c1/2,0)))/INDEX(lk_legs,3))&lt;(((((2*IF(circ_int,0,eq_c2/2))+(PI()*(s_0+2*s_r+IF(circ_int,eq_c1/2,0))/2))+2*IF(circ_int,0,eq_c1/2))+(PI()*(s_0+2*s_r+IF(circ_int,eq_c1/2,0))/2))+2*IF(circ_int,0,eq_c2/2)),-IF(circ_int,0,eq_c1/2)-(s_0+2*s_r+IF(circ_int,eq_c1/2,0)),IF(((6+0.5)*(4*IF(circ_int,0,eq_c1/2)+4*IF(circ_int,0,eq_c2/2)+2*PI()*(s_0+2*s_r+IF(circ_int,eq_c1/2,0)))/INDEX(lk_legs,3))&lt;((((((2*IF(circ_int,0,eq_c2/2))+(PI()*(s_0+2*s_r+IF(circ_int,eq_c1/2,0))/2))+2*IF(circ_int,0,eq_c1/2))+(PI()*(s_0+2*s_r+IF(circ_int,eq_c1/2,0))/2))+2*IF(circ_int,0,eq_c2/2))+(PI()*(s_0+2*s_r+IF(circ_int,eq_c1/2,0))/2)),-IF(circ_int,0,eq_c1/2)+(s_0+2*s_r+IF(circ_int,eq_c1/2,0))*COS(PI()+(((6+0.5)*(4*IF(circ_int,0,eq_c1/2)+4*IF(circ_int,0,eq_c2/2)+2*PI()*(s_0+2*s_r+IF(circ_int,eq_c1/2,0)))/INDEX(lk_legs,3))-(((((2*IF(circ_int,0,eq_c2/2))+(PI()*(s_0+2*s_r+IF(circ_int,eq_c1/2,0))/2))+2*IF(circ_int,0,eq_c1/2))+(PI()*(s_0+2*s_r+IF(circ_int,eq_c1/2,0))/2))+2*IF(circ_int,0,eq_c2/2)))/(s_0+2*s_r+IF(circ_int,eq_c1/2,0))),IF(((6+0.5)*(4*IF(circ_int,0,eq_c1/2)+4*IF(circ_int,0,eq_c2/2)+2*PI()*(s_0+2*s_r+IF(circ_int,eq_c1/2,0)))/INDEX(lk_legs,3))&lt;(((((((2*IF(circ_int,0,eq_c2/2))+(PI()*(s_0+2*s_r+IF(circ_int,eq_c1/2,0))/2))+2*IF(circ_int,0,eq_c1/2))+(PI()*(s_0+2*s_r+IF(circ_int,eq_c1/2,0))/2))+2*IF(circ_int,0,eq_c2/2))+(PI()*(s_0+2*s_r+IF(circ_int,eq_c1/2,0))/2))+2*IF(circ_int,0,eq_c1/2)),-IF(circ_int,0,eq_c1/2)+(((6+0.5)*(4*IF(circ_int,0,eq_c1/2)+4*IF(circ_int,0,eq_c2/2)+2*PI()*(s_0+2*s_r+IF(circ_int,eq_c1/2,0)))/INDEX(lk_legs,3))-((((((2*IF(circ_int,0,eq_c2/2))+(PI()*(s_0+2*s_r+IF(circ_int,eq_c1/2,0))/2))+2*IF(circ_int,0,eq_c1/2))+(PI()*(s_0+2*s_r+IF(circ_int,eq_c1/2,0))/2))+2*IF(circ_int,0,eq_c2/2))+(PI()*(s_0+2*s_r+IF(circ_int,eq_c1/2,0))/2))),IF(circ_int,0,eq_c1/2)+(s_0+2*s_r+IF(circ_int,eq_c1/2,0))*COS(3*PI()/2+(((6+0.5)*(4*IF(circ_int,0,eq_c1/2)+4*IF(circ_int,0,eq_c2/2)+2*PI()*(s_0+2*s_r+IF(circ_int,eq_c1/2,0)))/INDEX(lk_legs,3))-(((((((2*IF(circ_int,0,eq_c2/2))+(PI()*(s_0+2*s_r+IF(circ_int,eq_c1/2,0))/2))+2*IF(circ_int,0,eq_c1/2))+(PI()*(s_0+2*s_r+IF(circ_int,eq_c1/2,0))/2))+2*IF(circ_int,0,eq_c2/2))+(PI()*(s_0+2*s_r+IF(circ_int,eq_c1/2,0))/2))+2*IF(circ_int,0,eq_c1/2)))/(s_0+2*s_r+IF(circ_int,eq_c1/2,0)))))))))),NA())</f>
        <v/>
      </c>
      <c r="BM9">
        <f>IF(AND(AND(links_on,3&lt;=n_per),INDEX(lk_kind,3)=1,6&lt;INDEX(lk_legs,3)),g_oy+IF(((6+0.5)*(4*IF(circ_int,0,eq_c1/2)+4*IF(circ_int,0,eq_c2/2)+2*PI()*(s_0+2*s_r+IF(circ_int,eq_c1/2,0)))/INDEX(lk_legs,3))&lt;(2*IF(circ_int,0,eq_c2/2)),-IF(circ_int,0,eq_c2/2)+((6+0.5)*(4*IF(circ_int,0,eq_c1/2)+4*IF(circ_int,0,eq_c2/2)+2*PI()*(s_0+2*s_r+IF(circ_int,eq_c1/2,0)))/INDEX(lk_legs,3)),IF(((6+0.5)*(4*IF(circ_int,0,eq_c1/2)+4*IF(circ_int,0,eq_c2/2)+2*PI()*(s_0+2*s_r+IF(circ_int,eq_c1/2,0)))/INDEX(lk_legs,3))&lt;((2*IF(circ_int,0,eq_c2/2))+(PI()*(s_0+2*s_r+IF(circ_int,eq_c1/2,0))/2)),IF(circ_int,0,eq_c2/2)+(s_0+2*s_r+IF(circ_int,eq_c1/2,0))*SIN((((6+0.5)*(4*IF(circ_int,0,eq_c1/2)+4*IF(circ_int,0,eq_c2/2)+2*PI()*(s_0+2*s_r+IF(circ_int,eq_c1/2,0)))/INDEX(lk_legs,3))-(2*IF(circ_int,0,eq_c2/2)))/(s_0+2*s_r+IF(circ_int,eq_c1/2,0))),IF(((6+0.5)*(4*IF(circ_int,0,eq_c1/2)+4*IF(circ_int,0,eq_c2/2)+2*PI()*(s_0+2*s_r+IF(circ_int,eq_c1/2,0)))/INDEX(lk_legs,3))&lt;(((2*IF(circ_int,0,eq_c2/2))+(PI()*(s_0+2*s_r+IF(circ_int,eq_c1/2,0))/2))+2*IF(circ_int,0,eq_c1/2)),IF(circ_int,0,eq_c2/2)+(s_0+2*s_r+IF(circ_int,eq_c1/2,0)),IF(((6+0.5)*(4*IF(circ_int,0,eq_c1/2)+4*IF(circ_int,0,eq_c2/2)+2*PI()*(s_0+2*s_r+IF(circ_int,eq_c1/2,0)))/INDEX(lk_legs,3))&lt;((((2*IF(circ_int,0,eq_c2/2))+(PI()*(s_0+2*s_r+IF(circ_int,eq_c1/2,0))/2))+2*IF(circ_int,0,eq_c1/2))+(PI()*(s_0+2*s_r+IF(circ_int,eq_c1/2,0))/2)),IF(circ_int,0,eq_c2/2)+(s_0+2*s_r+IF(circ_int,eq_c1/2,0))*SIN(PI()/2+(((6+0.5)*(4*IF(circ_int,0,eq_c1/2)+4*IF(circ_int,0,eq_c2/2)+2*PI()*(s_0+2*s_r+IF(circ_int,eq_c1/2,0)))/INDEX(lk_legs,3))-(((2*IF(circ_int,0,eq_c2/2))+(PI()*(s_0+2*s_r+IF(circ_int,eq_c1/2,0))/2))+2*IF(circ_int,0,eq_c1/2)))/(s_0+2*s_r+IF(circ_int,eq_c1/2,0))),IF(((6+0.5)*(4*IF(circ_int,0,eq_c1/2)+4*IF(circ_int,0,eq_c2/2)+2*PI()*(s_0+2*s_r+IF(circ_int,eq_c1/2,0)))/INDEX(lk_legs,3))&lt;(((((2*IF(circ_int,0,eq_c2/2))+(PI()*(s_0+2*s_r+IF(circ_int,eq_c1/2,0))/2))+2*IF(circ_int,0,eq_c1/2))+(PI()*(s_0+2*s_r+IF(circ_int,eq_c1/2,0))/2))+2*IF(circ_int,0,eq_c2/2)),IF(circ_int,0,eq_c2/2)-(((6+0.5)*(4*IF(circ_int,0,eq_c1/2)+4*IF(circ_int,0,eq_c2/2)+2*PI()*(s_0+2*s_r+IF(circ_int,eq_c1/2,0)))/INDEX(lk_legs,3))-((((2*IF(circ_int,0,eq_c2/2))+(PI()*(s_0+2*s_r+IF(circ_int,eq_c1/2,0))/2))+2*IF(circ_int,0,eq_c1/2))+(PI()*(s_0+2*s_r+IF(circ_int,eq_c1/2,0))/2))),IF(((6+0.5)*(4*IF(circ_int,0,eq_c1/2)+4*IF(circ_int,0,eq_c2/2)+2*PI()*(s_0+2*s_r+IF(circ_int,eq_c1/2,0)))/INDEX(lk_legs,3))&lt;((((((2*IF(circ_int,0,eq_c2/2))+(PI()*(s_0+2*s_r+IF(circ_int,eq_c1/2,0))/2))+2*IF(circ_int,0,eq_c1/2))+(PI()*(s_0+2*s_r+IF(circ_int,eq_c1/2,0))/2))+2*IF(circ_int,0,eq_c2/2))+(PI()*(s_0+2*s_r+IF(circ_int,eq_c1/2,0))/2)),-IF(circ_int,0,eq_c2/2)+(s_0+2*s_r+IF(circ_int,eq_c1/2,0))*SIN(PI()+(((6+0.5)*(4*IF(circ_int,0,eq_c1/2)+4*IF(circ_int,0,eq_c2/2)+2*PI()*(s_0+2*s_r+IF(circ_int,eq_c1/2,0)))/INDEX(lk_legs,3))-(((((2*IF(circ_int,0,eq_c2/2))+(PI()*(s_0+2*s_r+IF(circ_int,eq_c1/2,0))/2))+2*IF(circ_int,0,eq_c1/2))+(PI()*(s_0+2*s_r+IF(circ_int,eq_c1/2,0))/2))+2*IF(circ_int,0,eq_c2/2)))/(s_0+2*s_r+IF(circ_int,eq_c1/2,0))),IF(((6+0.5)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(6+0.5)*(4*IF(circ_int,0,eq_c1/2)+4*IF(circ_int,0,eq_c2/2)+2*PI()*(s_0+2*s_r+IF(circ_int,eq_c1/2,0)))/INDEX(lk_legs,3))-(((((((2*IF(circ_int,0,eq_c2/2))+(PI()*(s_0+2*s_r+IF(circ_int,eq_c1/2,0))/2))+2*IF(circ_int,0,eq_c1/2))+(PI()*(s_0+2*s_r+IF(circ_int,eq_c1/2,0))/2))+2*IF(circ_int,0,eq_c2/2))+(PI()*(s_0+2*s_r+IF(circ_int,eq_c1/2,0))/2))+2*IF(circ_int,0,eq_c1/2)))/(s_0+2*s_r+IF(circ_int,eq_c1/2,0)))))))))),NA())</f>
        <v/>
      </c>
      <c r="BO9">
        <f>IF(AND(links_on,4&lt;=n_per),IF(circ_int,(g_ox)+(c_1/2+(s_0+3*s_r))*0.748511,CHOOSE(INDEX(lk_kind,4),(g_ox+eq_c1/2)+((s_0+3*s_r))*0.707107,(eq_a1+eq_c1)+((s_0+3*s_r))*0.608761,(eq_a1+eq_c1)+((s_0+3*s_r))*0.608761,(eq_a1)+((s_0+3*s_r))*-0.793353)),NA())</f>
        <v/>
      </c>
      <c r="BP9">
        <f>IF(AND(links_on,4&lt;=n_per),IF(circ_int,(g_oy)+(c_1/2+(s_0+3*s_r))*0.663123,CHOOSE(INDEX(lk_kind,4),(g_oy+eq_c2/2)+((s_0+3*s_r))*0.707107,(g_oy+eq_c2/2)+((s_0+3*s_r))*0.793353,(eq_a2+eq_c2)+((s_0+3*s_r))*0.793353,(eq_a2+eq_c2)+((s_0+3*s_r))*0.608761)),NA())</f>
        <v/>
      </c>
      <c r="BR9">
        <f>IF(AND(AND(links_on,4&lt;=n_per),INDEX(lk_kind,4)=1,6&lt;INDEX(lk_legs,4)),g_ox+IF(((6+0.5)*(4*IF(circ_int,0,eq_c1/2)+4*IF(circ_int,0,eq_c2/2)+2*PI()*(s_0+3*s_r+IF(circ_int,eq_c1/2,0)))/INDEX(lk_legs,4))&lt;(2*IF(circ_int,0,eq_c2/2)),IF(circ_int,0,eq_c1/2)+(s_0+3*s_r+IF(circ_int,eq_c1/2,0)),IF(((6+0.5)*(4*IF(circ_int,0,eq_c1/2)+4*IF(circ_int,0,eq_c2/2)+2*PI()*(s_0+3*s_r+IF(circ_int,eq_c1/2,0)))/INDEX(lk_legs,4))&lt;((2*IF(circ_int,0,eq_c2/2))+(PI()*(s_0+3*s_r+IF(circ_int,eq_c1/2,0))/2)),IF(circ_int,0,eq_c1/2)+(s_0+3*s_r+IF(circ_int,eq_c1/2,0))*COS((((6+0.5)*(4*IF(circ_int,0,eq_c1/2)+4*IF(circ_int,0,eq_c2/2)+2*PI()*(s_0+3*s_r+IF(circ_int,eq_c1/2,0)))/INDEX(lk_legs,4))-(2*IF(circ_int,0,eq_c2/2)))/(s_0+3*s_r+IF(circ_int,eq_c1/2,0))),IF(((6+0.5)*(4*IF(circ_int,0,eq_c1/2)+4*IF(circ_int,0,eq_c2/2)+2*PI()*(s_0+3*s_r+IF(circ_int,eq_c1/2,0)))/INDEX(lk_legs,4))&lt;(((2*IF(circ_int,0,eq_c2/2))+(PI()*(s_0+3*s_r+IF(circ_int,eq_c1/2,0))/2))+2*IF(circ_int,0,eq_c1/2)),IF(circ_int,0,eq_c1/2)-(((6+0.5)*(4*IF(circ_int,0,eq_c1/2)+4*IF(circ_int,0,eq_c2/2)+2*PI()*(s_0+3*s_r+IF(circ_int,eq_c1/2,0)))/INDEX(lk_legs,4))-((2*IF(circ_int,0,eq_c2/2))+(PI()*(s_0+3*s_r+IF(circ_int,eq_c1/2,0))/2))),IF(((6+0.5)*(4*IF(circ_int,0,eq_c1/2)+4*IF(circ_int,0,eq_c2/2)+2*PI()*(s_0+3*s_r+IF(circ_int,eq_c1/2,0)))/INDEX(lk_legs,4))&lt;((((2*IF(circ_int,0,eq_c2/2))+(PI()*(s_0+3*s_r+IF(circ_int,eq_c1/2,0))/2))+2*IF(circ_int,0,eq_c1/2))+(PI()*(s_0+3*s_r+IF(circ_int,eq_c1/2,0))/2)),-IF(circ_int,0,eq_c1/2)+(s_0+3*s_r+IF(circ_int,eq_c1/2,0))*COS(PI()/2+(((6+0.5)*(4*IF(circ_int,0,eq_c1/2)+4*IF(circ_int,0,eq_c2/2)+2*PI()*(s_0+3*s_r+IF(circ_int,eq_c1/2,0)))/INDEX(lk_legs,4))-(((2*IF(circ_int,0,eq_c2/2))+(PI()*(s_0+3*s_r+IF(circ_int,eq_c1/2,0))/2))+2*IF(circ_int,0,eq_c1/2)))/(s_0+3*s_r+IF(circ_int,eq_c1/2,0))),IF(((6+0.5)*(4*IF(circ_int,0,eq_c1/2)+4*IF(circ_int,0,eq_c2/2)+2*PI()*(s_0+3*s_r+IF(circ_int,eq_c1/2,0)))/INDEX(lk_legs,4))&lt;(((((2*IF(circ_int,0,eq_c2/2))+(PI()*(s_0+3*s_r+IF(circ_int,eq_c1/2,0))/2))+2*IF(circ_int,0,eq_c1/2))+(PI()*(s_0+3*s_r+IF(circ_int,eq_c1/2,0))/2))+2*IF(circ_int,0,eq_c2/2)),-IF(circ_int,0,eq_c1/2)-(s_0+3*s_r+IF(circ_int,eq_c1/2,0)),IF(((6+0.5)*(4*IF(circ_int,0,eq_c1/2)+4*IF(circ_int,0,eq_c2/2)+2*PI()*(s_0+3*s_r+IF(circ_int,eq_c1/2,0)))/INDEX(lk_legs,4))&lt;((((((2*IF(circ_int,0,eq_c2/2))+(PI()*(s_0+3*s_r+IF(circ_int,eq_c1/2,0))/2))+2*IF(circ_int,0,eq_c1/2))+(PI()*(s_0+3*s_r+IF(circ_int,eq_c1/2,0))/2))+2*IF(circ_int,0,eq_c2/2))+(PI()*(s_0+3*s_r+IF(circ_int,eq_c1/2,0))/2)),-IF(circ_int,0,eq_c1/2)+(s_0+3*s_r+IF(circ_int,eq_c1/2,0))*COS(PI()+(((6+0.5)*(4*IF(circ_int,0,eq_c1/2)+4*IF(circ_int,0,eq_c2/2)+2*PI()*(s_0+3*s_r+IF(circ_int,eq_c1/2,0)))/INDEX(lk_legs,4))-(((((2*IF(circ_int,0,eq_c2/2))+(PI()*(s_0+3*s_r+IF(circ_int,eq_c1/2,0))/2))+2*IF(circ_int,0,eq_c1/2))+(PI()*(s_0+3*s_r+IF(circ_int,eq_c1/2,0))/2))+2*IF(circ_int,0,eq_c2/2)))/(s_0+3*s_r+IF(circ_int,eq_c1/2,0))),IF(((6+0.5)*(4*IF(circ_int,0,eq_c1/2)+4*IF(circ_int,0,eq_c2/2)+2*PI()*(s_0+3*s_r+IF(circ_int,eq_c1/2,0)))/INDEX(lk_legs,4))&lt;(((((((2*IF(circ_int,0,eq_c2/2))+(PI()*(s_0+3*s_r+IF(circ_int,eq_c1/2,0))/2))+2*IF(circ_int,0,eq_c1/2))+(PI()*(s_0+3*s_r+IF(circ_int,eq_c1/2,0))/2))+2*IF(circ_int,0,eq_c2/2))+(PI()*(s_0+3*s_r+IF(circ_int,eq_c1/2,0))/2))+2*IF(circ_int,0,eq_c1/2)),-IF(circ_int,0,eq_c1/2)+(((6+0.5)*(4*IF(circ_int,0,eq_c1/2)+4*IF(circ_int,0,eq_c2/2)+2*PI()*(s_0+3*s_r+IF(circ_int,eq_c1/2,0)))/INDEX(lk_legs,4))-((((((2*IF(circ_int,0,eq_c2/2))+(PI()*(s_0+3*s_r+IF(circ_int,eq_c1/2,0))/2))+2*IF(circ_int,0,eq_c1/2))+(PI()*(s_0+3*s_r+IF(circ_int,eq_c1/2,0))/2))+2*IF(circ_int,0,eq_c2/2))+(PI()*(s_0+3*s_r+IF(circ_int,eq_c1/2,0))/2))),IF(circ_int,0,eq_c1/2)+(s_0+3*s_r+IF(circ_int,eq_c1/2,0))*COS(3*PI()/2+(((6+0.5)*(4*IF(circ_int,0,eq_c1/2)+4*IF(circ_int,0,eq_c2/2)+2*PI()*(s_0+3*s_r+IF(circ_int,eq_c1/2,0)))/INDEX(lk_legs,4))-(((((((2*IF(circ_int,0,eq_c2/2))+(PI()*(s_0+3*s_r+IF(circ_int,eq_c1/2,0))/2))+2*IF(circ_int,0,eq_c1/2))+(PI()*(s_0+3*s_r+IF(circ_int,eq_c1/2,0))/2))+2*IF(circ_int,0,eq_c2/2))+(PI()*(s_0+3*s_r+IF(circ_int,eq_c1/2,0))/2))+2*IF(circ_int,0,eq_c1/2)))/(s_0+3*s_r+IF(circ_int,eq_c1/2,0)))))))))),NA())</f>
        <v/>
      </c>
      <c r="BS9">
        <f>IF(AND(AND(links_on,4&lt;=n_per),INDEX(lk_kind,4)=1,6&lt;INDEX(lk_legs,4)),g_oy+IF(((6+0.5)*(4*IF(circ_int,0,eq_c1/2)+4*IF(circ_int,0,eq_c2/2)+2*PI()*(s_0+3*s_r+IF(circ_int,eq_c1/2,0)))/INDEX(lk_legs,4))&lt;(2*IF(circ_int,0,eq_c2/2)),-IF(circ_int,0,eq_c2/2)+((6+0.5)*(4*IF(circ_int,0,eq_c1/2)+4*IF(circ_int,0,eq_c2/2)+2*PI()*(s_0+3*s_r+IF(circ_int,eq_c1/2,0)))/INDEX(lk_legs,4)),IF(((6+0.5)*(4*IF(circ_int,0,eq_c1/2)+4*IF(circ_int,0,eq_c2/2)+2*PI()*(s_0+3*s_r+IF(circ_int,eq_c1/2,0)))/INDEX(lk_legs,4))&lt;((2*IF(circ_int,0,eq_c2/2))+(PI()*(s_0+3*s_r+IF(circ_int,eq_c1/2,0))/2)),IF(circ_int,0,eq_c2/2)+(s_0+3*s_r+IF(circ_int,eq_c1/2,0))*SIN((((6+0.5)*(4*IF(circ_int,0,eq_c1/2)+4*IF(circ_int,0,eq_c2/2)+2*PI()*(s_0+3*s_r+IF(circ_int,eq_c1/2,0)))/INDEX(lk_legs,4))-(2*IF(circ_int,0,eq_c2/2)))/(s_0+3*s_r+IF(circ_int,eq_c1/2,0))),IF(((6+0.5)*(4*IF(circ_int,0,eq_c1/2)+4*IF(circ_int,0,eq_c2/2)+2*PI()*(s_0+3*s_r+IF(circ_int,eq_c1/2,0)))/INDEX(lk_legs,4))&lt;(((2*IF(circ_int,0,eq_c2/2))+(PI()*(s_0+3*s_r+IF(circ_int,eq_c1/2,0))/2))+2*IF(circ_int,0,eq_c1/2)),IF(circ_int,0,eq_c2/2)+(s_0+3*s_r+IF(circ_int,eq_c1/2,0)),IF(((6+0.5)*(4*IF(circ_int,0,eq_c1/2)+4*IF(circ_int,0,eq_c2/2)+2*PI()*(s_0+3*s_r+IF(circ_int,eq_c1/2,0)))/INDEX(lk_legs,4))&lt;((((2*IF(circ_int,0,eq_c2/2))+(PI()*(s_0+3*s_r+IF(circ_int,eq_c1/2,0))/2))+2*IF(circ_int,0,eq_c1/2))+(PI()*(s_0+3*s_r+IF(circ_int,eq_c1/2,0))/2)),IF(circ_int,0,eq_c2/2)+(s_0+3*s_r+IF(circ_int,eq_c1/2,0))*SIN(PI()/2+(((6+0.5)*(4*IF(circ_int,0,eq_c1/2)+4*IF(circ_int,0,eq_c2/2)+2*PI()*(s_0+3*s_r+IF(circ_int,eq_c1/2,0)))/INDEX(lk_legs,4))-(((2*IF(circ_int,0,eq_c2/2))+(PI()*(s_0+3*s_r+IF(circ_int,eq_c1/2,0))/2))+2*IF(circ_int,0,eq_c1/2)))/(s_0+3*s_r+IF(circ_int,eq_c1/2,0))),IF(((6+0.5)*(4*IF(circ_int,0,eq_c1/2)+4*IF(circ_int,0,eq_c2/2)+2*PI()*(s_0+3*s_r+IF(circ_int,eq_c1/2,0)))/INDEX(lk_legs,4))&lt;(((((2*IF(circ_int,0,eq_c2/2))+(PI()*(s_0+3*s_r+IF(circ_int,eq_c1/2,0))/2))+2*IF(circ_int,0,eq_c1/2))+(PI()*(s_0+3*s_r+IF(circ_int,eq_c1/2,0))/2))+2*IF(circ_int,0,eq_c2/2)),IF(circ_int,0,eq_c2/2)-(((6+0.5)*(4*IF(circ_int,0,eq_c1/2)+4*IF(circ_int,0,eq_c2/2)+2*PI()*(s_0+3*s_r+IF(circ_int,eq_c1/2,0)))/INDEX(lk_legs,4))-((((2*IF(circ_int,0,eq_c2/2))+(PI()*(s_0+3*s_r+IF(circ_int,eq_c1/2,0))/2))+2*IF(circ_int,0,eq_c1/2))+(PI()*(s_0+3*s_r+IF(circ_int,eq_c1/2,0))/2))),IF(((6+0.5)*(4*IF(circ_int,0,eq_c1/2)+4*IF(circ_int,0,eq_c2/2)+2*PI()*(s_0+3*s_r+IF(circ_int,eq_c1/2,0)))/INDEX(lk_legs,4))&lt;((((((2*IF(circ_int,0,eq_c2/2))+(PI()*(s_0+3*s_r+IF(circ_int,eq_c1/2,0))/2))+2*IF(circ_int,0,eq_c1/2))+(PI()*(s_0+3*s_r+IF(circ_int,eq_c1/2,0))/2))+2*IF(circ_int,0,eq_c2/2))+(PI()*(s_0+3*s_r+IF(circ_int,eq_c1/2,0))/2)),-IF(circ_int,0,eq_c2/2)+(s_0+3*s_r+IF(circ_int,eq_c1/2,0))*SIN(PI()+(((6+0.5)*(4*IF(circ_int,0,eq_c1/2)+4*IF(circ_int,0,eq_c2/2)+2*PI()*(s_0+3*s_r+IF(circ_int,eq_c1/2,0)))/INDEX(lk_legs,4))-(((((2*IF(circ_int,0,eq_c2/2))+(PI()*(s_0+3*s_r+IF(circ_int,eq_c1/2,0))/2))+2*IF(circ_int,0,eq_c1/2))+(PI()*(s_0+3*s_r+IF(circ_int,eq_c1/2,0))/2))+2*IF(circ_int,0,eq_c2/2)))/(s_0+3*s_r+IF(circ_int,eq_c1/2,0))),IF(((6+0.5)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(6+0.5)*(4*IF(circ_int,0,eq_c1/2)+4*IF(circ_int,0,eq_c2/2)+2*PI()*(s_0+3*s_r+IF(circ_int,eq_c1/2,0)))/INDEX(lk_legs,4))-(((((((2*IF(circ_int,0,eq_c2/2))+(PI()*(s_0+3*s_r+IF(circ_int,eq_c1/2,0))/2))+2*IF(circ_int,0,eq_c1/2))+(PI()*(s_0+3*s_r+IF(circ_int,eq_c1/2,0))/2))+2*IF(circ_int,0,eq_c2/2))+(PI()*(s_0+3*s_r+IF(circ_int,eq_c1/2,0))/2))+2*IF(circ_int,0,eq_c1/2)))/(s_0+3*s_r+IF(circ_int,eq_c1/2,0)))))))))),NA())</f>
        <v/>
      </c>
      <c r="BU9">
        <f>IF(AND(links_on,5&lt;=n_per),IF(circ_int,(g_ox)+(c_1/2+(s_0+4*s_r))*0.748511,CHOOSE(INDEX(lk_kind,5),(g_ox+eq_c1/2)+((s_0+4*s_r))*0.707107,(eq_a1+eq_c1)+((s_0+4*s_r))*0.608761,(eq_a1+eq_c1)+((s_0+4*s_r))*0.608761,(eq_a1)+((s_0+4*s_r))*-0.793353)),NA())</f>
        <v/>
      </c>
      <c r="BV9">
        <f>IF(AND(links_on,5&lt;=n_per),IF(circ_int,(g_oy)+(c_1/2+(s_0+4*s_r))*0.663123,CHOOSE(INDEX(lk_kind,5),(g_oy+eq_c2/2)+((s_0+4*s_r))*0.707107,(g_oy+eq_c2/2)+((s_0+4*s_r))*0.793353,(eq_a2+eq_c2)+((s_0+4*s_r))*0.793353,(eq_a2+eq_c2)+((s_0+4*s_r))*0.608761)),NA())</f>
        <v/>
      </c>
      <c r="BX9">
        <f>IF(AND(AND(links_on,5&lt;=n_per),INDEX(lk_kind,5)=1,6&lt;INDEX(lk_legs,5)),g_ox+IF(((6+0.5)*(4*IF(circ_int,0,eq_c1/2)+4*IF(circ_int,0,eq_c2/2)+2*PI()*(s_0+4*s_r+IF(circ_int,eq_c1/2,0)))/INDEX(lk_legs,5))&lt;(2*IF(circ_int,0,eq_c2/2)),IF(circ_int,0,eq_c1/2)+(s_0+4*s_r+IF(circ_int,eq_c1/2,0)),IF(((6+0.5)*(4*IF(circ_int,0,eq_c1/2)+4*IF(circ_int,0,eq_c2/2)+2*PI()*(s_0+4*s_r+IF(circ_int,eq_c1/2,0)))/INDEX(lk_legs,5))&lt;((2*IF(circ_int,0,eq_c2/2))+(PI()*(s_0+4*s_r+IF(circ_int,eq_c1/2,0))/2)),IF(circ_int,0,eq_c1/2)+(s_0+4*s_r+IF(circ_int,eq_c1/2,0))*COS((((6+0.5)*(4*IF(circ_int,0,eq_c1/2)+4*IF(circ_int,0,eq_c2/2)+2*PI()*(s_0+4*s_r+IF(circ_int,eq_c1/2,0)))/INDEX(lk_legs,5))-(2*IF(circ_int,0,eq_c2/2)))/(s_0+4*s_r+IF(circ_int,eq_c1/2,0))),IF(((6+0.5)*(4*IF(circ_int,0,eq_c1/2)+4*IF(circ_int,0,eq_c2/2)+2*PI()*(s_0+4*s_r+IF(circ_int,eq_c1/2,0)))/INDEX(lk_legs,5))&lt;(((2*IF(circ_int,0,eq_c2/2))+(PI()*(s_0+4*s_r+IF(circ_int,eq_c1/2,0))/2))+2*IF(circ_int,0,eq_c1/2)),IF(circ_int,0,eq_c1/2)-(((6+0.5)*(4*IF(circ_int,0,eq_c1/2)+4*IF(circ_int,0,eq_c2/2)+2*PI()*(s_0+4*s_r+IF(circ_int,eq_c1/2,0)))/INDEX(lk_legs,5))-((2*IF(circ_int,0,eq_c2/2))+(PI()*(s_0+4*s_r+IF(circ_int,eq_c1/2,0))/2))),IF(((6+0.5)*(4*IF(circ_int,0,eq_c1/2)+4*IF(circ_int,0,eq_c2/2)+2*PI()*(s_0+4*s_r+IF(circ_int,eq_c1/2,0)))/INDEX(lk_legs,5))&lt;((((2*IF(circ_int,0,eq_c2/2))+(PI()*(s_0+4*s_r+IF(circ_int,eq_c1/2,0))/2))+2*IF(circ_int,0,eq_c1/2))+(PI()*(s_0+4*s_r+IF(circ_int,eq_c1/2,0))/2)),-IF(circ_int,0,eq_c1/2)+(s_0+4*s_r+IF(circ_int,eq_c1/2,0))*COS(PI()/2+(((6+0.5)*(4*IF(circ_int,0,eq_c1/2)+4*IF(circ_int,0,eq_c2/2)+2*PI()*(s_0+4*s_r+IF(circ_int,eq_c1/2,0)))/INDEX(lk_legs,5))-(((2*IF(circ_int,0,eq_c2/2))+(PI()*(s_0+4*s_r+IF(circ_int,eq_c1/2,0))/2))+2*IF(circ_int,0,eq_c1/2)))/(s_0+4*s_r+IF(circ_int,eq_c1/2,0))),IF(((6+0.5)*(4*IF(circ_int,0,eq_c1/2)+4*IF(circ_int,0,eq_c2/2)+2*PI()*(s_0+4*s_r+IF(circ_int,eq_c1/2,0)))/INDEX(lk_legs,5))&lt;(((((2*IF(circ_int,0,eq_c2/2))+(PI()*(s_0+4*s_r+IF(circ_int,eq_c1/2,0))/2))+2*IF(circ_int,0,eq_c1/2))+(PI()*(s_0+4*s_r+IF(circ_int,eq_c1/2,0))/2))+2*IF(circ_int,0,eq_c2/2)),-IF(circ_int,0,eq_c1/2)-(s_0+4*s_r+IF(circ_int,eq_c1/2,0)),IF(((6+0.5)*(4*IF(circ_int,0,eq_c1/2)+4*IF(circ_int,0,eq_c2/2)+2*PI()*(s_0+4*s_r+IF(circ_int,eq_c1/2,0)))/INDEX(lk_legs,5))&lt;((((((2*IF(circ_int,0,eq_c2/2))+(PI()*(s_0+4*s_r+IF(circ_int,eq_c1/2,0))/2))+2*IF(circ_int,0,eq_c1/2))+(PI()*(s_0+4*s_r+IF(circ_int,eq_c1/2,0))/2))+2*IF(circ_int,0,eq_c2/2))+(PI()*(s_0+4*s_r+IF(circ_int,eq_c1/2,0))/2)),-IF(circ_int,0,eq_c1/2)+(s_0+4*s_r+IF(circ_int,eq_c1/2,0))*COS(PI()+(((6+0.5)*(4*IF(circ_int,0,eq_c1/2)+4*IF(circ_int,0,eq_c2/2)+2*PI()*(s_0+4*s_r+IF(circ_int,eq_c1/2,0)))/INDEX(lk_legs,5))-(((((2*IF(circ_int,0,eq_c2/2))+(PI()*(s_0+4*s_r+IF(circ_int,eq_c1/2,0))/2))+2*IF(circ_int,0,eq_c1/2))+(PI()*(s_0+4*s_r+IF(circ_int,eq_c1/2,0))/2))+2*IF(circ_int,0,eq_c2/2)))/(s_0+4*s_r+IF(circ_int,eq_c1/2,0))),IF(((6+0.5)*(4*IF(circ_int,0,eq_c1/2)+4*IF(circ_int,0,eq_c2/2)+2*PI()*(s_0+4*s_r+IF(circ_int,eq_c1/2,0)))/INDEX(lk_legs,5))&lt;(((((((2*IF(circ_int,0,eq_c2/2))+(PI()*(s_0+4*s_r+IF(circ_int,eq_c1/2,0))/2))+2*IF(circ_int,0,eq_c1/2))+(PI()*(s_0+4*s_r+IF(circ_int,eq_c1/2,0))/2))+2*IF(circ_int,0,eq_c2/2))+(PI()*(s_0+4*s_r+IF(circ_int,eq_c1/2,0))/2))+2*IF(circ_int,0,eq_c1/2)),-IF(circ_int,0,eq_c1/2)+(((6+0.5)*(4*IF(circ_int,0,eq_c1/2)+4*IF(circ_int,0,eq_c2/2)+2*PI()*(s_0+4*s_r+IF(circ_int,eq_c1/2,0)))/INDEX(lk_legs,5))-((((((2*IF(circ_int,0,eq_c2/2))+(PI()*(s_0+4*s_r+IF(circ_int,eq_c1/2,0))/2))+2*IF(circ_int,0,eq_c1/2))+(PI()*(s_0+4*s_r+IF(circ_int,eq_c1/2,0))/2))+2*IF(circ_int,0,eq_c2/2))+(PI()*(s_0+4*s_r+IF(circ_int,eq_c1/2,0))/2))),IF(circ_int,0,eq_c1/2)+(s_0+4*s_r+IF(circ_int,eq_c1/2,0))*COS(3*PI()/2+(((6+0.5)*(4*IF(circ_int,0,eq_c1/2)+4*IF(circ_int,0,eq_c2/2)+2*PI()*(s_0+4*s_r+IF(circ_int,eq_c1/2,0)))/INDEX(lk_legs,5))-(((((((2*IF(circ_int,0,eq_c2/2))+(PI()*(s_0+4*s_r+IF(circ_int,eq_c1/2,0))/2))+2*IF(circ_int,0,eq_c1/2))+(PI()*(s_0+4*s_r+IF(circ_int,eq_c1/2,0))/2))+2*IF(circ_int,0,eq_c2/2))+(PI()*(s_0+4*s_r+IF(circ_int,eq_c1/2,0))/2))+2*IF(circ_int,0,eq_c1/2)))/(s_0+4*s_r+IF(circ_int,eq_c1/2,0)))))))))),NA())</f>
        <v/>
      </c>
      <c r="BY9">
        <f>IF(AND(AND(links_on,5&lt;=n_per),INDEX(lk_kind,5)=1,6&lt;INDEX(lk_legs,5)),g_oy+IF(((6+0.5)*(4*IF(circ_int,0,eq_c1/2)+4*IF(circ_int,0,eq_c2/2)+2*PI()*(s_0+4*s_r+IF(circ_int,eq_c1/2,0)))/INDEX(lk_legs,5))&lt;(2*IF(circ_int,0,eq_c2/2)),-IF(circ_int,0,eq_c2/2)+((6+0.5)*(4*IF(circ_int,0,eq_c1/2)+4*IF(circ_int,0,eq_c2/2)+2*PI()*(s_0+4*s_r+IF(circ_int,eq_c1/2,0)))/INDEX(lk_legs,5)),IF(((6+0.5)*(4*IF(circ_int,0,eq_c1/2)+4*IF(circ_int,0,eq_c2/2)+2*PI()*(s_0+4*s_r+IF(circ_int,eq_c1/2,0)))/INDEX(lk_legs,5))&lt;((2*IF(circ_int,0,eq_c2/2))+(PI()*(s_0+4*s_r+IF(circ_int,eq_c1/2,0))/2)),IF(circ_int,0,eq_c2/2)+(s_0+4*s_r+IF(circ_int,eq_c1/2,0))*SIN((((6+0.5)*(4*IF(circ_int,0,eq_c1/2)+4*IF(circ_int,0,eq_c2/2)+2*PI()*(s_0+4*s_r+IF(circ_int,eq_c1/2,0)))/INDEX(lk_legs,5))-(2*IF(circ_int,0,eq_c2/2)))/(s_0+4*s_r+IF(circ_int,eq_c1/2,0))),IF(((6+0.5)*(4*IF(circ_int,0,eq_c1/2)+4*IF(circ_int,0,eq_c2/2)+2*PI()*(s_0+4*s_r+IF(circ_int,eq_c1/2,0)))/INDEX(lk_legs,5))&lt;(((2*IF(circ_int,0,eq_c2/2))+(PI()*(s_0+4*s_r+IF(circ_int,eq_c1/2,0))/2))+2*IF(circ_int,0,eq_c1/2)),IF(circ_int,0,eq_c2/2)+(s_0+4*s_r+IF(circ_int,eq_c1/2,0)),IF(((6+0.5)*(4*IF(circ_int,0,eq_c1/2)+4*IF(circ_int,0,eq_c2/2)+2*PI()*(s_0+4*s_r+IF(circ_int,eq_c1/2,0)))/INDEX(lk_legs,5))&lt;((((2*IF(circ_int,0,eq_c2/2))+(PI()*(s_0+4*s_r+IF(circ_int,eq_c1/2,0))/2))+2*IF(circ_int,0,eq_c1/2))+(PI()*(s_0+4*s_r+IF(circ_int,eq_c1/2,0))/2)),IF(circ_int,0,eq_c2/2)+(s_0+4*s_r+IF(circ_int,eq_c1/2,0))*SIN(PI()/2+(((6+0.5)*(4*IF(circ_int,0,eq_c1/2)+4*IF(circ_int,0,eq_c2/2)+2*PI()*(s_0+4*s_r+IF(circ_int,eq_c1/2,0)))/INDEX(lk_legs,5))-(((2*IF(circ_int,0,eq_c2/2))+(PI()*(s_0+4*s_r+IF(circ_int,eq_c1/2,0))/2))+2*IF(circ_int,0,eq_c1/2)))/(s_0+4*s_r+IF(circ_int,eq_c1/2,0))),IF(((6+0.5)*(4*IF(circ_int,0,eq_c1/2)+4*IF(circ_int,0,eq_c2/2)+2*PI()*(s_0+4*s_r+IF(circ_int,eq_c1/2,0)))/INDEX(lk_legs,5))&lt;(((((2*IF(circ_int,0,eq_c2/2))+(PI()*(s_0+4*s_r+IF(circ_int,eq_c1/2,0))/2))+2*IF(circ_int,0,eq_c1/2))+(PI()*(s_0+4*s_r+IF(circ_int,eq_c1/2,0))/2))+2*IF(circ_int,0,eq_c2/2)),IF(circ_int,0,eq_c2/2)-(((6+0.5)*(4*IF(circ_int,0,eq_c1/2)+4*IF(circ_int,0,eq_c2/2)+2*PI()*(s_0+4*s_r+IF(circ_int,eq_c1/2,0)))/INDEX(lk_legs,5))-((((2*IF(circ_int,0,eq_c2/2))+(PI()*(s_0+4*s_r+IF(circ_int,eq_c1/2,0))/2))+2*IF(circ_int,0,eq_c1/2))+(PI()*(s_0+4*s_r+IF(circ_int,eq_c1/2,0))/2))),IF(((6+0.5)*(4*IF(circ_int,0,eq_c1/2)+4*IF(circ_int,0,eq_c2/2)+2*PI()*(s_0+4*s_r+IF(circ_int,eq_c1/2,0)))/INDEX(lk_legs,5))&lt;((((((2*IF(circ_int,0,eq_c2/2))+(PI()*(s_0+4*s_r+IF(circ_int,eq_c1/2,0))/2))+2*IF(circ_int,0,eq_c1/2))+(PI()*(s_0+4*s_r+IF(circ_int,eq_c1/2,0))/2))+2*IF(circ_int,0,eq_c2/2))+(PI()*(s_0+4*s_r+IF(circ_int,eq_c1/2,0))/2)),-IF(circ_int,0,eq_c2/2)+(s_0+4*s_r+IF(circ_int,eq_c1/2,0))*SIN(PI()+(((6+0.5)*(4*IF(circ_int,0,eq_c1/2)+4*IF(circ_int,0,eq_c2/2)+2*PI()*(s_0+4*s_r+IF(circ_int,eq_c1/2,0)))/INDEX(lk_legs,5))-(((((2*IF(circ_int,0,eq_c2/2))+(PI()*(s_0+4*s_r+IF(circ_int,eq_c1/2,0))/2))+2*IF(circ_int,0,eq_c1/2))+(PI()*(s_0+4*s_r+IF(circ_int,eq_c1/2,0))/2))+2*IF(circ_int,0,eq_c2/2)))/(s_0+4*s_r+IF(circ_int,eq_c1/2,0))),IF(((6+0.5)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(6+0.5)*(4*IF(circ_int,0,eq_c1/2)+4*IF(circ_int,0,eq_c2/2)+2*PI()*(s_0+4*s_r+IF(circ_int,eq_c1/2,0)))/INDEX(lk_legs,5))-(((((((2*IF(circ_int,0,eq_c2/2))+(PI()*(s_0+4*s_r+IF(circ_int,eq_c1/2,0))/2))+2*IF(circ_int,0,eq_c1/2))+(PI()*(s_0+4*s_r+IF(circ_int,eq_c1/2,0))/2))+2*IF(circ_int,0,eq_c2/2))+(PI()*(s_0+4*s_r+IF(circ_int,eq_c1/2,0))/2))+2*IF(circ_int,0,eq_c1/2)))/(s_0+4*s_r+IF(circ_int,eq_c1/2,0)))))))))),NA())</f>
        <v/>
      </c>
      <c r="CA9">
        <f>IF(AND(links_on,6&lt;=n_per),IF(circ_int,(g_ox)+(c_1/2+(s_0+5*s_r))*0.748511,CHOOSE(INDEX(lk_kind,6),(g_ox+eq_c1/2)+((s_0+5*s_r))*0.707107,(eq_a1+eq_c1)+((s_0+5*s_r))*0.608761,(eq_a1+eq_c1)+((s_0+5*s_r))*0.608761,(eq_a1)+((s_0+5*s_r))*-0.793353)),NA())</f>
        <v/>
      </c>
      <c r="CB9">
        <f>IF(AND(links_on,6&lt;=n_per),IF(circ_int,(g_oy)+(c_1/2+(s_0+5*s_r))*0.663123,CHOOSE(INDEX(lk_kind,6),(g_oy+eq_c2/2)+((s_0+5*s_r))*0.707107,(g_oy+eq_c2/2)+((s_0+5*s_r))*0.793353,(eq_a2+eq_c2)+((s_0+5*s_r))*0.793353,(eq_a2+eq_c2)+((s_0+5*s_r))*0.608761)),NA())</f>
        <v/>
      </c>
      <c r="CD9">
        <f>IF(AND(AND(links_on,6&lt;=n_per),INDEX(lk_kind,6)=1,6&lt;INDEX(lk_legs,6)),g_ox+IF(((6+0.5)*(4*IF(circ_int,0,eq_c1/2)+4*IF(circ_int,0,eq_c2/2)+2*PI()*(s_0+5*s_r+IF(circ_int,eq_c1/2,0)))/INDEX(lk_legs,6))&lt;(2*IF(circ_int,0,eq_c2/2)),IF(circ_int,0,eq_c1/2)+(s_0+5*s_r+IF(circ_int,eq_c1/2,0)),IF(((6+0.5)*(4*IF(circ_int,0,eq_c1/2)+4*IF(circ_int,0,eq_c2/2)+2*PI()*(s_0+5*s_r+IF(circ_int,eq_c1/2,0)))/INDEX(lk_legs,6))&lt;((2*IF(circ_int,0,eq_c2/2))+(PI()*(s_0+5*s_r+IF(circ_int,eq_c1/2,0))/2)),IF(circ_int,0,eq_c1/2)+(s_0+5*s_r+IF(circ_int,eq_c1/2,0))*COS((((6+0.5)*(4*IF(circ_int,0,eq_c1/2)+4*IF(circ_int,0,eq_c2/2)+2*PI()*(s_0+5*s_r+IF(circ_int,eq_c1/2,0)))/INDEX(lk_legs,6))-(2*IF(circ_int,0,eq_c2/2)))/(s_0+5*s_r+IF(circ_int,eq_c1/2,0))),IF(((6+0.5)*(4*IF(circ_int,0,eq_c1/2)+4*IF(circ_int,0,eq_c2/2)+2*PI()*(s_0+5*s_r+IF(circ_int,eq_c1/2,0)))/INDEX(lk_legs,6))&lt;(((2*IF(circ_int,0,eq_c2/2))+(PI()*(s_0+5*s_r+IF(circ_int,eq_c1/2,0))/2))+2*IF(circ_int,0,eq_c1/2)),IF(circ_int,0,eq_c1/2)-(((6+0.5)*(4*IF(circ_int,0,eq_c1/2)+4*IF(circ_int,0,eq_c2/2)+2*PI()*(s_0+5*s_r+IF(circ_int,eq_c1/2,0)))/INDEX(lk_legs,6))-((2*IF(circ_int,0,eq_c2/2))+(PI()*(s_0+5*s_r+IF(circ_int,eq_c1/2,0))/2))),IF(((6+0.5)*(4*IF(circ_int,0,eq_c1/2)+4*IF(circ_int,0,eq_c2/2)+2*PI()*(s_0+5*s_r+IF(circ_int,eq_c1/2,0)))/INDEX(lk_legs,6))&lt;((((2*IF(circ_int,0,eq_c2/2))+(PI()*(s_0+5*s_r+IF(circ_int,eq_c1/2,0))/2))+2*IF(circ_int,0,eq_c1/2))+(PI()*(s_0+5*s_r+IF(circ_int,eq_c1/2,0))/2)),-IF(circ_int,0,eq_c1/2)+(s_0+5*s_r+IF(circ_int,eq_c1/2,0))*COS(PI()/2+(((6+0.5)*(4*IF(circ_int,0,eq_c1/2)+4*IF(circ_int,0,eq_c2/2)+2*PI()*(s_0+5*s_r+IF(circ_int,eq_c1/2,0)))/INDEX(lk_legs,6))-(((2*IF(circ_int,0,eq_c2/2))+(PI()*(s_0+5*s_r+IF(circ_int,eq_c1/2,0))/2))+2*IF(circ_int,0,eq_c1/2)))/(s_0+5*s_r+IF(circ_int,eq_c1/2,0))),IF(((6+0.5)*(4*IF(circ_int,0,eq_c1/2)+4*IF(circ_int,0,eq_c2/2)+2*PI()*(s_0+5*s_r+IF(circ_int,eq_c1/2,0)))/INDEX(lk_legs,6))&lt;(((((2*IF(circ_int,0,eq_c2/2))+(PI()*(s_0+5*s_r+IF(circ_int,eq_c1/2,0))/2))+2*IF(circ_int,0,eq_c1/2))+(PI()*(s_0+5*s_r+IF(circ_int,eq_c1/2,0))/2))+2*IF(circ_int,0,eq_c2/2)),-IF(circ_int,0,eq_c1/2)-(s_0+5*s_r+IF(circ_int,eq_c1/2,0)),IF(((6+0.5)*(4*IF(circ_int,0,eq_c1/2)+4*IF(circ_int,0,eq_c2/2)+2*PI()*(s_0+5*s_r+IF(circ_int,eq_c1/2,0)))/INDEX(lk_legs,6))&lt;((((((2*IF(circ_int,0,eq_c2/2))+(PI()*(s_0+5*s_r+IF(circ_int,eq_c1/2,0))/2))+2*IF(circ_int,0,eq_c1/2))+(PI()*(s_0+5*s_r+IF(circ_int,eq_c1/2,0))/2))+2*IF(circ_int,0,eq_c2/2))+(PI()*(s_0+5*s_r+IF(circ_int,eq_c1/2,0))/2)),-IF(circ_int,0,eq_c1/2)+(s_0+5*s_r+IF(circ_int,eq_c1/2,0))*COS(PI()+(((6+0.5)*(4*IF(circ_int,0,eq_c1/2)+4*IF(circ_int,0,eq_c2/2)+2*PI()*(s_0+5*s_r+IF(circ_int,eq_c1/2,0)))/INDEX(lk_legs,6))-(((((2*IF(circ_int,0,eq_c2/2))+(PI()*(s_0+5*s_r+IF(circ_int,eq_c1/2,0))/2))+2*IF(circ_int,0,eq_c1/2))+(PI()*(s_0+5*s_r+IF(circ_int,eq_c1/2,0))/2))+2*IF(circ_int,0,eq_c2/2)))/(s_0+5*s_r+IF(circ_int,eq_c1/2,0))),IF(((6+0.5)*(4*IF(circ_int,0,eq_c1/2)+4*IF(circ_int,0,eq_c2/2)+2*PI()*(s_0+5*s_r+IF(circ_int,eq_c1/2,0)))/INDEX(lk_legs,6))&lt;(((((((2*IF(circ_int,0,eq_c2/2))+(PI()*(s_0+5*s_r+IF(circ_int,eq_c1/2,0))/2))+2*IF(circ_int,0,eq_c1/2))+(PI()*(s_0+5*s_r+IF(circ_int,eq_c1/2,0))/2))+2*IF(circ_int,0,eq_c2/2))+(PI()*(s_0+5*s_r+IF(circ_int,eq_c1/2,0))/2))+2*IF(circ_int,0,eq_c1/2)),-IF(circ_int,0,eq_c1/2)+(((6+0.5)*(4*IF(circ_int,0,eq_c1/2)+4*IF(circ_int,0,eq_c2/2)+2*PI()*(s_0+5*s_r+IF(circ_int,eq_c1/2,0)))/INDEX(lk_legs,6))-((((((2*IF(circ_int,0,eq_c2/2))+(PI()*(s_0+5*s_r+IF(circ_int,eq_c1/2,0))/2))+2*IF(circ_int,0,eq_c1/2))+(PI()*(s_0+5*s_r+IF(circ_int,eq_c1/2,0))/2))+2*IF(circ_int,0,eq_c2/2))+(PI()*(s_0+5*s_r+IF(circ_int,eq_c1/2,0))/2))),IF(circ_int,0,eq_c1/2)+(s_0+5*s_r+IF(circ_int,eq_c1/2,0))*COS(3*PI()/2+(((6+0.5)*(4*IF(circ_int,0,eq_c1/2)+4*IF(circ_int,0,eq_c2/2)+2*PI()*(s_0+5*s_r+IF(circ_int,eq_c1/2,0)))/INDEX(lk_legs,6))-(((((((2*IF(circ_int,0,eq_c2/2))+(PI()*(s_0+5*s_r+IF(circ_int,eq_c1/2,0))/2))+2*IF(circ_int,0,eq_c1/2))+(PI()*(s_0+5*s_r+IF(circ_int,eq_c1/2,0))/2))+2*IF(circ_int,0,eq_c2/2))+(PI()*(s_0+5*s_r+IF(circ_int,eq_c1/2,0))/2))+2*IF(circ_int,0,eq_c1/2)))/(s_0+5*s_r+IF(circ_int,eq_c1/2,0)))))))))),NA())</f>
        <v/>
      </c>
      <c r="CE9">
        <f>IF(AND(AND(links_on,6&lt;=n_per),INDEX(lk_kind,6)=1,6&lt;INDEX(lk_legs,6)),g_oy+IF(((6+0.5)*(4*IF(circ_int,0,eq_c1/2)+4*IF(circ_int,0,eq_c2/2)+2*PI()*(s_0+5*s_r+IF(circ_int,eq_c1/2,0)))/INDEX(lk_legs,6))&lt;(2*IF(circ_int,0,eq_c2/2)),-IF(circ_int,0,eq_c2/2)+((6+0.5)*(4*IF(circ_int,0,eq_c1/2)+4*IF(circ_int,0,eq_c2/2)+2*PI()*(s_0+5*s_r+IF(circ_int,eq_c1/2,0)))/INDEX(lk_legs,6)),IF(((6+0.5)*(4*IF(circ_int,0,eq_c1/2)+4*IF(circ_int,0,eq_c2/2)+2*PI()*(s_0+5*s_r+IF(circ_int,eq_c1/2,0)))/INDEX(lk_legs,6))&lt;((2*IF(circ_int,0,eq_c2/2))+(PI()*(s_0+5*s_r+IF(circ_int,eq_c1/2,0))/2)),IF(circ_int,0,eq_c2/2)+(s_0+5*s_r+IF(circ_int,eq_c1/2,0))*SIN((((6+0.5)*(4*IF(circ_int,0,eq_c1/2)+4*IF(circ_int,0,eq_c2/2)+2*PI()*(s_0+5*s_r+IF(circ_int,eq_c1/2,0)))/INDEX(lk_legs,6))-(2*IF(circ_int,0,eq_c2/2)))/(s_0+5*s_r+IF(circ_int,eq_c1/2,0))),IF(((6+0.5)*(4*IF(circ_int,0,eq_c1/2)+4*IF(circ_int,0,eq_c2/2)+2*PI()*(s_0+5*s_r+IF(circ_int,eq_c1/2,0)))/INDEX(lk_legs,6))&lt;(((2*IF(circ_int,0,eq_c2/2))+(PI()*(s_0+5*s_r+IF(circ_int,eq_c1/2,0))/2))+2*IF(circ_int,0,eq_c1/2)),IF(circ_int,0,eq_c2/2)+(s_0+5*s_r+IF(circ_int,eq_c1/2,0)),IF(((6+0.5)*(4*IF(circ_int,0,eq_c1/2)+4*IF(circ_int,0,eq_c2/2)+2*PI()*(s_0+5*s_r+IF(circ_int,eq_c1/2,0)))/INDEX(lk_legs,6))&lt;((((2*IF(circ_int,0,eq_c2/2))+(PI()*(s_0+5*s_r+IF(circ_int,eq_c1/2,0))/2))+2*IF(circ_int,0,eq_c1/2))+(PI()*(s_0+5*s_r+IF(circ_int,eq_c1/2,0))/2)),IF(circ_int,0,eq_c2/2)+(s_0+5*s_r+IF(circ_int,eq_c1/2,0))*SIN(PI()/2+(((6+0.5)*(4*IF(circ_int,0,eq_c1/2)+4*IF(circ_int,0,eq_c2/2)+2*PI()*(s_0+5*s_r+IF(circ_int,eq_c1/2,0)))/INDEX(lk_legs,6))-(((2*IF(circ_int,0,eq_c2/2))+(PI()*(s_0+5*s_r+IF(circ_int,eq_c1/2,0))/2))+2*IF(circ_int,0,eq_c1/2)))/(s_0+5*s_r+IF(circ_int,eq_c1/2,0))),IF(((6+0.5)*(4*IF(circ_int,0,eq_c1/2)+4*IF(circ_int,0,eq_c2/2)+2*PI()*(s_0+5*s_r+IF(circ_int,eq_c1/2,0)))/INDEX(lk_legs,6))&lt;(((((2*IF(circ_int,0,eq_c2/2))+(PI()*(s_0+5*s_r+IF(circ_int,eq_c1/2,0))/2))+2*IF(circ_int,0,eq_c1/2))+(PI()*(s_0+5*s_r+IF(circ_int,eq_c1/2,0))/2))+2*IF(circ_int,0,eq_c2/2)),IF(circ_int,0,eq_c2/2)-(((6+0.5)*(4*IF(circ_int,0,eq_c1/2)+4*IF(circ_int,0,eq_c2/2)+2*PI()*(s_0+5*s_r+IF(circ_int,eq_c1/2,0)))/INDEX(lk_legs,6))-((((2*IF(circ_int,0,eq_c2/2))+(PI()*(s_0+5*s_r+IF(circ_int,eq_c1/2,0))/2))+2*IF(circ_int,0,eq_c1/2))+(PI()*(s_0+5*s_r+IF(circ_int,eq_c1/2,0))/2))),IF(((6+0.5)*(4*IF(circ_int,0,eq_c1/2)+4*IF(circ_int,0,eq_c2/2)+2*PI()*(s_0+5*s_r+IF(circ_int,eq_c1/2,0)))/INDEX(lk_legs,6))&lt;((((((2*IF(circ_int,0,eq_c2/2))+(PI()*(s_0+5*s_r+IF(circ_int,eq_c1/2,0))/2))+2*IF(circ_int,0,eq_c1/2))+(PI()*(s_0+5*s_r+IF(circ_int,eq_c1/2,0))/2))+2*IF(circ_int,0,eq_c2/2))+(PI()*(s_0+5*s_r+IF(circ_int,eq_c1/2,0))/2)),-IF(circ_int,0,eq_c2/2)+(s_0+5*s_r+IF(circ_int,eq_c1/2,0))*SIN(PI()+(((6+0.5)*(4*IF(circ_int,0,eq_c1/2)+4*IF(circ_int,0,eq_c2/2)+2*PI()*(s_0+5*s_r+IF(circ_int,eq_c1/2,0)))/INDEX(lk_legs,6))-(((((2*IF(circ_int,0,eq_c2/2))+(PI()*(s_0+5*s_r+IF(circ_int,eq_c1/2,0))/2))+2*IF(circ_int,0,eq_c1/2))+(PI()*(s_0+5*s_r+IF(circ_int,eq_c1/2,0))/2))+2*IF(circ_int,0,eq_c2/2)))/(s_0+5*s_r+IF(circ_int,eq_c1/2,0))),IF(((6+0.5)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(6+0.5)*(4*IF(circ_int,0,eq_c1/2)+4*IF(circ_int,0,eq_c2/2)+2*PI()*(s_0+5*s_r+IF(circ_int,eq_c1/2,0)))/INDEX(lk_legs,6))-(((((((2*IF(circ_int,0,eq_c2/2))+(PI()*(s_0+5*s_r+IF(circ_int,eq_c1/2,0))/2))+2*IF(circ_int,0,eq_c1/2))+(PI()*(s_0+5*s_r+IF(circ_int,eq_c1/2,0))/2))+2*IF(circ_int,0,eq_c2/2))+(PI()*(s_0+5*s_r+IF(circ_int,eq_c1/2,0))/2))+2*IF(circ_int,0,eq_c1/2)))/(s_0+5*s_r+IF(circ_int,eq_c1/2,0)))))))))),NA())</f>
        <v/>
      </c>
      <c r="CG9">
        <f>IF(AND(links_on,7&lt;=n_per),IF(circ_int,(g_ox)+(c_1/2+(s_0+6*s_r))*0.748511,CHOOSE(INDEX(lk_kind,7),(g_ox+eq_c1/2)+((s_0+6*s_r))*0.707107,(eq_a1+eq_c1)+((s_0+6*s_r))*0.608761,(eq_a1+eq_c1)+((s_0+6*s_r))*0.608761,(eq_a1)+((s_0+6*s_r))*-0.793353)),NA())</f>
        <v/>
      </c>
      <c r="CH9">
        <f>IF(AND(links_on,7&lt;=n_per),IF(circ_int,(g_oy)+(c_1/2+(s_0+6*s_r))*0.663123,CHOOSE(INDEX(lk_kind,7),(g_oy+eq_c2/2)+((s_0+6*s_r))*0.707107,(g_oy+eq_c2/2)+((s_0+6*s_r))*0.793353,(eq_a2+eq_c2)+((s_0+6*s_r))*0.793353,(eq_a2+eq_c2)+((s_0+6*s_r))*0.608761)),NA())</f>
        <v/>
      </c>
      <c r="CJ9">
        <f>IF(AND(AND(links_on,7&lt;=n_per),INDEX(lk_kind,7)=1,6&lt;INDEX(lk_legs,7)),g_ox+IF(((6+0.5)*(4*IF(circ_int,0,eq_c1/2)+4*IF(circ_int,0,eq_c2/2)+2*PI()*(s_0+6*s_r+IF(circ_int,eq_c1/2,0)))/INDEX(lk_legs,7))&lt;(2*IF(circ_int,0,eq_c2/2)),IF(circ_int,0,eq_c1/2)+(s_0+6*s_r+IF(circ_int,eq_c1/2,0)),IF(((6+0.5)*(4*IF(circ_int,0,eq_c1/2)+4*IF(circ_int,0,eq_c2/2)+2*PI()*(s_0+6*s_r+IF(circ_int,eq_c1/2,0)))/INDEX(lk_legs,7))&lt;((2*IF(circ_int,0,eq_c2/2))+(PI()*(s_0+6*s_r+IF(circ_int,eq_c1/2,0))/2)),IF(circ_int,0,eq_c1/2)+(s_0+6*s_r+IF(circ_int,eq_c1/2,0))*COS((((6+0.5)*(4*IF(circ_int,0,eq_c1/2)+4*IF(circ_int,0,eq_c2/2)+2*PI()*(s_0+6*s_r+IF(circ_int,eq_c1/2,0)))/INDEX(lk_legs,7))-(2*IF(circ_int,0,eq_c2/2)))/(s_0+6*s_r+IF(circ_int,eq_c1/2,0))),IF(((6+0.5)*(4*IF(circ_int,0,eq_c1/2)+4*IF(circ_int,0,eq_c2/2)+2*PI()*(s_0+6*s_r+IF(circ_int,eq_c1/2,0)))/INDEX(lk_legs,7))&lt;(((2*IF(circ_int,0,eq_c2/2))+(PI()*(s_0+6*s_r+IF(circ_int,eq_c1/2,0))/2))+2*IF(circ_int,0,eq_c1/2)),IF(circ_int,0,eq_c1/2)-(((6+0.5)*(4*IF(circ_int,0,eq_c1/2)+4*IF(circ_int,0,eq_c2/2)+2*PI()*(s_0+6*s_r+IF(circ_int,eq_c1/2,0)))/INDEX(lk_legs,7))-((2*IF(circ_int,0,eq_c2/2))+(PI()*(s_0+6*s_r+IF(circ_int,eq_c1/2,0))/2))),IF(((6+0.5)*(4*IF(circ_int,0,eq_c1/2)+4*IF(circ_int,0,eq_c2/2)+2*PI()*(s_0+6*s_r+IF(circ_int,eq_c1/2,0)))/INDEX(lk_legs,7))&lt;((((2*IF(circ_int,0,eq_c2/2))+(PI()*(s_0+6*s_r+IF(circ_int,eq_c1/2,0))/2))+2*IF(circ_int,0,eq_c1/2))+(PI()*(s_0+6*s_r+IF(circ_int,eq_c1/2,0))/2)),-IF(circ_int,0,eq_c1/2)+(s_0+6*s_r+IF(circ_int,eq_c1/2,0))*COS(PI()/2+(((6+0.5)*(4*IF(circ_int,0,eq_c1/2)+4*IF(circ_int,0,eq_c2/2)+2*PI()*(s_0+6*s_r+IF(circ_int,eq_c1/2,0)))/INDEX(lk_legs,7))-(((2*IF(circ_int,0,eq_c2/2))+(PI()*(s_0+6*s_r+IF(circ_int,eq_c1/2,0))/2))+2*IF(circ_int,0,eq_c1/2)))/(s_0+6*s_r+IF(circ_int,eq_c1/2,0))),IF(((6+0.5)*(4*IF(circ_int,0,eq_c1/2)+4*IF(circ_int,0,eq_c2/2)+2*PI()*(s_0+6*s_r+IF(circ_int,eq_c1/2,0)))/INDEX(lk_legs,7))&lt;(((((2*IF(circ_int,0,eq_c2/2))+(PI()*(s_0+6*s_r+IF(circ_int,eq_c1/2,0))/2))+2*IF(circ_int,0,eq_c1/2))+(PI()*(s_0+6*s_r+IF(circ_int,eq_c1/2,0))/2))+2*IF(circ_int,0,eq_c2/2)),-IF(circ_int,0,eq_c1/2)-(s_0+6*s_r+IF(circ_int,eq_c1/2,0)),IF(((6+0.5)*(4*IF(circ_int,0,eq_c1/2)+4*IF(circ_int,0,eq_c2/2)+2*PI()*(s_0+6*s_r+IF(circ_int,eq_c1/2,0)))/INDEX(lk_legs,7))&lt;((((((2*IF(circ_int,0,eq_c2/2))+(PI()*(s_0+6*s_r+IF(circ_int,eq_c1/2,0))/2))+2*IF(circ_int,0,eq_c1/2))+(PI()*(s_0+6*s_r+IF(circ_int,eq_c1/2,0))/2))+2*IF(circ_int,0,eq_c2/2))+(PI()*(s_0+6*s_r+IF(circ_int,eq_c1/2,0))/2)),-IF(circ_int,0,eq_c1/2)+(s_0+6*s_r+IF(circ_int,eq_c1/2,0))*COS(PI()+(((6+0.5)*(4*IF(circ_int,0,eq_c1/2)+4*IF(circ_int,0,eq_c2/2)+2*PI()*(s_0+6*s_r+IF(circ_int,eq_c1/2,0)))/INDEX(lk_legs,7))-(((((2*IF(circ_int,0,eq_c2/2))+(PI()*(s_0+6*s_r+IF(circ_int,eq_c1/2,0))/2))+2*IF(circ_int,0,eq_c1/2))+(PI()*(s_0+6*s_r+IF(circ_int,eq_c1/2,0))/2))+2*IF(circ_int,0,eq_c2/2)))/(s_0+6*s_r+IF(circ_int,eq_c1/2,0))),IF(((6+0.5)*(4*IF(circ_int,0,eq_c1/2)+4*IF(circ_int,0,eq_c2/2)+2*PI()*(s_0+6*s_r+IF(circ_int,eq_c1/2,0)))/INDEX(lk_legs,7))&lt;(((((((2*IF(circ_int,0,eq_c2/2))+(PI()*(s_0+6*s_r+IF(circ_int,eq_c1/2,0))/2))+2*IF(circ_int,0,eq_c1/2))+(PI()*(s_0+6*s_r+IF(circ_int,eq_c1/2,0))/2))+2*IF(circ_int,0,eq_c2/2))+(PI()*(s_0+6*s_r+IF(circ_int,eq_c1/2,0))/2))+2*IF(circ_int,0,eq_c1/2)),-IF(circ_int,0,eq_c1/2)+(((6+0.5)*(4*IF(circ_int,0,eq_c1/2)+4*IF(circ_int,0,eq_c2/2)+2*PI()*(s_0+6*s_r+IF(circ_int,eq_c1/2,0)))/INDEX(lk_legs,7))-((((((2*IF(circ_int,0,eq_c2/2))+(PI()*(s_0+6*s_r+IF(circ_int,eq_c1/2,0))/2))+2*IF(circ_int,0,eq_c1/2))+(PI()*(s_0+6*s_r+IF(circ_int,eq_c1/2,0))/2))+2*IF(circ_int,0,eq_c2/2))+(PI()*(s_0+6*s_r+IF(circ_int,eq_c1/2,0))/2))),IF(circ_int,0,eq_c1/2)+(s_0+6*s_r+IF(circ_int,eq_c1/2,0))*COS(3*PI()/2+(((6+0.5)*(4*IF(circ_int,0,eq_c1/2)+4*IF(circ_int,0,eq_c2/2)+2*PI()*(s_0+6*s_r+IF(circ_int,eq_c1/2,0)))/INDEX(lk_legs,7))-(((((((2*IF(circ_int,0,eq_c2/2))+(PI()*(s_0+6*s_r+IF(circ_int,eq_c1/2,0))/2))+2*IF(circ_int,0,eq_c1/2))+(PI()*(s_0+6*s_r+IF(circ_int,eq_c1/2,0))/2))+2*IF(circ_int,0,eq_c2/2))+(PI()*(s_0+6*s_r+IF(circ_int,eq_c1/2,0))/2))+2*IF(circ_int,0,eq_c1/2)))/(s_0+6*s_r+IF(circ_int,eq_c1/2,0)))))))))),NA())</f>
        <v/>
      </c>
      <c r="CK9">
        <f>IF(AND(AND(links_on,7&lt;=n_per),INDEX(lk_kind,7)=1,6&lt;INDEX(lk_legs,7)),g_oy+IF(((6+0.5)*(4*IF(circ_int,0,eq_c1/2)+4*IF(circ_int,0,eq_c2/2)+2*PI()*(s_0+6*s_r+IF(circ_int,eq_c1/2,0)))/INDEX(lk_legs,7))&lt;(2*IF(circ_int,0,eq_c2/2)),-IF(circ_int,0,eq_c2/2)+((6+0.5)*(4*IF(circ_int,0,eq_c1/2)+4*IF(circ_int,0,eq_c2/2)+2*PI()*(s_0+6*s_r+IF(circ_int,eq_c1/2,0)))/INDEX(lk_legs,7)),IF(((6+0.5)*(4*IF(circ_int,0,eq_c1/2)+4*IF(circ_int,0,eq_c2/2)+2*PI()*(s_0+6*s_r+IF(circ_int,eq_c1/2,0)))/INDEX(lk_legs,7))&lt;((2*IF(circ_int,0,eq_c2/2))+(PI()*(s_0+6*s_r+IF(circ_int,eq_c1/2,0))/2)),IF(circ_int,0,eq_c2/2)+(s_0+6*s_r+IF(circ_int,eq_c1/2,0))*SIN((((6+0.5)*(4*IF(circ_int,0,eq_c1/2)+4*IF(circ_int,0,eq_c2/2)+2*PI()*(s_0+6*s_r+IF(circ_int,eq_c1/2,0)))/INDEX(lk_legs,7))-(2*IF(circ_int,0,eq_c2/2)))/(s_0+6*s_r+IF(circ_int,eq_c1/2,0))),IF(((6+0.5)*(4*IF(circ_int,0,eq_c1/2)+4*IF(circ_int,0,eq_c2/2)+2*PI()*(s_0+6*s_r+IF(circ_int,eq_c1/2,0)))/INDEX(lk_legs,7))&lt;(((2*IF(circ_int,0,eq_c2/2))+(PI()*(s_0+6*s_r+IF(circ_int,eq_c1/2,0))/2))+2*IF(circ_int,0,eq_c1/2)),IF(circ_int,0,eq_c2/2)+(s_0+6*s_r+IF(circ_int,eq_c1/2,0)),IF(((6+0.5)*(4*IF(circ_int,0,eq_c1/2)+4*IF(circ_int,0,eq_c2/2)+2*PI()*(s_0+6*s_r+IF(circ_int,eq_c1/2,0)))/INDEX(lk_legs,7))&lt;((((2*IF(circ_int,0,eq_c2/2))+(PI()*(s_0+6*s_r+IF(circ_int,eq_c1/2,0))/2))+2*IF(circ_int,0,eq_c1/2))+(PI()*(s_0+6*s_r+IF(circ_int,eq_c1/2,0))/2)),IF(circ_int,0,eq_c2/2)+(s_0+6*s_r+IF(circ_int,eq_c1/2,0))*SIN(PI()/2+(((6+0.5)*(4*IF(circ_int,0,eq_c1/2)+4*IF(circ_int,0,eq_c2/2)+2*PI()*(s_0+6*s_r+IF(circ_int,eq_c1/2,0)))/INDEX(lk_legs,7))-(((2*IF(circ_int,0,eq_c2/2))+(PI()*(s_0+6*s_r+IF(circ_int,eq_c1/2,0))/2))+2*IF(circ_int,0,eq_c1/2)))/(s_0+6*s_r+IF(circ_int,eq_c1/2,0))),IF(((6+0.5)*(4*IF(circ_int,0,eq_c1/2)+4*IF(circ_int,0,eq_c2/2)+2*PI()*(s_0+6*s_r+IF(circ_int,eq_c1/2,0)))/INDEX(lk_legs,7))&lt;(((((2*IF(circ_int,0,eq_c2/2))+(PI()*(s_0+6*s_r+IF(circ_int,eq_c1/2,0))/2))+2*IF(circ_int,0,eq_c1/2))+(PI()*(s_0+6*s_r+IF(circ_int,eq_c1/2,0))/2))+2*IF(circ_int,0,eq_c2/2)),IF(circ_int,0,eq_c2/2)-(((6+0.5)*(4*IF(circ_int,0,eq_c1/2)+4*IF(circ_int,0,eq_c2/2)+2*PI()*(s_0+6*s_r+IF(circ_int,eq_c1/2,0)))/INDEX(lk_legs,7))-((((2*IF(circ_int,0,eq_c2/2))+(PI()*(s_0+6*s_r+IF(circ_int,eq_c1/2,0))/2))+2*IF(circ_int,0,eq_c1/2))+(PI()*(s_0+6*s_r+IF(circ_int,eq_c1/2,0))/2))),IF(((6+0.5)*(4*IF(circ_int,0,eq_c1/2)+4*IF(circ_int,0,eq_c2/2)+2*PI()*(s_0+6*s_r+IF(circ_int,eq_c1/2,0)))/INDEX(lk_legs,7))&lt;((((((2*IF(circ_int,0,eq_c2/2))+(PI()*(s_0+6*s_r+IF(circ_int,eq_c1/2,0))/2))+2*IF(circ_int,0,eq_c1/2))+(PI()*(s_0+6*s_r+IF(circ_int,eq_c1/2,0))/2))+2*IF(circ_int,0,eq_c2/2))+(PI()*(s_0+6*s_r+IF(circ_int,eq_c1/2,0))/2)),-IF(circ_int,0,eq_c2/2)+(s_0+6*s_r+IF(circ_int,eq_c1/2,0))*SIN(PI()+(((6+0.5)*(4*IF(circ_int,0,eq_c1/2)+4*IF(circ_int,0,eq_c2/2)+2*PI()*(s_0+6*s_r+IF(circ_int,eq_c1/2,0)))/INDEX(lk_legs,7))-(((((2*IF(circ_int,0,eq_c2/2))+(PI()*(s_0+6*s_r+IF(circ_int,eq_c1/2,0))/2))+2*IF(circ_int,0,eq_c1/2))+(PI()*(s_0+6*s_r+IF(circ_int,eq_c1/2,0))/2))+2*IF(circ_int,0,eq_c2/2)))/(s_0+6*s_r+IF(circ_int,eq_c1/2,0))),IF(((6+0.5)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(6+0.5)*(4*IF(circ_int,0,eq_c1/2)+4*IF(circ_int,0,eq_c2/2)+2*PI()*(s_0+6*s_r+IF(circ_int,eq_c1/2,0)))/INDEX(lk_legs,7))-(((((((2*IF(circ_int,0,eq_c2/2))+(PI()*(s_0+6*s_r+IF(circ_int,eq_c1/2,0))/2))+2*IF(circ_int,0,eq_c1/2))+(PI()*(s_0+6*s_r+IF(circ_int,eq_c1/2,0))/2))+2*IF(circ_int,0,eq_c2/2))+(PI()*(s_0+6*s_r+IF(circ_int,eq_c1/2,0))/2))+2*IF(circ_int,0,eq_c1/2)))/(s_0+6*s_r+IF(circ_int,eq_c1/2,0)))))))))),NA())</f>
        <v/>
      </c>
      <c r="CM9">
        <f>IF(AND(links_on,8&lt;=n_per),IF(circ_int,(g_ox)+(c_1/2+(s_0+7*s_r))*0.748511,CHOOSE(INDEX(lk_kind,8),(g_ox+eq_c1/2)+((s_0+7*s_r))*0.707107,(eq_a1+eq_c1)+((s_0+7*s_r))*0.608761,(eq_a1+eq_c1)+((s_0+7*s_r))*0.608761,(eq_a1)+((s_0+7*s_r))*-0.793353)),NA())</f>
        <v/>
      </c>
      <c r="CN9">
        <f>IF(AND(links_on,8&lt;=n_per),IF(circ_int,(g_oy)+(c_1/2+(s_0+7*s_r))*0.663123,CHOOSE(INDEX(lk_kind,8),(g_oy+eq_c2/2)+((s_0+7*s_r))*0.707107,(g_oy+eq_c2/2)+((s_0+7*s_r))*0.793353,(eq_a2+eq_c2)+((s_0+7*s_r))*0.793353,(eq_a2+eq_c2)+((s_0+7*s_r))*0.608761)),NA())</f>
        <v/>
      </c>
      <c r="CP9">
        <f>IF(AND(AND(links_on,8&lt;=n_per),INDEX(lk_kind,8)=1,6&lt;INDEX(lk_legs,8)),g_ox+IF(((6+0.5)*(4*IF(circ_int,0,eq_c1/2)+4*IF(circ_int,0,eq_c2/2)+2*PI()*(s_0+7*s_r+IF(circ_int,eq_c1/2,0)))/INDEX(lk_legs,8))&lt;(2*IF(circ_int,0,eq_c2/2)),IF(circ_int,0,eq_c1/2)+(s_0+7*s_r+IF(circ_int,eq_c1/2,0)),IF(((6+0.5)*(4*IF(circ_int,0,eq_c1/2)+4*IF(circ_int,0,eq_c2/2)+2*PI()*(s_0+7*s_r+IF(circ_int,eq_c1/2,0)))/INDEX(lk_legs,8))&lt;((2*IF(circ_int,0,eq_c2/2))+(PI()*(s_0+7*s_r+IF(circ_int,eq_c1/2,0))/2)),IF(circ_int,0,eq_c1/2)+(s_0+7*s_r+IF(circ_int,eq_c1/2,0))*COS((((6+0.5)*(4*IF(circ_int,0,eq_c1/2)+4*IF(circ_int,0,eq_c2/2)+2*PI()*(s_0+7*s_r+IF(circ_int,eq_c1/2,0)))/INDEX(lk_legs,8))-(2*IF(circ_int,0,eq_c2/2)))/(s_0+7*s_r+IF(circ_int,eq_c1/2,0))),IF(((6+0.5)*(4*IF(circ_int,0,eq_c1/2)+4*IF(circ_int,0,eq_c2/2)+2*PI()*(s_0+7*s_r+IF(circ_int,eq_c1/2,0)))/INDEX(lk_legs,8))&lt;(((2*IF(circ_int,0,eq_c2/2))+(PI()*(s_0+7*s_r+IF(circ_int,eq_c1/2,0))/2))+2*IF(circ_int,0,eq_c1/2)),IF(circ_int,0,eq_c1/2)-(((6+0.5)*(4*IF(circ_int,0,eq_c1/2)+4*IF(circ_int,0,eq_c2/2)+2*PI()*(s_0+7*s_r+IF(circ_int,eq_c1/2,0)))/INDEX(lk_legs,8))-((2*IF(circ_int,0,eq_c2/2))+(PI()*(s_0+7*s_r+IF(circ_int,eq_c1/2,0))/2))),IF(((6+0.5)*(4*IF(circ_int,0,eq_c1/2)+4*IF(circ_int,0,eq_c2/2)+2*PI()*(s_0+7*s_r+IF(circ_int,eq_c1/2,0)))/INDEX(lk_legs,8))&lt;((((2*IF(circ_int,0,eq_c2/2))+(PI()*(s_0+7*s_r+IF(circ_int,eq_c1/2,0))/2))+2*IF(circ_int,0,eq_c1/2))+(PI()*(s_0+7*s_r+IF(circ_int,eq_c1/2,0))/2)),-IF(circ_int,0,eq_c1/2)+(s_0+7*s_r+IF(circ_int,eq_c1/2,0))*COS(PI()/2+(((6+0.5)*(4*IF(circ_int,0,eq_c1/2)+4*IF(circ_int,0,eq_c2/2)+2*PI()*(s_0+7*s_r+IF(circ_int,eq_c1/2,0)))/INDEX(lk_legs,8))-(((2*IF(circ_int,0,eq_c2/2))+(PI()*(s_0+7*s_r+IF(circ_int,eq_c1/2,0))/2))+2*IF(circ_int,0,eq_c1/2)))/(s_0+7*s_r+IF(circ_int,eq_c1/2,0))),IF(((6+0.5)*(4*IF(circ_int,0,eq_c1/2)+4*IF(circ_int,0,eq_c2/2)+2*PI()*(s_0+7*s_r+IF(circ_int,eq_c1/2,0)))/INDEX(lk_legs,8))&lt;(((((2*IF(circ_int,0,eq_c2/2))+(PI()*(s_0+7*s_r+IF(circ_int,eq_c1/2,0))/2))+2*IF(circ_int,0,eq_c1/2))+(PI()*(s_0+7*s_r+IF(circ_int,eq_c1/2,0))/2))+2*IF(circ_int,0,eq_c2/2)),-IF(circ_int,0,eq_c1/2)-(s_0+7*s_r+IF(circ_int,eq_c1/2,0)),IF(((6+0.5)*(4*IF(circ_int,0,eq_c1/2)+4*IF(circ_int,0,eq_c2/2)+2*PI()*(s_0+7*s_r+IF(circ_int,eq_c1/2,0)))/INDEX(lk_legs,8))&lt;((((((2*IF(circ_int,0,eq_c2/2))+(PI()*(s_0+7*s_r+IF(circ_int,eq_c1/2,0))/2))+2*IF(circ_int,0,eq_c1/2))+(PI()*(s_0+7*s_r+IF(circ_int,eq_c1/2,0))/2))+2*IF(circ_int,0,eq_c2/2))+(PI()*(s_0+7*s_r+IF(circ_int,eq_c1/2,0))/2)),-IF(circ_int,0,eq_c1/2)+(s_0+7*s_r+IF(circ_int,eq_c1/2,0))*COS(PI()+(((6+0.5)*(4*IF(circ_int,0,eq_c1/2)+4*IF(circ_int,0,eq_c2/2)+2*PI()*(s_0+7*s_r+IF(circ_int,eq_c1/2,0)))/INDEX(lk_legs,8))-(((((2*IF(circ_int,0,eq_c2/2))+(PI()*(s_0+7*s_r+IF(circ_int,eq_c1/2,0))/2))+2*IF(circ_int,0,eq_c1/2))+(PI()*(s_0+7*s_r+IF(circ_int,eq_c1/2,0))/2))+2*IF(circ_int,0,eq_c2/2)))/(s_0+7*s_r+IF(circ_int,eq_c1/2,0))),IF(((6+0.5)*(4*IF(circ_int,0,eq_c1/2)+4*IF(circ_int,0,eq_c2/2)+2*PI()*(s_0+7*s_r+IF(circ_int,eq_c1/2,0)))/INDEX(lk_legs,8))&lt;(((((((2*IF(circ_int,0,eq_c2/2))+(PI()*(s_0+7*s_r+IF(circ_int,eq_c1/2,0))/2))+2*IF(circ_int,0,eq_c1/2))+(PI()*(s_0+7*s_r+IF(circ_int,eq_c1/2,0))/2))+2*IF(circ_int,0,eq_c2/2))+(PI()*(s_0+7*s_r+IF(circ_int,eq_c1/2,0))/2))+2*IF(circ_int,0,eq_c1/2)),-IF(circ_int,0,eq_c1/2)+(((6+0.5)*(4*IF(circ_int,0,eq_c1/2)+4*IF(circ_int,0,eq_c2/2)+2*PI()*(s_0+7*s_r+IF(circ_int,eq_c1/2,0)))/INDEX(lk_legs,8))-((((((2*IF(circ_int,0,eq_c2/2))+(PI()*(s_0+7*s_r+IF(circ_int,eq_c1/2,0))/2))+2*IF(circ_int,0,eq_c1/2))+(PI()*(s_0+7*s_r+IF(circ_int,eq_c1/2,0))/2))+2*IF(circ_int,0,eq_c2/2))+(PI()*(s_0+7*s_r+IF(circ_int,eq_c1/2,0))/2))),IF(circ_int,0,eq_c1/2)+(s_0+7*s_r+IF(circ_int,eq_c1/2,0))*COS(3*PI()/2+(((6+0.5)*(4*IF(circ_int,0,eq_c1/2)+4*IF(circ_int,0,eq_c2/2)+2*PI()*(s_0+7*s_r+IF(circ_int,eq_c1/2,0)))/INDEX(lk_legs,8))-(((((((2*IF(circ_int,0,eq_c2/2))+(PI()*(s_0+7*s_r+IF(circ_int,eq_c1/2,0))/2))+2*IF(circ_int,0,eq_c1/2))+(PI()*(s_0+7*s_r+IF(circ_int,eq_c1/2,0))/2))+2*IF(circ_int,0,eq_c2/2))+(PI()*(s_0+7*s_r+IF(circ_int,eq_c1/2,0))/2))+2*IF(circ_int,0,eq_c1/2)))/(s_0+7*s_r+IF(circ_int,eq_c1/2,0)))))))))),NA())</f>
        <v/>
      </c>
      <c r="CQ9">
        <f>IF(AND(AND(links_on,8&lt;=n_per),INDEX(lk_kind,8)=1,6&lt;INDEX(lk_legs,8)),g_oy+IF(((6+0.5)*(4*IF(circ_int,0,eq_c1/2)+4*IF(circ_int,0,eq_c2/2)+2*PI()*(s_0+7*s_r+IF(circ_int,eq_c1/2,0)))/INDEX(lk_legs,8))&lt;(2*IF(circ_int,0,eq_c2/2)),-IF(circ_int,0,eq_c2/2)+((6+0.5)*(4*IF(circ_int,0,eq_c1/2)+4*IF(circ_int,0,eq_c2/2)+2*PI()*(s_0+7*s_r+IF(circ_int,eq_c1/2,0)))/INDEX(lk_legs,8)),IF(((6+0.5)*(4*IF(circ_int,0,eq_c1/2)+4*IF(circ_int,0,eq_c2/2)+2*PI()*(s_0+7*s_r+IF(circ_int,eq_c1/2,0)))/INDEX(lk_legs,8))&lt;((2*IF(circ_int,0,eq_c2/2))+(PI()*(s_0+7*s_r+IF(circ_int,eq_c1/2,0))/2)),IF(circ_int,0,eq_c2/2)+(s_0+7*s_r+IF(circ_int,eq_c1/2,0))*SIN((((6+0.5)*(4*IF(circ_int,0,eq_c1/2)+4*IF(circ_int,0,eq_c2/2)+2*PI()*(s_0+7*s_r+IF(circ_int,eq_c1/2,0)))/INDEX(lk_legs,8))-(2*IF(circ_int,0,eq_c2/2)))/(s_0+7*s_r+IF(circ_int,eq_c1/2,0))),IF(((6+0.5)*(4*IF(circ_int,0,eq_c1/2)+4*IF(circ_int,0,eq_c2/2)+2*PI()*(s_0+7*s_r+IF(circ_int,eq_c1/2,0)))/INDEX(lk_legs,8))&lt;(((2*IF(circ_int,0,eq_c2/2))+(PI()*(s_0+7*s_r+IF(circ_int,eq_c1/2,0))/2))+2*IF(circ_int,0,eq_c1/2)),IF(circ_int,0,eq_c2/2)+(s_0+7*s_r+IF(circ_int,eq_c1/2,0)),IF(((6+0.5)*(4*IF(circ_int,0,eq_c1/2)+4*IF(circ_int,0,eq_c2/2)+2*PI()*(s_0+7*s_r+IF(circ_int,eq_c1/2,0)))/INDEX(lk_legs,8))&lt;((((2*IF(circ_int,0,eq_c2/2))+(PI()*(s_0+7*s_r+IF(circ_int,eq_c1/2,0))/2))+2*IF(circ_int,0,eq_c1/2))+(PI()*(s_0+7*s_r+IF(circ_int,eq_c1/2,0))/2)),IF(circ_int,0,eq_c2/2)+(s_0+7*s_r+IF(circ_int,eq_c1/2,0))*SIN(PI()/2+(((6+0.5)*(4*IF(circ_int,0,eq_c1/2)+4*IF(circ_int,0,eq_c2/2)+2*PI()*(s_0+7*s_r+IF(circ_int,eq_c1/2,0)))/INDEX(lk_legs,8))-(((2*IF(circ_int,0,eq_c2/2))+(PI()*(s_0+7*s_r+IF(circ_int,eq_c1/2,0))/2))+2*IF(circ_int,0,eq_c1/2)))/(s_0+7*s_r+IF(circ_int,eq_c1/2,0))),IF(((6+0.5)*(4*IF(circ_int,0,eq_c1/2)+4*IF(circ_int,0,eq_c2/2)+2*PI()*(s_0+7*s_r+IF(circ_int,eq_c1/2,0)))/INDEX(lk_legs,8))&lt;(((((2*IF(circ_int,0,eq_c2/2))+(PI()*(s_0+7*s_r+IF(circ_int,eq_c1/2,0))/2))+2*IF(circ_int,0,eq_c1/2))+(PI()*(s_0+7*s_r+IF(circ_int,eq_c1/2,0))/2))+2*IF(circ_int,0,eq_c2/2)),IF(circ_int,0,eq_c2/2)-(((6+0.5)*(4*IF(circ_int,0,eq_c1/2)+4*IF(circ_int,0,eq_c2/2)+2*PI()*(s_0+7*s_r+IF(circ_int,eq_c1/2,0)))/INDEX(lk_legs,8))-((((2*IF(circ_int,0,eq_c2/2))+(PI()*(s_0+7*s_r+IF(circ_int,eq_c1/2,0))/2))+2*IF(circ_int,0,eq_c1/2))+(PI()*(s_0+7*s_r+IF(circ_int,eq_c1/2,0))/2))),IF(((6+0.5)*(4*IF(circ_int,0,eq_c1/2)+4*IF(circ_int,0,eq_c2/2)+2*PI()*(s_0+7*s_r+IF(circ_int,eq_c1/2,0)))/INDEX(lk_legs,8))&lt;((((((2*IF(circ_int,0,eq_c2/2))+(PI()*(s_0+7*s_r+IF(circ_int,eq_c1/2,0))/2))+2*IF(circ_int,0,eq_c1/2))+(PI()*(s_0+7*s_r+IF(circ_int,eq_c1/2,0))/2))+2*IF(circ_int,0,eq_c2/2))+(PI()*(s_0+7*s_r+IF(circ_int,eq_c1/2,0))/2)),-IF(circ_int,0,eq_c2/2)+(s_0+7*s_r+IF(circ_int,eq_c1/2,0))*SIN(PI()+(((6+0.5)*(4*IF(circ_int,0,eq_c1/2)+4*IF(circ_int,0,eq_c2/2)+2*PI()*(s_0+7*s_r+IF(circ_int,eq_c1/2,0)))/INDEX(lk_legs,8))-(((((2*IF(circ_int,0,eq_c2/2))+(PI()*(s_0+7*s_r+IF(circ_int,eq_c1/2,0))/2))+2*IF(circ_int,0,eq_c1/2))+(PI()*(s_0+7*s_r+IF(circ_int,eq_c1/2,0))/2))+2*IF(circ_int,0,eq_c2/2)))/(s_0+7*s_r+IF(circ_int,eq_c1/2,0))),IF(((6+0.5)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(6+0.5)*(4*IF(circ_int,0,eq_c1/2)+4*IF(circ_int,0,eq_c2/2)+2*PI()*(s_0+7*s_r+IF(circ_int,eq_c1/2,0)))/INDEX(lk_legs,8))-(((((((2*IF(circ_int,0,eq_c2/2))+(PI()*(s_0+7*s_r+IF(circ_int,eq_c1/2,0))/2))+2*IF(circ_int,0,eq_c1/2))+(PI()*(s_0+7*s_r+IF(circ_int,eq_c1/2,0))/2))+2*IF(circ_int,0,eq_c2/2))+(PI()*(s_0+7*s_r+IF(circ_int,eq_c1/2,0))/2))+2*IF(circ_int,0,eq_c1/2)))/(s_0+7*s_r+IF(circ_int,eq_c1/2,0)))))))))),NA())</f>
        <v/>
      </c>
      <c r="CS9">
        <f>IF(AND(links_on,9&lt;=n_per),IF(circ_int,(g_ox)+(c_1/2+(s_0+8*s_r))*0.748511,CHOOSE(INDEX(lk_kind,9),(g_ox+eq_c1/2)+((s_0+8*s_r))*0.707107,(eq_a1+eq_c1)+((s_0+8*s_r))*0.608761,(eq_a1+eq_c1)+((s_0+8*s_r))*0.608761,(eq_a1)+((s_0+8*s_r))*-0.793353)),NA())</f>
        <v/>
      </c>
      <c r="CT9">
        <f>IF(AND(links_on,9&lt;=n_per),IF(circ_int,(g_oy)+(c_1/2+(s_0+8*s_r))*0.663123,CHOOSE(INDEX(lk_kind,9),(g_oy+eq_c2/2)+((s_0+8*s_r))*0.707107,(g_oy+eq_c2/2)+((s_0+8*s_r))*0.793353,(eq_a2+eq_c2)+((s_0+8*s_r))*0.793353,(eq_a2+eq_c2)+((s_0+8*s_r))*0.608761)),NA())</f>
        <v/>
      </c>
      <c r="CV9">
        <f>IF(AND(AND(links_on,9&lt;=n_per),INDEX(lk_kind,9)=1,6&lt;INDEX(lk_legs,9)),g_ox+IF(((6+0.5)*(4*IF(circ_int,0,eq_c1/2)+4*IF(circ_int,0,eq_c2/2)+2*PI()*(s_0+8*s_r+IF(circ_int,eq_c1/2,0)))/INDEX(lk_legs,9))&lt;(2*IF(circ_int,0,eq_c2/2)),IF(circ_int,0,eq_c1/2)+(s_0+8*s_r+IF(circ_int,eq_c1/2,0)),IF(((6+0.5)*(4*IF(circ_int,0,eq_c1/2)+4*IF(circ_int,0,eq_c2/2)+2*PI()*(s_0+8*s_r+IF(circ_int,eq_c1/2,0)))/INDEX(lk_legs,9))&lt;((2*IF(circ_int,0,eq_c2/2))+(PI()*(s_0+8*s_r+IF(circ_int,eq_c1/2,0))/2)),IF(circ_int,0,eq_c1/2)+(s_0+8*s_r+IF(circ_int,eq_c1/2,0))*COS((((6+0.5)*(4*IF(circ_int,0,eq_c1/2)+4*IF(circ_int,0,eq_c2/2)+2*PI()*(s_0+8*s_r+IF(circ_int,eq_c1/2,0)))/INDEX(lk_legs,9))-(2*IF(circ_int,0,eq_c2/2)))/(s_0+8*s_r+IF(circ_int,eq_c1/2,0))),IF(((6+0.5)*(4*IF(circ_int,0,eq_c1/2)+4*IF(circ_int,0,eq_c2/2)+2*PI()*(s_0+8*s_r+IF(circ_int,eq_c1/2,0)))/INDEX(lk_legs,9))&lt;(((2*IF(circ_int,0,eq_c2/2))+(PI()*(s_0+8*s_r+IF(circ_int,eq_c1/2,0))/2))+2*IF(circ_int,0,eq_c1/2)),IF(circ_int,0,eq_c1/2)-(((6+0.5)*(4*IF(circ_int,0,eq_c1/2)+4*IF(circ_int,0,eq_c2/2)+2*PI()*(s_0+8*s_r+IF(circ_int,eq_c1/2,0)))/INDEX(lk_legs,9))-((2*IF(circ_int,0,eq_c2/2))+(PI()*(s_0+8*s_r+IF(circ_int,eq_c1/2,0))/2))),IF(((6+0.5)*(4*IF(circ_int,0,eq_c1/2)+4*IF(circ_int,0,eq_c2/2)+2*PI()*(s_0+8*s_r+IF(circ_int,eq_c1/2,0)))/INDEX(lk_legs,9))&lt;((((2*IF(circ_int,0,eq_c2/2))+(PI()*(s_0+8*s_r+IF(circ_int,eq_c1/2,0))/2))+2*IF(circ_int,0,eq_c1/2))+(PI()*(s_0+8*s_r+IF(circ_int,eq_c1/2,0))/2)),-IF(circ_int,0,eq_c1/2)+(s_0+8*s_r+IF(circ_int,eq_c1/2,0))*COS(PI()/2+(((6+0.5)*(4*IF(circ_int,0,eq_c1/2)+4*IF(circ_int,0,eq_c2/2)+2*PI()*(s_0+8*s_r+IF(circ_int,eq_c1/2,0)))/INDEX(lk_legs,9))-(((2*IF(circ_int,0,eq_c2/2))+(PI()*(s_0+8*s_r+IF(circ_int,eq_c1/2,0))/2))+2*IF(circ_int,0,eq_c1/2)))/(s_0+8*s_r+IF(circ_int,eq_c1/2,0))),IF(((6+0.5)*(4*IF(circ_int,0,eq_c1/2)+4*IF(circ_int,0,eq_c2/2)+2*PI()*(s_0+8*s_r+IF(circ_int,eq_c1/2,0)))/INDEX(lk_legs,9))&lt;(((((2*IF(circ_int,0,eq_c2/2))+(PI()*(s_0+8*s_r+IF(circ_int,eq_c1/2,0))/2))+2*IF(circ_int,0,eq_c1/2))+(PI()*(s_0+8*s_r+IF(circ_int,eq_c1/2,0))/2))+2*IF(circ_int,0,eq_c2/2)),-IF(circ_int,0,eq_c1/2)-(s_0+8*s_r+IF(circ_int,eq_c1/2,0)),IF(((6+0.5)*(4*IF(circ_int,0,eq_c1/2)+4*IF(circ_int,0,eq_c2/2)+2*PI()*(s_0+8*s_r+IF(circ_int,eq_c1/2,0)))/INDEX(lk_legs,9))&lt;((((((2*IF(circ_int,0,eq_c2/2))+(PI()*(s_0+8*s_r+IF(circ_int,eq_c1/2,0))/2))+2*IF(circ_int,0,eq_c1/2))+(PI()*(s_0+8*s_r+IF(circ_int,eq_c1/2,0))/2))+2*IF(circ_int,0,eq_c2/2))+(PI()*(s_0+8*s_r+IF(circ_int,eq_c1/2,0))/2)),-IF(circ_int,0,eq_c1/2)+(s_0+8*s_r+IF(circ_int,eq_c1/2,0))*COS(PI()+(((6+0.5)*(4*IF(circ_int,0,eq_c1/2)+4*IF(circ_int,0,eq_c2/2)+2*PI()*(s_0+8*s_r+IF(circ_int,eq_c1/2,0)))/INDEX(lk_legs,9))-(((((2*IF(circ_int,0,eq_c2/2))+(PI()*(s_0+8*s_r+IF(circ_int,eq_c1/2,0))/2))+2*IF(circ_int,0,eq_c1/2))+(PI()*(s_0+8*s_r+IF(circ_int,eq_c1/2,0))/2))+2*IF(circ_int,0,eq_c2/2)))/(s_0+8*s_r+IF(circ_int,eq_c1/2,0))),IF(((6+0.5)*(4*IF(circ_int,0,eq_c1/2)+4*IF(circ_int,0,eq_c2/2)+2*PI()*(s_0+8*s_r+IF(circ_int,eq_c1/2,0)))/INDEX(lk_legs,9))&lt;(((((((2*IF(circ_int,0,eq_c2/2))+(PI()*(s_0+8*s_r+IF(circ_int,eq_c1/2,0))/2))+2*IF(circ_int,0,eq_c1/2))+(PI()*(s_0+8*s_r+IF(circ_int,eq_c1/2,0))/2))+2*IF(circ_int,0,eq_c2/2))+(PI()*(s_0+8*s_r+IF(circ_int,eq_c1/2,0))/2))+2*IF(circ_int,0,eq_c1/2)),-IF(circ_int,0,eq_c1/2)+(((6+0.5)*(4*IF(circ_int,0,eq_c1/2)+4*IF(circ_int,0,eq_c2/2)+2*PI()*(s_0+8*s_r+IF(circ_int,eq_c1/2,0)))/INDEX(lk_legs,9))-((((((2*IF(circ_int,0,eq_c2/2))+(PI()*(s_0+8*s_r+IF(circ_int,eq_c1/2,0))/2))+2*IF(circ_int,0,eq_c1/2))+(PI()*(s_0+8*s_r+IF(circ_int,eq_c1/2,0))/2))+2*IF(circ_int,0,eq_c2/2))+(PI()*(s_0+8*s_r+IF(circ_int,eq_c1/2,0))/2))),IF(circ_int,0,eq_c1/2)+(s_0+8*s_r+IF(circ_int,eq_c1/2,0))*COS(3*PI()/2+(((6+0.5)*(4*IF(circ_int,0,eq_c1/2)+4*IF(circ_int,0,eq_c2/2)+2*PI()*(s_0+8*s_r+IF(circ_int,eq_c1/2,0)))/INDEX(lk_legs,9))-(((((((2*IF(circ_int,0,eq_c2/2))+(PI()*(s_0+8*s_r+IF(circ_int,eq_c1/2,0))/2))+2*IF(circ_int,0,eq_c1/2))+(PI()*(s_0+8*s_r+IF(circ_int,eq_c1/2,0))/2))+2*IF(circ_int,0,eq_c2/2))+(PI()*(s_0+8*s_r+IF(circ_int,eq_c1/2,0))/2))+2*IF(circ_int,0,eq_c1/2)))/(s_0+8*s_r+IF(circ_int,eq_c1/2,0)))))))))),NA())</f>
        <v/>
      </c>
      <c r="CW9">
        <f>IF(AND(AND(links_on,9&lt;=n_per),INDEX(lk_kind,9)=1,6&lt;INDEX(lk_legs,9)),g_oy+IF(((6+0.5)*(4*IF(circ_int,0,eq_c1/2)+4*IF(circ_int,0,eq_c2/2)+2*PI()*(s_0+8*s_r+IF(circ_int,eq_c1/2,0)))/INDEX(lk_legs,9))&lt;(2*IF(circ_int,0,eq_c2/2)),-IF(circ_int,0,eq_c2/2)+((6+0.5)*(4*IF(circ_int,0,eq_c1/2)+4*IF(circ_int,0,eq_c2/2)+2*PI()*(s_0+8*s_r+IF(circ_int,eq_c1/2,0)))/INDEX(lk_legs,9)),IF(((6+0.5)*(4*IF(circ_int,0,eq_c1/2)+4*IF(circ_int,0,eq_c2/2)+2*PI()*(s_0+8*s_r+IF(circ_int,eq_c1/2,0)))/INDEX(lk_legs,9))&lt;((2*IF(circ_int,0,eq_c2/2))+(PI()*(s_0+8*s_r+IF(circ_int,eq_c1/2,0))/2)),IF(circ_int,0,eq_c2/2)+(s_0+8*s_r+IF(circ_int,eq_c1/2,0))*SIN((((6+0.5)*(4*IF(circ_int,0,eq_c1/2)+4*IF(circ_int,0,eq_c2/2)+2*PI()*(s_0+8*s_r+IF(circ_int,eq_c1/2,0)))/INDEX(lk_legs,9))-(2*IF(circ_int,0,eq_c2/2)))/(s_0+8*s_r+IF(circ_int,eq_c1/2,0))),IF(((6+0.5)*(4*IF(circ_int,0,eq_c1/2)+4*IF(circ_int,0,eq_c2/2)+2*PI()*(s_0+8*s_r+IF(circ_int,eq_c1/2,0)))/INDEX(lk_legs,9))&lt;(((2*IF(circ_int,0,eq_c2/2))+(PI()*(s_0+8*s_r+IF(circ_int,eq_c1/2,0))/2))+2*IF(circ_int,0,eq_c1/2)),IF(circ_int,0,eq_c2/2)+(s_0+8*s_r+IF(circ_int,eq_c1/2,0)),IF(((6+0.5)*(4*IF(circ_int,0,eq_c1/2)+4*IF(circ_int,0,eq_c2/2)+2*PI()*(s_0+8*s_r+IF(circ_int,eq_c1/2,0)))/INDEX(lk_legs,9))&lt;((((2*IF(circ_int,0,eq_c2/2))+(PI()*(s_0+8*s_r+IF(circ_int,eq_c1/2,0))/2))+2*IF(circ_int,0,eq_c1/2))+(PI()*(s_0+8*s_r+IF(circ_int,eq_c1/2,0))/2)),IF(circ_int,0,eq_c2/2)+(s_0+8*s_r+IF(circ_int,eq_c1/2,0))*SIN(PI()/2+(((6+0.5)*(4*IF(circ_int,0,eq_c1/2)+4*IF(circ_int,0,eq_c2/2)+2*PI()*(s_0+8*s_r+IF(circ_int,eq_c1/2,0)))/INDEX(lk_legs,9))-(((2*IF(circ_int,0,eq_c2/2))+(PI()*(s_0+8*s_r+IF(circ_int,eq_c1/2,0))/2))+2*IF(circ_int,0,eq_c1/2)))/(s_0+8*s_r+IF(circ_int,eq_c1/2,0))),IF(((6+0.5)*(4*IF(circ_int,0,eq_c1/2)+4*IF(circ_int,0,eq_c2/2)+2*PI()*(s_0+8*s_r+IF(circ_int,eq_c1/2,0)))/INDEX(lk_legs,9))&lt;(((((2*IF(circ_int,0,eq_c2/2))+(PI()*(s_0+8*s_r+IF(circ_int,eq_c1/2,0))/2))+2*IF(circ_int,0,eq_c1/2))+(PI()*(s_0+8*s_r+IF(circ_int,eq_c1/2,0))/2))+2*IF(circ_int,0,eq_c2/2)),IF(circ_int,0,eq_c2/2)-(((6+0.5)*(4*IF(circ_int,0,eq_c1/2)+4*IF(circ_int,0,eq_c2/2)+2*PI()*(s_0+8*s_r+IF(circ_int,eq_c1/2,0)))/INDEX(lk_legs,9))-((((2*IF(circ_int,0,eq_c2/2))+(PI()*(s_0+8*s_r+IF(circ_int,eq_c1/2,0))/2))+2*IF(circ_int,0,eq_c1/2))+(PI()*(s_0+8*s_r+IF(circ_int,eq_c1/2,0))/2))),IF(((6+0.5)*(4*IF(circ_int,0,eq_c1/2)+4*IF(circ_int,0,eq_c2/2)+2*PI()*(s_0+8*s_r+IF(circ_int,eq_c1/2,0)))/INDEX(lk_legs,9))&lt;((((((2*IF(circ_int,0,eq_c2/2))+(PI()*(s_0+8*s_r+IF(circ_int,eq_c1/2,0))/2))+2*IF(circ_int,0,eq_c1/2))+(PI()*(s_0+8*s_r+IF(circ_int,eq_c1/2,0))/2))+2*IF(circ_int,0,eq_c2/2))+(PI()*(s_0+8*s_r+IF(circ_int,eq_c1/2,0))/2)),-IF(circ_int,0,eq_c2/2)+(s_0+8*s_r+IF(circ_int,eq_c1/2,0))*SIN(PI()+(((6+0.5)*(4*IF(circ_int,0,eq_c1/2)+4*IF(circ_int,0,eq_c2/2)+2*PI()*(s_0+8*s_r+IF(circ_int,eq_c1/2,0)))/INDEX(lk_legs,9))-(((((2*IF(circ_int,0,eq_c2/2))+(PI()*(s_0+8*s_r+IF(circ_int,eq_c1/2,0))/2))+2*IF(circ_int,0,eq_c1/2))+(PI()*(s_0+8*s_r+IF(circ_int,eq_c1/2,0))/2))+2*IF(circ_int,0,eq_c2/2)))/(s_0+8*s_r+IF(circ_int,eq_c1/2,0))),IF(((6+0.5)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(6+0.5)*(4*IF(circ_int,0,eq_c1/2)+4*IF(circ_int,0,eq_c2/2)+2*PI()*(s_0+8*s_r+IF(circ_int,eq_c1/2,0)))/INDEX(lk_legs,9))-(((((((2*IF(circ_int,0,eq_c2/2))+(PI()*(s_0+8*s_r+IF(circ_int,eq_c1/2,0))/2))+2*IF(circ_int,0,eq_c1/2))+(PI()*(s_0+8*s_r+IF(circ_int,eq_c1/2,0))/2))+2*IF(circ_int,0,eq_c2/2))+(PI()*(s_0+8*s_r+IF(circ_int,eq_c1/2,0))/2))+2*IF(circ_int,0,eq_c1/2)))/(s_0+8*s_r+IF(circ_int,eq_c1/2,0)))))))))),NA())</f>
        <v/>
      </c>
      <c r="CY9">
        <f>IF(AND(links_on,10&lt;=n_per),IF(circ_int,(g_ox)+(c_1/2+(s_0+9*s_r))*0.748511,CHOOSE(INDEX(lk_kind,10),(g_ox+eq_c1/2)+((s_0+9*s_r))*0.707107,(eq_a1+eq_c1)+((s_0+9*s_r))*0.608761,(eq_a1+eq_c1)+((s_0+9*s_r))*0.608761,(eq_a1)+((s_0+9*s_r))*-0.793353)),NA())</f>
        <v/>
      </c>
      <c r="CZ9">
        <f>IF(AND(links_on,10&lt;=n_per),IF(circ_int,(g_oy)+(c_1/2+(s_0+9*s_r))*0.663123,CHOOSE(INDEX(lk_kind,10),(g_oy+eq_c2/2)+((s_0+9*s_r))*0.707107,(g_oy+eq_c2/2)+((s_0+9*s_r))*0.793353,(eq_a2+eq_c2)+((s_0+9*s_r))*0.793353,(eq_a2+eq_c2)+((s_0+9*s_r))*0.608761)),NA())</f>
        <v/>
      </c>
      <c r="DB9">
        <f>IF(AND(AND(links_on,10&lt;=n_per),INDEX(lk_kind,10)=1,6&lt;INDEX(lk_legs,10)),g_ox+IF(((6+0.5)*(4*IF(circ_int,0,eq_c1/2)+4*IF(circ_int,0,eq_c2/2)+2*PI()*(s_0+9*s_r+IF(circ_int,eq_c1/2,0)))/INDEX(lk_legs,10))&lt;(2*IF(circ_int,0,eq_c2/2)),IF(circ_int,0,eq_c1/2)+(s_0+9*s_r+IF(circ_int,eq_c1/2,0)),IF(((6+0.5)*(4*IF(circ_int,0,eq_c1/2)+4*IF(circ_int,0,eq_c2/2)+2*PI()*(s_0+9*s_r+IF(circ_int,eq_c1/2,0)))/INDEX(lk_legs,10))&lt;((2*IF(circ_int,0,eq_c2/2))+(PI()*(s_0+9*s_r+IF(circ_int,eq_c1/2,0))/2)),IF(circ_int,0,eq_c1/2)+(s_0+9*s_r+IF(circ_int,eq_c1/2,0))*COS((((6+0.5)*(4*IF(circ_int,0,eq_c1/2)+4*IF(circ_int,0,eq_c2/2)+2*PI()*(s_0+9*s_r+IF(circ_int,eq_c1/2,0)))/INDEX(lk_legs,10))-(2*IF(circ_int,0,eq_c2/2)))/(s_0+9*s_r+IF(circ_int,eq_c1/2,0))),IF(((6+0.5)*(4*IF(circ_int,0,eq_c1/2)+4*IF(circ_int,0,eq_c2/2)+2*PI()*(s_0+9*s_r+IF(circ_int,eq_c1/2,0)))/INDEX(lk_legs,10))&lt;(((2*IF(circ_int,0,eq_c2/2))+(PI()*(s_0+9*s_r+IF(circ_int,eq_c1/2,0))/2))+2*IF(circ_int,0,eq_c1/2)),IF(circ_int,0,eq_c1/2)-(((6+0.5)*(4*IF(circ_int,0,eq_c1/2)+4*IF(circ_int,0,eq_c2/2)+2*PI()*(s_0+9*s_r+IF(circ_int,eq_c1/2,0)))/INDEX(lk_legs,10))-((2*IF(circ_int,0,eq_c2/2))+(PI()*(s_0+9*s_r+IF(circ_int,eq_c1/2,0))/2))),IF(((6+0.5)*(4*IF(circ_int,0,eq_c1/2)+4*IF(circ_int,0,eq_c2/2)+2*PI()*(s_0+9*s_r+IF(circ_int,eq_c1/2,0)))/INDEX(lk_legs,10))&lt;((((2*IF(circ_int,0,eq_c2/2))+(PI()*(s_0+9*s_r+IF(circ_int,eq_c1/2,0))/2))+2*IF(circ_int,0,eq_c1/2))+(PI()*(s_0+9*s_r+IF(circ_int,eq_c1/2,0))/2)),-IF(circ_int,0,eq_c1/2)+(s_0+9*s_r+IF(circ_int,eq_c1/2,0))*COS(PI()/2+(((6+0.5)*(4*IF(circ_int,0,eq_c1/2)+4*IF(circ_int,0,eq_c2/2)+2*PI()*(s_0+9*s_r+IF(circ_int,eq_c1/2,0)))/INDEX(lk_legs,10))-(((2*IF(circ_int,0,eq_c2/2))+(PI()*(s_0+9*s_r+IF(circ_int,eq_c1/2,0))/2))+2*IF(circ_int,0,eq_c1/2)))/(s_0+9*s_r+IF(circ_int,eq_c1/2,0))),IF(((6+0.5)*(4*IF(circ_int,0,eq_c1/2)+4*IF(circ_int,0,eq_c2/2)+2*PI()*(s_0+9*s_r+IF(circ_int,eq_c1/2,0)))/INDEX(lk_legs,10))&lt;(((((2*IF(circ_int,0,eq_c2/2))+(PI()*(s_0+9*s_r+IF(circ_int,eq_c1/2,0))/2))+2*IF(circ_int,0,eq_c1/2))+(PI()*(s_0+9*s_r+IF(circ_int,eq_c1/2,0))/2))+2*IF(circ_int,0,eq_c2/2)),-IF(circ_int,0,eq_c1/2)-(s_0+9*s_r+IF(circ_int,eq_c1/2,0)),IF(((6+0.5)*(4*IF(circ_int,0,eq_c1/2)+4*IF(circ_int,0,eq_c2/2)+2*PI()*(s_0+9*s_r+IF(circ_int,eq_c1/2,0)))/INDEX(lk_legs,10))&lt;((((((2*IF(circ_int,0,eq_c2/2))+(PI()*(s_0+9*s_r+IF(circ_int,eq_c1/2,0))/2))+2*IF(circ_int,0,eq_c1/2))+(PI()*(s_0+9*s_r+IF(circ_int,eq_c1/2,0))/2))+2*IF(circ_int,0,eq_c2/2))+(PI()*(s_0+9*s_r+IF(circ_int,eq_c1/2,0))/2)),-IF(circ_int,0,eq_c1/2)+(s_0+9*s_r+IF(circ_int,eq_c1/2,0))*COS(PI()+(((6+0.5)*(4*IF(circ_int,0,eq_c1/2)+4*IF(circ_int,0,eq_c2/2)+2*PI()*(s_0+9*s_r+IF(circ_int,eq_c1/2,0)))/INDEX(lk_legs,10))-(((((2*IF(circ_int,0,eq_c2/2))+(PI()*(s_0+9*s_r+IF(circ_int,eq_c1/2,0))/2))+2*IF(circ_int,0,eq_c1/2))+(PI()*(s_0+9*s_r+IF(circ_int,eq_c1/2,0))/2))+2*IF(circ_int,0,eq_c2/2)))/(s_0+9*s_r+IF(circ_int,eq_c1/2,0))),IF(((6+0.5)*(4*IF(circ_int,0,eq_c1/2)+4*IF(circ_int,0,eq_c2/2)+2*PI()*(s_0+9*s_r+IF(circ_int,eq_c1/2,0)))/INDEX(lk_legs,10))&lt;(((((((2*IF(circ_int,0,eq_c2/2))+(PI()*(s_0+9*s_r+IF(circ_int,eq_c1/2,0))/2))+2*IF(circ_int,0,eq_c1/2))+(PI()*(s_0+9*s_r+IF(circ_int,eq_c1/2,0))/2))+2*IF(circ_int,0,eq_c2/2))+(PI()*(s_0+9*s_r+IF(circ_int,eq_c1/2,0))/2))+2*IF(circ_int,0,eq_c1/2)),-IF(circ_int,0,eq_c1/2)+(((6+0.5)*(4*IF(circ_int,0,eq_c1/2)+4*IF(circ_int,0,eq_c2/2)+2*PI()*(s_0+9*s_r+IF(circ_int,eq_c1/2,0)))/INDEX(lk_legs,10))-((((((2*IF(circ_int,0,eq_c2/2))+(PI()*(s_0+9*s_r+IF(circ_int,eq_c1/2,0))/2))+2*IF(circ_int,0,eq_c1/2))+(PI()*(s_0+9*s_r+IF(circ_int,eq_c1/2,0))/2))+2*IF(circ_int,0,eq_c2/2))+(PI()*(s_0+9*s_r+IF(circ_int,eq_c1/2,0))/2))),IF(circ_int,0,eq_c1/2)+(s_0+9*s_r+IF(circ_int,eq_c1/2,0))*COS(3*PI()/2+(((6+0.5)*(4*IF(circ_int,0,eq_c1/2)+4*IF(circ_int,0,eq_c2/2)+2*PI()*(s_0+9*s_r+IF(circ_int,eq_c1/2,0)))/INDEX(lk_legs,10))-(((((((2*IF(circ_int,0,eq_c2/2))+(PI()*(s_0+9*s_r+IF(circ_int,eq_c1/2,0))/2))+2*IF(circ_int,0,eq_c1/2))+(PI()*(s_0+9*s_r+IF(circ_int,eq_c1/2,0))/2))+2*IF(circ_int,0,eq_c2/2))+(PI()*(s_0+9*s_r+IF(circ_int,eq_c1/2,0))/2))+2*IF(circ_int,0,eq_c1/2)))/(s_0+9*s_r+IF(circ_int,eq_c1/2,0)))))))))),NA())</f>
        <v/>
      </c>
      <c r="DC9">
        <f>IF(AND(AND(links_on,10&lt;=n_per),INDEX(lk_kind,10)=1,6&lt;INDEX(lk_legs,10)),g_oy+IF(((6+0.5)*(4*IF(circ_int,0,eq_c1/2)+4*IF(circ_int,0,eq_c2/2)+2*PI()*(s_0+9*s_r+IF(circ_int,eq_c1/2,0)))/INDEX(lk_legs,10))&lt;(2*IF(circ_int,0,eq_c2/2)),-IF(circ_int,0,eq_c2/2)+((6+0.5)*(4*IF(circ_int,0,eq_c1/2)+4*IF(circ_int,0,eq_c2/2)+2*PI()*(s_0+9*s_r+IF(circ_int,eq_c1/2,0)))/INDEX(lk_legs,10)),IF(((6+0.5)*(4*IF(circ_int,0,eq_c1/2)+4*IF(circ_int,0,eq_c2/2)+2*PI()*(s_0+9*s_r+IF(circ_int,eq_c1/2,0)))/INDEX(lk_legs,10))&lt;((2*IF(circ_int,0,eq_c2/2))+(PI()*(s_0+9*s_r+IF(circ_int,eq_c1/2,0))/2)),IF(circ_int,0,eq_c2/2)+(s_0+9*s_r+IF(circ_int,eq_c1/2,0))*SIN((((6+0.5)*(4*IF(circ_int,0,eq_c1/2)+4*IF(circ_int,0,eq_c2/2)+2*PI()*(s_0+9*s_r+IF(circ_int,eq_c1/2,0)))/INDEX(lk_legs,10))-(2*IF(circ_int,0,eq_c2/2)))/(s_0+9*s_r+IF(circ_int,eq_c1/2,0))),IF(((6+0.5)*(4*IF(circ_int,0,eq_c1/2)+4*IF(circ_int,0,eq_c2/2)+2*PI()*(s_0+9*s_r+IF(circ_int,eq_c1/2,0)))/INDEX(lk_legs,10))&lt;(((2*IF(circ_int,0,eq_c2/2))+(PI()*(s_0+9*s_r+IF(circ_int,eq_c1/2,0))/2))+2*IF(circ_int,0,eq_c1/2)),IF(circ_int,0,eq_c2/2)+(s_0+9*s_r+IF(circ_int,eq_c1/2,0)),IF(((6+0.5)*(4*IF(circ_int,0,eq_c1/2)+4*IF(circ_int,0,eq_c2/2)+2*PI()*(s_0+9*s_r+IF(circ_int,eq_c1/2,0)))/INDEX(lk_legs,10))&lt;((((2*IF(circ_int,0,eq_c2/2))+(PI()*(s_0+9*s_r+IF(circ_int,eq_c1/2,0))/2))+2*IF(circ_int,0,eq_c1/2))+(PI()*(s_0+9*s_r+IF(circ_int,eq_c1/2,0))/2)),IF(circ_int,0,eq_c2/2)+(s_0+9*s_r+IF(circ_int,eq_c1/2,0))*SIN(PI()/2+(((6+0.5)*(4*IF(circ_int,0,eq_c1/2)+4*IF(circ_int,0,eq_c2/2)+2*PI()*(s_0+9*s_r+IF(circ_int,eq_c1/2,0)))/INDEX(lk_legs,10))-(((2*IF(circ_int,0,eq_c2/2))+(PI()*(s_0+9*s_r+IF(circ_int,eq_c1/2,0))/2))+2*IF(circ_int,0,eq_c1/2)))/(s_0+9*s_r+IF(circ_int,eq_c1/2,0))),IF(((6+0.5)*(4*IF(circ_int,0,eq_c1/2)+4*IF(circ_int,0,eq_c2/2)+2*PI()*(s_0+9*s_r+IF(circ_int,eq_c1/2,0)))/INDEX(lk_legs,10))&lt;(((((2*IF(circ_int,0,eq_c2/2))+(PI()*(s_0+9*s_r+IF(circ_int,eq_c1/2,0))/2))+2*IF(circ_int,0,eq_c1/2))+(PI()*(s_0+9*s_r+IF(circ_int,eq_c1/2,0))/2))+2*IF(circ_int,0,eq_c2/2)),IF(circ_int,0,eq_c2/2)-(((6+0.5)*(4*IF(circ_int,0,eq_c1/2)+4*IF(circ_int,0,eq_c2/2)+2*PI()*(s_0+9*s_r+IF(circ_int,eq_c1/2,0)))/INDEX(lk_legs,10))-((((2*IF(circ_int,0,eq_c2/2))+(PI()*(s_0+9*s_r+IF(circ_int,eq_c1/2,0))/2))+2*IF(circ_int,0,eq_c1/2))+(PI()*(s_0+9*s_r+IF(circ_int,eq_c1/2,0))/2))),IF(((6+0.5)*(4*IF(circ_int,0,eq_c1/2)+4*IF(circ_int,0,eq_c2/2)+2*PI()*(s_0+9*s_r+IF(circ_int,eq_c1/2,0)))/INDEX(lk_legs,10))&lt;((((((2*IF(circ_int,0,eq_c2/2))+(PI()*(s_0+9*s_r+IF(circ_int,eq_c1/2,0))/2))+2*IF(circ_int,0,eq_c1/2))+(PI()*(s_0+9*s_r+IF(circ_int,eq_c1/2,0))/2))+2*IF(circ_int,0,eq_c2/2))+(PI()*(s_0+9*s_r+IF(circ_int,eq_c1/2,0))/2)),-IF(circ_int,0,eq_c2/2)+(s_0+9*s_r+IF(circ_int,eq_c1/2,0))*SIN(PI()+(((6+0.5)*(4*IF(circ_int,0,eq_c1/2)+4*IF(circ_int,0,eq_c2/2)+2*PI()*(s_0+9*s_r+IF(circ_int,eq_c1/2,0)))/INDEX(lk_legs,10))-(((((2*IF(circ_int,0,eq_c2/2))+(PI()*(s_0+9*s_r+IF(circ_int,eq_c1/2,0))/2))+2*IF(circ_int,0,eq_c1/2))+(PI()*(s_0+9*s_r+IF(circ_int,eq_c1/2,0))/2))+2*IF(circ_int,0,eq_c2/2)))/(s_0+9*s_r+IF(circ_int,eq_c1/2,0))),IF(((6+0.5)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(6+0.5)*(4*IF(circ_int,0,eq_c1/2)+4*IF(circ_int,0,eq_c2/2)+2*PI()*(s_0+9*s_r+IF(circ_int,eq_c1/2,0)))/INDEX(lk_legs,10))-(((((((2*IF(circ_int,0,eq_c2/2))+(PI()*(s_0+9*s_r+IF(circ_int,eq_c1/2,0))/2))+2*IF(circ_int,0,eq_c1/2))+(PI()*(s_0+9*s_r+IF(circ_int,eq_c1/2,0))/2))+2*IF(circ_int,0,eq_c2/2))+(PI()*(s_0+9*s_r+IF(circ_int,eq_c1/2,0))/2))+2*IF(circ_int,0,eq_c1/2)))/(s_0+9*s_r+IF(circ_int,eq_c1/2,0)))))))))),NA())</f>
        <v/>
      </c>
      <c r="DE9">
        <f>IF(AND(links_on,11&lt;=n_per),IF(circ_int,(g_ox)+(c_1/2+(s_0+10*s_r))*0.748511,CHOOSE(INDEX(lk_kind,11),(g_ox+eq_c1/2)+((s_0+10*s_r))*0.707107,(eq_a1+eq_c1)+((s_0+10*s_r))*0.608761,(eq_a1+eq_c1)+((s_0+10*s_r))*0.608761,(eq_a1)+((s_0+10*s_r))*-0.793353)),NA())</f>
        <v/>
      </c>
      <c r="DF9">
        <f>IF(AND(links_on,11&lt;=n_per),IF(circ_int,(g_oy)+(c_1/2+(s_0+10*s_r))*0.663123,CHOOSE(INDEX(lk_kind,11),(g_oy+eq_c2/2)+((s_0+10*s_r))*0.707107,(g_oy+eq_c2/2)+((s_0+10*s_r))*0.793353,(eq_a2+eq_c2)+((s_0+10*s_r))*0.793353,(eq_a2+eq_c2)+((s_0+10*s_r))*0.608761)),NA())</f>
        <v/>
      </c>
      <c r="DH9">
        <f>IF(AND(AND(links_on,11&lt;=n_per),INDEX(lk_kind,11)=1,6&lt;INDEX(lk_legs,11)),g_ox+IF(((6+0.5)*(4*IF(circ_int,0,eq_c1/2)+4*IF(circ_int,0,eq_c2/2)+2*PI()*(s_0+10*s_r+IF(circ_int,eq_c1/2,0)))/INDEX(lk_legs,11))&lt;(2*IF(circ_int,0,eq_c2/2)),IF(circ_int,0,eq_c1/2)+(s_0+10*s_r+IF(circ_int,eq_c1/2,0)),IF(((6+0.5)*(4*IF(circ_int,0,eq_c1/2)+4*IF(circ_int,0,eq_c2/2)+2*PI()*(s_0+10*s_r+IF(circ_int,eq_c1/2,0)))/INDEX(lk_legs,11))&lt;((2*IF(circ_int,0,eq_c2/2))+(PI()*(s_0+10*s_r+IF(circ_int,eq_c1/2,0))/2)),IF(circ_int,0,eq_c1/2)+(s_0+10*s_r+IF(circ_int,eq_c1/2,0))*COS((((6+0.5)*(4*IF(circ_int,0,eq_c1/2)+4*IF(circ_int,0,eq_c2/2)+2*PI()*(s_0+10*s_r+IF(circ_int,eq_c1/2,0)))/INDEX(lk_legs,11))-(2*IF(circ_int,0,eq_c2/2)))/(s_0+10*s_r+IF(circ_int,eq_c1/2,0))),IF(((6+0.5)*(4*IF(circ_int,0,eq_c1/2)+4*IF(circ_int,0,eq_c2/2)+2*PI()*(s_0+10*s_r+IF(circ_int,eq_c1/2,0)))/INDEX(lk_legs,11))&lt;(((2*IF(circ_int,0,eq_c2/2))+(PI()*(s_0+10*s_r+IF(circ_int,eq_c1/2,0))/2))+2*IF(circ_int,0,eq_c1/2)),IF(circ_int,0,eq_c1/2)-(((6+0.5)*(4*IF(circ_int,0,eq_c1/2)+4*IF(circ_int,0,eq_c2/2)+2*PI()*(s_0+10*s_r+IF(circ_int,eq_c1/2,0)))/INDEX(lk_legs,11))-((2*IF(circ_int,0,eq_c2/2))+(PI()*(s_0+10*s_r+IF(circ_int,eq_c1/2,0))/2))),IF(((6+0.5)*(4*IF(circ_int,0,eq_c1/2)+4*IF(circ_int,0,eq_c2/2)+2*PI()*(s_0+10*s_r+IF(circ_int,eq_c1/2,0)))/INDEX(lk_legs,11))&lt;((((2*IF(circ_int,0,eq_c2/2))+(PI()*(s_0+10*s_r+IF(circ_int,eq_c1/2,0))/2))+2*IF(circ_int,0,eq_c1/2))+(PI()*(s_0+10*s_r+IF(circ_int,eq_c1/2,0))/2)),-IF(circ_int,0,eq_c1/2)+(s_0+10*s_r+IF(circ_int,eq_c1/2,0))*COS(PI()/2+(((6+0.5)*(4*IF(circ_int,0,eq_c1/2)+4*IF(circ_int,0,eq_c2/2)+2*PI()*(s_0+10*s_r+IF(circ_int,eq_c1/2,0)))/INDEX(lk_legs,11))-(((2*IF(circ_int,0,eq_c2/2))+(PI()*(s_0+10*s_r+IF(circ_int,eq_c1/2,0))/2))+2*IF(circ_int,0,eq_c1/2)))/(s_0+10*s_r+IF(circ_int,eq_c1/2,0))),IF(((6+0.5)*(4*IF(circ_int,0,eq_c1/2)+4*IF(circ_int,0,eq_c2/2)+2*PI()*(s_0+10*s_r+IF(circ_int,eq_c1/2,0)))/INDEX(lk_legs,11))&lt;(((((2*IF(circ_int,0,eq_c2/2))+(PI()*(s_0+10*s_r+IF(circ_int,eq_c1/2,0))/2))+2*IF(circ_int,0,eq_c1/2))+(PI()*(s_0+10*s_r+IF(circ_int,eq_c1/2,0))/2))+2*IF(circ_int,0,eq_c2/2)),-IF(circ_int,0,eq_c1/2)-(s_0+10*s_r+IF(circ_int,eq_c1/2,0)),IF(((6+0.5)*(4*IF(circ_int,0,eq_c1/2)+4*IF(circ_int,0,eq_c2/2)+2*PI()*(s_0+10*s_r+IF(circ_int,eq_c1/2,0)))/INDEX(lk_legs,11))&lt;((((((2*IF(circ_int,0,eq_c2/2))+(PI()*(s_0+10*s_r+IF(circ_int,eq_c1/2,0))/2))+2*IF(circ_int,0,eq_c1/2))+(PI()*(s_0+10*s_r+IF(circ_int,eq_c1/2,0))/2))+2*IF(circ_int,0,eq_c2/2))+(PI()*(s_0+10*s_r+IF(circ_int,eq_c1/2,0))/2)),-IF(circ_int,0,eq_c1/2)+(s_0+10*s_r+IF(circ_int,eq_c1/2,0))*COS(PI()+(((6+0.5)*(4*IF(circ_int,0,eq_c1/2)+4*IF(circ_int,0,eq_c2/2)+2*PI()*(s_0+10*s_r+IF(circ_int,eq_c1/2,0)))/INDEX(lk_legs,11))-(((((2*IF(circ_int,0,eq_c2/2))+(PI()*(s_0+10*s_r+IF(circ_int,eq_c1/2,0))/2))+2*IF(circ_int,0,eq_c1/2))+(PI()*(s_0+10*s_r+IF(circ_int,eq_c1/2,0))/2))+2*IF(circ_int,0,eq_c2/2)))/(s_0+10*s_r+IF(circ_int,eq_c1/2,0))),IF(((6+0.5)*(4*IF(circ_int,0,eq_c1/2)+4*IF(circ_int,0,eq_c2/2)+2*PI()*(s_0+10*s_r+IF(circ_int,eq_c1/2,0)))/INDEX(lk_legs,11))&lt;(((((((2*IF(circ_int,0,eq_c2/2))+(PI()*(s_0+10*s_r+IF(circ_int,eq_c1/2,0))/2))+2*IF(circ_int,0,eq_c1/2))+(PI()*(s_0+10*s_r+IF(circ_int,eq_c1/2,0))/2))+2*IF(circ_int,0,eq_c2/2))+(PI()*(s_0+10*s_r+IF(circ_int,eq_c1/2,0))/2))+2*IF(circ_int,0,eq_c1/2)),-IF(circ_int,0,eq_c1/2)+(((6+0.5)*(4*IF(circ_int,0,eq_c1/2)+4*IF(circ_int,0,eq_c2/2)+2*PI()*(s_0+10*s_r+IF(circ_int,eq_c1/2,0)))/INDEX(lk_legs,11))-((((((2*IF(circ_int,0,eq_c2/2))+(PI()*(s_0+10*s_r+IF(circ_int,eq_c1/2,0))/2))+2*IF(circ_int,0,eq_c1/2))+(PI()*(s_0+10*s_r+IF(circ_int,eq_c1/2,0))/2))+2*IF(circ_int,0,eq_c2/2))+(PI()*(s_0+10*s_r+IF(circ_int,eq_c1/2,0))/2))),IF(circ_int,0,eq_c1/2)+(s_0+10*s_r+IF(circ_int,eq_c1/2,0))*COS(3*PI()/2+(((6+0.5)*(4*IF(circ_int,0,eq_c1/2)+4*IF(circ_int,0,eq_c2/2)+2*PI()*(s_0+10*s_r+IF(circ_int,eq_c1/2,0)))/INDEX(lk_legs,11))-(((((((2*IF(circ_int,0,eq_c2/2))+(PI()*(s_0+10*s_r+IF(circ_int,eq_c1/2,0))/2))+2*IF(circ_int,0,eq_c1/2))+(PI()*(s_0+10*s_r+IF(circ_int,eq_c1/2,0))/2))+2*IF(circ_int,0,eq_c2/2))+(PI()*(s_0+10*s_r+IF(circ_int,eq_c1/2,0))/2))+2*IF(circ_int,0,eq_c1/2)))/(s_0+10*s_r+IF(circ_int,eq_c1/2,0)))))))))),NA())</f>
        <v/>
      </c>
      <c r="DI9">
        <f>IF(AND(AND(links_on,11&lt;=n_per),INDEX(lk_kind,11)=1,6&lt;INDEX(lk_legs,11)),g_oy+IF(((6+0.5)*(4*IF(circ_int,0,eq_c1/2)+4*IF(circ_int,0,eq_c2/2)+2*PI()*(s_0+10*s_r+IF(circ_int,eq_c1/2,0)))/INDEX(lk_legs,11))&lt;(2*IF(circ_int,0,eq_c2/2)),-IF(circ_int,0,eq_c2/2)+((6+0.5)*(4*IF(circ_int,0,eq_c1/2)+4*IF(circ_int,0,eq_c2/2)+2*PI()*(s_0+10*s_r+IF(circ_int,eq_c1/2,0)))/INDEX(lk_legs,11)),IF(((6+0.5)*(4*IF(circ_int,0,eq_c1/2)+4*IF(circ_int,0,eq_c2/2)+2*PI()*(s_0+10*s_r+IF(circ_int,eq_c1/2,0)))/INDEX(lk_legs,11))&lt;((2*IF(circ_int,0,eq_c2/2))+(PI()*(s_0+10*s_r+IF(circ_int,eq_c1/2,0))/2)),IF(circ_int,0,eq_c2/2)+(s_0+10*s_r+IF(circ_int,eq_c1/2,0))*SIN((((6+0.5)*(4*IF(circ_int,0,eq_c1/2)+4*IF(circ_int,0,eq_c2/2)+2*PI()*(s_0+10*s_r+IF(circ_int,eq_c1/2,0)))/INDEX(lk_legs,11))-(2*IF(circ_int,0,eq_c2/2)))/(s_0+10*s_r+IF(circ_int,eq_c1/2,0))),IF(((6+0.5)*(4*IF(circ_int,0,eq_c1/2)+4*IF(circ_int,0,eq_c2/2)+2*PI()*(s_0+10*s_r+IF(circ_int,eq_c1/2,0)))/INDEX(lk_legs,11))&lt;(((2*IF(circ_int,0,eq_c2/2))+(PI()*(s_0+10*s_r+IF(circ_int,eq_c1/2,0))/2))+2*IF(circ_int,0,eq_c1/2)),IF(circ_int,0,eq_c2/2)+(s_0+10*s_r+IF(circ_int,eq_c1/2,0)),IF(((6+0.5)*(4*IF(circ_int,0,eq_c1/2)+4*IF(circ_int,0,eq_c2/2)+2*PI()*(s_0+10*s_r+IF(circ_int,eq_c1/2,0)))/INDEX(lk_legs,11))&lt;((((2*IF(circ_int,0,eq_c2/2))+(PI()*(s_0+10*s_r+IF(circ_int,eq_c1/2,0))/2))+2*IF(circ_int,0,eq_c1/2))+(PI()*(s_0+10*s_r+IF(circ_int,eq_c1/2,0))/2)),IF(circ_int,0,eq_c2/2)+(s_0+10*s_r+IF(circ_int,eq_c1/2,0))*SIN(PI()/2+(((6+0.5)*(4*IF(circ_int,0,eq_c1/2)+4*IF(circ_int,0,eq_c2/2)+2*PI()*(s_0+10*s_r+IF(circ_int,eq_c1/2,0)))/INDEX(lk_legs,11))-(((2*IF(circ_int,0,eq_c2/2))+(PI()*(s_0+10*s_r+IF(circ_int,eq_c1/2,0))/2))+2*IF(circ_int,0,eq_c1/2)))/(s_0+10*s_r+IF(circ_int,eq_c1/2,0))),IF(((6+0.5)*(4*IF(circ_int,0,eq_c1/2)+4*IF(circ_int,0,eq_c2/2)+2*PI()*(s_0+10*s_r+IF(circ_int,eq_c1/2,0)))/INDEX(lk_legs,11))&lt;(((((2*IF(circ_int,0,eq_c2/2))+(PI()*(s_0+10*s_r+IF(circ_int,eq_c1/2,0))/2))+2*IF(circ_int,0,eq_c1/2))+(PI()*(s_0+10*s_r+IF(circ_int,eq_c1/2,0))/2))+2*IF(circ_int,0,eq_c2/2)),IF(circ_int,0,eq_c2/2)-(((6+0.5)*(4*IF(circ_int,0,eq_c1/2)+4*IF(circ_int,0,eq_c2/2)+2*PI()*(s_0+10*s_r+IF(circ_int,eq_c1/2,0)))/INDEX(lk_legs,11))-((((2*IF(circ_int,0,eq_c2/2))+(PI()*(s_0+10*s_r+IF(circ_int,eq_c1/2,0))/2))+2*IF(circ_int,0,eq_c1/2))+(PI()*(s_0+10*s_r+IF(circ_int,eq_c1/2,0))/2))),IF(((6+0.5)*(4*IF(circ_int,0,eq_c1/2)+4*IF(circ_int,0,eq_c2/2)+2*PI()*(s_0+10*s_r+IF(circ_int,eq_c1/2,0)))/INDEX(lk_legs,11))&lt;((((((2*IF(circ_int,0,eq_c2/2))+(PI()*(s_0+10*s_r+IF(circ_int,eq_c1/2,0))/2))+2*IF(circ_int,0,eq_c1/2))+(PI()*(s_0+10*s_r+IF(circ_int,eq_c1/2,0))/2))+2*IF(circ_int,0,eq_c2/2))+(PI()*(s_0+10*s_r+IF(circ_int,eq_c1/2,0))/2)),-IF(circ_int,0,eq_c2/2)+(s_0+10*s_r+IF(circ_int,eq_c1/2,0))*SIN(PI()+(((6+0.5)*(4*IF(circ_int,0,eq_c1/2)+4*IF(circ_int,0,eq_c2/2)+2*PI()*(s_0+10*s_r+IF(circ_int,eq_c1/2,0)))/INDEX(lk_legs,11))-(((((2*IF(circ_int,0,eq_c2/2))+(PI()*(s_0+10*s_r+IF(circ_int,eq_c1/2,0))/2))+2*IF(circ_int,0,eq_c1/2))+(PI()*(s_0+10*s_r+IF(circ_int,eq_c1/2,0))/2))+2*IF(circ_int,0,eq_c2/2)))/(s_0+10*s_r+IF(circ_int,eq_c1/2,0))),IF(((6+0.5)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(6+0.5)*(4*IF(circ_int,0,eq_c1/2)+4*IF(circ_int,0,eq_c2/2)+2*PI()*(s_0+10*s_r+IF(circ_int,eq_c1/2,0)))/INDEX(lk_legs,11))-(((((((2*IF(circ_int,0,eq_c2/2))+(PI()*(s_0+10*s_r+IF(circ_int,eq_c1/2,0))/2))+2*IF(circ_int,0,eq_c1/2))+(PI()*(s_0+10*s_r+IF(circ_int,eq_c1/2,0))/2))+2*IF(circ_int,0,eq_c2/2))+(PI()*(s_0+10*s_r+IF(circ_int,eq_c1/2,0))/2))+2*IF(circ_int,0,eq_c1/2)))/(s_0+10*s_r+IF(circ_int,eq_c1/2,0)))))))))),NA())</f>
        <v/>
      </c>
      <c r="DK9">
        <f>IF(AND(links_on,12&lt;=n_per),IF(circ_int,(g_ox)+(c_1/2+(s_0+11*s_r))*0.748511,CHOOSE(INDEX(lk_kind,12),(g_ox+eq_c1/2)+((s_0+11*s_r))*0.707107,(eq_a1+eq_c1)+((s_0+11*s_r))*0.608761,(eq_a1+eq_c1)+((s_0+11*s_r))*0.608761,(eq_a1)+((s_0+11*s_r))*-0.793353)),NA())</f>
        <v/>
      </c>
      <c r="DL9">
        <f>IF(AND(links_on,12&lt;=n_per),IF(circ_int,(g_oy)+(c_1/2+(s_0+11*s_r))*0.663123,CHOOSE(INDEX(lk_kind,12),(g_oy+eq_c2/2)+((s_0+11*s_r))*0.707107,(g_oy+eq_c2/2)+((s_0+11*s_r))*0.793353,(eq_a2+eq_c2)+((s_0+11*s_r))*0.793353,(eq_a2+eq_c2)+((s_0+11*s_r))*0.608761)),NA())</f>
        <v/>
      </c>
      <c r="DN9">
        <f>IF(AND(AND(links_on,12&lt;=n_per),INDEX(lk_kind,12)=1,6&lt;INDEX(lk_legs,12)),g_ox+IF(((6+0.5)*(4*IF(circ_int,0,eq_c1/2)+4*IF(circ_int,0,eq_c2/2)+2*PI()*(s_0+11*s_r+IF(circ_int,eq_c1/2,0)))/INDEX(lk_legs,12))&lt;(2*IF(circ_int,0,eq_c2/2)),IF(circ_int,0,eq_c1/2)+(s_0+11*s_r+IF(circ_int,eq_c1/2,0)),IF(((6+0.5)*(4*IF(circ_int,0,eq_c1/2)+4*IF(circ_int,0,eq_c2/2)+2*PI()*(s_0+11*s_r+IF(circ_int,eq_c1/2,0)))/INDEX(lk_legs,12))&lt;((2*IF(circ_int,0,eq_c2/2))+(PI()*(s_0+11*s_r+IF(circ_int,eq_c1/2,0))/2)),IF(circ_int,0,eq_c1/2)+(s_0+11*s_r+IF(circ_int,eq_c1/2,0))*COS((((6+0.5)*(4*IF(circ_int,0,eq_c1/2)+4*IF(circ_int,0,eq_c2/2)+2*PI()*(s_0+11*s_r+IF(circ_int,eq_c1/2,0)))/INDEX(lk_legs,12))-(2*IF(circ_int,0,eq_c2/2)))/(s_0+11*s_r+IF(circ_int,eq_c1/2,0))),IF(((6+0.5)*(4*IF(circ_int,0,eq_c1/2)+4*IF(circ_int,0,eq_c2/2)+2*PI()*(s_0+11*s_r+IF(circ_int,eq_c1/2,0)))/INDEX(lk_legs,12))&lt;(((2*IF(circ_int,0,eq_c2/2))+(PI()*(s_0+11*s_r+IF(circ_int,eq_c1/2,0))/2))+2*IF(circ_int,0,eq_c1/2)),IF(circ_int,0,eq_c1/2)-(((6+0.5)*(4*IF(circ_int,0,eq_c1/2)+4*IF(circ_int,0,eq_c2/2)+2*PI()*(s_0+11*s_r+IF(circ_int,eq_c1/2,0)))/INDEX(lk_legs,12))-((2*IF(circ_int,0,eq_c2/2))+(PI()*(s_0+11*s_r+IF(circ_int,eq_c1/2,0))/2))),IF(((6+0.5)*(4*IF(circ_int,0,eq_c1/2)+4*IF(circ_int,0,eq_c2/2)+2*PI()*(s_0+11*s_r+IF(circ_int,eq_c1/2,0)))/INDEX(lk_legs,12))&lt;((((2*IF(circ_int,0,eq_c2/2))+(PI()*(s_0+11*s_r+IF(circ_int,eq_c1/2,0))/2))+2*IF(circ_int,0,eq_c1/2))+(PI()*(s_0+11*s_r+IF(circ_int,eq_c1/2,0))/2)),-IF(circ_int,0,eq_c1/2)+(s_0+11*s_r+IF(circ_int,eq_c1/2,0))*COS(PI()/2+(((6+0.5)*(4*IF(circ_int,0,eq_c1/2)+4*IF(circ_int,0,eq_c2/2)+2*PI()*(s_0+11*s_r+IF(circ_int,eq_c1/2,0)))/INDEX(lk_legs,12))-(((2*IF(circ_int,0,eq_c2/2))+(PI()*(s_0+11*s_r+IF(circ_int,eq_c1/2,0))/2))+2*IF(circ_int,0,eq_c1/2)))/(s_0+11*s_r+IF(circ_int,eq_c1/2,0))),IF(((6+0.5)*(4*IF(circ_int,0,eq_c1/2)+4*IF(circ_int,0,eq_c2/2)+2*PI()*(s_0+11*s_r+IF(circ_int,eq_c1/2,0)))/INDEX(lk_legs,12))&lt;(((((2*IF(circ_int,0,eq_c2/2))+(PI()*(s_0+11*s_r+IF(circ_int,eq_c1/2,0))/2))+2*IF(circ_int,0,eq_c1/2))+(PI()*(s_0+11*s_r+IF(circ_int,eq_c1/2,0))/2))+2*IF(circ_int,0,eq_c2/2)),-IF(circ_int,0,eq_c1/2)-(s_0+11*s_r+IF(circ_int,eq_c1/2,0)),IF(((6+0.5)*(4*IF(circ_int,0,eq_c1/2)+4*IF(circ_int,0,eq_c2/2)+2*PI()*(s_0+11*s_r+IF(circ_int,eq_c1/2,0)))/INDEX(lk_legs,12))&lt;((((((2*IF(circ_int,0,eq_c2/2))+(PI()*(s_0+11*s_r+IF(circ_int,eq_c1/2,0))/2))+2*IF(circ_int,0,eq_c1/2))+(PI()*(s_0+11*s_r+IF(circ_int,eq_c1/2,0))/2))+2*IF(circ_int,0,eq_c2/2))+(PI()*(s_0+11*s_r+IF(circ_int,eq_c1/2,0))/2)),-IF(circ_int,0,eq_c1/2)+(s_0+11*s_r+IF(circ_int,eq_c1/2,0))*COS(PI()+(((6+0.5)*(4*IF(circ_int,0,eq_c1/2)+4*IF(circ_int,0,eq_c2/2)+2*PI()*(s_0+11*s_r+IF(circ_int,eq_c1/2,0)))/INDEX(lk_legs,12))-(((((2*IF(circ_int,0,eq_c2/2))+(PI()*(s_0+11*s_r+IF(circ_int,eq_c1/2,0))/2))+2*IF(circ_int,0,eq_c1/2))+(PI()*(s_0+11*s_r+IF(circ_int,eq_c1/2,0))/2))+2*IF(circ_int,0,eq_c2/2)))/(s_0+11*s_r+IF(circ_int,eq_c1/2,0))),IF(((6+0.5)*(4*IF(circ_int,0,eq_c1/2)+4*IF(circ_int,0,eq_c2/2)+2*PI()*(s_0+11*s_r+IF(circ_int,eq_c1/2,0)))/INDEX(lk_legs,12))&lt;(((((((2*IF(circ_int,0,eq_c2/2))+(PI()*(s_0+11*s_r+IF(circ_int,eq_c1/2,0))/2))+2*IF(circ_int,0,eq_c1/2))+(PI()*(s_0+11*s_r+IF(circ_int,eq_c1/2,0))/2))+2*IF(circ_int,0,eq_c2/2))+(PI()*(s_0+11*s_r+IF(circ_int,eq_c1/2,0))/2))+2*IF(circ_int,0,eq_c1/2)),-IF(circ_int,0,eq_c1/2)+(((6+0.5)*(4*IF(circ_int,0,eq_c1/2)+4*IF(circ_int,0,eq_c2/2)+2*PI()*(s_0+11*s_r+IF(circ_int,eq_c1/2,0)))/INDEX(lk_legs,12))-((((((2*IF(circ_int,0,eq_c2/2))+(PI()*(s_0+11*s_r+IF(circ_int,eq_c1/2,0))/2))+2*IF(circ_int,0,eq_c1/2))+(PI()*(s_0+11*s_r+IF(circ_int,eq_c1/2,0))/2))+2*IF(circ_int,0,eq_c2/2))+(PI()*(s_0+11*s_r+IF(circ_int,eq_c1/2,0))/2))),IF(circ_int,0,eq_c1/2)+(s_0+11*s_r+IF(circ_int,eq_c1/2,0))*COS(3*PI()/2+(((6+0.5)*(4*IF(circ_int,0,eq_c1/2)+4*IF(circ_int,0,eq_c2/2)+2*PI()*(s_0+11*s_r+IF(circ_int,eq_c1/2,0)))/INDEX(lk_legs,12))-(((((((2*IF(circ_int,0,eq_c2/2))+(PI()*(s_0+11*s_r+IF(circ_int,eq_c1/2,0))/2))+2*IF(circ_int,0,eq_c1/2))+(PI()*(s_0+11*s_r+IF(circ_int,eq_c1/2,0))/2))+2*IF(circ_int,0,eq_c2/2))+(PI()*(s_0+11*s_r+IF(circ_int,eq_c1/2,0))/2))+2*IF(circ_int,0,eq_c1/2)))/(s_0+11*s_r+IF(circ_int,eq_c1/2,0)))))))))),NA())</f>
        <v/>
      </c>
      <c r="DO9">
        <f>IF(AND(AND(links_on,12&lt;=n_per),INDEX(lk_kind,12)=1,6&lt;INDEX(lk_legs,12)),g_oy+IF(((6+0.5)*(4*IF(circ_int,0,eq_c1/2)+4*IF(circ_int,0,eq_c2/2)+2*PI()*(s_0+11*s_r+IF(circ_int,eq_c1/2,0)))/INDEX(lk_legs,12))&lt;(2*IF(circ_int,0,eq_c2/2)),-IF(circ_int,0,eq_c2/2)+((6+0.5)*(4*IF(circ_int,0,eq_c1/2)+4*IF(circ_int,0,eq_c2/2)+2*PI()*(s_0+11*s_r+IF(circ_int,eq_c1/2,0)))/INDEX(lk_legs,12)),IF(((6+0.5)*(4*IF(circ_int,0,eq_c1/2)+4*IF(circ_int,0,eq_c2/2)+2*PI()*(s_0+11*s_r+IF(circ_int,eq_c1/2,0)))/INDEX(lk_legs,12))&lt;((2*IF(circ_int,0,eq_c2/2))+(PI()*(s_0+11*s_r+IF(circ_int,eq_c1/2,0))/2)),IF(circ_int,0,eq_c2/2)+(s_0+11*s_r+IF(circ_int,eq_c1/2,0))*SIN((((6+0.5)*(4*IF(circ_int,0,eq_c1/2)+4*IF(circ_int,0,eq_c2/2)+2*PI()*(s_0+11*s_r+IF(circ_int,eq_c1/2,0)))/INDEX(lk_legs,12))-(2*IF(circ_int,0,eq_c2/2)))/(s_0+11*s_r+IF(circ_int,eq_c1/2,0))),IF(((6+0.5)*(4*IF(circ_int,0,eq_c1/2)+4*IF(circ_int,0,eq_c2/2)+2*PI()*(s_0+11*s_r+IF(circ_int,eq_c1/2,0)))/INDEX(lk_legs,12))&lt;(((2*IF(circ_int,0,eq_c2/2))+(PI()*(s_0+11*s_r+IF(circ_int,eq_c1/2,0))/2))+2*IF(circ_int,0,eq_c1/2)),IF(circ_int,0,eq_c2/2)+(s_0+11*s_r+IF(circ_int,eq_c1/2,0)),IF(((6+0.5)*(4*IF(circ_int,0,eq_c1/2)+4*IF(circ_int,0,eq_c2/2)+2*PI()*(s_0+11*s_r+IF(circ_int,eq_c1/2,0)))/INDEX(lk_legs,12))&lt;((((2*IF(circ_int,0,eq_c2/2))+(PI()*(s_0+11*s_r+IF(circ_int,eq_c1/2,0))/2))+2*IF(circ_int,0,eq_c1/2))+(PI()*(s_0+11*s_r+IF(circ_int,eq_c1/2,0))/2)),IF(circ_int,0,eq_c2/2)+(s_0+11*s_r+IF(circ_int,eq_c1/2,0))*SIN(PI()/2+(((6+0.5)*(4*IF(circ_int,0,eq_c1/2)+4*IF(circ_int,0,eq_c2/2)+2*PI()*(s_0+11*s_r+IF(circ_int,eq_c1/2,0)))/INDEX(lk_legs,12))-(((2*IF(circ_int,0,eq_c2/2))+(PI()*(s_0+11*s_r+IF(circ_int,eq_c1/2,0))/2))+2*IF(circ_int,0,eq_c1/2)))/(s_0+11*s_r+IF(circ_int,eq_c1/2,0))),IF(((6+0.5)*(4*IF(circ_int,0,eq_c1/2)+4*IF(circ_int,0,eq_c2/2)+2*PI()*(s_0+11*s_r+IF(circ_int,eq_c1/2,0)))/INDEX(lk_legs,12))&lt;(((((2*IF(circ_int,0,eq_c2/2))+(PI()*(s_0+11*s_r+IF(circ_int,eq_c1/2,0))/2))+2*IF(circ_int,0,eq_c1/2))+(PI()*(s_0+11*s_r+IF(circ_int,eq_c1/2,0))/2))+2*IF(circ_int,0,eq_c2/2)),IF(circ_int,0,eq_c2/2)-(((6+0.5)*(4*IF(circ_int,0,eq_c1/2)+4*IF(circ_int,0,eq_c2/2)+2*PI()*(s_0+11*s_r+IF(circ_int,eq_c1/2,0)))/INDEX(lk_legs,12))-((((2*IF(circ_int,0,eq_c2/2))+(PI()*(s_0+11*s_r+IF(circ_int,eq_c1/2,0))/2))+2*IF(circ_int,0,eq_c1/2))+(PI()*(s_0+11*s_r+IF(circ_int,eq_c1/2,0))/2))),IF(((6+0.5)*(4*IF(circ_int,0,eq_c1/2)+4*IF(circ_int,0,eq_c2/2)+2*PI()*(s_0+11*s_r+IF(circ_int,eq_c1/2,0)))/INDEX(lk_legs,12))&lt;((((((2*IF(circ_int,0,eq_c2/2))+(PI()*(s_0+11*s_r+IF(circ_int,eq_c1/2,0))/2))+2*IF(circ_int,0,eq_c1/2))+(PI()*(s_0+11*s_r+IF(circ_int,eq_c1/2,0))/2))+2*IF(circ_int,0,eq_c2/2))+(PI()*(s_0+11*s_r+IF(circ_int,eq_c1/2,0))/2)),-IF(circ_int,0,eq_c2/2)+(s_0+11*s_r+IF(circ_int,eq_c1/2,0))*SIN(PI()+(((6+0.5)*(4*IF(circ_int,0,eq_c1/2)+4*IF(circ_int,0,eq_c2/2)+2*PI()*(s_0+11*s_r+IF(circ_int,eq_c1/2,0)))/INDEX(lk_legs,12))-(((((2*IF(circ_int,0,eq_c2/2))+(PI()*(s_0+11*s_r+IF(circ_int,eq_c1/2,0))/2))+2*IF(circ_int,0,eq_c1/2))+(PI()*(s_0+11*s_r+IF(circ_int,eq_c1/2,0))/2))+2*IF(circ_int,0,eq_c2/2)))/(s_0+11*s_r+IF(circ_int,eq_c1/2,0))),IF(((6+0.5)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(6+0.5)*(4*IF(circ_int,0,eq_c1/2)+4*IF(circ_int,0,eq_c2/2)+2*PI()*(s_0+11*s_r+IF(circ_int,eq_c1/2,0)))/INDEX(lk_legs,12))-(((((((2*IF(circ_int,0,eq_c2/2))+(PI()*(s_0+11*s_r+IF(circ_int,eq_c1/2,0))/2))+2*IF(circ_int,0,eq_c1/2))+(PI()*(s_0+11*s_r+IF(circ_int,eq_c1/2,0))/2))+2*IF(circ_int,0,eq_c2/2))+(PI()*(s_0+11*s_r+IF(circ_int,eq_c1/2,0))/2))+2*IF(circ_int,0,eq_c1/2)))/(s_0+11*s_r+IF(circ_int,eq_c1/2,0)))))))))),NA())</f>
        <v/>
      </c>
    </row>
    <row r="10">
      <c r="A10">
        <f>IF(shape="Circular",(g_ox)+(c_1/2+0)*0.663123,CHOOSE(1,(g_ox+eq_c1/2)+(0)*0.608761,(eq_a1+eq_c1)+(0)*0.707107,(eq_a1+eq_c1)+(0)*0.707107,(eq_a1)+(0)*-0.707107))</f>
        <v/>
      </c>
      <c r="B10">
        <f>IF(shape="Circular",(g_oy)+(c_1/2+0)*0.748511,CHOOSE(1,(g_oy+eq_c2/2)+(0)*0.793353,(g_oy+eq_c2/2)+(0)*0.707107,(eq_a2+eq_c2)+(0)*0.707107,(eq_a2+eq_c2)+(0)*0.707107))</f>
        <v/>
      </c>
      <c r="D10">
        <f>IF(circ_int,(g_ox)+(c_1/2+2*d_eff)*0.663123,CHOOSE(geo_idx,(g_ox+eq_c1/2)+(2*d_eff)*0.608761,(eq_a1+eq_c1)+(2*d_eff)*0.707107,(eq_a1+eq_c1)+(2*d_eff)*0.707107,(eq_a1)+(2*d_eff)*-0.707107))</f>
        <v/>
      </c>
      <c r="E10">
        <f>IF(circ_int,(g_oy)+(c_1/2+2*d_eff)*0.748511,CHOOSE(geo_idx,(g_oy+eq_c2/2)+(2*d_eff)*0.793353,(g_oy+eq_c2/2)+(2*d_eff)*0.707107,(eq_a2+eq_c2)+(2*d_eff)*0.707107,(eq_a2+eq_c2)+(2*d_eff)*0.707107))</f>
        <v/>
      </c>
      <c r="G10">
        <f>IF(AND(inputs_ok,punch_ok,A_sw&gt;0),IF(circ_int,(g_ox)+(c_1/2+r_out)*0.663123,CHOOSE(kind_out,(g_ox+eq_c1/2)+(r_out)*0.608761,(eq_a1+eq_c1)+(r_out)*0.707107,(eq_a1+eq_c1)+(r_out)*0.707107,(eq_a1)+(r_out)*-0.707107)),NA())</f>
        <v/>
      </c>
      <c r="H10">
        <f>IF(AND(inputs_ok,punch_ok,A_sw&gt;0),IF(circ_int,(g_oy)+(c_1/2+r_out)*0.748511,CHOOSE(kind_out,(g_oy+eq_c2/2)+(r_out)*0.793353,(g_oy+eq_c2/2)+(r_out)*0.707107,(eq_a2+eq_c2)+(r_out)*0.707107,(eq_a2+eq_c2)+(r_out)*0.707107)),NA())</f>
        <v/>
      </c>
      <c r="AW10">
        <f>IF(AND(links_on,1&lt;=n_per),IF(circ_int,(g_ox)+(c_1/2+(s_0+0*s_r))*0.663123,CHOOSE(INDEX(lk_kind,1),(g_ox+eq_c1/2)+((s_0+0*s_r))*0.608761,(eq_a1+eq_c1)+((s_0+0*s_r))*0.707107,(eq_a1+eq_c1)+((s_0+0*s_r))*0.707107,(eq_a1)+((s_0+0*s_r))*-0.707107)),NA())</f>
        <v/>
      </c>
      <c r="AX10">
        <f>IF(AND(links_on,1&lt;=n_per),IF(circ_int,(g_oy)+(c_1/2+(s_0+0*s_r))*0.748511,CHOOSE(INDEX(lk_kind,1),(g_oy+eq_c2/2)+((s_0+0*s_r))*0.793353,(g_oy+eq_c2/2)+((s_0+0*s_r))*0.707107,(eq_a2+eq_c2)+((s_0+0*s_r))*0.707107,(eq_a2+eq_c2)+((s_0+0*s_r))*0.707107)),NA())</f>
        <v/>
      </c>
      <c r="AZ10">
        <f>IF(AND(AND(links_on,1&lt;=n_per),INDEX(lk_kind,1)=1,7&lt;INDEX(lk_legs,1)),g_ox+IF(((7+0.5)*(4*IF(circ_int,0,eq_c1/2)+4*IF(circ_int,0,eq_c2/2)+2*PI()*(s_0+0*s_r+IF(circ_int,eq_c1/2,0)))/INDEX(lk_legs,1))&lt;(2*IF(circ_int,0,eq_c2/2)),IF(circ_int,0,eq_c1/2)+(s_0+0*s_r+IF(circ_int,eq_c1/2,0)),IF(((7+0.5)*(4*IF(circ_int,0,eq_c1/2)+4*IF(circ_int,0,eq_c2/2)+2*PI()*(s_0+0*s_r+IF(circ_int,eq_c1/2,0)))/INDEX(lk_legs,1))&lt;((2*IF(circ_int,0,eq_c2/2))+(PI()*(s_0+0*s_r+IF(circ_int,eq_c1/2,0))/2)),IF(circ_int,0,eq_c1/2)+(s_0+0*s_r+IF(circ_int,eq_c1/2,0))*COS((((7+0.5)*(4*IF(circ_int,0,eq_c1/2)+4*IF(circ_int,0,eq_c2/2)+2*PI()*(s_0+0*s_r+IF(circ_int,eq_c1/2,0)))/INDEX(lk_legs,1))-(2*IF(circ_int,0,eq_c2/2)))/(s_0+0*s_r+IF(circ_int,eq_c1/2,0))),IF(((7+0.5)*(4*IF(circ_int,0,eq_c1/2)+4*IF(circ_int,0,eq_c2/2)+2*PI()*(s_0+0*s_r+IF(circ_int,eq_c1/2,0)))/INDEX(lk_legs,1))&lt;(((2*IF(circ_int,0,eq_c2/2))+(PI()*(s_0+0*s_r+IF(circ_int,eq_c1/2,0))/2))+2*IF(circ_int,0,eq_c1/2)),IF(circ_int,0,eq_c1/2)-(((7+0.5)*(4*IF(circ_int,0,eq_c1/2)+4*IF(circ_int,0,eq_c2/2)+2*PI()*(s_0+0*s_r+IF(circ_int,eq_c1/2,0)))/INDEX(lk_legs,1))-((2*IF(circ_int,0,eq_c2/2))+(PI()*(s_0+0*s_r+IF(circ_int,eq_c1/2,0))/2))),IF(((7+0.5)*(4*IF(circ_int,0,eq_c1/2)+4*IF(circ_int,0,eq_c2/2)+2*PI()*(s_0+0*s_r+IF(circ_int,eq_c1/2,0)))/INDEX(lk_legs,1))&lt;((((2*IF(circ_int,0,eq_c2/2))+(PI()*(s_0+0*s_r+IF(circ_int,eq_c1/2,0))/2))+2*IF(circ_int,0,eq_c1/2))+(PI()*(s_0+0*s_r+IF(circ_int,eq_c1/2,0))/2)),-IF(circ_int,0,eq_c1/2)+(s_0+0*s_r+IF(circ_int,eq_c1/2,0))*COS(PI()/2+(((7+0.5)*(4*IF(circ_int,0,eq_c1/2)+4*IF(circ_int,0,eq_c2/2)+2*PI()*(s_0+0*s_r+IF(circ_int,eq_c1/2,0)))/INDEX(lk_legs,1))-(((2*IF(circ_int,0,eq_c2/2))+(PI()*(s_0+0*s_r+IF(circ_int,eq_c1/2,0))/2))+2*IF(circ_int,0,eq_c1/2)))/(s_0+0*s_r+IF(circ_int,eq_c1/2,0))),IF(((7+0.5)*(4*IF(circ_int,0,eq_c1/2)+4*IF(circ_int,0,eq_c2/2)+2*PI()*(s_0+0*s_r+IF(circ_int,eq_c1/2,0)))/INDEX(lk_legs,1))&lt;(((((2*IF(circ_int,0,eq_c2/2))+(PI()*(s_0+0*s_r+IF(circ_int,eq_c1/2,0))/2))+2*IF(circ_int,0,eq_c1/2))+(PI()*(s_0+0*s_r+IF(circ_int,eq_c1/2,0))/2))+2*IF(circ_int,0,eq_c2/2)),-IF(circ_int,0,eq_c1/2)-(s_0+0*s_r+IF(circ_int,eq_c1/2,0)),IF(((7+0.5)*(4*IF(circ_int,0,eq_c1/2)+4*IF(circ_int,0,eq_c2/2)+2*PI()*(s_0+0*s_r+IF(circ_int,eq_c1/2,0)))/INDEX(lk_legs,1))&lt;((((((2*IF(circ_int,0,eq_c2/2))+(PI()*(s_0+0*s_r+IF(circ_int,eq_c1/2,0))/2))+2*IF(circ_int,0,eq_c1/2))+(PI()*(s_0+0*s_r+IF(circ_int,eq_c1/2,0))/2))+2*IF(circ_int,0,eq_c2/2))+(PI()*(s_0+0*s_r+IF(circ_int,eq_c1/2,0))/2)),-IF(circ_int,0,eq_c1/2)+(s_0+0*s_r+IF(circ_int,eq_c1/2,0))*COS(PI()+(((7+0.5)*(4*IF(circ_int,0,eq_c1/2)+4*IF(circ_int,0,eq_c2/2)+2*PI()*(s_0+0*s_r+IF(circ_int,eq_c1/2,0)))/INDEX(lk_legs,1))-(((((2*IF(circ_int,0,eq_c2/2))+(PI()*(s_0+0*s_r+IF(circ_int,eq_c1/2,0))/2))+2*IF(circ_int,0,eq_c1/2))+(PI()*(s_0+0*s_r+IF(circ_int,eq_c1/2,0))/2))+2*IF(circ_int,0,eq_c2/2)))/(s_0+0*s_r+IF(circ_int,eq_c1/2,0))),IF(((7+0.5)*(4*IF(circ_int,0,eq_c1/2)+4*IF(circ_int,0,eq_c2/2)+2*PI()*(s_0+0*s_r+IF(circ_int,eq_c1/2,0)))/INDEX(lk_legs,1))&lt;(((((((2*IF(circ_int,0,eq_c2/2))+(PI()*(s_0+0*s_r+IF(circ_int,eq_c1/2,0))/2))+2*IF(circ_int,0,eq_c1/2))+(PI()*(s_0+0*s_r+IF(circ_int,eq_c1/2,0))/2))+2*IF(circ_int,0,eq_c2/2))+(PI()*(s_0+0*s_r+IF(circ_int,eq_c1/2,0))/2))+2*IF(circ_int,0,eq_c1/2)),-IF(circ_int,0,eq_c1/2)+(((7+0.5)*(4*IF(circ_int,0,eq_c1/2)+4*IF(circ_int,0,eq_c2/2)+2*PI()*(s_0+0*s_r+IF(circ_int,eq_c1/2,0)))/INDEX(lk_legs,1))-((((((2*IF(circ_int,0,eq_c2/2))+(PI()*(s_0+0*s_r+IF(circ_int,eq_c1/2,0))/2))+2*IF(circ_int,0,eq_c1/2))+(PI()*(s_0+0*s_r+IF(circ_int,eq_c1/2,0))/2))+2*IF(circ_int,0,eq_c2/2))+(PI()*(s_0+0*s_r+IF(circ_int,eq_c1/2,0))/2))),IF(circ_int,0,eq_c1/2)+(s_0+0*s_r+IF(circ_int,eq_c1/2,0))*COS(3*PI()/2+(((7+0.5)*(4*IF(circ_int,0,eq_c1/2)+4*IF(circ_int,0,eq_c2/2)+2*PI()*(s_0+0*s_r+IF(circ_int,eq_c1/2,0)))/INDEX(lk_legs,1))-(((((((2*IF(circ_int,0,eq_c2/2))+(PI()*(s_0+0*s_r+IF(circ_int,eq_c1/2,0))/2))+2*IF(circ_int,0,eq_c1/2))+(PI()*(s_0+0*s_r+IF(circ_int,eq_c1/2,0))/2))+2*IF(circ_int,0,eq_c2/2))+(PI()*(s_0+0*s_r+IF(circ_int,eq_c1/2,0))/2))+2*IF(circ_int,0,eq_c1/2)))/(s_0+0*s_r+IF(circ_int,eq_c1/2,0)))))))))),NA())</f>
        <v/>
      </c>
      <c r="BA10">
        <f>IF(AND(AND(links_on,1&lt;=n_per),INDEX(lk_kind,1)=1,7&lt;INDEX(lk_legs,1)),g_oy+IF(((7+0.5)*(4*IF(circ_int,0,eq_c1/2)+4*IF(circ_int,0,eq_c2/2)+2*PI()*(s_0+0*s_r+IF(circ_int,eq_c1/2,0)))/INDEX(lk_legs,1))&lt;(2*IF(circ_int,0,eq_c2/2)),-IF(circ_int,0,eq_c2/2)+((7+0.5)*(4*IF(circ_int,0,eq_c1/2)+4*IF(circ_int,0,eq_c2/2)+2*PI()*(s_0+0*s_r+IF(circ_int,eq_c1/2,0)))/INDEX(lk_legs,1)),IF(((7+0.5)*(4*IF(circ_int,0,eq_c1/2)+4*IF(circ_int,0,eq_c2/2)+2*PI()*(s_0+0*s_r+IF(circ_int,eq_c1/2,0)))/INDEX(lk_legs,1))&lt;((2*IF(circ_int,0,eq_c2/2))+(PI()*(s_0+0*s_r+IF(circ_int,eq_c1/2,0))/2)),IF(circ_int,0,eq_c2/2)+(s_0+0*s_r+IF(circ_int,eq_c1/2,0))*SIN((((7+0.5)*(4*IF(circ_int,0,eq_c1/2)+4*IF(circ_int,0,eq_c2/2)+2*PI()*(s_0+0*s_r+IF(circ_int,eq_c1/2,0)))/INDEX(lk_legs,1))-(2*IF(circ_int,0,eq_c2/2)))/(s_0+0*s_r+IF(circ_int,eq_c1/2,0))),IF(((7+0.5)*(4*IF(circ_int,0,eq_c1/2)+4*IF(circ_int,0,eq_c2/2)+2*PI()*(s_0+0*s_r+IF(circ_int,eq_c1/2,0)))/INDEX(lk_legs,1))&lt;(((2*IF(circ_int,0,eq_c2/2))+(PI()*(s_0+0*s_r+IF(circ_int,eq_c1/2,0))/2))+2*IF(circ_int,0,eq_c1/2)),IF(circ_int,0,eq_c2/2)+(s_0+0*s_r+IF(circ_int,eq_c1/2,0)),IF(((7+0.5)*(4*IF(circ_int,0,eq_c1/2)+4*IF(circ_int,0,eq_c2/2)+2*PI()*(s_0+0*s_r+IF(circ_int,eq_c1/2,0)))/INDEX(lk_legs,1))&lt;((((2*IF(circ_int,0,eq_c2/2))+(PI()*(s_0+0*s_r+IF(circ_int,eq_c1/2,0))/2))+2*IF(circ_int,0,eq_c1/2))+(PI()*(s_0+0*s_r+IF(circ_int,eq_c1/2,0))/2)),IF(circ_int,0,eq_c2/2)+(s_0+0*s_r+IF(circ_int,eq_c1/2,0))*SIN(PI()/2+(((7+0.5)*(4*IF(circ_int,0,eq_c1/2)+4*IF(circ_int,0,eq_c2/2)+2*PI()*(s_0+0*s_r+IF(circ_int,eq_c1/2,0)))/INDEX(lk_legs,1))-(((2*IF(circ_int,0,eq_c2/2))+(PI()*(s_0+0*s_r+IF(circ_int,eq_c1/2,0))/2))+2*IF(circ_int,0,eq_c1/2)))/(s_0+0*s_r+IF(circ_int,eq_c1/2,0))),IF(((7+0.5)*(4*IF(circ_int,0,eq_c1/2)+4*IF(circ_int,0,eq_c2/2)+2*PI()*(s_0+0*s_r+IF(circ_int,eq_c1/2,0)))/INDEX(lk_legs,1))&lt;(((((2*IF(circ_int,0,eq_c2/2))+(PI()*(s_0+0*s_r+IF(circ_int,eq_c1/2,0))/2))+2*IF(circ_int,0,eq_c1/2))+(PI()*(s_0+0*s_r+IF(circ_int,eq_c1/2,0))/2))+2*IF(circ_int,0,eq_c2/2)),IF(circ_int,0,eq_c2/2)-(((7+0.5)*(4*IF(circ_int,0,eq_c1/2)+4*IF(circ_int,0,eq_c2/2)+2*PI()*(s_0+0*s_r+IF(circ_int,eq_c1/2,0)))/INDEX(lk_legs,1))-((((2*IF(circ_int,0,eq_c2/2))+(PI()*(s_0+0*s_r+IF(circ_int,eq_c1/2,0))/2))+2*IF(circ_int,0,eq_c1/2))+(PI()*(s_0+0*s_r+IF(circ_int,eq_c1/2,0))/2))),IF(((7+0.5)*(4*IF(circ_int,0,eq_c1/2)+4*IF(circ_int,0,eq_c2/2)+2*PI()*(s_0+0*s_r+IF(circ_int,eq_c1/2,0)))/INDEX(lk_legs,1))&lt;((((((2*IF(circ_int,0,eq_c2/2))+(PI()*(s_0+0*s_r+IF(circ_int,eq_c1/2,0))/2))+2*IF(circ_int,0,eq_c1/2))+(PI()*(s_0+0*s_r+IF(circ_int,eq_c1/2,0))/2))+2*IF(circ_int,0,eq_c2/2))+(PI()*(s_0+0*s_r+IF(circ_int,eq_c1/2,0))/2)),-IF(circ_int,0,eq_c2/2)+(s_0+0*s_r+IF(circ_int,eq_c1/2,0))*SIN(PI()+(((7+0.5)*(4*IF(circ_int,0,eq_c1/2)+4*IF(circ_int,0,eq_c2/2)+2*PI()*(s_0+0*s_r+IF(circ_int,eq_c1/2,0)))/INDEX(lk_legs,1))-(((((2*IF(circ_int,0,eq_c2/2))+(PI()*(s_0+0*s_r+IF(circ_int,eq_c1/2,0))/2))+2*IF(circ_int,0,eq_c1/2))+(PI()*(s_0+0*s_r+IF(circ_int,eq_c1/2,0))/2))+2*IF(circ_int,0,eq_c2/2)))/(s_0+0*s_r+IF(circ_int,eq_c1/2,0))),IF(((7+0.5)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(7+0.5)*(4*IF(circ_int,0,eq_c1/2)+4*IF(circ_int,0,eq_c2/2)+2*PI()*(s_0+0*s_r+IF(circ_int,eq_c1/2,0)))/INDEX(lk_legs,1))-(((((((2*IF(circ_int,0,eq_c2/2))+(PI()*(s_0+0*s_r+IF(circ_int,eq_c1/2,0))/2))+2*IF(circ_int,0,eq_c1/2))+(PI()*(s_0+0*s_r+IF(circ_int,eq_c1/2,0))/2))+2*IF(circ_int,0,eq_c2/2))+(PI()*(s_0+0*s_r+IF(circ_int,eq_c1/2,0))/2))+2*IF(circ_int,0,eq_c1/2)))/(s_0+0*s_r+IF(circ_int,eq_c1/2,0)))))))))),NA())</f>
        <v/>
      </c>
      <c r="BC10">
        <f>IF(AND(links_on,2&lt;=n_per),IF(circ_int,(g_ox)+(c_1/2+(s_0+1*s_r))*0.663123,CHOOSE(INDEX(lk_kind,2),(g_ox+eq_c1/2)+((s_0+1*s_r))*0.608761,(eq_a1+eq_c1)+((s_0+1*s_r))*0.707107,(eq_a1+eq_c1)+((s_0+1*s_r))*0.707107,(eq_a1)+((s_0+1*s_r))*-0.707107)),NA())</f>
        <v/>
      </c>
      <c r="BD10">
        <f>IF(AND(links_on,2&lt;=n_per),IF(circ_int,(g_oy)+(c_1/2+(s_0+1*s_r))*0.748511,CHOOSE(INDEX(lk_kind,2),(g_oy+eq_c2/2)+((s_0+1*s_r))*0.793353,(g_oy+eq_c2/2)+((s_0+1*s_r))*0.707107,(eq_a2+eq_c2)+((s_0+1*s_r))*0.707107,(eq_a2+eq_c2)+((s_0+1*s_r))*0.707107)),NA())</f>
        <v/>
      </c>
      <c r="BF10">
        <f>IF(AND(AND(links_on,2&lt;=n_per),INDEX(lk_kind,2)=1,7&lt;INDEX(lk_legs,2)),g_ox+IF(((7+0.5)*(4*IF(circ_int,0,eq_c1/2)+4*IF(circ_int,0,eq_c2/2)+2*PI()*(s_0+1*s_r+IF(circ_int,eq_c1/2,0)))/INDEX(lk_legs,2))&lt;(2*IF(circ_int,0,eq_c2/2)),IF(circ_int,0,eq_c1/2)+(s_0+1*s_r+IF(circ_int,eq_c1/2,0)),IF(((7+0.5)*(4*IF(circ_int,0,eq_c1/2)+4*IF(circ_int,0,eq_c2/2)+2*PI()*(s_0+1*s_r+IF(circ_int,eq_c1/2,0)))/INDEX(lk_legs,2))&lt;((2*IF(circ_int,0,eq_c2/2))+(PI()*(s_0+1*s_r+IF(circ_int,eq_c1/2,0))/2)),IF(circ_int,0,eq_c1/2)+(s_0+1*s_r+IF(circ_int,eq_c1/2,0))*COS((((7+0.5)*(4*IF(circ_int,0,eq_c1/2)+4*IF(circ_int,0,eq_c2/2)+2*PI()*(s_0+1*s_r+IF(circ_int,eq_c1/2,0)))/INDEX(lk_legs,2))-(2*IF(circ_int,0,eq_c2/2)))/(s_0+1*s_r+IF(circ_int,eq_c1/2,0))),IF(((7+0.5)*(4*IF(circ_int,0,eq_c1/2)+4*IF(circ_int,0,eq_c2/2)+2*PI()*(s_0+1*s_r+IF(circ_int,eq_c1/2,0)))/INDEX(lk_legs,2))&lt;(((2*IF(circ_int,0,eq_c2/2))+(PI()*(s_0+1*s_r+IF(circ_int,eq_c1/2,0))/2))+2*IF(circ_int,0,eq_c1/2)),IF(circ_int,0,eq_c1/2)-(((7+0.5)*(4*IF(circ_int,0,eq_c1/2)+4*IF(circ_int,0,eq_c2/2)+2*PI()*(s_0+1*s_r+IF(circ_int,eq_c1/2,0)))/INDEX(lk_legs,2))-((2*IF(circ_int,0,eq_c2/2))+(PI()*(s_0+1*s_r+IF(circ_int,eq_c1/2,0))/2))),IF(((7+0.5)*(4*IF(circ_int,0,eq_c1/2)+4*IF(circ_int,0,eq_c2/2)+2*PI()*(s_0+1*s_r+IF(circ_int,eq_c1/2,0)))/INDEX(lk_legs,2))&lt;((((2*IF(circ_int,0,eq_c2/2))+(PI()*(s_0+1*s_r+IF(circ_int,eq_c1/2,0))/2))+2*IF(circ_int,0,eq_c1/2))+(PI()*(s_0+1*s_r+IF(circ_int,eq_c1/2,0))/2)),-IF(circ_int,0,eq_c1/2)+(s_0+1*s_r+IF(circ_int,eq_c1/2,0))*COS(PI()/2+(((7+0.5)*(4*IF(circ_int,0,eq_c1/2)+4*IF(circ_int,0,eq_c2/2)+2*PI()*(s_0+1*s_r+IF(circ_int,eq_c1/2,0)))/INDEX(lk_legs,2))-(((2*IF(circ_int,0,eq_c2/2))+(PI()*(s_0+1*s_r+IF(circ_int,eq_c1/2,0))/2))+2*IF(circ_int,0,eq_c1/2)))/(s_0+1*s_r+IF(circ_int,eq_c1/2,0))),IF(((7+0.5)*(4*IF(circ_int,0,eq_c1/2)+4*IF(circ_int,0,eq_c2/2)+2*PI()*(s_0+1*s_r+IF(circ_int,eq_c1/2,0)))/INDEX(lk_legs,2))&lt;(((((2*IF(circ_int,0,eq_c2/2))+(PI()*(s_0+1*s_r+IF(circ_int,eq_c1/2,0))/2))+2*IF(circ_int,0,eq_c1/2))+(PI()*(s_0+1*s_r+IF(circ_int,eq_c1/2,0))/2))+2*IF(circ_int,0,eq_c2/2)),-IF(circ_int,0,eq_c1/2)-(s_0+1*s_r+IF(circ_int,eq_c1/2,0)),IF(((7+0.5)*(4*IF(circ_int,0,eq_c1/2)+4*IF(circ_int,0,eq_c2/2)+2*PI()*(s_0+1*s_r+IF(circ_int,eq_c1/2,0)))/INDEX(lk_legs,2))&lt;((((((2*IF(circ_int,0,eq_c2/2))+(PI()*(s_0+1*s_r+IF(circ_int,eq_c1/2,0))/2))+2*IF(circ_int,0,eq_c1/2))+(PI()*(s_0+1*s_r+IF(circ_int,eq_c1/2,0))/2))+2*IF(circ_int,0,eq_c2/2))+(PI()*(s_0+1*s_r+IF(circ_int,eq_c1/2,0))/2)),-IF(circ_int,0,eq_c1/2)+(s_0+1*s_r+IF(circ_int,eq_c1/2,0))*COS(PI()+(((7+0.5)*(4*IF(circ_int,0,eq_c1/2)+4*IF(circ_int,0,eq_c2/2)+2*PI()*(s_0+1*s_r+IF(circ_int,eq_c1/2,0)))/INDEX(lk_legs,2))-(((((2*IF(circ_int,0,eq_c2/2))+(PI()*(s_0+1*s_r+IF(circ_int,eq_c1/2,0))/2))+2*IF(circ_int,0,eq_c1/2))+(PI()*(s_0+1*s_r+IF(circ_int,eq_c1/2,0))/2))+2*IF(circ_int,0,eq_c2/2)))/(s_0+1*s_r+IF(circ_int,eq_c1/2,0))),IF(((7+0.5)*(4*IF(circ_int,0,eq_c1/2)+4*IF(circ_int,0,eq_c2/2)+2*PI()*(s_0+1*s_r+IF(circ_int,eq_c1/2,0)))/INDEX(lk_legs,2))&lt;(((((((2*IF(circ_int,0,eq_c2/2))+(PI()*(s_0+1*s_r+IF(circ_int,eq_c1/2,0))/2))+2*IF(circ_int,0,eq_c1/2))+(PI()*(s_0+1*s_r+IF(circ_int,eq_c1/2,0))/2))+2*IF(circ_int,0,eq_c2/2))+(PI()*(s_0+1*s_r+IF(circ_int,eq_c1/2,0))/2))+2*IF(circ_int,0,eq_c1/2)),-IF(circ_int,0,eq_c1/2)+(((7+0.5)*(4*IF(circ_int,0,eq_c1/2)+4*IF(circ_int,0,eq_c2/2)+2*PI()*(s_0+1*s_r+IF(circ_int,eq_c1/2,0)))/INDEX(lk_legs,2))-((((((2*IF(circ_int,0,eq_c2/2))+(PI()*(s_0+1*s_r+IF(circ_int,eq_c1/2,0))/2))+2*IF(circ_int,0,eq_c1/2))+(PI()*(s_0+1*s_r+IF(circ_int,eq_c1/2,0))/2))+2*IF(circ_int,0,eq_c2/2))+(PI()*(s_0+1*s_r+IF(circ_int,eq_c1/2,0))/2))),IF(circ_int,0,eq_c1/2)+(s_0+1*s_r+IF(circ_int,eq_c1/2,0))*COS(3*PI()/2+(((7+0.5)*(4*IF(circ_int,0,eq_c1/2)+4*IF(circ_int,0,eq_c2/2)+2*PI()*(s_0+1*s_r+IF(circ_int,eq_c1/2,0)))/INDEX(lk_legs,2))-(((((((2*IF(circ_int,0,eq_c2/2))+(PI()*(s_0+1*s_r+IF(circ_int,eq_c1/2,0))/2))+2*IF(circ_int,0,eq_c1/2))+(PI()*(s_0+1*s_r+IF(circ_int,eq_c1/2,0))/2))+2*IF(circ_int,0,eq_c2/2))+(PI()*(s_0+1*s_r+IF(circ_int,eq_c1/2,0))/2))+2*IF(circ_int,0,eq_c1/2)))/(s_0+1*s_r+IF(circ_int,eq_c1/2,0)))))))))),NA())</f>
        <v/>
      </c>
      <c r="BG10">
        <f>IF(AND(AND(links_on,2&lt;=n_per),INDEX(lk_kind,2)=1,7&lt;INDEX(lk_legs,2)),g_oy+IF(((7+0.5)*(4*IF(circ_int,0,eq_c1/2)+4*IF(circ_int,0,eq_c2/2)+2*PI()*(s_0+1*s_r+IF(circ_int,eq_c1/2,0)))/INDEX(lk_legs,2))&lt;(2*IF(circ_int,0,eq_c2/2)),-IF(circ_int,0,eq_c2/2)+((7+0.5)*(4*IF(circ_int,0,eq_c1/2)+4*IF(circ_int,0,eq_c2/2)+2*PI()*(s_0+1*s_r+IF(circ_int,eq_c1/2,0)))/INDEX(lk_legs,2)),IF(((7+0.5)*(4*IF(circ_int,0,eq_c1/2)+4*IF(circ_int,0,eq_c2/2)+2*PI()*(s_0+1*s_r+IF(circ_int,eq_c1/2,0)))/INDEX(lk_legs,2))&lt;((2*IF(circ_int,0,eq_c2/2))+(PI()*(s_0+1*s_r+IF(circ_int,eq_c1/2,0))/2)),IF(circ_int,0,eq_c2/2)+(s_0+1*s_r+IF(circ_int,eq_c1/2,0))*SIN((((7+0.5)*(4*IF(circ_int,0,eq_c1/2)+4*IF(circ_int,0,eq_c2/2)+2*PI()*(s_0+1*s_r+IF(circ_int,eq_c1/2,0)))/INDEX(lk_legs,2))-(2*IF(circ_int,0,eq_c2/2)))/(s_0+1*s_r+IF(circ_int,eq_c1/2,0))),IF(((7+0.5)*(4*IF(circ_int,0,eq_c1/2)+4*IF(circ_int,0,eq_c2/2)+2*PI()*(s_0+1*s_r+IF(circ_int,eq_c1/2,0)))/INDEX(lk_legs,2))&lt;(((2*IF(circ_int,0,eq_c2/2))+(PI()*(s_0+1*s_r+IF(circ_int,eq_c1/2,0))/2))+2*IF(circ_int,0,eq_c1/2)),IF(circ_int,0,eq_c2/2)+(s_0+1*s_r+IF(circ_int,eq_c1/2,0)),IF(((7+0.5)*(4*IF(circ_int,0,eq_c1/2)+4*IF(circ_int,0,eq_c2/2)+2*PI()*(s_0+1*s_r+IF(circ_int,eq_c1/2,0)))/INDEX(lk_legs,2))&lt;((((2*IF(circ_int,0,eq_c2/2))+(PI()*(s_0+1*s_r+IF(circ_int,eq_c1/2,0))/2))+2*IF(circ_int,0,eq_c1/2))+(PI()*(s_0+1*s_r+IF(circ_int,eq_c1/2,0))/2)),IF(circ_int,0,eq_c2/2)+(s_0+1*s_r+IF(circ_int,eq_c1/2,0))*SIN(PI()/2+(((7+0.5)*(4*IF(circ_int,0,eq_c1/2)+4*IF(circ_int,0,eq_c2/2)+2*PI()*(s_0+1*s_r+IF(circ_int,eq_c1/2,0)))/INDEX(lk_legs,2))-(((2*IF(circ_int,0,eq_c2/2))+(PI()*(s_0+1*s_r+IF(circ_int,eq_c1/2,0))/2))+2*IF(circ_int,0,eq_c1/2)))/(s_0+1*s_r+IF(circ_int,eq_c1/2,0))),IF(((7+0.5)*(4*IF(circ_int,0,eq_c1/2)+4*IF(circ_int,0,eq_c2/2)+2*PI()*(s_0+1*s_r+IF(circ_int,eq_c1/2,0)))/INDEX(lk_legs,2))&lt;(((((2*IF(circ_int,0,eq_c2/2))+(PI()*(s_0+1*s_r+IF(circ_int,eq_c1/2,0))/2))+2*IF(circ_int,0,eq_c1/2))+(PI()*(s_0+1*s_r+IF(circ_int,eq_c1/2,0))/2))+2*IF(circ_int,0,eq_c2/2)),IF(circ_int,0,eq_c2/2)-(((7+0.5)*(4*IF(circ_int,0,eq_c1/2)+4*IF(circ_int,0,eq_c2/2)+2*PI()*(s_0+1*s_r+IF(circ_int,eq_c1/2,0)))/INDEX(lk_legs,2))-((((2*IF(circ_int,0,eq_c2/2))+(PI()*(s_0+1*s_r+IF(circ_int,eq_c1/2,0))/2))+2*IF(circ_int,0,eq_c1/2))+(PI()*(s_0+1*s_r+IF(circ_int,eq_c1/2,0))/2))),IF(((7+0.5)*(4*IF(circ_int,0,eq_c1/2)+4*IF(circ_int,0,eq_c2/2)+2*PI()*(s_0+1*s_r+IF(circ_int,eq_c1/2,0)))/INDEX(lk_legs,2))&lt;((((((2*IF(circ_int,0,eq_c2/2))+(PI()*(s_0+1*s_r+IF(circ_int,eq_c1/2,0))/2))+2*IF(circ_int,0,eq_c1/2))+(PI()*(s_0+1*s_r+IF(circ_int,eq_c1/2,0))/2))+2*IF(circ_int,0,eq_c2/2))+(PI()*(s_0+1*s_r+IF(circ_int,eq_c1/2,0))/2)),-IF(circ_int,0,eq_c2/2)+(s_0+1*s_r+IF(circ_int,eq_c1/2,0))*SIN(PI()+(((7+0.5)*(4*IF(circ_int,0,eq_c1/2)+4*IF(circ_int,0,eq_c2/2)+2*PI()*(s_0+1*s_r+IF(circ_int,eq_c1/2,0)))/INDEX(lk_legs,2))-(((((2*IF(circ_int,0,eq_c2/2))+(PI()*(s_0+1*s_r+IF(circ_int,eq_c1/2,0))/2))+2*IF(circ_int,0,eq_c1/2))+(PI()*(s_0+1*s_r+IF(circ_int,eq_c1/2,0))/2))+2*IF(circ_int,0,eq_c2/2)))/(s_0+1*s_r+IF(circ_int,eq_c1/2,0))),IF(((7+0.5)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(7+0.5)*(4*IF(circ_int,0,eq_c1/2)+4*IF(circ_int,0,eq_c2/2)+2*PI()*(s_0+1*s_r+IF(circ_int,eq_c1/2,0)))/INDEX(lk_legs,2))-(((((((2*IF(circ_int,0,eq_c2/2))+(PI()*(s_0+1*s_r+IF(circ_int,eq_c1/2,0))/2))+2*IF(circ_int,0,eq_c1/2))+(PI()*(s_0+1*s_r+IF(circ_int,eq_c1/2,0))/2))+2*IF(circ_int,0,eq_c2/2))+(PI()*(s_0+1*s_r+IF(circ_int,eq_c1/2,0))/2))+2*IF(circ_int,0,eq_c1/2)))/(s_0+1*s_r+IF(circ_int,eq_c1/2,0)))))))))),NA())</f>
        <v/>
      </c>
      <c r="BI10">
        <f>IF(AND(links_on,3&lt;=n_per),IF(circ_int,(g_ox)+(c_1/2+(s_0+2*s_r))*0.663123,CHOOSE(INDEX(lk_kind,3),(g_ox+eq_c1/2)+((s_0+2*s_r))*0.608761,(eq_a1+eq_c1)+((s_0+2*s_r))*0.707107,(eq_a1+eq_c1)+((s_0+2*s_r))*0.707107,(eq_a1)+((s_0+2*s_r))*-0.707107)),NA())</f>
        <v/>
      </c>
      <c r="BJ10">
        <f>IF(AND(links_on,3&lt;=n_per),IF(circ_int,(g_oy)+(c_1/2+(s_0+2*s_r))*0.748511,CHOOSE(INDEX(lk_kind,3),(g_oy+eq_c2/2)+((s_0+2*s_r))*0.793353,(g_oy+eq_c2/2)+((s_0+2*s_r))*0.707107,(eq_a2+eq_c2)+((s_0+2*s_r))*0.707107,(eq_a2+eq_c2)+((s_0+2*s_r))*0.707107)),NA())</f>
        <v/>
      </c>
      <c r="BL10">
        <f>IF(AND(AND(links_on,3&lt;=n_per),INDEX(lk_kind,3)=1,7&lt;INDEX(lk_legs,3)),g_ox+IF(((7+0.5)*(4*IF(circ_int,0,eq_c1/2)+4*IF(circ_int,0,eq_c2/2)+2*PI()*(s_0+2*s_r+IF(circ_int,eq_c1/2,0)))/INDEX(lk_legs,3))&lt;(2*IF(circ_int,0,eq_c2/2)),IF(circ_int,0,eq_c1/2)+(s_0+2*s_r+IF(circ_int,eq_c1/2,0)),IF(((7+0.5)*(4*IF(circ_int,0,eq_c1/2)+4*IF(circ_int,0,eq_c2/2)+2*PI()*(s_0+2*s_r+IF(circ_int,eq_c1/2,0)))/INDEX(lk_legs,3))&lt;((2*IF(circ_int,0,eq_c2/2))+(PI()*(s_0+2*s_r+IF(circ_int,eq_c1/2,0))/2)),IF(circ_int,0,eq_c1/2)+(s_0+2*s_r+IF(circ_int,eq_c1/2,0))*COS((((7+0.5)*(4*IF(circ_int,0,eq_c1/2)+4*IF(circ_int,0,eq_c2/2)+2*PI()*(s_0+2*s_r+IF(circ_int,eq_c1/2,0)))/INDEX(lk_legs,3))-(2*IF(circ_int,0,eq_c2/2)))/(s_0+2*s_r+IF(circ_int,eq_c1/2,0))),IF(((7+0.5)*(4*IF(circ_int,0,eq_c1/2)+4*IF(circ_int,0,eq_c2/2)+2*PI()*(s_0+2*s_r+IF(circ_int,eq_c1/2,0)))/INDEX(lk_legs,3))&lt;(((2*IF(circ_int,0,eq_c2/2))+(PI()*(s_0+2*s_r+IF(circ_int,eq_c1/2,0))/2))+2*IF(circ_int,0,eq_c1/2)),IF(circ_int,0,eq_c1/2)-(((7+0.5)*(4*IF(circ_int,0,eq_c1/2)+4*IF(circ_int,0,eq_c2/2)+2*PI()*(s_0+2*s_r+IF(circ_int,eq_c1/2,0)))/INDEX(lk_legs,3))-((2*IF(circ_int,0,eq_c2/2))+(PI()*(s_0+2*s_r+IF(circ_int,eq_c1/2,0))/2))),IF(((7+0.5)*(4*IF(circ_int,0,eq_c1/2)+4*IF(circ_int,0,eq_c2/2)+2*PI()*(s_0+2*s_r+IF(circ_int,eq_c1/2,0)))/INDEX(lk_legs,3))&lt;((((2*IF(circ_int,0,eq_c2/2))+(PI()*(s_0+2*s_r+IF(circ_int,eq_c1/2,0))/2))+2*IF(circ_int,0,eq_c1/2))+(PI()*(s_0+2*s_r+IF(circ_int,eq_c1/2,0))/2)),-IF(circ_int,0,eq_c1/2)+(s_0+2*s_r+IF(circ_int,eq_c1/2,0))*COS(PI()/2+(((7+0.5)*(4*IF(circ_int,0,eq_c1/2)+4*IF(circ_int,0,eq_c2/2)+2*PI()*(s_0+2*s_r+IF(circ_int,eq_c1/2,0)))/INDEX(lk_legs,3))-(((2*IF(circ_int,0,eq_c2/2))+(PI()*(s_0+2*s_r+IF(circ_int,eq_c1/2,0))/2))+2*IF(circ_int,0,eq_c1/2)))/(s_0+2*s_r+IF(circ_int,eq_c1/2,0))),IF(((7+0.5)*(4*IF(circ_int,0,eq_c1/2)+4*IF(circ_int,0,eq_c2/2)+2*PI()*(s_0+2*s_r+IF(circ_int,eq_c1/2,0)))/INDEX(lk_legs,3))&lt;(((((2*IF(circ_int,0,eq_c2/2))+(PI()*(s_0+2*s_r+IF(circ_int,eq_c1/2,0))/2))+2*IF(circ_int,0,eq_c1/2))+(PI()*(s_0+2*s_r+IF(circ_int,eq_c1/2,0))/2))+2*IF(circ_int,0,eq_c2/2)),-IF(circ_int,0,eq_c1/2)-(s_0+2*s_r+IF(circ_int,eq_c1/2,0)),IF(((7+0.5)*(4*IF(circ_int,0,eq_c1/2)+4*IF(circ_int,0,eq_c2/2)+2*PI()*(s_0+2*s_r+IF(circ_int,eq_c1/2,0)))/INDEX(lk_legs,3))&lt;((((((2*IF(circ_int,0,eq_c2/2))+(PI()*(s_0+2*s_r+IF(circ_int,eq_c1/2,0))/2))+2*IF(circ_int,0,eq_c1/2))+(PI()*(s_0+2*s_r+IF(circ_int,eq_c1/2,0))/2))+2*IF(circ_int,0,eq_c2/2))+(PI()*(s_0+2*s_r+IF(circ_int,eq_c1/2,0))/2)),-IF(circ_int,0,eq_c1/2)+(s_0+2*s_r+IF(circ_int,eq_c1/2,0))*COS(PI()+(((7+0.5)*(4*IF(circ_int,0,eq_c1/2)+4*IF(circ_int,0,eq_c2/2)+2*PI()*(s_0+2*s_r+IF(circ_int,eq_c1/2,0)))/INDEX(lk_legs,3))-(((((2*IF(circ_int,0,eq_c2/2))+(PI()*(s_0+2*s_r+IF(circ_int,eq_c1/2,0))/2))+2*IF(circ_int,0,eq_c1/2))+(PI()*(s_0+2*s_r+IF(circ_int,eq_c1/2,0))/2))+2*IF(circ_int,0,eq_c2/2)))/(s_0+2*s_r+IF(circ_int,eq_c1/2,0))),IF(((7+0.5)*(4*IF(circ_int,0,eq_c1/2)+4*IF(circ_int,0,eq_c2/2)+2*PI()*(s_0+2*s_r+IF(circ_int,eq_c1/2,0)))/INDEX(lk_legs,3))&lt;(((((((2*IF(circ_int,0,eq_c2/2))+(PI()*(s_0+2*s_r+IF(circ_int,eq_c1/2,0))/2))+2*IF(circ_int,0,eq_c1/2))+(PI()*(s_0+2*s_r+IF(circ_int,eq_c1/2,0))/2))+2*IF(circ_int,0,eq_c2/2))+(PI()*(s_0+2*s_r+IF(circ_int,eq_c1/2,0))/2))+2*IF(circ_int,0,eq_c1/2)),-IF(circ_int,0,eq_c1/2)+(((7+0.5)*(4*IF(circ_int,0,eq_c1/2)+4*IF(circ_int,0,eq_c2/2)+2*PI()*(s_0+2*s_r+IF(circ_int,eq_c1/2,0)))/INDEX(lk_legs,3))-((((((2*IF(circ_int,0,eq_c2/2))+(PI()*(s_0+2*s_r+IF(circ_int,eq_c1/2,0))/2))+2*IF(circ_int,0,eq_c1/2))+(PI()*(s_0+2*s_r+IF(circ_int,eq_c1/2,0))/2))+2*IF(circ_int,0,eq_c2/2))+(PI()*(s_0+2*s_r+IF(circ_int,eq_c1/2,0))/2))),IF(circ_int,0,eq_c1/2)+(s_0+2*s_r+IF(circ_int,eq_c1/2,0))*COS(3*PI()/2+(((7+0.5)*(4*IF(circ_int,0,eq_c1/2)+4*IF(circ_int,0,eq_c2/2)+2*PI()*(s_0+2*s_r+IF(circ_int,eq_c1/2,0)))/INDEX(lk_legs,3))-(((((((2*IF(circ_int,0,eq_c2/2))+(PI()*(s_0+2*s_r+IF(circ_int,eq_c1/2,0))/2))+2*IF(circ_int,0,eq_c1/2))+(PI()*(s_0+2*s_r+IF(circ_int,eq_c1/2,0))/2))+2*IF(circ_int,0,eq_c2/2))+(PI()*(s_0+2*s_r+IF(circ_int,eq_c1/2,0))/2))+2*IF(circ_int,0,eq_c1/2)))/(s_0+2*s_r+IF(circ_int,eq_c1/2,0)))))))))),NA())</f>
        <v/>
      </c>
      <c r="BM10">
        <f>IF(AND(AND(links_on,3&lt;=n_per),INDEX(lk_kind,3)=1,7&lt;INDEX(lk_legs,3)),g_oy+IF(((7+0.5)*(4*IF(circ_int,0,eq_c1/2)+4*IF(circ_int,0,eq_c2/2)+2*PI()*(s_0+2*s_r+IF(circ_int,eq_c1/2,0)))/INDEX(lk_legs,3))&lt;(2*IF(circ_int,0,eq_c2/2)),-IF(circ_int,0,eq_c2/2)+((7+0.5)*(4*IF(circ_int,0,eq_c1/2)+4*IF(circ_int,0,eq_c2/2)+2*PI()*(s_0+2*s_r+IF(circ_int,eq_c1/2,0)))/INDEX(lk_legs,3)),IF(((7+0.5)*(4*IF(circ_int,0,eq_c1/2)+4*IF(circ_int,0,eq_c2/2)+2*PI()*(s_0+2*s_r+IF(circ_int,eq_c1/2,0)))/INDEX(lk_legs,3))&lt;((2*IF(circ_int,0,eq_c2/2))+(PI()*(s_0+2*s_r+IF(circ_int,eq_c1/2,0))/2)),IF(circ_int,0,eq_c2/2)+(s_0+2*s_r+IF(circ_int,eq_c1/2,0))*SIN((((7+0.5)*(4*IF(circ_int,0,eq_c1/2)+4*IF(circ_int,0,eq_c2/2)+2*PI()*(s_0+2*s_r+IF(circ_int,eq_c1/2,0)))/INDEX(lk_legs,3))-(2*IF(circ_int,0,eq_c2/2)))/(s_0+2*s_r+IF(circ_int,eq_c1/2,0))),IF(((7+0.5)*(4*IF(circ_int,0,eq_c1/2)+4*IF(circ_int,0,eq_c2/2)+2*PI()*(s_0+2*s_r+IF(circ_int,eq_c1/2,0)))/INDEX(lk_legs,3))&lt;(((2*IF(circ_int,0,eq_c2/2))+(PI()*(s_0+2*s_r+IF(circ_int,eq_c1/2,0))/2))+2*IF(circ_int,0,eq_c1/2)),IF(circ_int,0,eq_c2/2)+(s_0+2*s_r+IF(circ_int,eq_c1/2,0)),IF(((7+0.5)*(4*IF(circ_int,0,eq_c1/2)+4*IF(circ_int,0,eq_c2/2)+2*PI()*(s_0+2*s_r+IF(circ_int,eq_c1/2,0)))/INDEX(lk_legs,3))&lt;((((2*IF(circ_int,0,eq_c2/2))+(PI()*(s_0+2*s_r+IF(circ_int,eq_c1/2,0))/2))+2*IF(circ_int,0,eq_c1/2))+(PI()*(s_0+2*s_r+IF(circ_int,eq_c1/2,0))/2)),IF(circ_int,0,eq_c2/2)+(s_0+2*s_r+IF(circ_int,eq_c1/2,0))*SIN(PI()/2+(((7+0.5)*(4*IF(circ_int,0,eq_c1/2)+4*IF(circ_int,0,eq_c2/2)+2*PI()*(s_0+2*s_r+IF(circ_int,eq_c1/2,0)))/INDEX(lk_legs,3))-(((2*IF(circ_int,0,eq_c2/2))+(PI()*(s_0+2*s_r+IF(circ_int,eq_c1/2,0))/2))+2*IF(circ_int,0,eq_c1/2)))/(s_0+2*s_r+IF(circ_int,eq_c1/2,0))),IF(((7+0.5)*(4*IF(circ_int,0,eq_c1/2)+4*IF(circ_int,0,eq_c2/2)+2*PI()*(s_0+2*s_r+IF(circ_int,eq_c1/2,0)))/INDEX(lk_legs,3))&lt;(((((2*IF(circ_int,0,eq_c2/2))+(PI()*(s_0+2*s_r+IF(circ_int,eq_c1/2,0))/2))+2*IF(circ_int,0,eq_c1/2))+(PI()*(s_0+2*s_r+IF(circ_int,eq_c1/2,0))/2))+2*IF(circ_int,0,eq_c2/2)),IF(circ_int,0,eq_c2/2)-(((7+0.5)*(4*IF(circ_int,0,eq_c1/2)+4*IF(circ_int,0,eq_c2/2)+2*PI()*(s_0+2*s_r+IF(circ_int,eq_c1/2,0)))/INDEX(lk_legs,3))-((((2*IF(circ_int,0,eq_c2/2))+(PI()*(s_0+2*s_r+IF(circ_int,eq_c1/2,0))/2))+2*IF(circ_int,0,eq_c1/2))+(PI()*(s_0+2*s_r+IF(circ_int,eq_c1/2,0))/2))),IF(((7+0.5)*(4*IF(circ_int,0,eq_c1/2)+4*IF(circ_int,0,eq_c2/2)+2*PI()*(s_0+2*s_r+IF(circ_int,eq_c1/2,0)))/INDEX(lk_legs,3))&lt;((((((2*IF(circ_int,0,eq_c2/2))+(PI()*(s_0+2*s_r+IF(circ_int,eq_c1/2,0))/2))+2*IF(circ_int,0,eq_c1/2))+(PI()*(s_0+2*s_r+IF(circ_int,eq_c1/2,0))/2))+2*IF(circ_int,0,eq_c2/2))+(PI()*(s_0+2*s_r+IF(circ_int,eq_c1/2,0))/2)),-IF(circ_int,0,eq_c2/2)+(s_0+2*s_r+IF(circ_int,eq_c1/2,0))*SIN(PI()+(((7+0.5)*(4*IF(circ_int,0,eq_c1/2)+4*IF(circ_int,0,eq_c2/2)+2*PI()*(s_0+2*s_r+IF(circ_int,eq_c1/2,0)))/INDEX(lk_legs,3))-(((((2*IF(circ_int,0,eq_c2/2))+(PI()*(s_0+2*s_r+IF(circ_int,eq_c1/2,0))/2))+2*IF(circ_int,0,eq_c1/2))+(PI()*(s_0+2*s_r+IF(circ_int,eq_c1/2,0))/2))+2*IF(circ_int,0,eq_c2/2)))/(s_0+2*s_r+IF(circ_int,eq_c1/2,0))),IF(((7+0.5)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(7+0.5)*(4*IF(circ_int,0,eq_c1/2)+4*IF(circ_int,0,eq_c2/2)+2*PI()*(s_0+2*s_r+IF(circ_int,eq_c1/2,0)))/INDEX(lk_legs,3))-(((((((2*IF(circ_int,0,eq_c2/2))+(PI()*(s_0+2*s_r+IF(circ_int,eq_c1/2,0))/2))+2*IF(circ_int,0,eq_c1/2))+(PI()*(s_0+2*s_r+IF(circ_int,eq_c1/2,0))/2))+2*IF(circ_int,0,eq_c2/2))+(PI()*(s_0+2*s_r+IF(circ_int,eq_c1/2,0))/2))+2*IF(circ_int,0,eq_c1/2)))/(s_0+2*s_r+IF(circ_int,eq_c1/2,0)))))))))),NA())</f>
        <v/>
      </c>
      <c r="BO10">
        <f>IF(AND(links_on,4&lt;=n_per),IF(circ_int,(g_ox)+(c_1/2+(s_0+3*s_r))*0.663123,CHOOSE(INDEX(lk_kind,4),(g_ox+eq_c1/2)+((s_0+3*s_r))*0.608761,(eq_a1+eq_c1)+((s_0+3*s_r))*0.707107,(eq_a1+eq_c1)+((s_0+3*s_r))*0.707107,(eq_a1)+((s_0+3*s_r))*-0.707107)),NA())</f>
        <v/>
      </c>
      <c r="BP10">
        <f>IF(AND(links_on,4&lt;=n_per),IF(circ_int,(g_oy)+(c_1/2+(s_0+3*s_r))*0.748511,CHOOSE(INDEX(lk_kind,4),(g_oy+eq_c2/2)+((s_0+3*s_r))*0.793353,(g_oy+eq_c2/2)+((s_0+3*s_r))*0.707107,(eq_a2+eq_c2)+((s_0+3*s_r))*0.707107,(eq_a2+eq_c2)+((s_0+3*s_r))*0.707107)),NA())</f>
        <v/>
      </c>
      <c r="BR10">
        <f>IF(AND(AND(links_on,4&lt;=n_per),INDEX(lk_kind,4)=1,7&lt;INDEX(lk_legs,4)),g_ox+IF(((7+0.5)*(4*IF(circ_int,0,eq_c1/2)+4*IF(circ_int,0,eq_c2/2)+2*PI()*(s_0+3*s_r+IF(circ_int,eq_c1/2,0)))/INDEX(lk_legs,4))&lt;(2*IF(circ_int,0,eq_c2/2)),IF(circ_int,0,eq_c1/2)+(s_0+3*s_r+IF(circ_int,eq_c1/2,0)),IF(((7+0.5)*(4*IF(circ_int,0,eq_c1/2)+4*IF(circ_int,0,eq_c2/2)+2*PI()*(s_0+3*s_r+IF(circ_int,eq_c1/2,0)))/INDEX(lk_legs,4))&lt;((2*IF(circ_int,0,eq_c2/2))+(PI()*(s_0+3*s_r+IF(circ_int,eq_c1/2,0))/2)),IF(circ_int,0,eq_c1/2)+(s_0+3*s_r+IF(circ_int,eq_c1/2,0))*COS((((7+0.5)*(4*IF(circ_int,0,eq_c1/2)+4*IF(circ_int,0,eq_c2/2)+2*PI()*(s_0+3*s_r+IF(circ_int,eq_c1/2,0)))/INDEX(lk_legs,4))-(2*IF(circ_int,0,eq_c2/2)))/(s_0+3*s_r+IF(circ_int,eq_c1/2,0))),IF(((7+0.5)*(4*IF(circ_int,0,eq_c1/2)+4*IF(circ_int,0,eq_c2/2)+2*PI()*(s_0+3*s_r+IF(circ_int,eq_c1/2,0)))/INDEX(lk_legs,4))&lt;(((2*IF(circ_int,0,eq_c2/2))+(PI()*(s_0+3*s_r+IF(circ_int,eq_c1/2,0))/2))+2*IF(circ_int,0,eq_c1/2)),IF(circ_int,0,eq_c1/2)-(((7+0.5)*(4*IF(circ_int,0,eq_c1/2)+4*IF(circ_int,0,eq_c2/2)+2*PI()*(s_0+3*s_r+IF(circ_int,eq_c1/2,0)))/INDEX(lk_legs,4))-((2*IF(circ_int,0,eq_c2/2))+(PI()*(s_0+3*s_r+IF(circ_int,eq_c1/2,0))/2))),IF(((7+0.5)*(4*IF(circ_int,0,eq_c1/2)+4*IF(circ_int,0,eq_c2/2)+2*PI()*(s_0+3*s_r+IF(circ_int,eq_c1/2,0)))/INDEX(lk_legs,4))&lt;((((2*IF(circ_int,0,eq_c2/2))+(PI()*(s_0+3*s_r+IF(circ_int,eq_c1/2,0))/2))+2*IF(circ_int,0,eq_c1/2))+(PI()*(s_0+3*s_r+IF(circ_int,eq_c1/2,0))/2)),-IF(circ_int,0,eq_c1/2)+(s_0+3*s_r+IF(circ_int,eq_c1/2,0))*COS(PI()/2+(((7+0.5)*(4*IF(circ_int,0,eq_c1/2)+4*IF(circ_int,0,eq_c2/2)+2*PI()*(s_0+3*s_r+IF(circ_int,eq_c1/2,0)))/INDEX(lk_legs,4))-(((2*IF(circ_int,0,eq_c2/2))+(PI()*(s_0+3*s_r+IF(circ_int,eq_c1/2,0))/2))+2*IF(circ_int,0,eq_c1/2)))/(s_0+3*s_r+IF(circ_int,eq_c1/2,0))),IF(((7+0.5)*(4*IF(circ_int,0,eq_c1/2)+4*IF(circ_int,0,eq_c2/2)+2*PI()*(s_0+3*s_r+IF(circ_int,eq_c1/2,0)))/INDEX(lk_legs,4))&lt;(((((2*IF(circ_int,0,eq_c2/2))+(PI()*(s_0+3*s_r+IF(circ_int,eq_c1/2,0))/2))+2*IF(circ_int,0,eq_c1/2))+(PI()*(s_0+3*s_r+IF(circ_int,eq_c1/2,0))/2))+2*IF(circ_int,0,eq_c2/2)),-IF(circ_int,0,eq_c1/2)-(s_0+3*s_r+IF(circ_int,eq_c1/2,0)),IF(((7+0.5)*(4*IF(circ_int,0,eq_c1/2)+4*IF(circ_int,0,eq_c2/2)+2*PI()*(s_0+3*s_r+IF(circ_int,eq_c1/2,0)))/INDEX(lk_legs,4))&lt;((((((2*IF(circ_int,0,eq_c2/2))+(PI()*(s_0+3*s_r+IF(circ_int,eq_c1/2,0))/2))+2*IF(circ_int,0,eq_c1/2))+(PI()*(s_0+3*s_r+IF(circ_int,eq_c1/2,0))/2))+2*IF(circ_int,0,eq_c2/2))+(PI()*(s_0+3*s_r+IF(circ_int,eq_c1/2,0))/2)),-IF(circ_int,0,eq_c1/2)+(s_0+3*s_r+IF(circ_int,eq_c1/2,0))*COS(PI()+(((7+0.5)*(4*IF(circ_int,0,eq_c1/2)+4*IF(circ_int,0,eq_c2/2)+2*PI()*(s_0+3*s_r+IF(circ_int,eq_c1/2,0)))/INDEX(lk_legs,4))-(((((2*IF(circ_int,0,eq_c2/2))+(PI()*(s_0+3*s_r+IF(circ_int,eq_c1/2,0))/2))+2*IF(circ_int,0,eq_c1/2))+(PI()*(s_0+3*s_r+IF(circ_int,eq_c1/2,0))/2))+2*IF(circ_int,0,eq_c2/2)))/(s_0+3*s_r+IF(circ_int,eq_c1/2,0))),IF(((7+0.5)*(4*IF(circ_int,0,eq_c1/2)+4*IF(circ_int,0,eq_c2/2)+2*PI()*(s_0+3*s_r+IF(circ_int,eq_c1/2,0)))/INDEX(lk_legs,4))&lt;(((((((2*IF(circ_int,0,eq_c2/2))+(PI()*(s_0+3*s_r+IF(circ_int,eq_c1/2,0))/2))+2*IF(circ_int,0,eq_c1/2))+(PI()*(s_0+3*s_r+IF(circ_int,eq_c1/2,0))/2))+2*IF(circ_int,0,eq_c2/2))+(PI()*(s_0+3*s_r+IF(circ_int,eq_c1/2,0))/2))+2*IF(circ_int,0,eq_c1/2)),-IF(circ_int,0,eq_c1/2)+(((7+0.5)*(4*IF(circ_int,0,eq_c1/2)+4*IF(circ_int,0,eq_c2/2)+2*PI()*(s_0+3*s_r+IF(circ_int,eq_c1/2,0)))/INDEX(lk_legs,4))-((((((2*IF(circ_int,0,eq_c2/2))+(PI()*(s_0+3*s_r+IF(circ_int,eq_c1/2,0))/2))+2*IF(circ_int,0,eq_c1/2))+(PI()*(s_0+3*s_r+IF(circ_int,eq_c1/2,0))/2))+2*IF(circ_int,0,eq_c2/2))+(PI()*(s_0+3*s_r+IF(circ_int,eq_c1/2,0))/2))),IF(circ_int,0,eq_c1/2)+(s_0+3*s_r+IF(circ_int,eq_c1/2,0))*COS(3*PI()/2+(((7+0.5)*(4*IF(circ_int,0,eq_c1/2)+4*IF(circ_int,0,eq_c2/2)+2*PI()*(s_0+3*s_r+IF(circ_int,eq_c1/2,0)))/INDEX(lk_legs,4))-(((((((2*IF(circ_int,0,eq_c2/2))+(PI()*(s_0+3*s_r+IF(circ_int,eq_c1/2,0))/2))+2*IF(circ_int,0,eq_c1/2))+(PI()*(s_0+3*s_r+IF(circ_int,eq_c1/2,0))/2))+2*IF(circ_int,0,eq_c2/2))+(PI()*(s_0+3*s_r+IF(circ_int,eq_c1/2,0))/2))+2*IF(circ_int,0,eq_c1/2)))/(s_0+3*s_r+IF(circ_int,eq_c1/2,0)))))))))),NA())</f>
        <v/>
      </c>
      <c r="BS10">
        <f>IF(AND(AND(links_on,4&lt;=n_per),INDEX(lk_kind,4)=1,7&lt;INDEX(lk_legs,4)),g_oy+IF(((7+0.5)*(4*IF(circ_int,0,eq_c1/2)+4*IF(circ_int,0,eq_c2/2)+2*PI()*(s_0+3*s_r+IF(circ_int,eq_c1/2,0)))/INDEX(lk_legs,4))&lt;(2*IF(circ_int,0,eq_c2/2)),-IF(circ_int,0,eq_c2/2)+((7+0.5)*(4*IF(circ_int,0,eq_c1/2)+4*IF(circ_int,0,eq_c2/2)+2*PI()*(s_0+3*s_r+IF(circ_int,eq_c1/2,0)))/INDEX(lk_legs,4)),IF(((7+0.5)*(4*IF(circ_int,0,eq_c1/2)+4*IF(circ_int,0,eq_c2/2)+2*PI()*(s_0+3*s_r+IF(circ_int,eq_c1/2,0)))/INDEX(lk_legs,4))&lt;((2*IF(circ_int,0,eq_c2/2))+(PI()*(s_0+3*s_r+IF(circ_int,eq_c1/2,0))/2)),IF(circ_int,0,eq_c2/2)+(s_0+3*s_r+IF(circ_int,eq_c1/2,0))*SIN((((7+0.5)*(4*IF(circ_int,0,eq_c1/2)+4*IF(circ_int,0,eq_c2/2)+2*PI()*(s_0+3*s_r+IF(circ_int,eq_c1/2,0)))/INDEX(lk_legs,4))-(2*IF(circ_int,0,eq_c2/2)))/(s_0+3*s_r+IF(circ_int,eq_c1/2,0))),IF(((7+0.5)*(4*IF(circ_int,0,eq_c1/2)+4*IF(circ_int,0,eq_c2/2)+2*PI()*(s_0+3*s_r+IF(circ_int,eq_c1/2,0)))/INDEX(lk_legs,4))&lt;(((2*IF(circ_int,0,eq_c2/2))+(PI()*(s_0+3*s_r+IF(circ_int,eq_c1/2,0))/2))+2*IF(circ_int,0,eq_c1/2)),IF(circ_int,0,eq_c2/2)+(s_0+3*s_r+IF(circ_int,eq_c1/2,0)),IF(((7+0.5)*(4*IF(circ_int,0,eq_c1/2)+4*IF(circ_int,0,eq_c2/2)+2*PI()*(s_0+3*s_r+IF(circ_int,eq_c1/2,0)))/INDEX(lk_legs,4))&lt;((((2*IF(circ_int,0,eq_c2/2))+(PI()*(s_0+3*s_r+IF(circ_int,eq_c1/2,0))/2))+2*IF(circ_int,0,eq_c1/2))+(PI()*(s_0+3*s_r+IF(circ_int,eq_c1/2,0))/2)),IF(circ_int,0,eq_c2/2)+(s_0+3*s_r+IF(circ_int,eq_c1/2,0))*SIN(PI()/2+(((7+0.5)*(4*IF(circ_int,0,eq_c1/2)+4*IF(circ_int,0,eq_c2/2)+2*PI()*(s_0+3*s_r+IF(circ_int,eq_c1/2,0)))/INDEX(lk_legs,4))-(((2*IF(circ_int,0,eq_c2/2))+(PI()*(s_0+3*s_r+IF(circ_int,eq_c1/2,0))/2))+2*IF(circ_int,0,eq_c1/2)))/(s_0+3*s_r+IF(circ_int,eq_c1/2,0))),IF(((7+0.5)*(4*IF(circ_int,0,eq_c1/2)+4*IF(circ_int,0,eq_c2/2)+2*PI()*(s_0+3*s_r+IF(circ_int,eq_c1/2,0)))/INDEX(lk_legs,4))&lt;(((((2*IF(circ_int,0,eq_c2/2))+(PI()*(s_0+3*s_r+IF(circ_int,eq_c1/2,0))/2))+2*IF(circ_int,0,eq_c1/2))+(PI()*(s_0+3*s_r+IF(circ_int,eq_c1/2,0))/2))+2*IF(circ_int,0,eq_c2/2)),IF(circ_int,0,eq_c2/2)-(((7+0.5)*(4*IF(circ_int,0,eq_c1/2)+4*IF(circ_int,0,eq_c2/2)+2*PI()*(s_0+3*s_r+IF(circ_int,eq_c1/2,0)))/INDEX(lk_legs,4))-((((2*IF(circ_int,0,eq_c2/2))+(PI()*(s_0+3*s_r+IF(circ_int,eq_c1/2,0))/2))+2*IF(circ_int,0,eq_c1/2))+(PI()*(s_0+3*s_r+IF(circ_int,eq_c1/2,0))/2))),IF(((7+0.5)*(4*IF(circ_int,0,eq_c1/2)+4*IF(circ_int,0,eq_c2/2)+2*PI()*(s_0+3*s_r+IF(circ_int,eq_c1/2,0)))/INDEX(lk_legs,4))&lt;((((((2*IF(circ_int,0,eq_c2/2))+(PI()*(s_0+3*s_r+IF(circ_int,eq_c1/2,0))/2))+2*IF(circ_int,0,eq_c1/2))+(PI()*(s_0+3*s_r+IF(circ_int,eq_c1/2,0))/2))+2*IF(circ_int,0,eq_c2/2))+(PI()*(s_0+3*s_r+IF(circ_int,eq_c1/2,0))/2)),-IF(circ_int,0,eq_c2/2)+(s_0+3*s_r+IF(circ_int,eq_c1/2,0))*SIN(PI()+(((7+0.5)*(4*IF(circ_int,0,eq_c1/2)+4*IF(circ_int,0,eq_c2/2)+2*PI()*(s_0+3*s_r+IF(circ_int,eq_c1/2,0)))/INDEX(lk_legs,4))-(((((2*IF(circ_int,0,eq_c2/2))+(PI()*(s_0+3*s_r+IF(circ_int,eq_c1/2,0))/2))+2*IF(circ_int,0,eq_c1/2))+(PI()*(s_0+3*s_r+IF(circ_int,eq_c1/2,0))/2))+2*IF(circ_int,0,eq_c2/2)))/(s_0+3*s_r+IF(circ_int,eq_c1/2,0))),IF(((7+0.5)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(7+0.5)*(4*IF(circ_int,0,eq_c1/2)+4*IF(circ_int,0,eq_c2/2)+2*PI()*(s_0+3*s_r+IF(circ_int,eq_c1/2,0)))/INDEX(lk_legs,4))-(((((((2*IF(circ_int,0,eq_c2/2))+(PI()*(s_0+3*s_r+IF(circ_int,eq_c1/2,0))/2))+2*IF(circ_int,0,eq_c1/2))+(PI()*(s_0+3*s_r+IF(circ_int,eq_c1/2,0))/2))+2*IF(circ_int,0,eq_c2/2))+(PI()*(s_0+3*s_r+IF(circ_int,eq_c1/2,0))/2))+2*IF(circ_int,0,eq_c1/2)))/(s_0+3*s_r+IF(circ_int,eq_c1/2,0)))))))))),NA())</f>
        <v/>
      </c>
      <c r="BU10">
        <f>IF(AND(links_on,5&lt;=n_per),IF(circ_int,(g_ox)+(c_1/2+(s_0+4*s_r))*0.663123,CHOOSE(INDEX(lk_kind,5),(g_ox+eq_c1/2)+((s_0+4*s_r))*0.608761,(eq_a1+eq_c1)+((s_0+4*s_r))*0.707107,(eq_a1+eq_c1)+((s_0+4*s_r))*0.707107,(eq_a1)+((s_0+4*s_r))*-0.707107)),NA())</f>
        <v/>
      </c>
      <c r="BV10">
        <f>IF(AND(links_on,5&lt;=n_per),IF(circ_int,(g_oy)+(c_1/2+(s_0+4*s_r))*0.748511,CHOOSE(INDEX(lk_kind,5),(g_oy+eq_c2/2)+((s_0+4*s_r))*0.793353,(g_oy+eq_c2/2)+((s_0+4*s_r))*0.707107,(eq_a2+eq_c2)+((s_0+4*s_r))*0.707107,(eq_a2+eq_c2)+((s_0+4*s_r))*0.707107)),NA())</f>
        <v/>
      </c>
      <c r="BX10">
        <f>IF(AND(AND(links_on,5&lt;=n_per),INDEX(lk_kind,5)=1,7&lt;INDEX(lk_legs,5)),g_ox+IF(((7+0.5)*(4*IF(circ_int,0,eq_c1/2)+4*IF(circ_int,0,eq_c2/2)+2*PI()*(s_0+4*s_r+IF(circ_int,eq_c1/2,0)))/INDEX(lk_legs,5))&lt;(2*IF(circ_int,0,eq_c2/2)),IF(circ_int,0,eq_c1/2)+(s_0+4*s_r+IF(circ_int,eq_c1/2,0)),IF(((7+0.5)*(4*IF(circ_int,0,eq_c1/2)+4*IF(circ_int,0,eq_c2/2)+2*PI()*(s_0+4*s_r+IF(circ_int,eq_c1/2,0)))/INDEX(lk_legs,5))&lt;((2*IF(circ_int,0,eq_c2/2))+(PI()*(s_0+4*s_r+IF(circ_int,eq_c1/2,0))/2)),IF(circ_int,0,eq_c1/2)+(s_0+4*s_r+IF(circ_int,eq_c1/2,0))*COS((((7+0.5)*(4*IF(circ_int,0,eq_c1/2)+4*IF(circ_int,0,eq_c2/2)+2*PI()*(s_0+4*s_r+IF(circ_int,eq_c1/2,0)))/INDEX(lk_legs,5))-(2*IF(circ_int,0,eq_c2/2)))/(s_0+4*s_r+IF(circ_int,eq_c1/2,0))),IF(((7+0.5)*(4*IF(circ_int,0,eq_c1/2)+4*IF(circ_int,0,eq_c2/2)+2*PI()*(s_0+4*s_r+IF(circ_int,eq_c1/2,0)))/INDEX(lk_legs,5))&lt;(((2*IF(circ_int,0,eq_c2/2))+(PI()*(s_0+4*s_r+IF(circ_int,eq_c1/2,0))/2))+2*IF(circ_int,0,eq_c1/2)),IF(circ_int,0,eq_c1/2)-(((7+0.5)*(4*IF(circ_int,0,eq_c1/2)+4*IF(circ_int,0,eq_c2/2)+2*PI()*(s_0+4*s_r+IF(circ_int,eq_c1/2,0)))/INDEX(lk_legs,5))-((2*IF(circ_int,0,eq_c2/2))+(PI()*(s_0+4*s_r+IF(circ_int,eq_c1/2,0))/2))),IF(((7+0.5)*(4*IF(circ_int,0,eq_c1/2)+4*IF(circ_int,0,eq_c2/2)+2*PI()*(s_0+4*s_r+IF(circ_int,eq_c1/2,0)))/INDEX(lk_legs,5))&lt;((((2*IF(circ_int,0,eq_c2/2))+(PI()*(s_0+4*s_r+IF(circ_int,eq_c1/2,0))/2))+2*IF(circ_int,0,eq_c1/2))+(PI()*(s_0+4*s_r+IF(circ_int,eq_c1/2,0))/2)),-IF(circ_int,0,eq_c1/2)+(s_0+4*s_r+IF(circ_int,eq_c1/2,0))*COS(PI()/2+(((7+0.5)*(4*IF(circ_int,0,eq_c1/2)+4*IF(circ_int,0,eq_c2/2)+2*PI()*(s_0+4*s_r+IF(circ_int,eq_c1/2,0)))/INDEX(lk_legs,5))-(((2*IF(circ_int,0,eq_c2/2))+(PI()*(s_0+4*s_r+IF(circ_int,eq_c1/2,0))/2))+2*IF(circ_int,0,eq_c1/2)))/(s_0+4*s_r+IF(circ_int,eq_c1/2,0))),IF(((7+0.5)*(4*IF(circ_int,0,eq_c1/2)+4*IF(circ_int,0,eq_c2/2)+2*PI()*(s_0+4*s_r+IF(circ_int,eq_c1/2,0)))/INDEX(lk_legs,5))&lt;(((((2*IF(circ_int,0,eq_c2/2))+(PI()*(s_0+4*s_r+IF(circ_int,eq_c1/2,0))/2))+2*IF(circ_int,0,eq_c1/2))+(PI()*(s_0+4*s_r+IF(circ_int,eq_c1/2,0))/2))+2*IF(circ_int,0,eq_c2/2)),-IF(circ_int,0,eq_c1/2)-(s_0+4*s_r+IF(circ_int,eq_c1/2,0)),IF(((7+0.5)*(4*IF(circ_int,0,eq_c1/2)+4*IF(circ_int,0,eq_c2/2)+2*PI()*(s_0+4*s_r+IF(circ_int,eq_c1/2,0)))/INDEX(lk_legs,5))&lt;((((((2*IF(circ_int,0,eq_c2/2))+(PI()*(s_0+4*s_r+IF(circ_int,eq_c1/2,0))/2))+2*IF(circ_int,0,eq_c1/2))+(PI()*(s_0+4*s_r+IF(circ_int,eq_c1/2,0))/2))+2*IF(circ_int,0,eq_c2/2))+(PI()*(s_0+4*s_r+IF(circ_int,eq_c1/2,0))/2)),-IF(circ_int,0,eq_c1/2)+(s_0+4*s_r+IF(circ_int,eq_c1/2,0))*COS(PI()+(((7+0.5)*(4*IF(circ_int,0,eq_c1/2)+4*IF(circ_int,0,eq_c2/2)+2*PI()*(s_0+4*s_r+IF(circ_int,eq_c1/2,0)))/INDEX(lk_legs,5))-(((((2*IF(circ_int,0,eq_c2/2))+(PI()*(s_0+4*s_r+IF(circ_int,eq_c1/2,0))/2))+2*IF(circ_int,0,eq_c1/2))+(PI()*(s_0+4*s_r+IF(circ_int,eq_c1/2,0))/2))+2*IF(circ_int,0,eq_c2/2)))/(s_0+4*s_r+IF(circ_int,eq_c1/2,0))),IF(((7+0.5)*(4*IF(circ_int,0,eq_c1/2)+4*IF(circ_int,0,eq_c2/2)+2*PI()*(s_0+4*s_r+IF(circ_int,eq_c1/2,0)))/INDEX(lk_legs,5))&lt;(((((((2*IF(circ_int,0,eq_c2/2))+(PI()*(s_0+4*s_r+IF(circ_int,eq_c1/2,0))/2))+2*IF(circ_int,0,eq_c1/2))+(PI()*(s_0+4*s_r+IF(circ_int,eq_c1/2,0))/2))+2*IF(circ_int,0,eq_c2/2))+(PI()*(s_0+4*s_r+IF(circ_int,eq_c1/2,0))/2))+2*IF(circ_int,0,eq_c1/2)),-IF(circ_int,0,eq_c1/2)+(((7+0.5)*(4*IF(circ_int,0,eq_c1/2)+4*IF(circ_int,0,eq_c2/2)+2*PI()*(s_0+4*s_r+IF(circ_int,eq_c1/2,0)))/INDEX(lk_legs,5))-((((((2*IF(circ_int,0,eq_c2/2))+(PI()*(s_0+4*s_r+IF(circ_int,eq_c1/2,0))/2))+2*IF(circ_int,0,eq_c1/2))+(PI()*(s_0+4*s_r+IF(circ_int,eq_c1/2,0))/2))+2*IF(circ_int,0,eq_c2/2))+(PI()*(s_0+4*s_r+IF(circ_int,eq_c1/2,0))/2))),IF(circ_int,0,eq_c1/2)+(s_0+4*s_r+IF(circ_int,eq_c1/2,0))*COS(3*PI()/2+(((7+0.5)*(4*IF(circ_int,0,eq_c1/2)+4*IF(circ_int,0,eq_c2/2)+2*PI()*(s_0+4*s_r+IF(circ_int,eq_c1/2,0)))/INDEX(lk_legs,5))-(((((((2*IF(circ_int,0,eq_c2/2))+(PI()*(s_0+4*s_r+IF(circ_int,eq_c1/2,0))/2))+2*IF(circ_int,0,eq_c1/2))+(PI()*(s_0+4*s_r+IF(circ_int,eq_c1/2,0))/2))+2*IF(circ_int,0,eq_c2/2))+(PI()*(s_0+4*s_r+IF(circ_int,eq_c1/2,0))/2))+2*IF(circ_int,0,eq_c1/2)))/(s_0+4*s_r+IF(circ_int,eq_c1/2,0)))))))))),NA())</f>
        <v/>
      </c>
      <c r="BY10">
        <f>IF(AND(AND(links_on,5&lt;=n_per),INDEX(lk_kind,5)=1,7&lt;INDEX(lk_legs,5)),g_oy+IF(((7+0.5)*(4*IF(circ_int,0,eq_c1/2)+4*IF(circ_int,0,eq_c2/2)+2*PI()*(s_0+4*s_r+IF(circ_int,eq_c1/2,0)))/INDEX(lk_legs,5))&lt;(2*IF(circ_int,0,eq_c2/2)),-IF(circ_int,0,eq_c2/2)+((7+0.5)*(4*IF(circ_int,0,eq_c1/2)+4*IF(circ_int,0,eq_c2/2)+2*PI()*(s_0+4*s_r+IF(circ_int,eq_c1/2,0)))/INDEX(lk_legs,5)),IF(((7+0.5)*(4*IF(circ_int,0,eq_c1/2)+4*IF(circ_int,0,eq_c2/2)+2*PI()*(s_0+4*s_r+IF(circ_int,eq_c1/2,0)))/INDEX(lk_legs,5))&lt;((2*IF(circ_int,0,eq_c2/2))+(PI()*(s_0+4*s_r+IF(circ_int,eq_c1/2,0))/2)),IF(circ_int,0,eq_c2/2)+(s_0+4*s_r+IF(circ_int,eq_c1/2,0))*SIN((((7+0.5)*(4*IF(circ_int,0,eq_c1/2)+4*IF(circ_int,0,eq_c2/2)+2*PI()*(s_0+4*s_r+IF(circ_int,eq_c1/2,0)))/INDEX(lk_legs,5))-(2*IF(circ_int,0,eq_c2/2)))/(s_0+4*s_r+IF(circ_int,eq_c1/2,0))),IF(((7+0.5)*(4*IF(circ_int,0,eq_c1/2)+4*IF(circ_int,0,eq_c2/2)+2*PI()*(s_0+4*s_r+IF(circ_int,eq_c1/2,0)))/INDEX(lk_legs,5))&lt;(((2*IF(circ_int,0,eq_c2/2))+(PI()*(s_0+4*s_r+IF(circ_int,eq_c1/2,0))/2))+2*IF(circ_int,0,eq_c1/2)),IF(circ_int,0,eq_c2/2)+(s_0+4*s_r+IF(circ_int,eq_c1/2,0)),IF(((7+0.5)*(4*IF(circ_int,0,eq_c1/2)+4*IF(circ_int,0,eq_c2/2)+2*PI()*(s_0+4*s_r+IF(circ_int,eq_c1/2,0)))/INDEX(lk_legs,5))&lt;((((2*IF(circ_int,0,eq_c2/2))+(PI()*(s_0+4*s_r+IF(circ_int,eq_c1/2,0))/2))+2*IF(circ_int,0,eq_c1/2))+(PI()*(s_0+4*s_r+IF(circ_int,eq_c1/2,0))/2)),IF(circ_int,0,eq_c2/2)+(s_0+4*s_r+IF(circ_int,eq_c1/2,0))*SIN(PI()/2+(((7+0.5)*(4*IF(circ_int,0,eq_c1/2)+4*IF(circ_int,0,eq_c2/2)+2*PI()*(s_0+4*s_r+IF(circ_int,eq_c1/2,0)))/INDEX(lk_legs,5))-(((2*IF(circ_int,0,eq_c2/2))+(PI()*(s_0+4*s_r+IF(circ_int,eq_c1/2,0))/2))+2*IF(circ_int,0,eq_c1/2)))/(s_0+4*s_r+IF(circ_int,eq_c1/2,0))),IF(((7+0.5)*(4*IF(circ_int,0,eq_c1/2)+4*IF(circ_int,0,eq_c2/2)+2*PI()*(s_0+4*s_r+IF(circ_int,eq_c1/2,0)))/INDEX(lk_legs,5))&lt;(((((2*IF(circ_int,0,eq_c2/2))+(PI()*(s_0+4*s_r+IF(circ_int,eq_c1/2,0))/2))+2*IF(circ_int,0,eq_c1/2))+(PI()*(s_0+4*s_r+IF(circ_int,eq_c1/2,0))/2))+2*IF(circ_int,0,eq_c2/2)),IF(circ_int,0,eq_c2/2)-(((7+0.5)*(4*IF(circ_int,0,eq_c1/2)+4*IF(circ_int,0,eq_c2/2)+2*PI()*(s_0+4*s_r+IF(circ_int,eq_c1/2,0)))/INDEX(lk_legs,5))-((((2*IF(circ_int,0,eq_c2/2))+(PI()*(s_0+4*s_r+IF(circ_int,eq_c1/2,0))/2))+2*IF(circ_int,0,eq_c1/2))+(PI()*(s_0+4*s_r+IF(circ_int,eq_c1/2,0))/2))),IF(((7+0.5)*(4*IF(circ_int,0,eq_c1/2)+4*IF(circ_int,0,eq_c2/2)+2*PI()*(s_0+4*s_r+IF(circ_int,eq_c1/2,0)))/INDEX(lk_legs,5))&lt;((((((2*IF(circ_int,0,eq_c2/2))+(PI()*(s_0+4*s_r+IF(circ_int,eq_c1/2,0))/2))+2*IF(circ_int,0,eq_c1/2))+(PI()*(s_0+4*s_r+IF(circ_int,eq_c1/2,0))/2))+2*IF(circ_int,0,eq_c2/2))+(PI()*(s_0+4*s_r+IF(circ_int,eq_c1/2,0))/2)),-IF(circ_int,0,eq_c2/2)+(s_0+4*s_r+IF(circ_int,eq_c1/2,0))*SIN(PI()+(((7+0.5)*(4*IF(circ_int,0,eq_c1/2)+4*IF(circ_int,0,eq_c2/2)+2*PI()*(s_0+4*s_r+IF(circ_int,eq_c1/2,0)))/INDEX(lk_legs,5))-(((((2*IF(circ_int,0,eq_c2/2))+(PI()*(s_0+4*s_r+IF(circ_int,eq_c1/2,0))/2))+2*IF(circ_int,0,eq_c1/2))+(PI()*(s_0+4*s_r+IF(circ_int,eq_c1/2,0))/2))+2*IF(circ_int,0,eq_c2/2)))/(s_0+4*s_r+IF(circ_int,eq_c1/2,0))),IF(((7+0.5)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(7+0.5)*(4*IF(circ_int,0,eq_c1/2)+4*IF(circ_int,0,eq_c2/2)+2*PI()*(s_0+4*s_r+IF(circ_int,eq_c1/2,0)))/INDEX(lk_legs,5))-(((((((2*IF(circ_int,0,eq_c2/2))+(PI()*(s_0+4*s_r+IF(circ_int,eq_c1/2,0))/2))+2*IF(circ_int,0,eq_c1/2))+(PI()*(s_0+4*s_r+IF(circ_int,eq_c1/2,0))/2))+2*IF(circ_int,0,eq_c2/2))+(PI()*(s_0+4*s_r+IF(circ_int,eq_c1/2,0))/2))+2*IF(circ_int,0,eq_c1/2)))/(s_0+4*s_r+IF(circ_int,eq_c1/2,0)))))))))),NA())</f>
        <v/>
      </c>
      <c r="CA10">
        <f>IF(AND(links_on,6&lt;=n_per),IF(circ_int,(g_ox)+(c_1/2+(s_0+5*s_r))*0.663123,CHOOSE(INDEX(lk_kind,6),(g_ox+eq_c1/2)+((s_0+5*s_r))*0.608761,(eq_a1+eq_c1)+((s_0+5*s_r))*0.707107,(eq_a1+eq_c1)+((s_0+5*s_r))*0.707107,(eq_a1)+((s_0+5*s_r))*-0.707107)),NA())</f>
        <v/>
      </c>
      <c r="CB10">
        <f>IF(AND(links_on,6&lt;=n_per),IF(circ_int,(g_oy)+(c_1/2+(s_0+5*s_r))*0.748511,CHOOSE(INDEX(lk_kind,6),(g_oy+eq_c2/2)+((s_0+5*s_r))*0.793353,(g_oy+eq_c2/2)+((s_0+5*s_r))*0.707107,(eq_a2+eq_c2)+((s_0+5*s_r))*0.707107,(eq_a2+eq_c2)+((s_0+5*s_r))*0.707107)),NA())</f>
        <v/>
      </c>
      <c r="CD10">
        <f>IF(AND(AND(links_on,6&lt;=n_per),INDEX(lk_kind,6)=1,7&lt;INDEX(lk_legs,6)),g_ox+IF(((7+0.5)*(4*IF(circ_int,0,eq_c1/2)+4*IF(circ_int,0,eq_c2/2)+2*PI()*(s_0+5*s_r+IF(circ_int,eq_c1/2,0)))/INDEX(lk_legs,6))&lt;(2*IF(circ_int,0,eq_c2/2)),IF(circ_int,0,eq_c1/2)+(s_0+5*s_r+IF(circ_int,eq_c1/2,0)),IF(((7+0.5)*(4*IF(circ_int,0,eq_c1/2)+4*IF(circ_int,0,eq_c2/2)+2*PI()*(s_0+5*s_r+IF(circ_int,eq_c1/2,0)))/INDEX(lk_legs,6))&lt;((2*IF(circ_int,0,eq_c2/2))+(PI()*(s_0+5*s_r+IF(circ_int,eq_c1/2,0))/2)),IF(circ_int,0,eq_c1/2)+(s_0+5*s_r+IF(circ_int,eq_c1/2,0))*COS((((7+0.5)*(4*IF(circ_int,0,eq_c1/2)+4*IF(circ_int,0,eq_c2/2)+2*PI()*(s_0+5*s_r+IF(circ_int,eq_c1/2,0)))/INDEX(lk_legs,6))-(2*IF(circ_int,0,eq_c2/2)))/(s_0+5*s_r+IF(circ_int,eq_c1/2,0))),IF(((7+0.5)*(4*IF(circ_int,0,eq_c1/2)+4*IF(circ_int,0,eq_c2/2)+2*PI()*(s_0+5*s_r+IF(circ_int,eq_c1/2,0)))/INDEX(lk_legs,6))&lt;(((2*IF(circ_int,0,eq_c2/2))+(PI()*(s_0+5*s_r+IF(circ_int,eq_c1/2,0))/2))+2*IF(circ_int,0,eq_c1/2)),IF(circ_int,0,eq_c1/2)-(((7+0.5)*(4*IF(circ_int,0,eq_c1/2)+4*IF(circ_int,0,eq_c2/2)+2*PI()*(s_0+5*s_r+IF(circ_int,eq_c1/2,0)))/INDEX(lk_legs,6))-((2*IF(circ_int,0,eq_c2/2))+(PI()*(s_0+5*s_r+IF(circ_int,eq_c1/2,0))/2))),IF(((7+0.5)*(4*IF(circ_int,0,eq_c1/2)+4*IF(circ_int,0,eq_c2/2)+2*PI()*(s_0+5*s_r+IF(circ_int,eq_c1/2,0)))/INDEX(lk_legs,6))&lt;((((2*IF(circ_int,0,eq_c2/2))+(PI()*(s_0+5*s_r+IF(circ_int,eq_c1/2,0))/2))+2*IF(circ_int,0,eq_c1/2))+(PI()*(s_0+5*s_r+IF(circ_int,eq_c1/2,0))/2)),-IF(circ_int,0,eq_c1/2)+(s_0+5*s_r+IF(circ_int,eq_c1/2,0))*COS(PI()/2+(((7+0.5)*(4*IF(circ_int,0,eq_c1/2)+4*IF(circ_int,0,eq_c2/2)+2*PI()*(s_0+5*s_r+IF(circ_int,eq_c1/2,0)))/INDEX(lk_legs,6))-(((2*IF(circ_int,0,eq_c2/2))+(PI()*(s_0+5*s_r+IF(circ_int,eq_c1/2,0))/2))+2*IF(circ_int,0,eq_c1/2)))/(s_0+5*s_r+IF(circ_int,eq_c1/2,0))),IF(((7+0.5)*(4*IF(circ_int,0,eq_c1/2)+4*IF(circ_int,0,eq_c2/2)+2*PI()*(s_0+5*s_r+IF(circ_int,eq_c1/2,0)))/INDEX(lk_legs,6))&lt;(((((2*IF(circ_int,0,eq_c2/2))+(PI()*(s_0+5*s_r+IF(circ_int,eq_c1/2,0))/2))+2*IF(circ_int,0,eq_c1/2))+(PI()*(s_0+5*s_r+IF(circ_int,eq_c1/2,0))/2))+2*IF(circ_int,0,eq_c2/2)),-IF(circ_int,0,eq_c1/2)-(s_0+5*s_r+IF(circ_int,eq_c1/2,0)),IF(((7+0.5)*(4*IF(circ_int,0,eq_c1/2)+4*IF(circ_int,0,eq_c2/2)+2*PI()*(s_0+5*s_r+IF(circ_int,eq_c1/2,0)))/INDEX(lk_legs,6))&lt;((((((2*IF(circ_int,0,eq_c2/2))+(PI()*(s_0+5*s_r+IF(circ_int,eq_c1/2,0))/2))+2*IF(circ_int,0,eq_c1/2))+(PI()*(s_0+5*s_r+IF(circ_int,eq_c1/2,0))/2))+2*IF(circ_int,0,eq_c2/2))+(PI()*(s_0+5*s_r+IF(circ_int,eq_c1/2,0))/2)),-IF(circ_int,0,eq_c1/2)+(s_0+5*s_r+IF(circ_int,eq_c1/2,0))*COS(PI()+(((7+0.5)*(4*IF(circ_int,0,eq_c1/2)+4*IF(circ_int,0,eq_c2/2)+2*PI()*(s_0+5*s_r+IF(circ_int,eq_c1/2,0)))/INDEX(lk_legs,6))-(((((2*IF(circ_int,0,eq_c2/2))+(PI()*(s_0+5*s_r+IF(circ_int,eq_c1/2,0))/2))+2*IF(circ_int,0,eq_c1/2))+(PI()*(s_0+5*s_r+IF(circ_int,eq_c1/2,0))/2))+2*IF(circ_int,0,eq_c2/2)))/(s_0+5*s_r+IF(circ_int,eq_c1/2,0))),IF(((7+0.5)*(4*IF(circ_int,0,eq_c1/2)+4*IF(circ_int,0,eq_c2/2)+2*PI()*(s_0+5*s_r+IF(circ_int,eq_c1/2,0)))/INDEX(lk_legs,6))&lt;(((((((2*IF(circ_int,0,eq_c2/2))+(PI()*(s_0+5*s_r+IF(circ_int,eq_c1/2,0))/2))+2*IF(circ_int,0,eq_c1/2))+(PI()*(s_0+5*s_r+IF(circ_int,eq_c1/2,0))/2))+2*IF(circ_int,0,eq_c2/2))+(PI()*(s_0+5*s_r+IF(circ_int,eq_c1/2,0))/2))+2*IF(circ_int,0,eq_c1/2)),-IF(circ_int,0,eq_c1/2)+(((7+0.5)*(4*IF(circ_int,0,eq_c1/2)+4*IF(circ_int,0,eq_c2/2)+2*PI()*(s_0+5*s_r+IF(circ_int,eq_c1/2,0)))/INDEX(lk_legs,6))-((((((2*IF(circ_int,0,eq_c2/2))+(PI()*(s_0+5*s_r+IF(circ_int,eq_c1/2,0))/2))+2*IF(circ_int,0,eq_c1/2))+(PI()*(s_0+5*s_r+IF(circ_int,eq_c1/2,0))/2))+2*IF(circ_int,0,eq_c2/2))+(PI()*(s_0+5*s_r+IF(circ_int,eq_c1/2,0))/2))),IF(circ_int,0,eq_c1/2)+(s_0+5*s_r+IF(circ_int,eq_c1/2,0))*COS(3*PI()/2+(((7+0.5)*(4*IF(circ_int,0,eq_c1/2)+4*IF(circ_int,0,eq_c2/2)+2*PI()*(s_0+5*s_r+IF(circ_int,eq_c1/2,0)))/INDEX(lk_legs,6))-(((((((2*IF(circ_int,0,eq_c2/2))+(PI()*(s_0+5*s_r+IF(circ_int,eq_c1/2,0))/2))+2*IF(circ_int,0,eq_c1/2))+(PI()*(s_0+5*s_r+IF(circ_int,eq_c1/2,0))/2))+2*IF(circ_int,0,eq_c2/2))+(PI()*(s_0+5*s_r+IF(circ_int,eq_c1/2,0))/2))+2*IF(circ_int,0,eq_c1/2)))/(s_0+5*s_r+IF(circ_int,eq_c1/2,0)))))))))),NA())</f>
        <v/>
      </c>
      <c r="CE10">
        <f>IF(AND(AND(links_on,6&lt;=n_per),INDEX(lk_kind,6)=1,7&lt;INDEX(lk_legs,6)),g_oy+IF(((7+0.5)*(4*IF(circ_int,0,eq_c1/2)+4*IF(circ_int,0,eq_c2/2)+2*PI()*(s_0+5*s_r+IF(circ_int,eq_c1/2,0)))/INDEX(lk_legs,6))&lt;(2*IF(circ_int,0,eq_c2/2)),-IF(circ_int,0,eq_c2/2)+((7+0.5)*(4*IF(circ_int,0,eq_c1/2)+4*IF(circ_int,0,eq_c2/2)+2*PI()*(s_0+5*s_r+IF(circ_int,eq_c1/2,0)))/INDEX(lk_legs,6)),IF(((7+0.5)*(4*IF(circ_int,0,eq_c1/2)+4*IF(circ_int,0,eq_c2/2)+2*PI()*(s_0+5*s_r+IF(circ_int,eq_c1/2,0)))/INDEX(lk_legs,6))&lt;((2*IF(circ_int,0,eq_c2/2))+(PI()*(s_0+5*s_r+IF(circ_int,eq_c1/2,0))/2)),IF(circ_int,0,eq_c2/2)+(s_0+5*s_r+IF(circ_int,eq_c1/2,0))*SIN((((7+0.5)*(4*IF(circ_int,0,eq_c1/2)+4*IF(circ_int,0,eq_c2/2)+2*PI()*(s_0+5*s_r+IF(circ_int,eq_c1/2,0)))/INDEX(lk_legs,6))-(2*IF(circ_int,0,eq_c2/2)))/(s_0+5*s_r+IF(circ_int,eq_c1/2,0))),IF(((7+0.5)*(4*IF(circ_int,0,eq_c1/2)+4*IF(circ_int,0,eq_c2/2)+2*PI()*(s_0+5*s_r+IF(circ_int,eq_c1/2,0)))/INDEX(lk_legs,6))&lt;(((2*IF(circ_int,0,eq_c2/2))+(PI()*(s_0+5*s_r+IF(circ_int,eq_c1/2,0))/2))+2*IF(circ_int,0,eq_c1/2)),IF(circ_int,0,eq_c2/2)+(s_0+5*s_r+IF(circ_int,eq_c1/2,0)),IF(((7+0.5)*(4*IF(circ_int,0,eq_c1/2)+4*IF(circ_int,0,eq_c2/2)+2*PI()*(s_0+5*s_r+IF(circ_int,eq_c1/2,0)))/INDEX(lk_legs,6))&lt;((((2*IF(circ_int,0,eq_c2/2))+(PI()*(s_0+5*s_r+IF(circ_int,eq_c1/2,0))/2))+2*IF(circ_int,0,eq_c1/2))+(PI()*(s_0+5*s_r+IF(circ_int,eq_c1/2,0))/2)),IF(circ_int,0,eq_c2/2)+(s_0+5*s_r+IF(circ_int,eq_c1/2,0))*SIN(PI()/2+(((7+0.5)*(4*IF(circ_int,0,eq_c1/2)+4*IF(circ_int,0,eq_c2/2)+2*PI()*(s_0+5*s_r+IF(circ_int,eq_c1/2,0)))/INDEX(lk_legs,6))-(((2*IF(circ_int,0,eq_c2/2))+(PI()*(s_0+5*s_r+IF(circ_int,eq_c1/2,0))/2))+2*IF(circ_int,0,eq_c1/2)))/(s_0+5*s_r+IF(circ_int,eq_c1/2,0))),IF(((7+0.5)*(4*IF(circ_int,0,eq_c1/2)+4*IF(circ_int,0,eq_c2/2)+2*PI()*(s_0+5*s_r+IF(circ_int,eq_c1/2,0)))/INDEX(lk_legs,6))&lt;(((((2*IF(circ_int,0,eq_c2/2))+(PI()*(s_0+5*s_r+IF(circ_int,eq_c1/2,0))/2))+2*IF(circ_int,0,eq_c1/2))+(PI()*(s_0+5*s_r+IF(circ_int,eq_c1/2,0))/2))+2*IF(circ_int,0,eq_c2/2)),IF(circ_int,0,eq_c2/2)-(((7+0.5)*(4*IF(circ_int,0,eq_c1/2)+4*IF(circ_int,0,eq_c2/2)+2*PI()*(s_0+5*s_r+IF(circ_int,eq_c1/2,0)))/INDEX(lk_legs,6))-((((2*IF(circ_int,0,eq_c2/2))+(PI()*(s_0+5*s_r+IF(circ_int,eq_c1/2,0))/2))+2*IF(circ_int,0,eq_c1/2))+(PI()*(s_0+5*s_r+IF(circ_int,eq_c1/2,0))/2))),IF(((7+0.5)*(4*IF(circ_int,0,eq_c1/2)+4*IF(circ_int,0,eq_c2/2)+2*PI()*(s_0+5*s_r+IF(circ_int,eq_c1/2,0)))/INDEX(lk_legs,6))&lt;((((((2*IF(circ_int,0,eq_c2/2))+(PI()*(s_0+5*s_r+IF(circ_int,eq_c1/2,0))/2))+2*IF(circ_int,0,eq_c1/2))+(PI()*(s_0+5*s_r+IF(circ_int,eq_c1/2,0))/2))+2*IF(circ_int,0,eq_c2/2))+(PI()*(s_0+5*s_r+IF(circ_int,eq_c1/2,0))/2)),-IF(circ_int,0,eq_c2/2)+(s_0+5*s_r+IF(circ_int,eq_c1/2,0))*SIN(PI()+(((7+0.5)*(4*IF(circ_int,0,eq_c1/2)+4*IF(circ_int,0,eq_c2/2)+2*PI()*(s_0+5*s_r+IF(circ_int,eq_c1/2,0)))/INDEX(lk_legs,6))-(((((2*IF(circ_int,0,eq_c2/2))+(PI()*(s_0+5*s_r+IF(circ_int,eq_c1/2,0))/2))+2*IF(circ_int,0,eq_c1/2))+(PI()*(s_0+5*s_r+IF(circ_int,eq_c1/2,0))/2))+2*IF(circ_int,0,eq_c2/2)))/(s_0+5*s_r+IF(circ_int,eq_c1/2,0))),IF(((7+0.5)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(7+0.5)*(4*IF(circ_int,0,eq_c1/2)+4*IF(circ_int,0,eq_c2/2)+2*PI()*(s_0+5*s_r+IF(circ_int,eq_c1/2,0)))/INDEX(lk_legs,6))-(((((((2*IF(circ_int,0,eq_c2/2))+(PI()*(s_0+5*s_r+IF(circ_int,eq_c1/2,0))/2))+2*IF(circ_int,0,eq_c1/2))+(PI()*(s_0+5*s_r+IF(circ_int,eq_c1/2,0))/2))+2*IF(circ_int,0,eq_c2/2))+(PI()*(s_0+5*s_r+IF(circ_int,eq_c1/2,0))/2))+2*IF(circ_int,0,eq_c1/2)))/(s_0+5*s_r+IF(circ_int,eq_c1/2,0)))))))))),NA())</f>
        <v/>
      </c>
      <c r="CG10">
        <f>IF(AND(links_on,7&lt;=n_per),IF(circ_int,(g_ox)+(c_1/2+(s_0+6*s_r))*0.663123,CHOOSE(INDEX(lk_kind,7),(g_ox+eq_c1/2)+((s_0+6*s_r))*0.608761,(eq_a1+eq_c1)+((s_0+6*s_r))*0.707107,(eq_a1+eq_c1)+((s_0+6*s_r))*0.707107,(eq_a1)+((s_0+6*s_r))*-0.707107)),NA())</f>
        <v/>
      </c>
      <c r="CH10">
        <f>IF(AND(links_on,7&lt;=n_per),IF(circ_int,(g_oy)+(c_1/2+(s_0+6*s_r))*0.748511,CHOOSE(INDEX(lk_kind,7),(g_oy+eq_c2/2)+((s_0+6*s_r))*0.793353,(g_oy+eq_c2/2)+((s_0+6*s_r))*0.707107,(eq_a2+eq_c2)+((s_0+6*s_r))*0.707107,(eq_a2+eq_c2)+((s_0+6*s_r))*0.707107)),NA())</f>
        <v/>
      </c>
      <c r="CJ10">
        <f>IF(AND(AND(links_on,7&lt;=n_per),INDEX(lk_kind,7)=1,7&lt;INDEX(lk_legs,7)),g_ox+IF(((7+0.5)*(4*IF(circ_int,0,eq_c1/2)+4*IF(circ_int,0,eq_c2/2)+2*PI()*(s_0+6*s_r+IF(circ_int,eq_c1/2,0)))/INDEX(lk_legs,7))&lt;(2*IF(circ_int,0,eq_c2/2)),IF(circ_int,0,eq_c1/2)+(s_0+6*s_r+IF(circ_int,eq_c1/2,0)),IF(((7+0.5)*(4*IF(circ_int,0,eq_c1/2)+4*IF(circ_int,0,eq_c2/2)+2*PI()*(s_0+6*s_r+IF(circ_int,eq_c1/2,0)))/INDEX(lk_legs,7))&lt;((2*IF(circ_int,0,eq_c2/2))+(PI()*(s_0+6*s_r+IF(circ_int,eq_c1/2,0))/2)),IF(circ_int,0,eq_c1/2)+(s_0+6*s_r+IF(circ_int,eq_c1/2,0))*COS((((7+0.5)*(4*IF(circ_int,0,eq_c1/2)+4*IF(circ_int,0,eq_c2/2)+2*PI()*(s_0+6*s_r+IF(circ_int,eq_c1/2,0)))/INDEX(lk_legs,7))-(2*IF(circ_int,0,eq_c2/2)))/(s_0+6*s_r+IF(circ_int,eq_c1/2,0))),IF(((7+0.5)*(4*IF(circ_int,0,eq_c1/2)+4*IF(circ_int,0,eq_c2/2)+2*PI()*(s_0+6*s_r+IF(circ_int,eq_c1/2,0)))/INDEX(lk_legs,7))&lt;(((2*IF(circ_int,0,eq_c2/2))+(PI()*(s_0+6*s_r+IF(circ_int,eq_c1/2,0))/2))+2*IF(circ_int,0,eq_c1/2)),IF(circ_int,0,eq_c1/2)-(((7+0.5)*(4*IF(circ_int,0,eq_c1/2)+4*IF(circ_int,0,eq_c2/2)+2*PI()*(s_0+6*s_r+IF(circ_int,eq_c1/2,0)))/INDEX(lk_legs,7))-((2*IF(circ_int,0,eq_c2/2))+(PI()*(s_0+6*s_r+IF(circ_int,eq_c1/2,0))/2))),IF(((7+0.5)*(4*IF(circ_int,0,eq_c1/2)+4*IF(circ_int,0,eq_c2/2)+2*PI()*(s_0+6*s_r+IF(circ_int,eq_c1/2,0)))/INDEX(lk_legs,7))&lt;((((2*IF(circ_int,0,eq_c2/2))+(PI()*(s_0+6*s_r+IF(circ_int,eq_c1/2,0))/2))+2*IF(circ_int,0,eq_c1/2))+(PI()*(s_0+6*s_r+IF(circ_int,eq_c1/2,0))/2)),-IF(circ_int,0,eq_c1/2)+(s_0+6*s_r+IF(circ_int,eq_c1/2,0))*COS(PI()/2+(((7+0.5)*(4*IF(circ_int,0,eq_c1/2)+4*IF(circ_int,0,eq_c2/2)+2*PI()*(s_0+6*s_r+IF(circ_int,eq_c1/2,0)))/INDEX(lk_legs,7))-(((2*IF(circ_int,0,eq_c2/2))+(PI()*(s_0+6*s_r+IF(circ_int,eq_c1/2,0))/2))+2*IF(circ_int,0,eq_c1/2)))/(s_0+6*s_r+IF(circ_int,eq_c1/2,0))),IF(((7+0.5)*(4*IF(circ_int,0,eq_c1/2)+4*IF(circ_int,0,eq_c2/2)+2*PI()*(s_0+6*s_r+IF(circ_int,eq_c1/2,0)))/INDEX(lk_legs,7))&lt;(((((2*IF(circ_int,0,eq_c2/2))+(PI()*(s_0+6*s_r+IF(circ_int,eq_c1/2,0))/2))+2*IF(circ_int,0,eq_c1/2))+(PI()*(s_0+6*s_r+IF(circ_int,eq_c1/2,0))/2))+2*IF(circ_int,0,eq_c2/2)),-IF(circ_int,0,eq_c1/2)-(s_0+6*s_r+IF(circ_int,eq_c1/2,0)),IF(((7+0.5)*(4*IF(circ_int,0,eq_c1/2)+4*IF(circ_int,0,eq_c2/2)+2*PI()*(s_0+6*s_r+IF(circ_int,eq_c1/2,0)))/INDEX(lk_legs,7))&lt;((((((2*IF(circ_int,0,eq_c2/2))+(PI()*(s_0+6*s_r+IF(circ_int,eq_c1/2,0))/2))+2*IF(circ_int,0,eq_c1/2))+(PI()*(s_0+6*s_r+IF(circ_int,eq_c1/2,0))/2))+2*IF(circ_int,0,eq_c2/2))+(PI()*(s_0+6*s_r+IF(circ_int,eq_c1/2,0))/2)),-IF(circ_int,0,eq_c1/2)+(s_0+6*s_r+IF(circ_int,eq_c1/2,0))*COS(PI()+(((7+0.5)*(4*IF(circ_int,0,eq_c1/2)+4*IF(circ_int,0,eq_c2/2)+2*PI()*(s_0+6*s_r+IF(circ_int,eq_c1/2,0)))/INDEX(lk_legs,7))-(((((2*IF(circ_int,0,eq_c2/2))+(PI()*(s_0+6*s_r+IF(circ_int,eq_c1/2,0))/2))+2*IF(circ_int,0,eq_c1/2))+(PI()*(s_0+6*s_r+IF(circ_int,eq_c1/2,0))/2))+2*IF(circ_int,0,eq_c2/2)))/(s_0+6*s_r+IF(circ_int,eq_c1/2,0))),IF(((7+0.5)*(4*IF(circ_int,0,eq_c1/2)+4*IF(circ_int,0,eq_c2/2)+2*PI()*(s_0+6*s_r+IF(circ_int,eq_c1/2,0)))/INDEX(lk_legs,7))&lt;(((((((2*IF(circ_int,0,eq_c2/2))+(PI()*(s_0+6*s_r+IF(circ_int,eq_c1/2,0))/2))+2*IF(circ_int,0,eq_c1/2))+(PI()*(s_0+6*s_r+IF(circ_int,eq_c1/2,0))/2))+2*IF(circ_int,0,eq_c2/2))+(PI()*(s_0+6*s_r+IF(circ_int,eq_c1/2,0))/2))+2*IF(circ_int,0,eq_c1/2)),-IF(circ_int,0,eq_c1/2)+(((7+0.5)*(4*IF(circ_int,0,eq_c1/2)+4*IF(circ_int,0,eq_c2/2)+2*PI()*(s_0+6*s_r+IF(circ_int,eq_c1/2,0)))/INDEX(lk_legs,7))-((((((2*IF(circ_int,0,eq_c2/2))+(PI()*(s_0+6*s_r+IF(circ_int,eq_c1/2,0))/2))+2*IF(circ_int,0,eq_c1/2))+(PI()*(s_0+6*s_r+IF(circ_int,eq_c1/2,0))/2))+2*IF(circ_int,0,eq_c2/2))+(PI()*(s_0+6*s_r+IF(circ_int,eq_c1/2,0))/2))),IF(circ_int,0,eq_c1/2)+(s_0+6*s_r+IF(circ_int,eq_c1/2,0))*COS(3*PI()/2+(((7+0.5)*(4*IF(circ_int,0,eq_c1/2)+4*IF(circ_int,0,eq_c2/2)+2*PI()*(s_0+6*s_r+IF(circ_int,eq_c1/2,0)))/INDEX(lk_legs,7))-(((((((2*IF(circ_int,0,eq_c2/2))+(PI()*(s_0+6*s_r+IF(circ_int,eq_c1/2,0))/2))+2*IF(circ_int,0,eq_c1/2))+(PI()*(s_0+6*s_r+IF(circ_int,eq_c1/2,0))/2))+2*IF(circ_int,0,eq_c2/2))+(PI()*(s_0+6*s_r+IF(circ_int,eq_c1/2,0))/2))+2*IF(circ_int,0,eq_c1/2)))/(s_0+6*s_r+IF(circ_int,eq_c1/2,0)))))))))),NA())</f>
        <v/>
      </c>
      <c r="CK10">
        <f>IF(AND(AND(links_on,7&lt;=n_per),INDEX(lk_kind,7)=1,7&lt;INDEX(lk_legs,7)),g_oy+IF(((7+0.5)*(4*IF(circ_int,0,eq_c1/2)+4*IF(circ_int,0,eq_c2/2)+2*PI()*(s_0+6*s_r+IF(circ_int,eq_c1/2,0)))/INDEX(lk_legs,7))&lt;(2*IF(circ_int,0,eq_c2/2)),-IF(circ_int,0,eq_c2/2)+((7+0.5)*(4*IF(circ_int,0,eq_c1/2)+4*IF(circ_int,0,eq_c2/2)+2*PI()*(s_0+6*s_r+IF(circ_int,eq_c1/2,0)))/INDEX(lk_legs,7)),IF(((7+0.5)*(4*IF(circ_int,0,eq_c1/2)+4*IF(circ_int,0,eq_c2/2)+2*PI()*(s_0+6*s_r+IF(circ_int,eq_c1/2,0)))/INDEX(lk_legs,7))&lt;((2*IF(circ_int,0,eq_c2/2))+(PI()*(s_0+6*s_r+IF(circ_int,eq_c1/2,0))/2)),IF(circ_int,0,eq_c2/2)+(s_0+6*s_r+IF(circ_int,eq_c1/2,0))*SIN((((7+0.5)*(4*IF(circ_int,0,eq_c1/2)+4*IF(circ_int,0,eq_c2/2)+2*PI()*(s_0+6*s_r+IF(circ_int,eq_c1/2,0)))/INDEX(lk_legs,7))-(2*IF(circ_int,0,eq_c2/2)))/(s_0+6*s_r+IF(circ_int,eq_c1/2,0))),IF(((7+0.5)*(4*IF(circ_int,0,eq_c1/2)+4*IF(circ_int,0,eq_c2/2)+2*PI()*(s_0+6*s_r+IF(circ_int,eq_c1/2,0)))/INDEX(lk_legs,7))&lt;(((2*IF(circ_int,0,eq_c2/2))+(PI()*(s_0+6*s_r+IF(circ_int,eq_c1/2,0))/2))+2*IF(circ_int,0,eq_c1/2)),IF(circ_int,0,eq_c2/2)+(s_0+6*s_r+IF(circ_int,eq_c1/2,0)),IF(((7+0.5)*(4*IF(circ_int,0,eq_c1/2)+4*IF(circ_int,0,eq_c2/2)+2*PI()*(s_0+6*s_r+IF(circ_int,eq_c1/2,0)))/INDEX(lk_legs,7))&lt;((((2*IF(circ_int,0,eq_c2/2))+(PI()*(s_0+6*s_r+IF(circ_int,eq_c1/2,0))/2))+2*IF(circ_int,0,eq_c1/2))+(PI()*(s_0+6*s_r+IF(circ_int,eq_c1/2,0))/2)),IF(circ_int,0,eq_c2/2)+(s_0+6*s_r+IF(circ_int,eq_c1/2,0))*SIN(PI()/2+(((7+0.5)*(4*IF(circ_int,0,eq_c1/2)+4*IF(circ_int,0,eq_c2/2)+2*PI()*(s_0+6*s_r+IF(circ_int,eq_c1/2,0)))/INDEX(lk_legs,7))-(((2*IF(circ_int,0,eq_c2/2))+(PI()*(s_0+6*s_r+IF(circ_int,eq_c1/2,0))/2))+2*IF(circ_int,0,eq_c1/2)))/(s_0+6*s_r+IF(circ_int,eq_c1/2,0))),IF(((7+0.5)*(4*IF(circ_int,0,eq_c1/2)+4*IF(circ_int,0,eq_c2/2)+2*PI()*(s_0+6*s_r+IF(circ_int,eq_c1/2,0)))/INDEX(lk_legs,7))&lt;(((((2*IF(circ_int,0,eq_c2/2))+(PI()*(s_0+6*s_r+IF(circ_int,eq_c1/2,0))/2))+2*IF(circ_int,0,eq_c1/2))+(PI()*(s_0+6*s_r+IF(circ_int,eq_c1/2,0))/2))+2*IF(circ_int,0,eq_c2/2)),IF(circ_int,0,eq_c2/2)-(((7+0.5)*(4*IF(circ_int,0,eq_c1/2)+4*IF(circ_int,0,eq_c2/2)+2*PI()*(s_0+6*s_r+IF(circ_int,eq_c1/2,0)))/INDEX(lk_legs,7))-((((2*IF(circ_int,0,eq_c2/2))+(PI()*(s_0+6*s_r+IF(circ_int,eq_c1/2,0))/2))+2*IF(circ_int,0,eq_c1/2))+(PI()*(s_0+6*s_r+IF(circ_int,eq_c1/2,0))/2))),IF(((7+0.5)*(4*IF(circ_int,0,eq_c1/2)+4*IF(circ_int,0,eq_c2/2)+2*PI()*(s_0+6*s_r+IF(circ_int,eq_c1/2,0)))/INDEX(lk_legs,7))&lt;((((((2*IF(circ_int,0,eq_c2/2))+(PI()*(s_0+6*s_r+IF(circ_int,eq_c1/2,0))/2))+2*IF(circ_int,0,eq_c1/2))+(PI()*(s_0+6*s_r+IF(circ_int,eq_c1/2,0))/2))+2*IF(circ_int,0,eq_c2/2))+(PI()*(s_0+6*s_r+IF(circ_int,eq_c1/2,0))/2)),-IF(circ_int,0,eq_c2/2)+(s_0+6*s_r+IF(circ_int,eq_c1/2,0))*SIN(PI()+(((7+0.5)*(4*IF(circ_int,0,eq_c1/2)+4*IF(circ_int,0,eq_c2/2)+2*PI()*(s_0+6*s_r+IF(circ_int,eq_c1/2,0)))/INDEX(lk_legs,7))-(((((2*IF(circ_int,0,eq_c2/2))+(PI()*(s_0+6*s_r+IF(circ_int,eq_c1/2,0))/2))+2*IF(circ_int,0,eq_c1/2))+(PI()*(s_0+6*s_r+IF(circ_int,eq_c1/2,0))/2))+2*IF(circ_int,0,eq_c2/2)))/(s_0+6*s_r+IF(circ_int,eq_c1/2,0))),IF(((7+0.5)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(7+0.5)*(4*IF(circ_int,0,eq_c1/2)+4*IF(circ_int,0,eq_c2/2)+2*PI()*(s_0+6*s_r+IF(circ_int,eq_c1/2,0)))/INDEX(lk_legs,7))-(((((((2*IF(circ_int,0,eq_c2/2))+(PI()*(s_0+6*s_r+IF(circ_int,eq_c1/2,0))/2))+2*IF(circ_int,0,eq_c1/2))+(PI()*(s_0+6*s_r+IF(circ_int,eq_c1/2,0))/2))+2*IF(circ_int,0,eq_c2/2))+(PI()*(s_0+6*s_r+IF(circ_int,eq_c1/2,0))/2))+2*IF(circ_int,0,eq_c1/2)))/(s_0+6*s_r+IF(circ_int,eq_c1/2,0)))))))))),NA())</f>
        <v/>
      </c>
      <c r="CM10">
        <f>IF(AND(links_on,8&lt;=n_per),IF(circ_int,(g_ox)+(c_1/2+(s_0+7*s_r))*0.663123,CHOOSE(INDEX(lk_kind,8),(g_ox+eq_c1/2)+((s_0+7*s_r))*0.608761,(eq_a1+eq_c1)+((s_0+7*s_r))*0.707107,(eq_a1+eq_c1)+((s_0+7*s_r))*0.707107,(eq_a1)+((s_0+7*s_r))*-0.707107)),NA())</f>
        <v/>
      </c>
      <c r="CN10">
        <f>IF(AND(links_on,8&lt;=n_per),IF(circ_int,(g_oy)+(c_1/2+(s_0+7*s_r))*0.748511,CHOOSE(INDEX(lk_kind,8),(g_oy+eq_c2/2)+((s_0+7*s_r))*0.793353,(g_oy+eq_c2/2)+((s_0+7*s_r))*0.707107,(eq_a2+eq_c2)+((s_0+7*s_r))*0.707107,(eq_a2+eq_c2)+((s_0+7*s_r))*0.707107)),NA())</f>
        <v/>
      </c>
      <c r="CP10">
        <f>IF(AND(AND(links_on,8&lt;=n_per),INDEX(lk_kind,8)=1,7&lt;INDEX(lk_legs,8)),g_ox+IF(((7+0.5)*(4*IF(circ_int,0,eq_c1/2)+4*IF(circ_int,0,eq_c2/2)+2*PI()*(s_0+7*s_r+IF(circ_int,eq_c1/2,0)))/INDEX(lk_legs,8))&lt;(2*IF(circ_int,0,eq_c2/2)),IF(circ_int,0,eq_c1/2)+(s_0+7*s_r+IF(circ_int,eq_c1/2,0)),IF(((7+0.5)*(4*IF(circ_int,0,eq_c1/2)+4*IF(circ_int,0,eq_c2/2)+2*PI()*(s_0+7*s_r+IF(circ_int,eq_c1/2,0)))/INDEX(lk_legs,8))&lt;((2*IF(circ_int,0,eq_c2/2))+(PI()*(s_0+7*s_r+IF(circ_int,eq_c1/2,0))/2)),IF(circ_int,0,eq_c1/2)+(s_0+7*s_r+IF(circ_int,eq_c1/2,0))*COS((((7+0.5)*(4*IF(circ_int,0,eq_c1/2)+4*IF(circ_int,0,eq_c2/2)+2*PI()*(s_0+7*s_r+IF(circ_int,eq_c1/2,0)))/INDEX(lk_legs,8))-(2*IF(circ_int,0,eq_c2/2)))/(s_0+7*s_r+IF(circ_int,eq_c1/2,0))),IF(((7+0.5)*(4*IF(circ_int,0,eq_c1/2)+4*IF(circ_int,0,eq_c2/2)+2*PI()*(s_0+7*s_r+IF(circ_int,eq_c1/2,0)))/INDEX(lk_legs,8))&lt;(((2*IF(circ_int,0,eq_c2/2))+(PI()*(s_0+7*s_r+IF(circ_int,eq_c1/2,0))/2))+2*IF(circ_int,0,eq_c1/2)),IF(circ_int,0,eq_c1/2)-(((7+0.5)*(4*IF(circ_int,0,eq_c1/2)+4*IF(circ_int,0,eq_c2/2)+2*PI()*(s_0+7*s_r+IF(circ_int,eq_c1/2,0)))/INDEX(lk_legs,8))-((2*IF(circ_int,0,eq_c2/2))+(PI()*(s_0+7*s_r+IF(circ_int,eq_c1/2,0))/2))),IF(((7+0.5)*(4*IF(circ_int,0,eq_c1/2)+4*IF(circ_int,0,eq_c2/2)+2*PI()*(s_0+7*s_r+IF(circ_int,eq_c1/2,0)))/INDEX(lk_legs,8))&lt;((((2*IF(circ_int,0,eq_c2/2))+(PI()*(s_0+7*s_r+IF(circ_int,eq_c1/2,0))/2))+2*IF(circ_int,0,eq_c1/2))+(PI()*(s_0+7*s_r+IF(circ_int,eq_c1/2,0))/2)),-IF(circ_int,0,eq_c1/2)+(s_0+7*s_r+IF(circ_int,eq_c1/2,0))*COS(PI()/2+(((7+0.5)*(4*IF(circ_int,0,eq_c1/2)+4*IF(circ_int,0,eq_c2/2)+2*PI()*(s_0+7*s_r+IF(circ_int,eq_c1/2,0)))/INDEX(lk_legs,8))-(((2*IF(circ_int,0,eq_c2/2))+(PI()*(s_0+7*s_r+IF(circ_int,eq_c1/2,0))/2))+2*IF(circ_int,0,eq_c1/2)))/(s_0+7*s_r+IF(circ_int,eq_c1/2,0))),IF(((7+0.5)*(4*IF(circ_int,0,eq_c1/2)+4*IF(circ_int,0,eq_c2/2)+2*PI()*(s_0+7*s_r+IF(circ_int,eq_c1/2,0)))/INDEX(lk_legs,8))&lt;(((((2*IF(circ_int,0,eq_c2/2))+(PI()*(s_0+7*s_r+IF(circ_int,eq_c1/2,0))/2))+2*IF(circ_int,0,eq_c1/2))+(PI()*(s_0+7*s_r+IF(circ_int,eq_c1/2,0))/2))+2*IF(circ_int,0,eq_c2/2)),-IF(circ_int,0,eq_c1/2)-(s_0+7*s_r+IF(circ_int,eq_c1/2,0)),IF(((7+0.5)*(4*IF(circ_int,0,eq_c1/2)+4*IF(circ_int,0,eq_c2/2)+2*PI()*(s_0+7*s_r+IF(circ_int,eq_c1/2,0)))/INDEX(lk_legs,8))&lt;((((((2*IF(circ_int,0,eq_c2/2))+(PI()*(s_0+7*s_r+IF(circ_int,eq_c1/2,0))/2))+2*IF(circ_int,0,eq_c1/2))+(PI()*(s_0+7*s_r+IF(circ_int,eq_c1/2,0))/2))+2*IF(circ_int,0,eq_c2/2))+(PI()*(s_0+7*s_r+IF(circ_int,eq_c1/2,0))/2)),-IF(circ_int,0,eq_c1/2)+(s_0+7*s_r+IF(circ_int,eq_c1/2,0))*COS(PI()+(((7+0.5)*(4*IF(circ_int,0,eq_c1/2)+4*IF(circ_int,0,eq_c2/2)+2*PI()*(s_0+7*s_r+IF(circ_int,eq_c1/2,0)))/INDEX(lk_legs,8))-(((((2*IF(circ_int,0,eq_c2/2))+(PI()*(s_0+7*s_r+IF(circ_int,eq_c1/2,0))/2))+2*IF(circ_int,0,eq_c1/2))+(PI()*(s_0+7*s_r+IF(circ_int,eq_c1/2,0))/2))+2*IF(circ_int,0,eq_c2/2)))/(s_0+7*s_r+IF(circ_int,eq_c1/2,0))),IF(((7+0.5)*(4*IF(circ_int,0,eq_c1/2)+4*IF(circ_int,0,eq_c2/2)+2*PI()*(s_0+7*s_r+IF(circ_int,eq_c1/2,0)))/INDEX(lk_legs,8))&lt;(((((((2*IF(circ_int,0,eq_c2/2))+(PI()*(s_0+7*s_r+IF(circ_int,eq_c1/2,0))/2))+2*IF(circ_int,0,eq_c1/2))+(PI()*(s_0+7*s_r+IF(circ_int,eq_c1/2,0))/2))+2*IF(circ_int,0,eq_c2/2))+(PI()*(s_0+7*s_r+IF(circ_int,eq_c1/2,0))/2))+2*IF(circ_int,0,eq_c1/2)),-IF(circ_int,0,eq_c1/2)+(((7+0.5)*(4*IF(circ_int,0,eq_c1/2)+4*IF(circ_int,0,eq_c2/2)+2*PI()*(s_0+7*s_r+IF(circ_int,eq_c1/2,0)))/INDEX(lk_legs,8))-((((((2*IF(circ_int,0,eq_c2/2))+(PI()*(s_0+7*s_r+IF(circ_int,eq_c1/2,0))/2))+2*IF(circ_int,0,eq_c1/2))+(PI()*(s_0+7*s_r+IF(circ_int,eq_c1/2,0))/2))+2*IF(circ_int,0,eq_c2/2))+(PI()*(s_0+7*s_r+IF(circ_int,eq_c1/2,0))/2))),IF(circ_int,0,eq_c1/2)+(s_0+7*s_r+IF(circ_int,eq_c1/2,0))*COS(3*PI()/2+(((7+0.5)*(4*IF(circ_int,0,eq_c1/2)+4*IF(circ_int,0,eq_c2/2)+2*PI()*(s_0+7*s_r+IF(circ_int,eq_c1/2,0)))/INDEX(lk_legs,8))-(((((((2*IF(circ_int,0,eq_c2/2))+(PI()*(s_0+7*s_r+IF(circ_int,eq_c1/2,0))/2))+2*IF(circ_int,0,eq_c1/2))+(PI()*(s_0+7*s_r+IF(circ_int,eq_c1/2,0))/2))+2*IF(circ_int,0,eq_c2/2))+(PI()*(s_0+7*s_r+IF(circ_int,eq_c1/2,0))/2))+2*IF(circ_int,0,eq_c1/2)))/(s_0+7*s_r+IF(circ_int,eq_c1/2,0)))))))))),NA())</f>
        <v/>
      </c>
      <c r="CQ10">
        <f>IF(AND(AND(links_on,8&lt;=n_per),INDEX(lk_kind,8)=1,7&lt;INDEX(lk_legs,8)),g_oy+IF(((7+0.5)*(4*IF(circ_int,0,eq_c1/2)+4*IF(circ_int,0,eq_c2/2)+2*PI()*(s_0+7*s_r+IF(circ_int,eq_c1/2,0)))/INDEX(lk_legs,8))&lt;(2*IF(circ_int,0,eq_c2/2)),-IF(circ_int,0,eq_c2/2)+((7+0.5)*(4*IF(circ_int,0,eq_c1/2)+4*IF(circ_int,0,eq_c2/2)+2*PI()*(s_0+7*s_r+IF(circ_int,eq_c1/2,0)))/INDEX(lk_legs,8)),IF(((7+0.5)*(4*IF(circ_int,0,eq_c1/2)+4*IF(circ_int,0,eq_c2/2)+2*PI()*(s_0+7*s_r+IF(circ_int,eq_c1/2,0)))/INDEX(lk_legs,8))&lt;((2*IF(circ_int,0,eq_c2/2))+(PI()*(s_0+7*s_r+IF(circ_int,eq_c1/2,0))/2)),IF(circ_int,0,eq_c2/2)+(s_0+7*s_r+IF(circ_int,eq_c1/2,0))*SIN((((7+0.5)*(4*IF(circ_int,0,eq_c1/2)+4*IF(circ_int,0,eq_c2/2)+2*PI()*(s_0+7*s_r+IF(circ_int,eq_c1/2,0)))/INDEX(lk_legs,8))-(2*IF(circ_int,0,eq_c2/2)))/(s_0+7*s_r+IF(circ_int,eq_c1/2,0))),IF(((7+0.5)*(4*IF(circ_int,0,eq_c1/2)+4*IF(circ_int,0,eq_c2/2)+2*PI()*(s_0+7*s_r+IF(circ_int,eq_c1/2,0)))/INDEX(lk_legs,8))&lt;(((2*IF(circ_int,0,eq_c2/2))+(PI()*(s_0+7*s_r+IF(circ_int,eq_c1/2,0))/2))+2*IF(circ_int,0,eq_c1/2)),IF(circ_int,0,eq_c2/2)+(s_0+7*s_r+IF(circ_int,eq_c1/2,0)),IF(((7+0.5)*(4*IF(circ_int,0,eq_c1/2)+4*IF(circ_int,0,eq_c2/2)+2*PI()*(s_0+7*s_r+IF(circ_int,eq_c1/2,0)))/INDEX(lk_legs,8))&lt;((((2*IF(circ_int,0,eq_c2/2))+(PI()*(s_0+7*s_r+IF(circ_int,eq_c1/2,0))/2))+2*IF(circ_int,0,eq_c1/2))+(PI()*(s_0+7*s_r+IF(circ_int,eq_c1/2,0))/2)),IF(circ_int,0,eq_c2/2)+(s_0+7*s_r+IF(circ_int,eq_c1/2,0))*SIN(PI()/2+(((7+0.5)*(4*IF(circ_int,0,eq_c1/2)+4*IF(circ_int,0,eq_c2/2)+2*PI()*(s_0+7*s_r+IF(circ_int,eq_c1/2,0)))/INDEX(lk_legs,8))-(((2*IF(circ_int,0,eq_c2/2))+(PI()*(s_0+7*s_r+IF(circ_int,eq_c1/2,0))/2))+2*IF(circ_int,0,eq_c1/2)))/(s_0+7*s_r+IF(circ_int,eq_c1/2,0))),IF(((7+0.5)*(4*IF(circ_int,0,eq_c1/2)+4*IF(circ_int,0,eq_c2/2)+2*PI()*(s_0+7*s_r+IF(circ_int,eq_c1/2,0)))/INDEX(lk_legs,8))&lt;(((((2*IF(circ_int,0,eq_c2/2))+(PI()*(s_0+7*s_r+IF(circ_int,eq_c1/2,0))/2))+2*IF(circ_int,0,eq_c1/2))+(PI()*(s_0+7*s_r+IF(circ_int,eq_c1/2,0))/2))+2*IF(circ_int,0,eq_c2/2)),IF(circ_int,0,eq_c2/2)-(((7+0.5)*(4*IF(circ_int,0,eq_c1/2)+4*IF(circ_int,0,eq_c2/2)+2*PI()*(s_0+7*s_r+IF(circ_int,eq_c1/2,0)))/INDEX(lk_legs,8))-((((2*IF(circ_int,0,eq_c2/2))+(PI()*(s_0+7*s_r+IF(circ_int,eq_c1/2,0))/2))+2*IF(circ_int,0,eq_c1/2))+(PI()*(s_0+7*s_r+IF(circ_int,eq_c1/2,0))/2))),IF(((7+0.5)*(4*IF(circ_int,0,eq_c1/2)+4*IF(circ_int,0,eq_c2/2)+2*PI()*(s_0+7*s_r+IF(circ_int,eq_c1/2,0)))/INDEX(lk_legs,8))&lt;((((((2*IF(circ_int,0,eq_c2/2))+(PI()*(s_0+7*s_r+IF(circ_int,eq_c1/2,0))/2))+2*IF(circ_int,0,eq_c1/2))+(PI()*(s_0+7*s_r+IF(circ_int,eq_c1/2,0))/2))+2*IF(circ_int,0,eq_c2/2))+(PI()*(s_0+7*s_r+IF(circ_int,eq_c1/2,0))/2)),-IF(circ_int,0,eq_c2/2)+(s_0+7*s_r+IF(circ_int,eq_c1/2,0))*SIN(PI()+(((7+0.5)*(4*IF(circ_int,0,eq_c1/2)+4*IF(circ_int,0,eq_c2/2)+2*PI()*(s_0+7*s_r+IF(circ_int,eq_c1/2,0)))/INDEX(lk_legs,8))-(((((2*IF(circ_int,0,eq_c2/2))+(PI()*(s_0+7*s_r+IF(circ_int,eq_c1/2,0))/2))+2*IF(circ_int,0,eq_c1/2))+(PI()*(s_0+7*s_r+IF(circ_int,eq_c1/2,0))/2))+2*IF(circ_int,0,eq_c2/2)))/(s_0+7*s_r+IF(circ_int,eq_c1/2,0))),IF(((7+0.5)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(7+0.5)*(4*IF(circ_int,0,eq_c1/2)+4*IF(circ_int,0,eq_c2/2)+2*PI()*(s_0+7*s_r+IF(circ_int,eq_c1/2,0)))/INDEX(lk_legs,8))-(((((((2*IF(circ_int,0,eq_c2/2))+(PI()*(s_0+7*s_r+IF(circ_int,eq_c1/2,0))/2))+2*IF(circ_int,0,eq_c1/2))+(PI()*(s_0+7*s_r+IF(circ_int,eq_c1/2,0))/2))+2*IF(circ_int,0,eq_c2/2))+(PI()*(s_0+7*s_r+IF(circ_int,eq_c1/2,0))/2))+2*IF(circ_int,0,eq_c1/2)))/(s_0+7*s_r+IF(circ_int,eq_c1/2,0)))))))))),NA())</f>
        <v/>
      </c>
      <c r="CS10">
        <f>IF(AND(links_on,9&lt;=n_per),IF(circ_int,(g_ox)+(c_1/2+(s_0+8*s_r))*0.663123,CHOOSE(INDEX(lk_kind,9),(g_ox+eq_c1/2)+((s_0+8*s_r))*0.608761,(eq_a1+eq_c1)+((s_0+8*s_r))*0.707107,(eq_a1+eq_c1)+((s_0+8*s_r))*0.707107,(eq_a1)+((s_0+8*s_r))*-0.707107)),NA())</f>
        <v/>
      </c>
      <c r="CT10">
        <f>IF(AND(links_on,9&lt;=n_per),IF(circ_int,(g_oy)+(c_1/2+(s_0+8*s_r))*0.748511,CHOOSE(INDEX(lk_kind,9),(g_oy+eq_c2/2)+((s_0+8*s_r))*0.793353,(g_oy+eq_c2/2)+((s_0+8*s_r))*0.707107,(eq_a2+eq_c2)+((s_0+8*s_r))*0.707107,(eq_a2+eq_c2)+((s_0+8*s_r))*0.707107)),NA())</f>
        <v/>
      </c>
      <c r="CV10">
        <f>IF(AND(AND(links_on,9&lt;=n_per),INDEX(lk_kind,9)=1,7&lt;INDEX(lk_legs,9)),g_ox+IF(((7+0.5)*(4*IF(circ_int,0,eq_c1/2)+4*IF(circ_int,0,eq_c2/2)+2*PI()*(s_0+8*s_r+IF(circ_int,eq_c1/2,0)))/INDEX(lk_legs,9))&lt;(2*IF(circ_int,0,eq_c2/2)),IF(circ_int,0,eq_c1/2)+(s_0+8*s_r+IF(circ_int,eq_c1/2,0)),IF(((7+0.5)*(4*IF(circ_int,0,eq_c1/2)+4*IF(circ_int,0,eq_c2/2)+2*PI()*(s_0+8*s_r+IF(circ_int,eq_c1/2,0)))/INDEX(lk_legs,9))&lt;((2*IF(circ_int,0,eq_c2/2))+(PI()*(s_0+8*s_r+IF(circ_int,eq_c1/2,0))/2)),IF(circ_int,0,eq_c1/2)+(s_0+8*s_r+IF(circ_int,eq_c1/2,0))*COS((((7+0.5)*(4*IF(circ_int,0,eq_c1/2)+4*IF(circ_int,0,eq_c2/2)+2*PI()*(s_0+8*s_r+IF(circ_int,eq_c1/2,0)))/INDEX(lk_legs,9))-(2*IF(circ_int,0,eq_c2/2)))/(s_0+8*s_r+IF(circ_int,eq_c1/2,0))),IF(((7+0.5)*(4*IF(circ_int,0,eq_c1/2)+4*IF(circ_int,0,eq_c2/2)+2*PI()*(s_0+8*s_r+IF(circ_int,eq_c1/2,0)))/INDEX(lk_legs,9))&lt;(((2*IF(circ_int,0,eq_c2/2))+(PI()*(s_0+8*s_r+IF(circ_int,eq_c1/2,0))/2))+2*IF(circ_int,0,eq_c1/2)),IF(circ_int,0,eq_c1/2)-(((7+0.5)*(4*IF(circ_int,0,eq_c1/2)+4*IF(circ_int,0,eq_c2/2)+2*PI()*(s_0+8*s_r+IF(circ_int,eq_c1/2,0)))/INDEX(lk_legs,9))-((2*IF(circ_int,0,eq_c2/2))+(PI()*(s_0+8*s_r+IF(circ_int,eq_c1/2,0))/2))),IF(((7+0.5)*(4*IF(circ_int,0,eq_c1/2)+4*IF(circ_int,0,eq_c2/2)+2*PI()*(s_0+8*s_r+IF(circ_int,eq_c1/2,0)))/INDEX(lk_legs,9))&lt;((((2*IF(circ_int,0,eq_c2/2))+(PI()*(s_0+8*s_r+IF(circ_int,eq_c1/2,0))/2))+2*IF(circ_int,0,eq_c1/2))+(PI()*(s_0+8*s_r+IF(circ_int,eq_c1/2,0))/2)),-IF(circ_int,0,eq_c1/2)+(s_0+8*s_r+IF(circ_int,eq_c1/2,0))*COS(PI()/2+(((7+0.5)*(4*IF(circ_int,0,eq_c1/2)+4*IF(circ_int,0,eq_c2/2)+2*PI()*(s_0+8*s_r+IF(circ_int,eq_c1/2,0)))/INDEX(lk_legs,9))-(((2*IF(circ_int,0,eq_c2/2))+(PI()*(s_0+8*s_r+IF(circ_int,eq_c1/2,0))/2))+2*IF(circ_int,0,eq_c1/2)))/(s_0+8*s_r+IF(circ_int,eq_c1/2,0))),IF(((7+0.5)*(4*IF(circ_int,0,eq_c1/2)+4*IF(circ_int,0,eq_c2/2)+2*PI()*(s_0+8*s_r+IF(circ_int,eq_c1/2,0)))/INDEX(lk_legs,9))&lt;(((((2*IF(circ_int,0,eq_c2/2))+(PI()*(s_0+8*s_r+IF(circ_int,eq_c1/2,0))/2))+2*IF(circ_int,0,eq_c1/2))+(PI()*(s_0+8*s_r+IF(circ_int,eq_c1/2,0))/2))+2*IF(circ_int,0,eq_c2/2)),-IF(circ_int,0,eq_c1/2)-(s_0+8*s_r+IF(circ_int,eq_c1/2,0)),IF(((7+0.5)*(4*IF(circ_int,0,eq_c1/2)+4*IF(circ_int,0,eq_c2/2)+2*PI()*(s_0+8*s_r+IF(circ_int,eq_c1/2,0)))/INDEX(lk_legs,9))&lt;((((((2*IF(circ_int,0,eq_c2/2))+(PI()*(s_0+8*s_r+IF(circ_int,eq_c1/2,0))/2))+2*IF(circ_int,0,eq_c1/2))+(PI()*(s_0+8*s_r+IF(circ_int,eq_c1/2,0))/2))+2*IF(circ_int,0,eq_c2/2))+(PI()*(s_0+8*s_r+IF(circ_int,eq_c1/2,0))/2)),-IF(circ_int,0,eq_c1/2)+(s_0+8*s_r+IF(circ_int,eq_c1/2,0))*COS(PI()+(((7+0.5)*(4*IF(circ_int,0,eq_c1/2)+4*IF(circ_int,0,eq_c2/2)+2*PI()*(s_0+8*s_r+IF(circ_int,eq_c1/2,0)))/INDEX(lk_legs,9))-(((((2*IF(circ_int,0,eq_c2/2))+(PI()*(s_0+8*s_r+IF(circ_int,eq_c1/2,0))/2))+2*IF(circ_int,0,eq_c1/2))+(PI()*(s_0+8*s_r+IF(circ_int,eq_c1/2,0))/2))+2*IF(circ_int,0,eq_c2/2)))/(s_0+8*s_r+IF(circ_int,eq_c1/2,0))),IF(((7+0.5)*(4*IF(circ_int,0,eq_c1/2)+4*IF(circ_int,0,eq_c2/2)+2*PI()*(s_0+8*s_r+IF(circ_int,eq_c1/2,0)))/INDEX(lk_legs,9))&lt;(((((((2*IF(circ_int,0,eq_c2/2))+(PI()*(s_0+8*s_r+IF(circ_int,eq_c1/2,0))/2))+2*IF(circ_int,0,eq_c1/2))+(PI()*(s_0+8*s_r+IF(circ_int,eq_c1/2,0))/2))+2*IF(circ_int,0,eq_c2/2))+(PI()*(s_0+8*s_r+IF(circ_int,eq_c1/2,0))/2))+2*IF(circ_int,0,eq_c1/2)),-IF(circ_int,0,eq_c1/2)+(((7+0.5)*(4*IF(circ_int,0,eq_c1/2)+4*IF(circ_int,0,eq_c2/2)+2*PI()*(s_0+8*s_r+IF(circ_int,eq_c1/2,0)))/INDEX(lk_legs,9))-((((((2*IF(circ_int,0,eq_c2/2))+(PI()*(s_0+8*s_r+IF(circ_int,eq_c1/2,0))/2))+2*IF(circ_int,0,eq_c1/2))+(PI()*(s_0+8*s_r+IF(circ_int,eq_c1/2,0))/2))+2*IF(circ_int,0,eq_c2/2))+(PI()*(s_0+8*s_r+IF(circ_int,eq_c1/2,0))/2))),IF(circ_int,0,eq_c1/2)+(s_0+8*s_r+IF(circ_int,eq_c1/2,0))*COS(3*PI()/2+(((7+0.5)*(4*IF(circ_int,0,eq_c1/2)+4*IF(circ_int,0,eq_c2/2)+2*PI()*(s_0+8*s_r+IF(circ_int,eq_c1/2,0)))/INDEX(lk_legs,9))-(((((((2*IF(circ_int,0,eq_c2/2))+(PI()*(s_0+8*s_r+IF(circ_int,eq_c1/2,0))/2))+2*IF(circ_int,0,eq_c1/2))+(PI()*(s_0+8*s_r+IF(circ_int,eq_c1/2,0))/2))+2*IF(circ_int,0,eq_c2/2))+(PI()*(s_0+8*s_r+IF(circ_int,eq_c1/2,0))/2))+2*IF(circ_int,0,eq_c1/2)))/(s_0+8*s_r+IF(circ_int,eq_c1/2,0)))))))))),NA())</f>
        <v/>
      </c>
      <c r="CW10">
        <f>IF(AND(AND(links_on,9&lt;=n_per),INDEX(lk_kind,9)=1,7&lt;INDEX(lk_legs,9)),g_oy+IF(((7+0.5)*(4*IF(circ_int,0,eq_c1/2)+4*IF(circ_int,0,eq_c2/2)+2*PI()*(s_0+8*s_r+IF(circ_int,eq_c1/2,0)))/INDEX(lk_legs,9))&lt;(2*IF(circ_int,0,eq_c2/2)),-IF(circ_int,0,eq_c2/2)+((7+0.5)*(4*IF(circ_int,0,eq_c1/2)+4*IF(circ_int,0,eq_c2/2)+2*PI()*(s_0+8*s_r+IF(circ_int,eq_c1/2,0)))/INDEX(lk_legs,9)),IF(((7+0.5)*(4*IF(circ_int,0,eq_c1/2)+4*IF(circ_int,0,eq_c2/2)+2*PI()*(s_0+8*s_r+IF(circ_int,eq_c1/2,0)))/INDEX(lk_legs,9))&lt;((2*IF(circ_int,0,eq_c2/2))+(PI()*(s_0+8*s_r+IF(circ_int,eq_c1/2,0))/2)),IF(circ_int,0,eq_c2/2)+(s_0+8*s_r+IF(circ_int,eq_c1/2,0))*SIN((((7+0.5)*(4*IF(circ_int,0,eq_c1/2)+4*IF(circ_int,0,eq_c2/2)+2*PI()*(s_0+8*s_r+IF(circ_int,eq_c1/2,0)))/INDEX(lk_legs,9))-(2*IF(circ_int,0,eq_c2/2)))/(s_0+8*s_r+IF(circ_int,eq_c1/2,0))),IF(((7+0.5)*(4*IF(circ_int,0,eq_c1/2)+4*IF(circ_int,0,eq_c2/2)+2*PI()*(s_0+8*s_r+IF(circ_int,eq_c1/2,0)))/INDEX(lk_legs,9))&lt;(((2*IF(circ_int,0,eq_c2/2))+(PI()*(s_0+8*s_r+IF(circ_int,eq_c1/2,0))/2))+2*IF(circ_int,0,eq_c1/2)),IF(circ_int,0,eq_c2/2)+(s_0+8*s_r+IF(circ_int,eq_c1/2,0)),IF(((7+0.5)*(4*IF(circ_int,0,eq_c1/2)+4*IF(circ_int,0,eq_c2/2)+2*PI()*(s_0+8*s_r+IF(circ_int,eq_c1/2,0)))/INDEX(lk_legs,9))&lt;((((2*IF(circ_int,0,eq_c2/2))+(PI()*(s_0+8*s_r+IF(circ_int,eq_c1/2,0))/2))+2*IF(circ_int,0,eq_c1/2))+(PI()*(s_0+8*s_r+IF(circ_int,eq_c1/2,0))/2)),IF(circ_int,0,eq_c2/2)+(s_0+8*s_r+IF(circ_int,eq_c1/2,0))*SIN(PI()/2+(((7+0.5)*(4*IF(circ_int,0,eq_c1/2)+4*IF(circ_int,0,eq_c2/2)+2*PI()*(s_0+8*s_r+IF(circ_int,eq_c1/2,0)))/INDEX(lk_legs,9))-(((2*IF(circ_int,0,eq_c2/2))+(PI()*(s_0+8*s_r+IF(circ_int,eq_c1/2,0))/2))+2*IF(circ_int,0,eq_c1/2)))/(s_0+8*s_r+IF(circ_int,eq_c1/2,0))),IF(((7+0.5)*(4*IF(circ_int,0,eq_c1/2)+4*IF(circ_int,0,eq_c2/2)+2*PI()*(s_0+8*s_r+IF(circ_int,eq_c1/2,0)))/INDEX(lk_legs,9))&lt;(((((2*IF(circ_int,0,eq_c2/2))+(PI()*(s_0+8*s_r+IF(circ_int,eq_c1/2,0))/2))+2*IF(circ_int,0,eq_c1/2))+(PI()*(s_0+8*s_r+IF(circ_int,eq_c1/2,0))/2))+2*IF(circ_int,0,eq_c2/2)),IF(circ_int,0,eq_c2/2)-(((7+0.5)*(4*IF(circ_int,0,eq_c1/2)+4*IF(circ_int,0,eq_c2/2)+2*PI()*(s_0+8*s_r+IF(circ_int,eq_c1/2,0)))/INDEX(lk_legs,9))-((((2*IF(circ_int,0,eq_c2/2))+(PI()*(s_0+8*s_r+IF(circ_int,eq_c1/2,0))/2))+2*IF(circ_int,0,eq_c1/2))+(PI()*(s_0+8*s_r+IF(circ_int,eq_c1/2,0))/2))),IF(((7+0.5)*(4*IF(circ_int,0,eq_c1/2)+4*IF(circ_int,0,eq_c2/2)+2*PI()*(s_0+8*s_r+IF(circ_int,eq_c1/2,0)))/INDEX(lk_legs,9))&lt;((((((2*IF(circ_int,0,eq_c2/2))+(PI()*(s_0+8*s_r+IF(circ_int,eq_c1/2,0))/2))+2*IF(circ_int,0,eq_c1/2))+(PI()*(s_0+8*s_r+IF(circ_int,eq_c1/2,0))/2))+2*IF(circ_int,0,eq_c2/2))+(PI()*(s_0+8*s_r+IF(circ_int,eq_c1/2,0))/2)),-IF(circ_int,0,eq_c2/2)+(s_0+8*s_r+IF(circ_int,eq_c1/2,0))*SIN(PI()+(((7+0.5)*(4*IF(circ_int,0,eq_c1/2)+4*IF(circ_int,0,eq_c2/2)+2*PI()*(s_0+8*s_r+IF(circ_int,eq_c1/2,0)))/INDEX(lk_legs,9))-(((((2*IF(circ_int,0,eq_c2/2))+(PI()*(s_0+8*s_r+IF(circ_int,eq_c1/2,0))/2))+2*IF(circ_int,0,eq_c1/2))+(PI()*(s_0+8*s_r+IF(circ_int,eq_c1/2,0))/2))+2*IF(circ_int,0,eq_c2/2)))/(s_0+8*s_r+IF(circ_int,eq_c1/2,0))),IF(((7+0.5)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(7+0.5)*(4*IF(circ_int,0,eq_c1/2)+4*IF(circ_int,0,eq_c2/2)+2*PI()*(s_0+8*s_r+IF(circ_int,eq_c1/2,0)))/INDEX(lk_legs,9))-(((((((2*IF(circ_int,0,eq_c2/2))+(PI()*(s_0+8*s_r+IF(circ_int,eq_c1/2,0))/2))+2*IF(circ_int,0,eq_c1/2))+(PI()*(s_0+8*s_r+IF(circ_int,eq_c1/2,0))/2))+2*IF(circ_int,0,eq_c2/2))+(PI()*(s_0+8*s_r+IF(circ_int,eq_c1/2,0))/2))+2*IF(circ_int,0,eq_c1/2)))/(s_0+8*s_r+IF(circ_int,eq_c1/2,0)))))))))),NA())</f>
        <v/>
      </c>
      <c r="CY10">
        <f>IF(AND(links_on,10&lt;=n_per),IF(circ_int,(g_ox)+(c_1/2+(s_0+9*s_r))*0.663123,CHOOSE(INDEX(lk_kind,10),(g_ox+eq_c1/2)+((s_0+9*s_r))*0.608761,(eq_a1+eq_c1)+((s_0+9*s_r))*0.707107,(eq_a1+eq_c1)+((s_0+9*s_r))*0.707107,(eq_a1)+((s_0+9*s_r))*-0.707107)),NA())</f>
        <v/>
      </c>
      <c r="CZ10">
        <f>IF(AND(links_on,10&lt;=n_per),IF(circ_int,(g_oy)+(c_1/2+(s_0+9*s_r))*0.748511,CHOOSE(INDEX(lk_kind,10),(g_oy+eq_c2/2)+((s_0+9*s_r))*0.793353,(g_oy+eq_c2/2)+((s_0+9*s_r))*0.707107,(eq_a2+eq_c2)+((s_0+9*s_r))*0.707107,(eq_a2+eq_c2)+((s_0+9*s_r))*0.707107)),NA())</f>
        <v/>
      </c>
      <c r="DB10">
        <f>IF(AND(AND(links_on,10&lt;=n_per),INDEX(lk_kind,10)=1,7&lt;INDEX(lk_legs,10)),g_ox+IF(((7+0.5)*(4*IF(circ_int,0,eq_c1/2)+4*IF(circ_int,0,eq_c2/2)+2*PI()*(s_0+9*s_r+IF(circ_int,eq_c1/2,0)))/INDEX(lk_legs,10))&lt;(2*IF(circ_int,0,eq_c2/2)),IF(circ_int,0,eq_c1/2)+(s_0+9*s_r+IF(circ_int,eq_c1/2,0)),IF(((7+0.5)*(4*IF(circ_int,0,eq_c1/2)+4*IF(circ_int,0,eq_c2/2)+2*PI()*(s_0+9*s_r+IF(circ_int,eq_c1/2,0)))/INDEX(lk_legs,10))&lt;((2*IF(circ_int,0,eq_c2/2))+(PI()*(s_0+9*s_r+IF(circ_int,eq_c1/2,0))/2)),IF(circ_int,0,eq_c1/2)+(s_0+9*s_r+IF(circ_int,eq_c1/2,0))*COS((((7+0.5)*(4*IF(circ_int,0,eq_c1/2)+4*IF(circ_int,0,eq_c2/2)+2*PI()*(s_0+9*s_r+IF(circ_int,eq_c1/2,0)))/INDEX(lk_legs,10))-(2*IF(circ_int,0,eq_c2/2)))/(s_0+9*s_r+IF(circ_int,eq_c1/2,0))),IF(((7+0.5)*(4*IF(circ_int,0,eq_c1/2)+4*IF(circ_int,0,eq_c2/2)+2*PI()*(s_0+9*s_r+IF(circ_int,eq_c1/2,0)))/INDEX(lk_legs,10))&lt;(((2*IF(circ_int,0,eq_c2/2))+(PI()*(s_0+9*s_r+IF(circ_int,eq_c1/2,0))/2))+2*IF(circ_int,0,eq_c1/2)),IF(circ_int,0,eq_c1/2)-(((7+0.5)*(4*IF(circ_int,0,eq_c1/2)+4*IF(circ_int,0,eq_c2/2)+2*PI()*(s_0+9*s_r+IF(circ_int,eq_c1/2,0)))/INDEX(lk_legs,10))-((2*IF(circ_int,0,eq_c2/2))+(PI()*(s_0+9*s_r+IF(circ_int,eq_c1/2,0))/2))),IF(((7+0.5)*(4*IF(circ_int,0,eq_c1/2)+4*IF(circ_int,0,eq_c2/2)+2*PI()*(s_0+9*s_r+IF(circ_int,eq_c1/2,0)))/INDEX(lk_legs,10))&lt;((((2*IF(circ_int,0,eq_c2/2))+(PI()*(s_0+9*s_r+IF(circ_int,eq_c1/2,0))/2))+2*IF(circ_int,0,eq_c1/2))+(PI()*(s_0+9*s_r+IF(circ_int,eq_c1/2,0))/2)),-IF(circ_int,0,eq_c1/2)+(s_0+9*s_r+IF(circ_int,eq_c1/2,0))*COS(PI()/2+(((7+0.5)*(4*IF(circ_int,0,eq_c1/2)+4*IF(circ_int,0,eq_c2/2)+2*PI()*(s_0+9*s_r+IF(circ_int,eq_c1/2,0)))/INDEX(lk_legs,10))-(((2*IF(circ_int,0,eq_c2/2))+(PI()*(s_0+9*s_r+IF(circ_int,eq_c1/2,0))/2))+2*IF(circ_int,0,eq_c1/2)))/(s_0+9*s_r+IF(circ_int,eq_c1/2,0))),IF(((7+0.5)*(4*IF(circ_int,0,eq_c1/2)+4*IF(circ_int,0,eq_c2/2)+2*PI()*(s_0+9*s_r+IF(circ_int,eq_c1/2,0)))/INDEX(lk_legs,10))&lt;(((((2*IF(circ_int,0,eq_c2/2))+(PI()*(s_0+9*s_r+IF(circ_int,eq_c1/2,0))/2))+2*IF(circ_int,0,eq_c1/2))+(PI()*(s_0+9*s_r+IF(circ_int,eq_c1/2,0))/2))+2*IF(circ_int,0,eq_c2/2)),-IF(circ_int,0,eq_c1/2)-(s_0+9*s_r+IF(circ_int,eq_c1/2,0)),IF(((7+0.5)*(4*IF(circ_int,0,eq_c1/2)+4*IF(circ_int,0,eq_c2/2)+2*PI()*(s_0+9*s_r+IF(circ_int,eq_c1/2,0)))/INDEX(lk_legs,10))&lt;((((((2*IF(circ_int,0,eq_c2/2))+(PI()*(s_0+9*s_r+IF(circ_int,eq_c1/2,0))/2))+2*IF(circ_int,0,eq_c1/2))+(PI()*(s_0+9*s_r+IF(circ_int,eq_c1/2,0))/2))+2*IF(circ_int,0,eq_c2/2))+(PI()*(s_0+9*s_r+IF(circ_int,eq_c1/2,0))/2)),-IF(circ_int,0,eq_c1/2)+(s_0+9*s_r+IF(circ_int,eq_c1/2,0))*COS(PI()+(((7+0.5)*(4*IF(circ_int,0,eq_c1/2)+4*IF(circ_int,0,eq_c2/2)+2*PI()*(s_0+9*s_r+IF(circ_int,eq_c1/2,0)))/INDEX(lk_legs,10))-(((((2*IF(circ_int,0,eq_c2/2))+(PI()*(s_0+9*s_r+IF(circ_int,eq_c1/2,0))/2))+2*IF(circ_int,0,eq_c1/2))+(PI()*(s_0+9*s_r+IF(circ_int,eq_c1/2,0))/2))+2*IF(circ_int,0,eq_c2/2)))/(s_0+9*s_r+IF(circ_int,eq_c1/2,0))),IF(((7+0.5)*(4*IF(circ_int,0,eq_c1/2)+4*IF(circ_int,0,eq_c2/2)+2*PI()*(s_0+9*s_r+IF(circ_int,eq_c1/2,0)))/INDEX(lk_legs,10))&lt;(((((((2*IF(circ_int,0,eq_c2/2))+(PI()*(s_0+9*s_r+IF(circ_int,eq_c1/2,0))/2))+2*IF(circ_int,0,eq_c1/2))+(PI()*(s_0+9*s_r+IF(circ_int,eq_c1/2,0))/2))+2*IF(circ_int,0,eq_c2/2))+(PI()*(s_0+9*s_r+IF(circ_int,eq_c1/2,0))/2))+2*IF(circ_int,0,eq_c1/2)),-IF(circ_int,0,eq_c1/2)+(((7+0.5)*(4*IF(circ_int,0,eq_c1/2)+4*IF(circ_int,0,eq_c2/2)+2*PI()*(s_0+9*s_r+IF(circ_int,eq_c1/2,0)))/INDEX(lk_legs,10))-((((((2*IF(circ_int,0,eq_c2/2))+(PI()*(s_0+9*s_r+IF(circ_int,eq_c1/2,0))/2))+2*IF(circ_int,0,eq_c1/2))+(PI()*(s_0+9*s_r+IF(circ_int,eq_c1/2,0))/2))+2*IF(circ_int,0,eq_c2/2))+(PI()*(s_0+9*s_r+IF(circ_int,eq_c1/2,0))/2))),IF(circ_int,0,eq_c1/2)+(s_0+9*s_r+IF(circ_int,eq_c1/2,0))*COS(3*PI()/2+(((7+0.5)*(4*IF(circ_int,0,eq_c1/2)+4*IF(circ_int,0,eq_c2/2)+2*PI()*(s_0+9*s_r+IF(circ_int,eq_c1/2,0)))/INDEX(lk_legs,10))-(((((((2*IF(circ_int,0,eq_c2/2))+(PI()*(s_0+9*s_r+IF(circ_int,eq_c1/2,0))/2))+2*IF(circ_int,0,eq_c1/2))+(PI()*(s_0+9*s_r+IF(circ_int,eq_c1/2,0))/2))+2*IF(circ_int,0,eq_c2/2))+(PI()*(s_0+9*s_r+IF(circ_int,eq_c1/2,0))/2))+2*IF(circ_int,0,eq_c1/2)))/(s_0+9*s_r+IF(circ_int,eq_c1/2,0)))))))))),NA())</f>
        <v/>
      </c>
      <c r="DC10">
        <f>IF(AND(AND(links_on,10&lt;=n_per),INDEX(lk_kind,10)=1,7&lt;INDEX(lk_legs,10)),g_oy+IF(((7+0.5)*(4*IF(circ_int,0,eq_c1/2)+4*IF(circ_int,0,eq_c2/2)+2*PI()*(s_0+9*s_r+IF(circ_int,eq_c1/2,0)))/INDEX(lk_legs,10))&lt;(2*IF(circ_int,0,eq_c2/2)),-IF(circ_int,0,eq_c2/2)+((7+0.5)*(4*IF(circ_int,0,eq_c1/2)+4*IF(circ_int,0,eq_c2/2)+2*PI()*(s_0+9*s_r+IF(circ_int,eq_c1/2,0)))/INDEX(lk_legs,10)),IF(((7+0.5)*(4*IF(circ_int,0,eq_c1/2)+4*IF(circ_int,0,eq_c2/2)+2*PI()*(s_0+9*s_r+IF(circ_int,eq_c1/2,0)))/INDEX(lk_legs,10))&lt;((2*IF(circ_int,0,eq_c2/2))+(PI()*(s_0+9*s_r+IF(circ_int,eq_c1/2,0))/2)),IF(circ_int,0,eq_c2/2)+(s_0+9*s_r+IF(circ_int,eq_c1/2,0))*SIN((((7+0.5)*(4*IF(circ_int,0,eq_c1/2)+4*IF(circ_int,0,eq_c2/2)+2*PI()*(s_0+9*s_r+IF(circ_int,eq_c1/2,0)))/INDEX(lk_legs,10))-(2*IF(circ_int,0,eq_c2/2)))/(s_0+9*s_r+IF(circ_int,eq_c1/2,0))),IF(((7+0.5)*(4*IF(circ_int,0,eq_c1/2)+4*IF(circ_int,0,eq_c2/2)+2*PI()*(s_0+9*s_r+IF(circ_int,eq_c1/2,0)))/INDEX(lk_legs,10))&lt;(((2*IF(circ_int,0,eq_c2/2))+(PI()*(s_0+9*s_r+IF(circ_int,eq_c1/2,0))/2))+2*IF(circ_int,0,eq_c1/2)),IF(circ_int,0,eq_c2/2)+(s_0+9*s_r+IF(circ_int,eq_c1/2,0)),IF(((7+0.5)*(4*IF(circ_int,0,eq_c1/2)+4*IF(circ_int,0,eq_c2/2)+2*PI()*(s_0+9*s_r+IF(circ_int,eq_c1/2,0)))/INDEX(lk_legs,10))&lt;((((2*IF(circ_int,0,eq_c2/2))+(PI()*(s_0+9*s_r+IF(circ_int,eq_c1/2,0))/2))+2*IF(circ_int,0,eq_c1/2))+(PI()*(s_0+9*s_r+IF(circ_int,eq_c1/2,0))/2)),IF(circ_int,0,eq_c2/2)+(s_0+9*s_r+IF(circ_int,eq_c1/2,0))*SIN(PI()/2+(((7+0.5)*(4*IF(circ_int,0,eq_c1/2)+4*IF(circ_int,0,eq_c2/2)+2*PI()*(s_0+9*s_r+IF(circ_int,eq_c1/2,0)))/INDEX(lk_legs,10))-(((2*IF(circ_int,0,eq_c2/2))+(PI()*(s_0+9*s_r+IF(circ_int,eq_c1/2,0))/2))+2*IF(circ_int,0,eq_c1/2)))/(s_0+9*s_r+IF(circ_int,eq_c1/2,0))),IF(((7+0.5)*(4*IF(circ_int,0,eq_c1/2)+4*IF(circ_int,0,eq_c2/2)+2*PI()*(s_0+9*s_r+IF(circ_int,eq_c1/2,0)))/INDEX(lk_legs,10))&lt;(((((2*IF(circ_int,0,eq_c2/2))+(PI()*(s_0+9*s_r+IF(circ_int,eq_c1/2,0))/2))+2*IF(circ_int,0,eq_c1/2))+(PI()*(s_0+9*s_r+IF(circ_int,eq_c1/2,0))/2))+2*IF(circ_int,0,eq_c2/2)),IF(circ_int,0,eq_c2/2)-(((7+0.5)*(4*IF(circ_int,0,eq_c1/2)+4*IF(circ_int,0,eq_c2/2)+2*PI()*(s_0+9*s_r+IF(circ_int,eq_c1/2,0)))/INDEX(lk_legs,10))-((((2*IF(circ_int,0,eq_c2/2))+(PI()*(s_0+9*s_r+IF(circ_int,eq_c1/2,0))/2))+2*IF(circ_int,0,eq_c1/2))+(PI()*(s_0+9*s_r+IF(circ_int,eq_c1/2,0))/2))),IF(((7+0.5)*(4*IF(circ_int,0,eq_c1/2)+4*IF(circ_int,0,eq_c2/2)+2*PI()*(s_0+9*s_r+IF(circ_int,eq_c1/2,0)))/INDEX(lk_legs,10))&lt;((((((2*IF(circ_int,0,eq_c2/2))+(PI()*(s_0+9*s_r+IF(circ_int,eq_c1/2,0))/2))+2*IF(circ_int,0,eq_c1/2))+(PI()*(s_0+9*s_r+IF(circ_int,eq_c1/2,0))/2))+2*IF(circ_int,0,eq_c2/2))+(PI()*(s_0+9*s_r+IF(circ_int,eq_c1/2,0))/2)),-IF(circ_int,0,eq_c2/2)+(s_0+9*s_r+IF(circ_int,eq_c1/2,0))*SIN(PI()+(((7+0.5)*(4*IF(circ_int,0,eq_c1/2)+4*IF(circ_int,0,eq_c2/2)+2*PI()*(s_0+9*s_r+IF(circ_int,eq_c1/2,0)))/INDEX(lk_legs,10))-(((((2*IF(circ_int,0,eq_c2/2))+(PI()*(s_0+9*s_r+IF(circ_int,eq_c1/2,0))/2))+2*IF(circ_int,0,eq_c1/2))+(PI()*(s_0+9*s_r+IF(circ_int,eq_c1/2,0))/2))+2*IF(circ_int,0,eq_c2/2)))/(s_0+9*s_r+IF(circ_int,eq_c1/2,0))),IF(((7+0.5)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(7+0.5)*(4*IF(circ_int,0,eq_c1/2)+4*IF(circ_int,0,eq_c2/2)+2*PI()*(s_0+9*s_r+IF(circ_int,eq_c1/2,0)))/INDEX(lk_legs,10))-(((((((2*IF(circ_int,0,eq_c2/2))+(PI()*(s_0+9*s_r+IF(circ_int,eq_c1/2,0))/2))+2*IF(circ_int,0,eq_c1/2))+(PI()*(s_0+9*s_r+IF(circ_int,eq_c1/2,0))/2))+2*IF(circ_int,0,eq_c2/2))+(PI()*(s_0+9*s_r+IF(circ_int,eq_c1/2,0))/2))+2*IF(circ_int,0,eq_c1/2)))/(s_0+9*s_r+IF(circ_int,eq_c1/2,0)))))))))),NA())</f>
        <v/>
      </c>
      <c r="DE10">
        <f>IF(AND(links_on,11&lt;=n_per),IF(circ_int,(g_ox)+(c_1/2+(s_0+10*s_r))*0.663123,CHOOSE(INDEX(lk_kind,11),(g_ox+eq_c1/2)+((s_0+10*s_r))*0.608761,(eq_a1+eq_c1)+((s_0+10*s_r))*0.707107,(eq_a1+eq_c1)+((s_0+10*s_r))*0.707107,(eq_a1)+((s_0+10*s_r))*-0.707107)),NA())</f>
        <v/>
      </c>
      <c r="DF10">
        <f>IF(AND(links_on,11&lt;=n_per),IF(circ_int,(g_oy)+(c_1/2+(s_0+10*s_r))*0.748511,CHOOSE(INDEX(lk_kind,11),(g_oy+eq_c2/2)+((s_0+10*s_r))*0.793353,(g_oy+eq_c2/2)+((s_0+10*s_r))*0.707107,(eq_a2+eq_c2)+((s_0+10*s_r))*0.707107,(eq_a2+eq_c2)+((s_0+10*s_r))*0.707107)),NA())</f>
        <v/>
      </c>
      <c r="DH10">
        <f>IF(AND(AND(links_on,11&lt;=n_per),INDEX(lk_kind,11)=1,7&lt;INDEX(lk_legs,11)),g_ox+IF(((7+0.5)*(4*IF(circ_int,0,eq_c1/2)+4*IF(circ_int,0,eq_c2/2)+2*PI()*(s_0+10*s_r+IF(circ_int,eq_c1/2,0)))/INDEX(lk_legs,11))&lt;(2*IF(circ_int,0,eq_c2/2)),IF(circ_int,0,eq_c1/2)+(s_0+10*s_r+IF(circ_int,eq_c1/2,0)),IF(((7+0.5)*(4*IF(circ_int,0,eq_c1/2)+4*IF(circ_int,0,eq_c2/2)+2*PI()*(s_0+10*s_r+IF(circ_int,eq_c1/2,0)))/INDEX(lk_legs,11))&lt;((2*IF(circ_int,0,eq_c2/2))+(PI()*(s_0+10*s_r+IF(circ_int,eq_c1/2,0))/2)),IF(circ_int,0,eq_c1/2)+(s_0+10*s_r+IF(circ_int,eq_c1/2,0))*COS((((7+0.5)*(4*IF(circ_int,0,eq_c1/2)+4*IF(circ_int,0,eq_c2/2)+2*PI()*(s_0+10*s_r+IF(circ_int,eq_c1/2,0)))/INDEX(lk_legs,11))-(2*IF(circ_int,0,eq_c2/2)))/(s_0+10*s_r+IF(circ_int,eq_c1/2,0))),IF(((7+0.5)*(4*IF(circ_int,0,eq_c1/2)+4*IF(circ_int,0,eq_c2/2)+2*PI()*(s_0+10*s_r+IF(circ_int,eq_c1/2,0)))/INDEX(lk_legs,11))&lt;(((2*IF(circ_int,0,eq_c2/2))+(PI()*(s_0+10*s_r+IF(circ_int,eq_c1/2,0))/2))+2*IF(circ_int,0,eq_c1/2)),IF(circ_int,0,eq_c1/2)-(((7+0.5)*(4*IF(circ_int,0,eq_c1/2)+4*IF(circ_int,0,eq_c2/2)+2*PI()*(s_0+10*s_r+IF(circ_int,eq_c1/2,0)))/INDEX(lk_legs,11))-((2*IF(circ_int,0,eq_c2/2))+(PI()*(s_0+10*s_r+IF(circ_int,eq_c1/2,0))/2))),IF(((7+0.5)*(4*IF(circ_int,0,eq_c1/2)+4*IF(circ_int,0,eq_c2/2)+2*PI()*(s_0+10*s_r+IF(circ_int,eq_c1/2,0)))/INDEX(lk_legs,11))&lt;((((2*IF(circ_int,0,eq_c2/2))+(PI()*(s_0+10*s_r+IF(circ_int,eq_c1/2,0))/2))+2*IF(circ_int,0,eq_c1/2))+(PI()*(s_0+10*s_r+IF(circ_int,eq_c1/2,0))/2)),-IF(circ_int,0,eq_c1/2)+(s_0+10*s_r+IF(circ_int,eq_c1/2,0))*COS(PI()/2+(((7+0.5)*(4*IF(circ_int,0,eq_c1/2)+4*IF(circ_int,0,eq_c2/2)+2*PI()*(s_0+10*s_r+IF(circ_int,eq_c1/2,0)))/INDEX(lk_legs,11))-(((2*IF(circ_int,0,eq_c2/2))+(PI()*(s_0+10*s_r+IF(circ_int,eq_c1/2,0))/2))+2*IF(circ_int,0,eq_c1/2)))/(s_0+10*s_r+IF(circ_int,eq_c1/2,0))),IF(((7+0.5)*(4*IF(circ_int,0,eq_c1/2)+4*IF(circ_int,0,eq_c2/2)+2*PI()*(s_0+10*s_r+IF(circ_int,eq_c1/2,0)))/INDEX(lk_legs,11))&lt;(((((2*IF(circ_int,0,eq_c2/2))+(PI()*(s_0+10*s_r+IF(circ_int,eq_c1/2,0))/2))+2*IF(circ_int,0,eq_c1/2))+(PI()*(s_0+10*s_r+IF(circ_int,eq_c1/2,0))/2))+2*IF(circ_int,0,eq_c2/2)),-IF(circ_int,0,eq_c1/2)-(s_0+10*s_r+IF(circ_int,eq_c1/2,0)),IF(((7+0.5)*(4*IF(circ_int,0,eq_c1/2)+4*IF(circ_int,0,eq_c2/2)+2*PI()*(s_0+10*s_r+IF(circ_int,eq_c1/2,0)))/INDEX(lk_legs,11))&lt;((((((2*IF(circ_int,0,eq_c2/2))+(PI()*(s_0+10*s_r+IF(circ_int,eq_c1/2,0))/2))+2*IF(circ_int,0,eq_c1/2))+(PI()*(s_0+10*s_r+IF(circ_int,eq_c1/2,0))/2))+2*IF(circ_int,0,eq_c2/2))+(PI()*(s_0+10*s_r+IF(circ_int,eq_c1/2,0))/2)),-IF(circ_int,0,eq_c1/2)+(s_0+10*s_r+IF(circ_int,eq_c1/2,0))*COS(PI()+(((7+0.5)*(4*IF(circ_int,0,eq_c1/2)+4*IF(circ_int,0,eq_c2/2)+2*PI()*(s_0+10*s_r+IF(circ_int,eq_c1/2,0)))/INDEX(lk_legs,11))-(((((2*IF(circ_int,0,eq_c2/2))+(PI()*(s_0+10*s_r+IF(circ_int,eq_c1/2,0))/2))+2*IF(circ_int,0,eq_c1/2))+(PI()*(s_0+10*s_r+IF(circ_int,eq_c1/2,0))/2))+2*IF(circ_int,0,eq_c2/2)))/(s_0+10*s_r+IF(circ_int,eq_c1/2,0))),IF(((7+0.5)*(4*IF(circ_int,0,eq_c1/2)+4*IF(circ_int,0,eq_c2/2)+2*PI()*(s_0+10*s_r+IF(circ_int,eq_c1/2,0)))/INDEX(lk_legs,11))&lt;(((((((2*IF(circ_int,0,eq_c2/2))+(PI()*(s_0+10*s_r+IF(circ_int,eq_c1/2,0))/2))+2*IF(circ_int,0,eq_c1/2))+(PI()*(s_0+10*s_r+IF(circ_int,eq_c1/2,0))/2))+2*IF(circ_int,0,eq_c2/2))+(PI()*(s_0+10*s_r+IF(circ_int,eq_c1/2,0))/2))+2*IF(circ_int,0,eq_c1/2)),-IF(circ_int,0,eq_c1/2)+(((7+0.5)*(4*IF(circ_int,0,eq_c1/2)+4*IF(circ_int,0,eq_c2/2)+2*PI()*(s_0+10*s_r+IF(circ_int,eq_c1/2,0)))/INDEX(lk_legs,11))-((((((2*IF(circ_int,0,eq_c2/2))+(PI()*(s_0+10*s_r+IF(circ_int,eq_c1/2,0))/2))+2*IF(circ_int,0,eq_c1/2))+(PI()*(s_0+10*s_r+IF(circ_int,eq_c1/2,0))/2))+2*IF(circ_int,0,eq_c2/2))+(PI()*(s_0+10*s_r+IF(circ_int,eq_c1/2,0))/2))),IF(circ_int,0,eq_c1/2)+(s_0+10*s_r+IF(circ_int,eq_c1/2,0))*COS(3*PI()/2+(((7+0.5)*(4*IF(circ_int,0,eq_c1/2)+4*IF(circ_int,0,eq_c2/2)+2*PI()*(s_0+10*s_r+IF(circ_int,eq_c1/2,0)))/INDEX(lk_legs,11))-(((((((2*IF(circ_int,0,eq_c2/2))+(PI()*(s_0+10*s_r+IF(circ_int,eq_c1/2,0))/2))+2*IF(circ_int,0,eq_c1/2))+(PI()*(s_0+10*s_r+IF(circ_int,eq_c1/2,0))/2))+2*IF(circ_int,0,eq_c2/2))+(PI()*(s_0+10*s_r+IF(circ_int,eq_c1/2,0))/2))+2*IF(circ_int,0,eq_c1/2)))/(s_0+10*s_r+IF(circ_int,eq_c1/2,0)))))))))),NA())</f>
        <v/>
      </c>
      <c r="DI10">
        <f>IF(AND(AND(links_on,11&lt;=n_per),INDEX(lk_kind,11)=1,7&lt;INDEX(lk_legs,11)),g_oy+IF(((7+0.5)*(4*IF(circ_int,0,eq_c1/2)+4*IF(circ_int,0,eq_c2/2)+2*PI()*(s_0+10*s_r+IF(circ_int,eq_c1/2,0)))/INDEX(lk_legs,11))&lt;(2*IF(circ_int,0,eq_c2/2)),-IF(circ_int,0,eq_c2/2)+((7+0.5)*(4*IF(circ_int,0,eq_c1/2)+4*IF(circ_int,0,eq_c2/2)+2*PI()*(s_0+10*s_r+IF(circ_int,eq_c1/2,0)))/INDEX(lk_legs,11)),IF(((7+0.5)*(4*IF(circ_int,0,eq_c1/2)+4*IF(circ_int,0,eq_c2/2)+2*PI()*(s_0+10*s_r+IF(circ_int,eq_c1/2,0)))/INDEX(lk_legs,11))&lt;((2*IF(circ_int,0,eq_c2/2))+(PI()*(s_0+10*s_r+IF(circ_int,eq_c1/2,0))/2)),IF(circ_int,0,eq_c2/2)+(s_0+10*s_r+IF(circ_int,eq_c1/2,0))*SIN((((7+0.5)*(4*IF(circ_int,0,eq_c1/2)+4*IF(circ_int,0,eq_c2/2)+2*PI()*(s_0+10*s_r+IF(circ_int,eq_c1/2,0)))/INDEX(lk_legs,11))-(2*IF(circ_int,0,eq_c2/2)))/(s_0+10*s_r+IF(circ_int,eq_c1/2,0))),IF(((7+0.5)*(4*IF(circ_int,0,eq_c1/2)+4*IF(circ_int,0,eq_c2/2)+2*PI()*(s_0+10*s_r+IF(circ_int,eq_c1/2,0)))/INDEX(lk_legs,11))&lt;(((2*IF(circ_int,0,eq_c2/2))+(PI()*(s_0+10*s_r+IF(circ_int,eq_c1/2,0))/2))+2*IF(circ_int,0,eq_c1/2)),IF(circ_int,0,eq_c2/2)+(s_0+10*s_r+IF(circ_int,eq_c1/2,0)),IF(((7+0.5)*(4*IF(circ_int,0,eq_c1/2)+4*IF(circ_int,0,eq_c2/2)+2*PI()*(s_0+10*s_r+IF(circ_int,eq_c1/2,0)))/INDEX(lk_legs,11))&lt;((((2*IF(circ_int,0,eq_c2/2))+(PI()*(s_0+10*s_r+IF(circ_int,eq_c1/2,0))/2))+2*IF(circ_int,0,eq_c1/2))+(PI()*(s_0+10*s_r+IF(circ_int,eq_c1/2,0))/2)),IF(circ_int,0,eq_c2/2)+(s_0+10*s_r+IF(circ_int,eq_c1/2,0))*SIN(PI()/2+(((7+0.5)*(4*IF(circ_int,0,eq_c1/2)+4*IF(circ_int,0,eq_c2/2)+2*PI()*(s_0+10*s_r+IF(circ_int,eq_c1/2,0)))/INDEX(lk_legs,11))-(((2*IF(circ_int,0,eq_c2/2))+(PI()*(s_0+10*s_r+IF(circ_int,eq_c1/2,0))/2))+2*IF(circ_int,0,eq_c1/2)))/(s_0+10*s_r+IF(circ_int,eq_c1/2,0))),IF(((7+0.5)*(4*IF(circ_int,0,eq_c1/2)+4*IF(circ_int,0,eq_c2/2)+2*PI()*(s_0+10*s_r+IF(circ_int,eq_c1/2,0)))/INDEX(lk_legs,11))&lt;(((((2*IF(circ_int,0,eq_c2/2))+(PI()*(s_0+10*s_r+IF(circ_int,eq_c1/2,0))/2))+2*IF(circ_int,0,eq_c1/2))+(PI()*(s_0+10*s_r+IF(circ_int,eq_c1/2,0))/2))+2*IF(circ_int,0,eq_c2/2)),IF(circ_int,0,eq_c2/2)-(((7+0.5)*(4*IF(circ_int,0,eq_c1/2)+4*IF(circ_int,0,eq_c2/2)+2*PI()*(s_0+10*s_r+IF(circ_int,eq_c1/2,0)))/INDEX(lk_legs,11))-((((2*IF(circ_int,0,eq_c2/2))+(PI()*(s_0+10*s_r+IF(circ_int,eq_c1/2,0))/2))+2*IF(circ_int,0,eq_c1/2))+(PI()*(s_0+10*s_r+IF(circ_int,eq_c1/2,0))/2))),IF(((7+0.5)*(4*IF(circ_int,0,eq_c1/2)+4*IF(circ_int,0,eq_c2/2)+2*PI()*(s_0+10*s_r+IF(circ_int,eq_c1/2,0)))/INDEX(lk_legs,11))&lt;((((((2*IF(circ_int,0,eq_c2/2))+(PI()*(s_0+10*s_r+IF(circ_int,eq_c1/2,0))/2))+2*IF(circ_int,0,eq_c1/2))+(PI()*(s_0+10*s_r+IF(circ_int,eq_c1/2,0))/2))+2*IF(circ_int,0,eq_c2/2))+(PI()*(s_0+10*s_r+IF(circ_int,eq_c1/2,0))/2)),-IF(circ_int,0,eq_c2/2)+(s_0+10*s_r+IF(circ_int,eq_c1/2,0))*SIN(PI()+(((7+0.5)*(4*IF(circ_int,0,eq_c1/2)+4*IF(circ_int,0,eq_c2/2)+2*PI()*(s_0+10*s_r+IF(circ_int,eq_c1/2,0)))/INDEX(lk_legs,11))-(((((2*IF(circ_int,0,eq_c2/2))+(PI()*(s_0+10*s_r+IF(circ_int,eq_c1/2,0))/2))+2*IF(circ_int,0,eq_c1/2))+(PI()*(s_0+10*s_r+IF(circ_int,eq_c1/2,0))/2))+2*IF(circ_int,0,eq_c2/2)))/(s_0+10*s_r+IF(circ_int,eq_c1/2,0))),IF(((7+0.5)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(7+0.5)*(4*IF(circ_int,0,eq_c1/2)+4*IF(circ_int,0,eq_c2/2)+2*PI()*(s_0+10*s_r+IF(circ_int,eq_c1/2,0)))/INDEX(lk_legs,11))-(((((((2*IF(circ_int,0,eq_c2/2))+(PI()*(s_0+10*s_r+IF(circ_int,eq_c1/2,0))/2))+2*IF(circ_int,0,eq_c1/2))+(PI()*(s_0+10*s_r+IF(circ_int,eq_c1/2,0))/2))+2*IF(circ_int,0,eq_c2/2))+(PI()*(s_0+10*s_r+IF(circ_int,eq_c1/2,0))/2))+2*IF(circ_int,0,eq_c1/2)))/(s_0+10*s_r+IF(circ_int,eq_c1/2,0)))))))))),NA())</f>
        <v/>
      </c>
      <c r="DK10">
        <f>IF(AND(links_on,12&lt;=n_per),IF(circ_int,(g_ox)+(c_1/2+(s_0+11*s_r))*0.663123,CHOOSE(INDEX(lk_kind,12),(g_ox+eq_c1/2)+((s_0+11*s_r))*0.608761,(eq_a1+eq_c1)+((s_0+11*s_r))*0.707107,(eq_a1+eq_c1)+((s_0+11*s_r))*0.707107,(eq_a1)+((s_0+11*s_r))*-0.707107)),NA())</f>
        <v/>
      </c>
      <c r="DL10">
        <f>IF(AND(links_on,12&lt;=n_per),IF(circ_int,(g_oy)+(c_1/2+(s_0+11*s_r))*0.748511,CHOOSE(INDEX(lk_kind,12),(g_oy+eq_c2/2)+((s_0+11*s_r))*0.793353,(g_oy+eq_c2/2)+((s_0+11*s_r))*0.707107,(eq_a2+eq_c2)+((s_0+11*s_r))*0.707107,(eq_a2+eq_c2)+((s_0+11*s_r))*0.707107)),NA())</f>
        <v/>
      </c>
      <c r="DN10">
        <f>IF(AND(AND(links_on,12&lt;=n_per),INDEX(lk_kind,12)=1,7&lt;INDEX(lk_legs,12)),g_ox+IF(((7+0.5)*(4*IF(circ_int,0,eq_c1/2)+4*IF(circ_int,0,eq_c2/2)+2*PI()*(s_0+11*s_r+IF(circ_int,eq_c1/2,0)))/INDEX(lk_legs,12))&lt;(2*IF(circ_int,0,eq_c2/2)),IF(circ_int,0,eq_c1/2)+(s_0+11*s_r+IF(circ_int,eq_c1/2,0)),IF(((7+0.5)*(4*IF(circ_int,0,eq_c1/2)+4*IF(circ_int,0,eq_c2/2)+2*PI()*(s_0+11*s_r+IF(circ_int,eq_c1/2,0)))/INDEX(lk_legs,12))&lt;((2*IF(circ_int,0,eq_c2/2))+(PI()*(s_0+11*s_r+IF(circ_int,eq_c1/2,0))/2)),IF(circ_int,0,eq_c1/2)+(s_0+11*s_r+IF(circ_int,eq_c1/2,0))*COS((((7+0.5)*(4*IF(circ_int,0,eq_c1/2)+4*IF(circ_int,0,eq_c2/2)+2*PI()*(s_0+11*s_r+IF(circ_int,eq_c1/2,0)))/INDEX(lk_legs,12))-(2*IF(circ_int,0,eq_c2/2)))/(s_0+11*s_r+IF(circ_int,eq_c1/2,0))),IF(((7+0.5)*(4*IF(circ_int,0,eq_c1/2)+4*IF(circ_int,0,eq_c2/2)+2*PI()*(s_0+11*s_r+IF(circ_int,eq_c1/2,0)))/INDEX(lk_legs,12))&lt;(((2*IF(circ_int,0,eq_c2/2))+(PI()*(s_0+11*s_r+IF(circ_int,eq_c1/2,0))/2))+2*IF(circ_int,0,eq_c1/2)),IF(circ_int,0,eq_c1/2)-(((7+0.5)*(4*IF(circ_int,0,eq_c1/2)+4*IF(circ_int,0,eq_c2/2)+2*PI()*(s_0+11*s_r+IF(circ_int,eq_c1/2,0)))/INDEX(lk_legs,12))-((2*IF(circ_int,0,eq_c2/2))+(PI()*(s_0+11*s_r+IF(circ_int,eq_c1/2,0))/2))),IF(((7+0.5)*(4*IF(circ_int,0,eq_c1/2)+4*IF(circ_int,0,eq_c2/2)+2*PI()*(s_0+11*s_r+IF(circ_int,eq_c1/2,0)))/INDEX(lk_legs,12))&lt;((((2*IF(circ_int,0,eq_c2/2))+(PI()*(s_0+11*s_r+IF(circ_int,eq_c1/2,0))/2))+2*IF(circ_int,0,eq_c1/2))+(PI()*(s_0+11*s_r+IF(circ_int,eq_c1/2,0))/2)),-IF(circ_int,0,eq_c1/2)+(s_0+11*s_r+IF(circ_int,eq_c1/2,0))*COS(PI()/2+(((7+0.5)*(4*IF(circ_int,0,eq_c1/2)+4*IF(circ_int,0,eq_c2/2)+2*PI()*(s_0+11*s_r+IF(circ_int,eq_c1/2,0)))/INDEX(lk_legs,12))-(((2*IF(circ_int,0,eq_c2/2))+(PI()*(s_0+11*s_r+IF(circ_int,eq_c1/2,0))/2))+2*IF(circ_int,0,eq_c1/2)))/(s_0+11*s_r+IF(circ_int,eq_c1/2,0))),IF(((7+0.5)*(4*IF(circ_int,0,eq_c1/2)+4*IF(circ_int,0,eq_c2/2)+2*PI()*(s_0+11*s_r+IF(circ_int,eq_c1/2,0)))/INDEX(lk_legs,12))&lt;(((((2*IF(circ_int,0,eq_c2/2))+(PI()*(s_0+11*s_r+IF(circ_int,eq_c1/2,0))/2))+2*IF(circ_int,0,eq_c1/2))+(PI()*(s_0+11*s_r+IF(circ_int,eq_c1/2,0))/2))+2*IF(circ_int,0,eq_c2/2)),-IF(circ_int,0,eq_c1/2)-(s_0+11*s_r+IF(circ_int,eq_c1/2,0)),IF(((7+0.5)*(4*IF(circ_int,0,eq_c1/2)+4*IF(circ_int,0,eq_c2/2)+2*PI()*(s_0+11*s_r+IF(circ_int,eq_c1/2,0)))/INDEX(lk_legs,12))&lt;((((((2*IF(circ_int,0,eq_c2/2))+(PI()*(s_0+11*s_r+IF(circ_int,eq_c1/2,0))/2))+2*IF(circ_int,0,eq_c1/2))+(PI()*(s_0+11*s_r+IF(circ_int,eq_c1/2,0))/2))+2*IF(circ_int,0,eq_c2/2))+(PI()*(s_0+11*s_r+IF(circ_int,eq_c1/2,0))/2)),-IF(circ_int,0,eq_c1/2)+(s_0+11*s_r+IF(circ_int,eq_c1/2,0))*COS(PI()+(((7+0.5)*(4*IF(circ_int,0,eq_c1/2)+4*IF(circ_int,0,eq_c2/2)+2*PI()*(s_0+11*s_r+IF(circ_int,eq_c1/2,0)))/INDEX(lk_legs,12))-(((((2*IF(circ_int,0,eq_c2/2))+(PI()*(s_0+11*s_r+IF(circ_int,eq_c1/2,0))/2))+2*IF(circ_int,0,eq_c1/2))+(PI()*(s_0+11*s_r+IF(circ_int,eq_c1/2,0))/2))+2*IF(circ_int,0,eq_c2/2)))/(s_0+11*s_r+IF(circ_int,eq_c1/2,0))),IF(((7+0.5)*(4*IF(circ_int,0,eq_c1/2)+4*IF(circ_int,0,eq_c2/2)+2*PI()*(s_0+11*s_r+IF(circ_int,eq_c1/2,0)))/INDEX(lk_legs,12))&lt;(((((((2*IF(circ_int,0,eq_c2/2))+(PI()*(s_0+11*s_r+IF(circ_int,eq_c1/2,0))/2))+2*IF(circ_int,0,eq_c1/2))+(PI()*(s_0+11*s_r+IF(circ_int,eq_c1/2,0))/2))+2*IF(circ_int,0,eq_c2/2))+(PI()*(s_0+11*s_r+IF(circ_int,eq_c1/2,0))/2))+2*IF(circ_int,0,eq_c1/2)),-IF(circ_int,0,eq_c1/2)+(((7+0.5)*(4*IF(circ_int,0,eq_c1/2)+4*IF(circ_int,0,eq_c2/2)+2*PI()*(s_0+11*s_r+IF(circ_int,eq_c1/2,0)))/INDEX(lk_legs,12))-((((((2*IF(circ_int,0,eq_c2/2))+(PI()*(s_0+11*s_r+IF(circ_int,eq_c1/2,0))/2))+2*IF(circ_int,0,eq_c1/2))+(PI()*(s_0+11*s_r+IF(circ_int,eq_c1/2,0))/2))+2*IF(circ_int,0,eq_c2/2))+(PI()*(s_0+11*s_r+IF(circ_int,eq_c1/2,0))/2))),IF(circ_int,0,eq_c1/2)+(s_0+11*s_r+IF(circ_int,eq_c1/2,0))*COS(3*PI()/2+(((7+0.5)*(4*IF(circ_int,0,eq_c1/2)+4*IF(circ_int,0,eq_c2/2)+2*PI()*(s_0+11*s_r+IF(circ_int,eq_c1/2,0)))/INDEX(lk_legs,12))-(((((((2*IF(circ_int,0,eq_c2/2))+(PI()*(s_0+11*s_r+IF(circ_int,eq_c1/2,0))/2))+2*IF(circ_int,0,eq_c1/2))+(PI()*(s_0+11*s_r+IF(circ_int,eq_c1/2,0))/2))+2*IF(circ_int,0,eq_c2/2))+(PI()*(s_0+11*s_r+IF(circ_int,eq_c1/2,0))/2))+2*IF(circ_int,0,eq_c1/2)))/(s_0+11*s_r+IF(circ_int,eq_c1/2,0)))))))))),NA())</f>
        <v/>
      </c>
      <c r="DO10">
        <f>IF(AND(AND(links_on,12&lt;=n_per),INDEX(lk_kind,12)=1,7&lt;INDEX(lk_legs,12)),g_oy+IF(((7+0.5)*(4*IF(circ_int,0,eq_c1/2)+4*IF(circ_int,0,eq_c2/2)+2*PI()*(s_0+11*s_r+IF(circ_int,eq_c1/2,0)))/INDEX(lk_legs,12))&lt;(2*IF(circ_int,0,eq_c2/2)),-IF(circ_int,0,eq_c2/2)+((7+0.5)*(4*IF(circ_int,0,eq_c1/2)+4*IF(circ_int,0,eq_c2/2)+2*PI()*(s_0+11*s_r+IF(circ_int,eq_c1/2,0)))/INDEX(lk_legs,12)),IF(((7+0.5)*(4*IF(circ_int,0,eq_c1/2)+4*IF(circ_int,0,eq_c2/2)+2*PI()*(s_0+11*s_r+IF(circ_int,eq_c1/2,0)))/INDEX(lk_legs,12))&lt;((2*IF(circ_int,0,eq_c2/2))+(PI()*(s_0+11*s_r+IF(circ_int,eq_c1/2,0))/2)),IF(circ_int,0,eq_c2/2)+(s_0+11*s_r+IF(circ_int,eq_c1/2,0))*SIN((((7+0.5)*(4*IF(circ_int,0,eq_c1/2)+4*IF(circ_int,0,eq_c2/2)+2*PI()*(s_0+11*s_r+IF(circ_int,eq_c1/2,0)))/INDEX(lk_legs,12))-(2*IF(circ_int,0,eq_c2/2)))/(s_0+11*s_r+IF(circ_int,eq_c1/2,0))),IF(((7+0.5)*(4*IF(circ_int,0,eq_c1/2)+4*IF(circ_int,0,eq_c2/2)+2*PI()*(s_0+11*s_r+IF(circ_int,eq_c1/2,0)))/INDEX(lk_legs,12))&lt;(((2*IF(circ_int,0,eq_c2/2))+(PI()*(s_0+11*s_r+IF(circ_int,eq_c1/2,0))/2))+2*IF(circ_int,0,eq_c1/2)),IF(circ_int,0,eq_c2/2)+(s_0+11*s_r+IF(circ_int,eq_c1/2,0)),IF(((7+0.5)*(4*IF(circ_int,0,eq_c1/2)+4*IF(circ_int,0,eq_c2/2)+2*PI()*(s_0+11*s_r+IF(circ_int,eq_c1/2,0)))/INDEX(lk_legs,12))&lt;((((2*IF(circ_int,0,eq_c2/2))+(PI()*(s_0+11*s_r+IF(circ_int,eq_c1/2,0))/2))+2*IF(circ_int,0,eq_c1/2))+(PI()*(s_0+11*s_r+IF(circ_int,eq_c1/2,0))/2)),IF(circ_int,0,eq_c2/2)+(s_0+11*s_r+IF(circ_int,eq_c1/2,0))*SIN(PI()/2+(((7+0.5)*(4*IF(circ_int,0,eq_c1/2)+4*IF(circ_int,0,eq_c2/2)+2*PI()*(s_0+11*s_r+IF(circ_int,eq_c1/2,0)))/INDEX(lk_legs,12))-(((2*IF(circ_int,0,eq_c2/2))+(PI()*(s_0+11*s_r+IF(circ_int,eq_c1/2,0))/2))+2*IF(circ_int,0,eq_c1/2)))/(s_0+11*s_r+IF(circ_int,eq_c1/2,0))),IF(((7+0.5)*(4*IF(circ_int,0,eq_c1/2)+4*IF(circ_int,0,eq_c2/2)+2*PI()*(s_0+11*s_r+IF(circ_int,eq_c1/2,0)))/INDEX(lk_legs,12))&lt;(((((2*IF(circ_int,0,eq_c2/2))+(PI()*(s_0+11*s_r+IF(circ_int,eq_c1/2,0))/2))+2*IF(circ_int,0,eq_c1/2))+(PI()*(s_0+11*s_r+IF(circ_int,eq_c1/2,0))/2))+2*IF(circ_int,0,eq_c2/2)),IF(circ_int,0,eq_c2/2)-(((7+0.5)*(4*IF(circ_int,0,eq_c1/2)+4*IF(circ_int,0,eq_c2/2)+2*PI()*(s_0+11*s_r+IF(circ_int,eq_c1/2,0)))/INDEX(lk_legs,12))-((((2*IF(circ_int,0,eq_c2/2))+(PI()*(s_0+11*s_r+IF(circ_int,eq_c1/2,0))/2))+2*IF(circ_int,0,eq_c1/2))+(PI()*(s_0+11*s_r+IF(circ_int,eq_c1/2,0))/2))),IF(((7+0.5)*(4*IF(circ_int,0,eq_c1/2)+4*IF(circ_int,0,eq_c2/2)+2*PI()*(s_0+11*s_r+IF(circ_int,eq_c1/2,0)))/INDEX(lk_legs,12))&lt;((((((2*IF(circ_int,0,eq_c2/2))+(PI()*(s_0+11*s_r+IF(circ_int,eq_c1/2,0))/2))+2*IF(circ_int,0,eq_c1/2))+(PI()*(s_0+11*s_r+IF(circ_int,eq_c1/2,0))/2))+2*IF(circ_int,0,eq_c2/2))+(PI()*(s_0+11*s_r+IF(circ_int,eq_c1/2,0))/2)),-IF(circ_int,0,eq_c2/2)+(s_0+11*s_r+IF(circ_int,eq_c1/2,0))*SIN(PI()+(((7+0.5)*(4*IF(circ_int,0,eq_c1/2)+4*IF(circ_int,0,eq_c2/2)+2*PI()*(s_0+11*s_r+IF(circ_int,eq_c1/2,0)))/INDEX(lk_legs,12))-(((((2*IF(circ_int,0,eq_c2/2))+(PI()*(s_0+11*s_r+IF(circ_int,eq_c1/2,0))/2))+2*IF(circ_int,0,eq_c1/2))+(PI()*(s_0+11*s_r+IF(circ_int,eq_c1/2,0))/2))+2*IF(circ_int,0,eq_c2/2)))/(s_0+11*s_r+IF(circ_int,eq_c1/2,0))),IF(((7+0.5)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(7+0.5)*(4*IF(circ_int,0,eq_c1/2)+4*IF(circ_int,0,eq_c2/2)+2*PI()*(s_0+11*s_r+IF(circ_int,eq_c1/2,0)))/INDEX(lk_legs,12))-(((((((2*IF(circ_int,0,eq_c2/2))+(PI()*(s_0+11*s_r+IF(circ_int,eq_c1/2,0))/2))+2*IF(circ_int,0,eq_c1/2))+(PI()*(s_0+11*s_r+IF(circ_int,eq_c1/2,0))/2))+2*IF(circ_int,0,eq_c2/2))+(PI()*(s_0+11*s_r+IF(circ_int,eq_c1/2,0))/2))+2*IF(circ_int,0,eq_c1/2)))/(s_0+11*s_r+IF(circ_int,eq_c1/2,0)))))))))),NA())</f>
        <v/>
      </c>
    </row>
    <row r="11">
      <c r="A11">
        <f>IF(shape="Circular",(g_ox)+(c_1/2+0)*0.568065,CHOOSE(1,(g_ox+eq_c1/2)+(0)*0.500000,(eq_a1+eq_c1)+(0)*0.793353,(eq_a1+eq_c1)+(0)*0.793353,(eq_a1)+(0)*-0.608761))</f>
        <v/>
      </c>
      <c r="B11">
        <f>IF(shape="Circular",(g_oy)+(c_1/2+0)*0.822984,CHOOSE(1,(g_oy+eq_c2/2)+(0)*0.866025,(g_oy+eq_c2/2)+(0)*0.608761,(eq_a2+eq_c2)+(0)*0.608761,(eq_a2+eq_c2)+(0)*0.793353))</f>
        <v/>
      </c>
      <c r="D11">
        <f>IF(circ_int,(g_ox)+(c_1/2+2*d_eff)*0.568065,CHOOSE(geo_idx,(g_ox+eq_c1/2)+(2*d_eff)*0.500000,(eq_a1+eq_c1)+(2*d_eff)*0.793353,(eq_a1+eq_c1)+(2*d_eff)*0.793353,(eq_a1)+(2*d_eff)*-0.608761))</f>
        <v/>
      </c>
      <c r="E11">
        <f>IF(circ_int,(g_oy)+(c_1/2+2*d_eff)*0.822984,CHOOSE(geo_idx,(g_oy+eq_c2/2)+(2*d_eff)*0.866025,(g_oy+eq_c2/2)+(2*d_eff)*0.608761,(eq_a2+eq_c2)+(2*d_eff)*0.608761,(eq_a2+eq_c2)+(2*d_eff)*0.793353))</f>
        <v/>
      </c>
      <c r="G11">
        <f>IF(AND(inputs_ok,punch_ok,A_sw&gt;0),IF(circ_int,(g_ox)+(c_1/2+r_out)*0.568065,CHOOSE(kind_out,(g_ox+eq_c1/2)+(r_out)*0.500000,(eq_a1+eq_c1)+(r_out)*0.793353,(eq_a1+eq_c1)+(r_out)*0.793353,(eq_a1)+(r_out)*-0.608761)),NA())</f>
        <v/>
      </c>
      <c r="H11">
        <f>IF(AND(inputs_ok,punch_ok,A_sw&gt;0),IF(circ_int,(g_oy)+(c_1/2+r_out)*0.822984,CHOOSE(kind_out,(g_oy+eq_c2/2)+(r_out)*0.866025,(g_oy+eq_c2/2)+(r_out)*0.608761,(eq_a2+eq_c2)+(r_out)*0.608761,(eq_a2+eq_c2)+(r_out)*0.793353)),NA())</f>
        <v/>
      </c>
      <c r="AW11">
        <f>IF(AND(links_on,1&lt;=n_per),IF(circ_int,(g_ox)+(c_1/2+(s_0+0*s_r))*0.568065,CHOOSE(INDEX(lk_kind,1),(g_ox+eq_c1/2)+((s_0+0*s_r))*0.500000,(eq_a1+eq_c1)+((s_0+0*s_r))*0.793353,(eq_a1+eq_c1)+((s_0+0*s_r))*0.793353,(eq_a1)+((s_0+0*s_r))*-0.608761)),NA())</f>
        <v/>
      </c>
      <c r="AX11">
        <f>IF(AND(links_on,1&lt;=n_per),IF(circ_int,(g_oy)+(c_1/2+(s_0+0*s_r))*0.822984,CHOOSE(INDEX(lk_kind,1),(g_oy+eq_c2/2)+((s_0+0*s_r))*0.866025,(g_oy+eq_c2/2)+((s_0+0*s_r))*0.608761,(eq_a2+eq_c2)+((s_0+0*s_r))*0.608761,(eq_a2+eq_c2)+((s_0+0*s_r))*0.793353)),NA())</f>
        <v/>
      </c>
      <c r="AZ11">
        <f>IF(AND(AND(links_on,1&lt;=n_per),INDEX(lk_kind,1)=1,8&lt;INDEX(lk_legs,1)),g_ox+IF(((8+0.5)*(4*IF(circ_int,0,eq_c1/2)+4*IF(circ_int,0,eq_c2/2)+2*PI()*(s_0+0*s_r+IF(circ_int,eq_c1/2,0)))/INDEX(lk_legs,1))&lt;(2*IF(circ_int,0,eq_c2/2)),IF(circ_int,0,eq_c1/2)+(s_0+0*s_r+IF(circ_int,eq_c1/2,0)),IF(((8+0.5)*(4*IF(circ_int,0,eq_c1/2)+4*IF(circ_int,0,eq_c2/2)+2*PI()*(s_0+0*s_r+IF(circ_int,eq_c1/2,0)))/INDEX(lk_legs,1))&lt;((2*IF(circ_int,0,eq_c2/2))+(PI()*(s_0+0*s_r+IF(circ_int,eq_c1/2,0))/2)),IF(circ_int,0,eq_c1/2)+(s_0+0*s_r+IF(circ_int,eq_c1/2,0))*COS((((8+0.5)*(4*IF(circ_int,0,eq_c1/2)+4*IF(circ_int,0,eq_c2/2)+2*PI()*(s_0+0*s_r+IF(circ_int,eq_c1/2,0)))/INDEX(lk_legs,1))-(2*IF(circ_int,0,eq_c2/2)))/(s_0+0*s_r+IF(circ_int,eq_c1/2,0))),IF(((8+0.5)*(4*IF(circ_int,0,eq_c1/2)+4*IF(circ_int,0,eq_c2/2)+2*PI()*(s_0+0*s_r+IF(circ_int,eq_c1/2,0)))/INDEX(lk_legs,1))&lt;(((2*IF(circ_int,0,eq_c2/2))+(PI()*(s_0+0*s_r+IF(circ_int,eq_c1/2,0))/2))+2*IF(circ_int,0,eq_c1/2)),IF(circ_int,0,eq_c1/2)-(((8+0.5)*(4*IF(circ_int,0,eq_c1/2)+4*IF(circ_int,0,eq_c2/2)+2*PI()*(s_0+0*s_r+IF(circ_int,eq_c1/2,0)))/INDEX(lk_legs,1))-((2*IF(circ_int,0,eq_c2/2))+(PI()*(s_0+0*s_r+IF(circ_int,eq_c1/2,0))/2))),IF(((8+0.5)*(4*IF(circ_int,0,eq_c1/2)+4*IF(circ_int,0,eq_c2/2)+2*PI()*(s_0+0*s_r+IF(circ_int,eq_c1/2,0)))/INDEX(lk_legs,1))&lt;((((2*IF(circ_int,0,eq_c2/2))+(PI()*(s_0+0*s_r+IF(circ_int,eq_c1/2,0))/2))+2*IF(circ_int,0,eq_c1/2))+(PI()*(s_0+0*s_r+IF(circ_int,eq_c1/2,0))/2)),-IF(circ_int,0,eq_c1/2)+(s_0+0*s_r+IF(circ_int,eq_c1/2,0))*COS(PI()/2+(((8+0.5)*(4*IF(circ_int,0,eq_c1/2)+4*IF(circ_int,0,eq_c2/2)+2*PI()*(s_0+0*s_r+IF(circ_int,eq_c1/2,0)))/INDEX(lk_legs,1))-(((2*IF(circ_int,0,eq_c2/2))+(PI()*(s_0+0*s_r+IF(circ_int,eq_c1/2,0))/2))+2*IF(circ_int,0,eq_c1/2)))/(s_0+0*s_r+IF(circ_int,eq_c1/2,0))),IF(((8+0.5)*(4*IF(circ_int,0,eq_c1/2)+4*IF(circ_int,0,eq_c2/2)+2*PI()*(s_0+0*s_r+IF(circ_int,eq_c1/2,0)))/INDEX(lk_legs,1))&lt;(((((2*IF(circ_int,0,eq_c2/2))+(PI()*(s_0+0*s_r+IF(circ_int,eq_c1/2,0))/2))+2*IF(circ_int,0,eq_c1/2))+(PI()*(s_0+0*s_r+IF(circ_int,eq_c1/2,0))/2))+2*IF(circ_int,0,eq_c2/2)),-IF(circ_int,0,eq_c1/2)-(s_0+0*s_r+IF(circ_int,eq_c1/2,0)),IF(((8+0.5)*(4*IF(circ_int,0,eq_c1/2)+4*IF(circ_int,0,eq_c2/2)+2*PI()*(s_0+0*s_r+IF(circ_int,eq_c1/2,0)))/INDEX(lk_legs,1))&lt;((((((2*IF(circ_int,0,eq_c2/2))+(PI()*(s_0+0*s_r+IF(circ_int,eq_c1/2,0))/2))+2*IF(circ_int,0,eq_c1/2))+(PI()*(s_0+0*s_r+IF(circ_int,eq_c1/2,0))/2))+2*IF(circ_int,0,eq_c2/2))+(PI()*(s_0+0*s_r+IF(circ_int,eq_c1/2,0))/2)),-IF(circ_int,0,eq_c1/2)+(s_0+0*s_r+IF(circ_int,eq_c1/2,0))*COS(PI()+(((8+0.5)*(4*IF(circ_int,0,eq_c1/2)+4*IF(circ_int,0,eq_c2/2)+2*PI()*(s_0+0*s_r+IF(circ_int,eq_c1/2,0)))/INDEX(lk_legs,1))-(((((2*IF(circ_int,0,eq_c2/2))+(PI()*(s_0+0*s_r+IF(circ_int,eq_c1/2,0))/2))+2*IF(circ_int,0,eq_c1/2))+(PI()*(s_0+0*s_r+IF(circ_int,eq_c1/2,0))/2))+2*IF(circ_int,0,eq_c2/2)))/(s_0+0*s_r+IF(circ_int,eq_c1/2,0))),IF(((8+0.5)*(4*IF(circ_int,0,eq_c1/2)+4*IF(circ_int,0,eq_c2/2)+2*PI()*(s_0+0*s_r+IF(circ_int,eq_c1/2,0)))/INDEX(lk_legs,1))&lt;(((((((2*IF(circ_int,0,eq_c2/2))+(PI()*(s_0+0*s_r+IF(circ_int,eq_c1/2,0))/2))+2*IF(circ_int,0,eq_c1/2))+(PI()*(s_0+0*s_r+IF(circ_int,eq_c1/2,0))/2))+2*IF(circ_int,0,eq_c2/2))+(PI()*(s_0+0*s_r+IF(circ_int,eq_c1/2,0))/2))+2*IF(circ_int,0,eq_c1/2)),-IF(circ_int,0,eq_c1/2)+(((8+0.5)*(4*IF(circ_int,0,eq_c1/2)+4*IF(circ_int,0,eq_c2/2)+2*PI()*(s_0+0*s_r+IF(circ_int,eq_c1/2,0)))/INDEX(lk_legs,1))-((((((2*IF(circ_int,0,eq_c2/2))+(PI()*(s_0+0*s_r+IF(circ_int,eq_c1/2,0))/2))+2*IF(circ_int,0,eq_c1/2))+(PI()*(s_0+0*s_r+IF(circ_int,eq_c1/2,0))/2))+2*IF(circ_int,0,eq_c2/2))+(PI()*(s_0+0*s_r+IF(circ_int,eq_c1/2,0))/2))),IF(circ_int,0,eq_c1/2)+(s_0+0*s_r+IF(circ_int,eq_c1/2,0))*COS(3*PI()/2+(((8+0.5)*(4*IF(circ_int,0,eq_c1/2)+4*IF(circ_int,0,eq_c2/2)+2*PI()*(s_0+0*s_r+IF(circ_int,eq_c1/2,0)))/INDEX(lk_legs,1))-(((((((2*IF(circ_int,0,eq_c2/2))+(PI()*(s_0+0*s_r+IF(circ_int,eq_c1/2,0))/2))+2*IF(circ_int,0,eq_c1/2))+(PI()*(s_0+0*s_r+IF(circ_int,eq_c1/2,0))/2))+2*IF(circ_int,0,eq_c2/2))+(PI()*(s_0+0*s_r+IF(circ_int,eq_c1/2,0))/2))+2*IF(circ_int,0,eq_c1/2)))/(s_0+0*s_r+IF(circ_int,eq_c1/2,0)))))))))),NA())</f>
        <v/>
      </c>
      <c r="BA11">
        <f>IF(AND(AND(links_on,1&lt;=n_per),INDEX(lk_kind,1)=1,8&lt;INDEX(lk_legs,1)),g_oy+IF(((8+0.5)*(4*IF(circ_int,0,eq_c1/2)+4*IF(circ_int,0,eq_c2/2)+2*PI()*(s_0+0*s_r+IF(circ_int,eq_c1/2,0)))/INDEX(lk_legs,1))&lt;(2*IF(circ_int,0,eq_c2/2)),-IF(circ_int,0,eq_c2/2)+((8+0.5)*(4*IF(circ_int,0,eq_c1/2)+4*IF(circ_int,0,eq_c2/2)+2*PI()*(s_0+0*s_r+IF(circ_int,eq_c1/2,0)))/INDEX(lk_legs,1)),IF(((8+0.5)*(4*IF(circ_int,0,eq_c1/2)+4*IF(circ_int,0,eq_c2/2)+2*PI()*(s_0+0*s_r+IF(circ_int,eq_c1/2,0)))/INDEX(lk_legs,1))&lt;((2*IF(circ_int,0,eq_c2/2))+(PI()*(s_0+0*s_r+IF(circ_int,eq_c1/2,0))/2)),IF(circ_int,0,eq_c2/2)+(s_0+0*s_r+IF(circ_int,eq_c1/2,0))*SIN((((8+0.5)*(4*IF(circ_int,0,eq_c1/2)+4*IF(circ_int,0,eq_c2/2)+2*PI()*(s_0+0*s_r+IF(circ_int,eq_c1/2,0)))/INDEX(lk_legs,1))-(2*IF(circ_int,0,eq_c2/2)))/(s_0+0*s_r+IF(circ_int,eq_c1/2,0))),IF(((8+0.5)*(4*IF(circ_int,0,eq_c1/2)+4*IF(circ_int,0,eq_c2/2)+2*PI()*(s_0+0*s_r+IF(circ_int,eq_c1/2,0)))/INDEX(lk_legs,1))&lt;(((2*IF(circ_int,0,eq_c2/2))+(PI()*(s_0+0*s_r+IF(circ_int,eq_c1/2,0))/2))+2*IF(circ_int,0,eq_c1/2)),IF(circ_int,0,eq_c2/2)+(s_0+0*s_r+IF(circ_int,eq_c1/2,0)),IF(((8+0.5)*(4*IF(circ_int,0,eq_c1/2)+4*IF(circ_int,0,eq_c2/2)+2*PI()*(s_0+0*s_r+IF(circ_int,eq_c1/2,0)))/INDEX(lk_legs,1))&lt;((((2*IF(circ_int,0,eq_c2/2))+(PI()*(s_0+0*s_r+IF(circ_int,eq_c1/2,0))/2))+2*IF(circ_int,0,eq_c1/2))+(PI()*(s_0+0*s_r+IF(circ_int,eq_c1/2,0))/2)),IF(circ_int,0,eq_c2/2)+(s_0+0*s_r+IF(circ_int,eq_c1/2,0))*SIN(PI()/2+(((8+0.5)*(4*IF(circ_int,0,eq_c1/2)+4*IF(circ_int,0,eq_c2/2)+2*PI()*(s_0+0*s_r+IF(circ_int,eq_c1/2,0)))/INDEX(lk_legs,1))-(((2*IF(circ_int,0,eq_c2/2))+(PI()*(s_0+0*s_r+IF(circ_int,eq_c1/2,0))/2))+2*IF(circ_int,0,eq_c1/2)))/(s_0+0*s_r+IF(circ_int,eq_c1/2,0))),IF(((8+0.5)*(4*IF(circ_int,0,eq_c1/2)+4*IF(circ_int,0,eq_c2/2)+2*PI()*(s_0+0*s_r+IF(circ_int,eq_c1/2,0)))/INDEX(lk_legs,1))&lt;(((((2*IF(circ_int,0,eq_c2/2))+(PI()*(s_0+0*s_r+IF(circ_int,eq_c1/2,0))/2))+2*IF(circ_int,0,eq_c1/2))+(PI()*(s_0+0*s_r+IF(circ_int,eq_c1/2,0))/2))+2*IF(circ_int,0,eq_c2/2)),IF(circ_int,0,eq_c2/2)-(((8+0.5)*(4*IF(circ_int,0,eq_c1/2)+4*IF(circ_int,0,eq_c2/2)+2*PI()*(s_0+0*s_r+IF(circ_int,eq_c1/2,0)))/INDEX(lk_legs,1))-((((2*IF(circ_int,0,eq_c2/2))+(PI()*(s_0+0*s_r+IF(circ_int,eq_c1/2,0))/2))+2*IF(circ_int,0,eq_c1/2))+(PI()*(s_0+0*s_r+IF(circ_int,eq_c1/2,0))/2))),IF(((8+0.5)*(4*IF(circ_int,0,eq_c1/2)+4*IF(circ_int,0,eq_c2/2)+2*PI()*(s_0+0*s_r+IF(circ_int,eq_c1/2,0)))/INDEX(lk_legs,1))&lt;((((((2*IF(circ_int,0,eq_c2/2))+(PI()*(s_0+0*s_r+IF(circ_int,eq_c1/2,0))/2))+2*IF(circ_int,0,eq_c1/2))+(PI()*(s_0+0*s_r+IF(circ_int,eq_c1/2,0))/2))+2*IF(circ_int,0,eq_c2/2))+(PI()*(s_0+0*s_r+IF(circ_int,eq_c1/2,0))/2)),-IF(circ_int,0,eq_c2/2)+(s_0+0*s_r+IF(circ_int,eq_c1/2,0))*SIN(PI()+(((8+0.5)*(4*IF(circ_int,0,eq_c1/2)+4*IF(circ_int,0,eq_c2/2)+2*PI()*(s_0+0*s_r+IF(circ_int,eq_c1/2,0)))/INDEX(lk_legs,1))-(((((2*IF(circ_int,0,eq_c2/2))+(PI()*(s_0+0*s_r+IF(circ_int,eq_c1/2,0))/2))+2*IF(circ_int,0,eq_c1/2))+(PI()*(s_0+0*s_r+IF(circ_int,eq_c1/2,0))/2))+2*IF(circ_int,0,eq_c2/2)))/(s_0+0*s_r+IF(circ_int,eq_c1/2,0))),IF(((8+0.5)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(8+0.5)*(4*IF(circ_int,0,eq_c1/2)+4*IF(circ_int,0,eq_c2/2)+2*PI()*(s_0+0*s_r+IF(circ_int,eq_c1/2,0)))/INDEX(lk_legs,1))-(((((((2*IF(circ_int,0,eq_c2/2))+(PI()*(s_0+0*s_r+IF(circ_int,eq_c1/2,0))/2))+2*IF(circ_int,0,eq_c1/2))+(PI()*(s_0+0*s_r+IF(circ_int,eq_c1/2,0))/2))+2*IF(circ_int,0,eq_c2/2))+(PI()*(s_0+0*s_r+IF(circ_int,eq_c1/2,0))/2))+2*IF(circ_int,0,eq_c1/2)))/(s_0+0*s_r+IF(circ_int,eq_c1/2,0)))))))))),NA())</f>
        <v/>
      </c>
      <c r="BC11">
        <f>IF(AND(links_on,2&lt;=n_per),IF(circ_int,(g_ox)+(c_1/2+(s_0+1*s_r))*0.568065,CHOOSE(INDEX(lk_kind,2),(g_ox+eq_c1/2)+((s_0+1*s_r))*0.500000,(eq_a1+eq_c1)+((s_0+1*s_r))*0.793353,(eq_a1+eq_c1)+((s_0+1*s_r))*0.793353,(eq_a1)+((s_0+1*s_r))*-0.608761)),NA())</f>
        <v/>
      </c>
      <c r="BD11">
        <f>IF(AND(links_on,2&lt;=n_per),IF(circ_int,(g_oy)+(c_1/2+(s_0+1*s_r))*0.822984,CHOOSE(INDEX(lk_kind,2),(g_oy+eq_c2/2)+((s_0+1*s_r))*0.866025,(g_oy+eq_c2/2)+((s_0+1*s_r))*0.608761,(eq_a2+eq_c2)+((s_0+1*s_r))*0.608761,(eq_a2+eq_c2)+((s_0+1*s_r))*0.793353)),NA())</f>
        <v/>
      </c>
      <c r="BF11">
        <f>IF(AND(AND(links_on,2&lt;=n_per),INDEX(lk_kind,2)=1,8&lt;INDEX(lk_legs,2)),g_ox+IF(((8+0.5)*(4*IF(circ_int,0,eq_c1/2)+4*IF(circ_int,0,eq_c2/2)+2*PI()*(s_0+1*s_r+IF(circ_int,eq_c1/2,0)))/INDEX(lk_legs,2))&lt;(2*IF(circ_int,0,eq_c2/2)),IF(circ_int,0,eq_c1/2)+(s_0+1*s_r+IF(circ_int,eq_c1/2,0)),IF(((8+0.5)*(4*IF(circ_int,0,eq_c1/2)+4*IF(circ_int,0,eq_c2/2)+2*PI()*(s_0+1*s_r+IF(circ_int,eq_c1/2,0)))/INDEX(lk_legs,2))&lt;((2*IF(circ_int,0,eq_c2/2))+(PI()*(s_0+1*s_r+IF(circ_int,eq_c1/2,0))/2)),IF(circ_int,0,eq_c1/2)+(s_0+1*s_r+IF(circ_int,eq_c1/2,0))*COS((((8+0.5)*(4*IF(circ_int,0,eq_c1/2)+4*IF(circ_int,0,eq_c2/2)+2*PI()*(s_0+1*s_r+IF(circ_int,eq_c1/2,0)))/INDEX(lk_legs,2))-(2*IF(circ_int,0,eq_c2/2)))/(s_0+1*s_r+IF(circ_int,eq_c1/2,0))),IF(((8+0.5)*(4*IF(circ_int,0,eq_c1/2)+4*IF(circ_int,0,eq_c2/2)+2*PI()*(s_0+1*s_r+IF(circ_int,eq_c1/2,0)))/INDEX(lk_legs,2))&lt;(((2*IF(circ_int,0,eq_c2/2))+(PI()*(s_0+1*s_r+IF(circ_int,eq_c1/2,0))/2))+2*IF(circ_int,0,eq_c1/2)),IF(circ_int,0,eq_c1/2)-(((8+0.5)*(4*IF(circ_int,0,eq_c1/2)+4*IF(circ_int,0,eq_c2/2)+2*PI()*(s_0+1*s_r+IF(circ_int,eq_c1/2,0)))/INDEX(lk_legs,2))-((2*IF(circ_int,0,eq_c2/2))+(PI()*(s_0+1*s_r+IF(circ_int,eq_c1/2,0))/2))),IF(((8+0.5)*(4*IF(circ_int,0,eq_c1/2)+4*IF(circ_int,0,eq_c2/2)+2*PI()*(s_0+1*s_r+IF(circ_int,eq_c1/2,0)))/INDEX(lk_legs,2))&lt;((((2*IF(circ_int,0,eq_c2/2))+(PI()*(s_0+1*s_r+IF(circ_int,eq_c1/2,0))/2))+2*IF(circ_int,0,eq_c1/2))+(PI()*(s_0+1*s_r+IF(circ_int,eq_c1/2,0))/2)),-IF(circ_int,0,eq_c1/2)+(s_0+1*s_r+IF(circ_int,eq_c1/2,0))*COS(PI()/2+(((8+0.5)*(4*IF(circ_int,0,eq_c1/2)+4*IF(circ_int,0,eq_c2/2)+2*PI()*(s_0+1*s_r+IF(circ_int,eq_c1/2,0)))/INDEX(lk_legs,2))-(((2*IF(circ_int,0,eq_c2/2))+(PI()*(s_0+1*s_r+IF(circ_int,eq_c1/2,0))/2))+2*IF(circ_int,0,eq_c1/2)))/(s_0+1*s_r+IF(circ_int,eq_c1/2,0))),IF(((8+0.5)*(4*IF(circ_int,0,eq_c1/2)+4*IF(circ_int,0,eq_c2/2)+2*PI()*(s_0+1*s_r+IF(circ_int,eq_c1/2,0)))/INDEX(lk_legs,2))&lt;(((((2*IF(circ_int,0,eq_c2/2))+(PI()*(s_0+1*s_r+IF(circ_int,eq_c1/2,0))/2))+2*IF(circ_int,0,eq_c1/2))+(PI()*(s_0+1*s_r+IF(circ_int,eq_c1/2,0))/2))+2*IF(circ_int,0,eq_c2/2)),-IF(circ_int,0,eq_c1/2)-(s_0+1*s_r+IF(circ_int,eq_c1/2,0)),IF(((8+0.5)*(4*IF(circ_int,0,eq_c1/2)+4*IF(circ_int,0,eq_c2/2)+2*PI()*(s_0+1*s_r+IF(circ_int,eq_c1/2,0)))/INDEX(lk_legs,2))&lt;((((((2*IF(circ_int,0,eq_c2/2))+(PI()*(s_0+1*s_r+IF(circ_int,eq_c1/2,0))/2))+2*IF(circ_int,0,eq_c1/2))+(PI()*(s_0+1*s_r+IF(circ_int,eq_c1/2,0))/2))+2*IF(circ_int,0,eq_c2/2))+(PI()*(s_0+1*s_r+IF(circ_int,eq_c1/2,0))/2)),-IF(circ_int,0,eq_c1/2)+(s_0+1*s_r+IF(circ_int,eq_c1/2,0))*COS(PI()+(((8+0.5)*(4*IF(circ_int,0,eq_c1/2)+4*IF(circ_int,0,eq_c2/2)+2*PI()*(s_0+1*s_r+IF(circ_int,eq_c1/2,0)))/INDEX(lk_legs,2))-(((((2*IF(circ_int,0,eq_c2/2))+(PI()*(s_0+1*s_r+IF(circ_int,eq_c1/2,0))/2))+2*IF(circ_int,0,eq_c1/2))+(PI()*(s_0+1*s_r+IF(circ_int,eq_c1/2,0))/2))+2*IF(circ_int,0,eq_c2/2)))/(s_0+1*s_r+IF(circ_int,eq_c1/2,0))),IF(((8+0.5)*(4*IF(circ_int,0,eq_c1/2)+4*IF(circ_int,0,eq_c2/2)+2*PI()*(s_0+1*s_r+IF(circ_int,eq_c1/2,0)))/INDEX(lk_legs,2))&lt;(((((((2*IF(circ_int,0,eq_c2/2))+(PI()*(s_0+1*s_r+IF(circ_int,eq_c1/2,0))/2))+2*IF(circ_int,0,eq_c1/2))+(PI()*(s_0+1*s_r+IF(circ_int,eq_c1/2,0))/2))+2*IF(circ_int,0,eq_c2/2))+(PI()*(s_0+1*s_r+IF(circ_int,eq_c1/2,0))/2))+2*IF(circ_int,0,eq_c1/2)),-IF(circ_int,0,eq_c1/2)+(((8+0.5)*(4*IF(circ_int,0,eq_c1/2)+4*IF(circ_int,0,eq_c2/2)+2*PI()*(s_0+1*s_r+IF(circ_int,eq_c1/2,0)))/INDEX(lk_legs,2))-((((((2*IF(circ_int,0,eq_c2/2))+(PI()*(s_0+1*s_r+IF(circ_int,eq_c1/2,0))/2))+2*IF(circ_int,0,eq_c1/2))+(PI()*(s_0+1*s_r+IF(circ_int,eq_c1/2,0))/2))+2*IF(circ_int,0,eq_c2/2))+(PI()*(s_0+1*s_r+IF(circ_int,eq_c1/2,0))/2))),IF(circ_int,0,eq_c1/2)+(s_0+1*s_r+IF(circ_int,eq_c1/2,0))*COS(3*PI()/2+(((8+0.5)*(4*IF(circ_int,0,eq_c1/2)+4*IF(circ_int,0,eq_c2/2)+2*PI()*(s_0+1*s_r+IF(circ_int,eq_c1/2,0)))/INDEX(lk_legs,2))-(((((((2*IF(circ_int,0,eq_c2/2))+(PI()*(s_0+1*s_r+IF(circ_int,eq_c1/2,0))/2))+2*IF(circ_int,0,eq_c1/2))+(PI()*(s_0+1*s_r+IF(circ_int,eq_c1/2,0))/2))+2*IF(circ_int,0,eq_c2/2))+(PI()*(s_0+1*s_r+IF(circ_int,eq_c1/2,0))/2))+2*IF(circ_int,0,eq_c1/2)))/(s_0+1*s_r+IF(circ_int,eq_c1/2,0)))))))))),NA())</f>
        <v/>
      </c>
      <c r="BG11">
        <f>IF(AND(AND(links_on,2&lt;=n_per),INDEX(lk_kind,2)=1,8&lt;INDEX(lk_legs,2)),g_oy+IF(((8+0.5)*(4*IF(circ_int,0,eq_c1/2)+4*IF(circ_int,0,eq_c2/2)+2*PI()*(s_0+1*s_r+IF(circ_int,eq_c1/2,0)))/INDEX(lk_legs,2))&lt;(2*IF(circ_int,0,eq_c2/2)),-IF(circ_int,0,eq_c2/2)+((8+0.5)*(4*IF(circ_int,0,eq_c1/2)+4*IF(circ_int,0,eq_c2/2)+2*PI()*(s_0+1*s_r+IF(circ_int,eq_c1/2,0)))/INDEX(lk_legs,2)),IF(((8+0.5)*(4*IF(circ_int,0,eq_c1/2)+4*IF(circ_int,0,eq_c2/2)+2*PI()*(s_0+1*s_r+IF(circ_int,eq_c1/2,0)))/INDEX(lk_legs,2))&lt;((2*IF(circ_int,0,eq_c2/2))+(PI()*(s_0+1*s_r+IF(circ_int,eq_c1/2,0))/2)),IF(circ_int,0,eq_c2/2)+(s_0+1*s_r+IF(circ_int,eq_c1/2,0))*SIN((((8+0.5)*(4*IF(circ_int,0,eq_c1/2)+4*IF(circ_int,0,eq_c2/2)+2*PI()*(s_0+1*s_r+IF(circ_int,eq_c1/2,0)))/INDEX(lk_legs,2))-(2*IF(circ_int,0,eq_c2/2)))/(s_0+1*s_r+IF(circ_int,eq_c1/2,0))),IF(((8+0.5)*(4*IF(circ_int,0,eq_c1/2)+4*IF(circ_int,0,eq_c2/2)+2*PI()*(s_0+1*s_r+IF(circ_int,eq_c1/2,0)))/INDEX(lk_legs,2))&lt;(((2*IF(circ_int,0,eq_c2/2))+(PI()*(s_0+1*s_r+IF(circ_int,eq_c1/2,0))/2))+2*IF(circ_int,0,eq_c1/2)),IF(circ_int,0,eq_c2/2)+(s_0+1*s_r+IF(circ_int,eq_c1/2,0)),IF(((8+0.5)*(4*IF(circ_int,0,eq_c1/2)+4*IF(circ_int,0,eq_c2/2)+2*PI()*(s_0+1*s_r+IF(circ_int,eq_c1/2,0)))/INDEX(lk_legs,2))&lt;((((2*IF(circ_int,0,eq_c2/2))+(PI()*(s_0+1*s_r+IF(circ_int,eq_c1/2,0))/2))+2*IF(circ_int,0,eq_c1/2))+(PI()*(s_0+1*s_r+IF(circ_int,eq_c1/2,0))/2)),IF(circ_int,0,eq_c2/2)+(s_0+1*s_r+IF(circ_int,eq_c1/2,0))*SIN(PI()/2+(((8+0.5)*(4*IF(circ_int,0,eq_c1/2)+4*IF(circ_int,0,eq_c2/2)+2*PI()*(s_0+1*s_r+IF(circ_int,eq_c1/2,0)))/INDEX(lk_legs,2))-(((2*IF(circ_int,0,eq_c2/2))+(PI()*(s_0+1*s_r+IF(circ_int,eq_c1/2,0))/2))+2*IF(circ_int,0,eq_c1/2)))/(s_0+1*s_r+IF(circ_int,eq_c1/2,0))),IF(((8+0.5)*(4*IF(circ_int,0,eq_c1/2)+4*IF(circ_int,0,eq_c2/2)+2*PI()*(s_0+1*s_r+IF(circ_int,eq_c1/2,0)))/INDEX(lk_legs,2))&lt;(((((2*IF(circ_int,0,eq_c2/2))+(PI()*(s_0+1*s_r+IF(circ_int,eq_c1/2,0))/2))+2*IF(circ_int,0,eq_c1/2))+(PI()*(s_0+1*s_r+IF(circ_int,eq_c1/2,0))/2))+2*IF(circ_int,0,eq_c2/2)),IF(circ_int,0,eq_c2/2)-(((8+0.5)*(4*IF(circ_int,0,eq_c1/2)+4*IF(circ_int,0,eq_c2/2)+2*PI()*(s_0+1*s_r+IF(circ_int,eq_c1/2,0)))/INDEX(lk_legs,2))-((((2*IF(circ_int,0,eq_c2/2))+(PI()*(s_0+1*s_r+IF(circ_int,eq_c1/2,0))/2))+2*IF(circ_int,0,eq_c1/2))+(PI()*(s_0+1*s_r+IF(circ_int,eq_c1/2,0))/2))),IF(((8+0.5)*(4*IF(circ_int,0,eq_c1/2)+4*IF(circ_int,0,eq_c2/2)+2*PI()*(s_0+1*s_r+IF(circ_int,eq_c1/2,0)))/INDEX(lk_legs,2))&lt;((((((2*IF(circ_int,0,eq_c2/2))+(PI()*(s_0+1*s_r+IF(circ_int,eq_c1/2,0))/2))+2*IF(circ_int,0,eq_c1/2))+(PI()*(s_0+1*s_r+IF(circ_int,eq_c1/2,0))/2))+2*IF(circ_int,0,eq_c2/2))+(PI()*(s_0+1*s_r+IF(circ_int,eq_c1/2,0))/2)),-IF(circ_int,0,eq_c2/2)+(s_0+1*s_r+IF(circ_int,eq_c1/2,0))*SIN(PI()+(((8+0.5)*(4*IF(circ_int,0,eq_c1/2)+4*IF(circ_int,0,eq_c2/2)+2*PI()*(s_0+1*s_r+IF(circ_int,eq_c1/2,0)))/INDEX(lk_legs,2))-(((((2*IF(circ_int,0,eq_c2/2))+(PI()*(s_0+1*s_r+IF(circ_int,eq_c1/2,0))/2))+2*IF(circ_int,0,eq_c1/2))+(PI()*(s_0+1*s_r+IF(circ_int,eq_c1/2,0))/2))+2*IF(circ_int,0,eq_c2/2)))/(s_0+1*s_r+IF(circ_int,eq_c1/2,0))),IF(((8+0.5)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(8+0.5)*(4*IF(circ_int,0,eq_c1/2)+4*IF(circ_int,0,eq_c2/2)+2*PI()*(s_0+1*s_r+IF(circ_int,eq_c1/2,0)))/INDEX(lk_legs,2))-(((((((2*IF(circ_int,0,eq_c2/2))+(PI()*(s_0+1*s_r+IF(circ_int,eq_c1/2,0))/2))+2*IF(circ_int,0,eq_c1/2))+(PI()*(s_0+1*s_r+IF(circ_int,eq_c1/2,0))/2))+2*IF(circ_int,0,eq_c2/2))+(PI()*(s_0+1*s_r+IF(circ_int,eq_c1/2,0))/2))+2*IF(circ_int,0,eq_c1/2)))/(s_0+1*s_r+IF(circ_int,eq_c1/2,0)))))))))),NA())</f>
        <v/>
      </c>
      <c r="BI11">
        <f>IF(AND(links_on,3&lt;=n_per),IF(circ_int,(g_ox)+(c_1/2+(s_0+2*s_r))*0.568065,CHOOSE(INDEX(lk_kind,3),(g_ox+eq_c1/2)+((s_0+2*s_r))*0.500000,(eq_a1+eq_c1)+((s_0+2*s_r))*0.793353,(eq_a1+eq_c1)+((s_0+2*s_r))*0.793353,(eq_a1)+((s_0+2*s_r))*-0.608761)),NA())</f>
        <v/>
      </c>
      <c r="BJ11">
        <f>IF(AND(links_on,3&lt;=n_per),IF(circ_int,(g_oy)+(c_1/2+(s_0+2*s_r))*0.822984,CHOOSE(INDEX(lk_kind,3),(g_oy+eq_c2/2)+((s_0+2*s_r))*0.866025,(g_oy+eq_c2/2)+((s_0+2*s_r))*0.608761,(eq_a2+eq_c2)+((s_0+2*s_r))*0.608761,(eq_a2+eq_c2)+((s_0+2*s_r))*0.793353)),NA())</f>
        <v/>
      </c>
      <c r="BL11">
        <f>IF(AND(AND(links_on,3&lt;=n_per),INDEX(lk_kind,3)=1,8&lt;INDEX(lk_legs,3)),g_ox+IF(((8+0.5)*(4*IF(circ_int,0,eq_c1/2)+4*IF(circ_int,0,eq_c2/2)+2*PI()*(s_0+2*s_r+IF(circ_int,eq_c1/2,0)))/INDEX(lk_legs,3))&lt;(2*IF(circ_int,0,eq_c2/2)),IF(circ_int,0,eq_c1/2)+(s_0+2*s_r+IF(circ_int,eq_c1/2,0)),IF(((8+0.5)*(4*IF(circ_int,0,eq_c1/2)+4*IF(circ_int,0,eq_c2/2)+2*PI()*(s_0+2*s_r+IF(circ_int,eq_c1/2,0)))/INDEX(lk_legs,3))&lt;((2*IF(circ_int,0,eq_c2/2))+(PI()*(s_0+2*s_r+IF(circ_int,eq_c1/2,0))/2)),IF(circ_int,0,eq_c1/2)+(s_0+2*s_r+IF(circ_int,eq_c1/2,0))*COS((((8+0.5)*(4*IF(circ_int,0,eq_c1/2)+4*IF(circ_int,0,eq_c2/2)+2*PI()*(s_0+2*s_r+IF(circ_int,eq_c1/2,0)))/INDEX(lk_legs,3))-(2*IF(circ_int,0,eq_c2/2)))/(s_0+2*s_r+IF(circ_int,eq_c1/2,0))),IF(((8+0.5)*(4*IF(circ_int,0,eq_c1/2)+4*IF(circ_int,0,eq_c2/2)+2*PI()*(s_0+2*s_r+IF(circ_int,eq_c1/2,0)))/INDEX(lk_legs,3))&lt;(((2*IF(circ_int,0,eq_c2/2))+(PI()*(s_0+2*s_r+IF(circ_int,eq_c1/2,0))/2))+2*IF(circ_int,0,eq_c1/2)),IF(circ_int,0,eq_c1/2)-(((8+0.5)*(4*IF(circ_int,0,eq_c1/2)+4*IF(circ_int,0,eq_c2/2)+2*PI()*(s_0+2*s_r+IF(circ_int,eq_c1/2,0)))/INDEX(lk_legs,3))-((2*IF(circ_int,0,eq_c2/2))+(PI()*(s_0+2*s_r+IF(circ_int,eq_c1/2,0))/2))),IF(((8+0.5)*(4*IF(circ_int,0,eq_c1/2)+4*IF(circ_int,0,eq_c2/2)+2*PI()*(s_0+2*s_r+IF(circ_int,eq_c1/2,0)))/INDEX(lk_legs,3))&lt;((((2*IF(circ_int,0,eq_c2/2))+(PI()*(s_0+2*s_r+IF(circ_int,eq_c1/2,0))/2))+2*IF(circ_int,0,eq_c1/2))+(PI()*(s_0+2*s_r+IF(circ_int,eq_c1/2,0))/2)),-IF(circ_int,0,eq_c1/2)+(s_0+2*s_r+IF(circ_int,eq_c1/2,0))*COS(PI()/2+(((8+0.5)*(4*IF(circ_int,0,eq_c1/2)+4*IF(circ_int,0,eq_c2/2)+2*PI()*(s_0+2*s_r+IF(circ_int,eq_c1/2,0)))/INDEX(lk_legs,3))-(((2*IF(circ_int,0,eq_c2/2))+(PI()*(s_0+2*s_r+IF(circ_int,eq_c1/2,0))/2))+2*IF(circ_int,0,eq_c1/2)))/(s_0+2*s_r+IF(circ_int,eq_c1/2,0))),IF(((8+0.5)*(4*IF(circ_int,0,eq_c1/2)+4*IF(circ_int,0,eq_c2/2)+2*PI()*(s_0+2*s_r+IF(circ_int,eq_c1/2,0)))/INDEX(lk_legs,3))&lt;(((((2*IF(circ_int,0,eq_c2/2))+(PI()*(s_0+2*s_r+IF(circ_int,eq_c1/2,0))/2))+2*IF(circ_int,0,eq_c1/2))+(PI()*(s_0+2*s_r+IF(circ_int,eq_c1/2,0))/2))+2*IF(circ_int,0,eq_c2/2)),-IF(circ_int,0,eq_c1/2)-(s_0+2*s_r+IF(circ_int,eq_c1/2,0)),IF(((8+0.5)*(4*IF(circ_int,0,eq_c1/2)+4*IF(circ_int,0,eq_c2/2)+2*PI()*(s_0+2*s_r+IF(circ_int,eq_c1/2,0)))/INDEX(lk_legs,3))&lt;((((((2*IF(circ_int,0,eq_c2/2))+(PI()*(s_0+2*s_r+IF(circ_int,eq_c1/2,0))/2))+2*IF(circ_int,0,eq_c1/2))+(PI()*(s_0+2*s_r+IF(circ_int,eq_c1/2,0))/2))+2*IF(circ_int,0,eq_c2/2))+(PI()*(s_0+2*s_r+IF(circ_int,eq_c1/2,0))/2)),-IF(circ_int,0,eq_c1/2)+(s_0+2*s_r+IF(circ_int,eq_c1/2,0))*COS(PI()+(((8+0.5)*(4*IF(circ_int,0,eq_c1/2)+4*IF(circ_int,0,eq_c2/2)+2*PI()*(s_0+2*s_r+IF(circ_int,eq_c1/2,0)))/INDEX(lk_legs,3))-(((((2*IF(circ_int,0,eq_c2/2))+(PI()*(s_0+2*s_r+IF(circ_int,eq_c1/2,0))/2))+2*IF(circ_int,0,eq_c1/2))+(PI()*(s_0+2*s_r+IF(circ_int,eq_c1/2,0))/2))+2*IF(circ_int,0,eq_c2/2)))/(s_0+2*s_r+IF(circ_int,eq_c1/2,0))),IF(((8+0.5)*(4*IF(circ_int,0,eq_c1/2)+4*IF(circ_int,0,eq_c2/2)+2*PI()*(s_0+2*s_r+IF(circ_int,eq_c1/2,0)))/INDEX(lk_legs,3))&lt;(((((((2*IF(circ_int,0,eq_c2/2))+(PI()*(s_0+2*s_r+IF(circ_int,eq_c1/2,0))/2))+2*IF(circ_int,0,eq_c1/2))+(PI()*(s_0+2*s_r+IF(circ_int,eq_c1/2,0))/2))+2*IF(circ_int,0,eq_c2/2))+(PI()*(s_0+2*s_r+IF(circ_int,eq_c1/2,0))/2))+2*IF(circ_int,0,eq_c1/2)),-IF(circ_int,0,eq_c1/2)+(((8+0.5)*(4*IF(circ_int,0,eq_c1/2)+4*IF(circ_int,0,eq_c2/2)+2*PI()*(s_0+2*s_r+IF(circ_int,eq_c1/2,0)))/INDEX(lk_legs,3))-((((((2*IF(circ_int,0,eq_c2/2))+(PI()*(s_0+2*s_r+IF(circ_int,eq_c1/2,0))/2))+2*IF(circ_int,0,eq_c1/2))+(PI()*(s_0+2*s_r+IF(circ_int,eq_c1/2,0))/2))+2*IF(circ_int,0,eq_c2/2))+(PI()*(s_0+2*s_r+IF(circ_int,eq_c1/2,0))/2))),IF(circ_int,0,eq_c1/2)+(s_0+2*s_r+IF(circ_int,eq_c1/2,0))*COS(3*PI()/2+(((8+0.5)*(4*IF(circ_int,0,eq_c1/2)+4*IF(circ_int,0,eq_c2/2)+2*PI()*(s_0+2*s_r+IF(circ_int,eq_c1/2,0)))/INDEX(lk_legs,3))-(((((((2*IF(circ_int,0,eq_c2/2))+(PI()*(s_0+2*s_r+IF(circ_int,eq_c1/2,0))/2))+2*IF(circ_int,0,eq_c1/2))+(PI()*(s_0+2*s_r+IF(circ_int,eq_c1/2,0))/2))+2*IF(circ_int,0,eq_c2/2))+(PI()*(s_0+2*s_r+IF(circ_int,eq_c1/2,0))/2))+2*IF(circ_int,0,eq_c1/2)))/(s_0+2*s_r+IF(circ_int,eq_c1/2,0)))))))))),NA())</f>
        <v/>
      </c>
      <c r="BM11">
        <f>IF(AND(AND(links_on,3&lt;=n_per),INDEX(lk_kind,3)=1,8&lt;INDEX(lk_legs,3)),g_oy+IF(((8+0.5)*(4*IF(circ_int,0,eq_c1/2)+4*IF(circ_int,0,eq_c2/2)+2*PI()*(s_0+2*s_r+IF(circ_int,eq_c1/2,0)))/INDEX(lk_legs,3))&lt;(2*IF(circ_int,0,eq_c2/2)),-IF(circ_int,0,eq_c2/2)+((8+0.5)*(4*IF(circ_int,0,eq_c1/2)+4*IF(circ_int,0,eq_c2/2)+2*PI()*(s_0+2*s_r+IF(circ_int,eq_c1/2,0)))/INDEX(lk_legs,3)),IF(((8+0.5)*(4*IF(circ_int,0,eq_c1/2)+4*IF(circ_int,0,eq_c2/2)+2*PI()*(s_0+2*s_r+IF(circ_int,eq_c1/2,0)))/INDEX(lk_legs,3))&lt;((2*IF(circ_int,0,eq_c2/2))+(PI()*(s_0+2*s_r+IF(circ_int,eq_c1/2,0))/2)),IF(circ_int,0,eq_c2/2)+(s_0+2*s_r+IF(circ_int,eq_c1/2,0))*SIN((((8+0.5)*(4*IF(circ_int,0,eq_c1/2)+4*IF(circ_int,0,eq_c2/2)+2*PI()*(s_0+2*s_r+IF(circ_int,eq_c1/2,0)))/INDEX(lk_legs,3))-(2*IF(circ_int,0,eq_c2/2)))/(s_0+2*s_r+IF(circ_int,eq_c1/2,0))),IF(((8+0.5)*(4*IF(circ_int,0,eq_c1/2)+4*IF(circ_int,0,eq_c2/2)+2*PI()*(s_0+2*s_r+IF(circ_int,eq_c1/2,0)))/INDEX(lk_legs,3))&lt;(((2*IF(circ_int,0,eq_c2/2))+(PI()*(s_0+2*s_r+IF(circ_int,eq_c1/2,0))/2))+2*IF(circ_int,0,eq_c1/2)),IF(circ_int,0,eq_c2/2)+(s_0+2*s_r+IF(circ_int,eq_c1/2,0)),IF(((8+0.5)*(4*IF(circ_int,0,eq_c1/2)+4*IF(circ_int,0,eq_c2/2)+2*PI()*(s_0+2*s_r+IF(circ_int,eq_c1/2,0)))/INDEX(lk_legs,3))&lt;((((2*IF(circ_int,0,eq_c2/2))+(PI()*(s_0+2*s_r+IF(circ_int,eq_c1/2,0))/2))+2*IF(circ_int,0,eq_c1/2))+(PI()*(s_0+2*s_r+IF(circ_int,eq_c1/2,0))/2)),IF(circ_int,0,eq_c2/2)+(s_0+2*s_r+IF(circ_int,eq_c1/2,0))*SIN(PI()/2+(((8+0.5)*(4*IF(circ_int,0,eq_c1/2)+4*IF(circ_int,0,eq_c2/2)+2*PI()*(s_0+2*s_r+IF(circ_int,eq_c1/2,0)))/INDEX(lk_legs,3))-(((2*IF(circ_int,0,eq_c2/2))+(PI()*(s_0+2*s_r+IF(circ_int,eq_c1/2,0))/2))+2*IF(circ_int,0,eq_c1/2)))/(s_0+2*s_r+IF(circ_int,eq_c1/2,0))),IF(((8+0.5)*(4*IF(circ_int,0,eq_c1/2)+4*IF(circ_int,0,eq_c2/2)+2*PI()*(s_0+2*s_r+IF(circ_int,eq_c1/2,0)))/INDEX(lk_legs,3))&lt;(((((2*IF(circ_int,0,eq_c2/2))+(PI()*(s_0+2*s_r+IF(circ_int,eq_c1/2,0))/2))+2*IF(circ_int,0,eq_c1/2))+(PI()*(s_0+2*s_r+IF(circ_int,eq_c1/2,0))/2))+2*IF(circ_int,0,eq_c2/2)),IF(circ_int,0,eq_c2/2)-(((8+0.5)*(4*IF(circ_int,0,eq_c1/2)+4*IF(circ_int,0,eq_c2/2)+2*PI()*(s_0+2*s_r+IF(circ_int,eq_c1/2,0)))/INDEX(lk_legs,3))-((((2*IF(circ_int,0,eq_c2/2))+(PI()*(s_0+2*s_r+IF(circ_int,eq_c1/2,0))/2))+2*IF(circ_int,0,eq_c1/2))+(PI()*(s_0+2*s_r+IF(circ_int,eq_c1/2,0))/2))),IF(((8+0.5)*(4*IF(circ_int,0,eq_c1/2)+4*IF(circ_int,0,eq_c2/2)+2*PI()*(s_0+2*s_r+IF(circ_int,eq_c1/2,0)))/INDEX(lk_legs,3))&lt;((((((2*IF(circ_int,0,eq_c2/2))+(PI()*(s_0+2*s_r+IF(circ_int,eq_c1/2,0))/2))+2*IF(circ_int,0,eq_c1/2))+(PI()*(s_0+2*s_r+IF(circ_int,eq_c1/2,0))/2))+2*IF(circ_int,0,eq_c2/2))+(PI()*(s_0+2*s_r+IF(circ_int,eq_c1/2,0))/2)),-IF(circ_int,0,eq_c2/2)+(s_0+2*s_r+IF(circ_int,eq_c1/2,0))*SIN(PI()+(((8+0.5)*(4*IF(circ_int,0,eq_c1/2)+4*IF(circ_int,0,eq_c2/2)+2*PI()*(s_0+2*s_r+IF(circ_int,eq_c1/2,0)))/INDEX(lk_legs,3))-(((((2*IF(circ_int,0,eq_c2/2))+(PI()*(s_0+2*s_r+IF(circ_int,eq_c1/2,0))/2))+2*IF(circ_int,0,eq_c1/2))+(PI()*(s_0+2*s_r+IF(circ_int,eq_c1/2,0))/2))+2*IF(circ_int,0,eq_c2/2)))/(s_0+2*s_r+IF(circ_int,eq_c1/2,0))),IF(((8+0.5)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(8+0.5)*(4*IF(circ_int,0,eq_c1/2)+4*IF(circ_int,0,eq_c2/2)+2*PI()*(s_0+2*s_r+IF(circ_int,eq_c1/2,0)))/INDEX(lk_legs,3))-(((((((2*IF(circ_int,0,eq_c2/2))+(PI()*(s_0+2*s_r+IF(circ_int,eq_c1/2,0))/2))+2*IF(circ_int,0,eq_c1/2))+(PI()*(s_0+2*s_r+IF(circ_int,eq_c1/2,0))/2))+2*IF(circ_int,0,eq_c2/2))+(PI()*(s_0+2*s_r+IF(circ_int,eq_c1/2,0))/2))+2*IF(circ_int,0,eq_c1/2)))/(s_0+2*s_r+IF(circ_int,eq_c1/2,0)))))))))),NA())</f>
        <v/>
      </c>
      <c r="BO11">
        <f>IF(AND(links_on,4&lt;=n_per),IF(circ_int,(g_ox)+(c_1/2+(s_0+3*s_r))*0.568065,CHOOSE(INDEX(lk_kind,4),(g_ox+eq_c1/2)+((s_0+3*s_r))*0.500000,(eq_a1+eq_c1)+((s_0+3*s_r))*0.793353,(eq_a1+eq_c1)+((s_0+3*s_r))*0.793353,(eq_a1)+((s_0+3*s_r))*-0.608761)),NA())</f>
        <v/>
      </c>
      <c r="BP11">
        <f>IF(AND(links_on,4&lt;=n_per),IF(circ_int,(g_oy)+(c_1/2+(s_0+3*s_r))*0.822984,CHOOSE(INDEX(lk_kind,4),(g_oy+eq_c2/2)+((s_0+3*s_r))*0.866025,(g_oy+eq_c2/2)+((s_0+3*s_r))*0.608761,(eq_a2+eq_c2)+((s_0+3*s_r))*0.608761,(eq_a2+eq_c2)+((s_0+3*s_r))*0.793353)),NA())</f>
        <v/>
      </c>
      <c r="BR11">
        <f>IF(AND(AND(links_on,4&lt;=n_per),INDEX(lk_kind,4)=1,8&lt;INDEX(lk_legs,4)),g_ox+IF(((8+0.5)*(4*IF(circ_int,0,eq_c1/2)+4*IF(circ_int,0,eq_c2/2)+2*PI()*(s_0+3*s_r+IF(circ_int,eq_c1/2,0)))/INDEX(lk_legs,4))&lt;(2*IF(circ_int,0,eq_c2/2)),IF(circ_int,0,eq_c1/2)+(s_0+3*s_r+IF(circ_int,eq_c1/2,0)),IF(((8+0.5)*(4*IF(circ_int,0,eq_c1/2)+4*IF(circ_int,0,eq_c2/2)+2*PI()*(s_0+3*s_r+IF(circ_int,eq_c1/2,0)))/INDEX(lk_legs,4))&lt;((2*IF(circ_int,0,eq_c2/2))+(PI()*(s_0+3*s_r+IF(circ_int,eq_c1/2,0))/2)),IF(circ_int,0,eq_c1/2)+(s_0+3*s_r+IF(circ_int,eq_c1/2,0))*COS((((8+0.5)*(4*IF(circ_int,0,eq_c1/2)+4*IF(circ_int,0,eq_c2/2)+2*PI()*(s_0+3*s_r+IF(circ_int,eq_c1/2,0)))/INDEX(lk_legs,4))-(2*IF(circ_int,0,eq_c2/2)))/(s_0+3*s_r+IF(circ_int,eq_c1/2,0))),IF(((8+0.5)*(4*IF(circ_int,0,eq_c1/2)+4*IF(circ_int,0,eq_c2/2)+2*PI()*(s_0+3*s_r+IF(circ_int,eq_c1/2,0)))/INDEX(lk_legs,4))&lt;(((2*IF(circ_int,0,eq_c2/2))+(PI()*(s_0+3*s_r+IF(circ_int,eq_c1/2,0))/2))+2*IF(circ_int,0,eq_c1/2)),IF(circ_int,0,eq_c1/2)-(((8+0.5)*(4*IF(circ_int,0,eq_c1/2)+4*IF(circ_int,0,eq_c2/2)+2*PI()*(s_0+3*s_r+IF(circ_int,eq_c1/2,0)))/INDEX(lk_legs,4))-((2*IF(circ_int,0,eq_c2/2))+(PI()*(s_0+3*s_r+IF(circ_int,eq_c1/2,0))/2))),IF(((8+0.5)*(4*IF(circ_int,0,eq_c1/2)+4*IF(circ_int,0,eq_c2/2)+2*PI()*(s_0+3*s_r+IF(circ_int,eq_c1/2,0)))/INDEX(lk_legs,4))&lt;((((2*IF(circ_int,0,eq_c2/2))+(PI()*(s_0+3*s_r+IF(circ_int,eq_c1/2,0))/2))+2*IF(circ_int,0,eq_c1/2))+(PI()*(s_0+3*s_r+IF(circ_int,eq_c1/2,0))/2)),-IF(circ_int,0,eq_c1/2)+(s_0+3*s_r+IF(circ_int,eq_c1/2,0))*COS(PI()/2+(((8+0.5)*(4*IF(circ_int,0,eq_c1/2)+4*IF(circ_int,0,eq_c2/2)+2*PI()*(s_0+3*s_r+IF(circ_int,eq_c1/2,0)))/INDEX(lk_legs,4))-(((2*IF(circ_int,0,eq_c2/2))+(PI()*(s_0+3*s_r+IF(circ_int,eq_c1/2,0))/2))+2*IF(circ_int,0,eq_c1/2)))/(s_0+3*s_r+IF(circ_int,eq_c1/2,0))),IF(((8+0.5)*(4*IF(circ_int,0,eq_c1/2)+4*IF(circ_int,0,eq_c2/2)+2*PI()*(s_0+3*s_r+IF(circ_int,eq_c1/2,0)))/INDEX(lk_legs,4))&lt;(((((2*IF(circ_int,0,eq_c2/2))+(PI()*(s_0+3*s_r+IF(circ_int,eq_c1/2,0))/2))+2*IF(circ_int,0,eq_c1/2))+(PI()*(s_0+3*s_r+IF(circ_int,eq_c1/2,0))/2))+2*IF(circ_int,0,eq_c2/2)),-IF(circ_int,0,eq_c1/2)-(s_0+3*s_r+IF(circ_int,eq_c1/2,0)),IF(((8+0.5)*(4*IF(circ_int,0,eq_c1/2)+4*IF(circ_int,0,eq_c2/2)+2*PI()*(s_0+3*s_r+IF(circ_int,eq_c1/2,0)))/INDEX(lk_legs,4))&lt;((((((2*IF(circ_int,0,eq_c2/2))+(PI()*(s_0+3*s_r+IF(circ_int,eq_c1/2,0))/2))+2*IF(circ_int,0,eq_c1/2))+(PI()*(s_0+3*s_r+IF(circ_int,eq_c1/2,0))/2))+2*IF(circ_int,0,eq_c2/2))+(PI()*(s_0+3*s_r+IF(circ_int,eq_c1/2,0))/2)),-IF(circ_int,0,eq_c1/2)+(s_0+3*s_r+IF(circ_int,eq_c1/2,0))*COS(PI()+(((8+0.5)*(4*IF(circ_int,0,eq_c1/2)+4*IF(circ_int,0,eq_c2/2)+2*PI()*(s_0+3*s_r+IF(circ_int,eq_c1/2,0)))/INDEX(lk_legs,4))-(((((2*IF(circ_int,0,eq_c2/2))+(PI()*(s_0+3*s_r+IF(circ_int,eq_c1/2,0))/2))+2*IF(circ_int,0,eq_c1/2))+(PI()*(s_0+3*s_r+IF(circ_int,eq_c1/2,0))/2))+2*IF(circ_int,0,eq_c2/2)))/(s_0+3*s_r+IF(circ_int,eq_c1/2,0))),IF(((8+0.5)*(4*IF(circ_int,0,eq_c1/2)+4*IF(circ_int,0,eq_c2/2)+2*PI()*(s_0+3*s_r+IF(circ_int,eq_c1/2,0)))/INDEX(lk_legs,4))&lt;(((((((2*IF(circ_int,0,eq_c2/2))+(PI()*(s_0+3*s_r+IF(circ_int,eq_c1/2,0))/2))+2*IF(circ_int,0,eq_c1/2))+(PI()*(s_0+3*s_r+IF(circ_int,eq_c1/2,0))/2))+2*IF(circ_int,0,eq_c2/2))+(PI()*(s_0+3*s_r+IF(circ_int,eq_c1/2,0))/2))+2*IF(circ_int,0,eq_c1/2)),-IF(circ_int,0,eq_c1/2)+(((8+0.5)*(4*IF(circ_int,0,eq_c1/2)+4*IF(circ_int,0,eq_c2/2)+2*PI()*(s_0+3*s_r+IF(circ_int,eq_c1/2,0)))/INDEX(lk_legs,4))-((((((2*IF(circ_int,0,eq_c2/2))+(PI()*(s_0+3*s_r+IF(circ_int,eq_c1/2,0))/2))+2*IF(circ_int,0,eq_c1/2))+(PI()*(s_0+3*s_r+IF(circ_int,eq_c1/2,0))/2))+2*IF(circ_int,0,eq_c2/2))+(PI()*(s_0+3*s_r+IF(circ_int,eq_c1/2,0))/2))),IF(circ_int,0,eq_c1/2)+(s_0+3*s_r+IF(circ_int,eq_c1/2,0))*COS(3*PI()/2+(((8+0.5)*(4*IF(circ_int,0,eq_c1/2)+4*IF(circ_int,0,eq_c2/2)+2*PI()*(s_0+3*s_r+IF(circ_int,eq_c1/2,0)))/INDEX(lk_legs,4))-(((((((2*IF(circ_int,0,eq_c2/2))+(PI()*(s_0+3*s_r+IF(circ_int,eq_c1/2,0))/2))+2*IF(circ_int,0,eq_c1/2))+(PI()*(s_0+3*s_r+IF(circ_int,eq_c1/2,0))/2))+2*IF(circ_int,0,eq_c2/2))+(PI()*(s_0+3*s_r+IF(circ_int,eq_c1/2,0))/2))+2*IF(circ_int,0,eq_c1/2)))/(s_0+3*s_r+IF(circ_int,eq_c1/2,0)))))))))),NA())</f>
        <v/>
      </c>
      <c r="BS11">
        <f>IF(AND(AND(links_on,4&lt;=n_per),INDEX(lk_kind,4)=1,8&lt;INDEX(lk_legs,4)),g_oy+IF(((8+0.5)*(4*IF(circ_int,0,eq_c1/2)+4*IF(circ_int,0,eq_c2/2)+2*PI()*(s_0+3*s_r+IF(circ_int,eq_c1/2,0)))/INDEX(lk_legs,4))&lt;(2*IF(circ_int,0,eq_c2/2)),-IF(circ_int,0,eq_c2/2)+((8+0.5)*(4*IF(circ_int,0,eq_c1/2)+4*IF(circ_int,0,eq_c2/2)+2*PI()*(s_0+3*s_r+IF(circ_int,eq_c1/2,0)))/INDEX(lk_legs,4)),IF(((8+0.5)*(4*IF(circ_int,0,eq_c1/2)+4*IF(circ_int,0,eq_c2/2)+2*PI()*(s_0+3*s_r+IF(circ_int,eq_c1/2,0)))/INDEX(lk_legs,4))&lt;((2*IF(circ_int,0,eq_c2/2))+(PI()*(s_0+3*s_r+IF(circ_int,eq_c1/2,0))/2)),IF(circ_int,0,eq_c2/2)+(s_0+3*s_r+IF(circ_int,eq_c1/2,0))*SIN((((8+0.5)*(4*IF(circ_int,0,eq_c1/2)+4*IF(circ_int,0,eq_c2/2)+2*PI()*(s_0+3*s_r+IF(circ_int,eq_c1/2,0)))/INDEX(lk_legs,4))-(2*IF(circ_int,0,eq_c2/2)))/(s_0+3*s_r+IF(circ_int,eq_c1/2,0))),IF(((8+0.5)*(4*IF(circ_int,0,eq_c1/2)+4*IF(circ_int,0,eq_c2/2)+2*PI()*(s_0+3*s_r+IF(circ_int,eq_c1/2,0)))/INDEX(lk_legs,4))&lt;(((2*IF(circ_int,0,eq_c2/2))+(PI()*(s_0+3*s_r+IF(circ_int,eq_c1/2,0))/2))+2*IF(circ_int,0,eq_c1/2)),IF(circ_int,0,eq_c2/2)+(s_0+3*s_r+IF(circ_int,eq_c1/2,0)),IF(((8+0.5)*(4*IF(circ_int,0,eq_c1/2)+4*IF(circ_int,0,eq_c2/2)+2*PI()*(s_0+3*s_r+IF(circ_int,eq_c1/2,0)))/INDEX(lk_legs,4))&lt;((((2*IF(circ_int,0,eq_c2/2))+(PI()*(s_0+3*s_r+IF(circ_int,eq_c1/2,0))/2))+2*IF(circ_int,0,eq_c1/2))+(PI()*(s_0+3*s_r+IF(circ_int,eq_c1/2,0))/2)),IF(circ_int,0,eq_c2/2)+(s_0+3*s_r+IF(circ_int,eq_c1/2,0))*SIN(PI()/2+(((8+0.5)*(4*IF(circ_int,0,eq_c1/2)+4*IF(circ_int,0,eq_c2/2)+2*PI()*(s_0+3*s_r+IF(circ_int,eq_c1/2,0)))/INDEX(lk_legs,4))-(((2*IF(circ_int,0,eq_c2/2))+(PI()*(s_0+3*s_r+IF(circ_int,eq_c1/2,0))/2))+2*IF(circ_int,0,eq_c1/2)))/(s_0+3*s_r+IF(circ_int,eq_c1/2,0))),IF(((8+0.5)*(4*IF(circ_int,0,eq_c1/2)+4*IF(circ_int,0,eq_c2/2)+2*PI()*(s_0+3*s_r+IF(circ_int,eq_c1/2,0)))/INDEX(lk_legs,4))&lt;(((((2*IF(circ_int,0,eq_c2/2))+(PI()*(s_0+3*s_r+IF(circ_int,eq_c1/2,0))/2))+2*IF(circ_int,0,eq_c1/2))+(PI()*(s_0+3*s_r+IF(circ_int,eq_c1/2,0))/2))+2*IF(circ_int,0,eq_c2/2)),IF(circ_int,0,eq_c2/2)-(((8+0.5)*(4*IF(circ_int,0,eq_c1/2)+4*IF(circ_int,0,eq_c2/2)+2*PI()*(s_0+3*s_r+IF(circ_int,eq_c1/2,0)))/INDEX(lk_legs,4))-((((2*IF(circ_int,0,eq_c2/2))+(PI()*(s_0+3*s_r+IF(circ_int,eq_c1/2,0))/2))+2*IF(circ_int,0,eq_c1/2))+(PI()*(s_0+3*s_r+IF(circ_int,eq_c1/2,0))/2))),IF(((8+0.5)*(4*IF(circ_int,0,eq_c1/2)+4*IF(circ_int,0,eq_c2/2)+2*PI()*(s_0+3*s_r+IF(circ_int,eq_c1/2,0)))/INDEX(lk_legs,4))&lt;((((((2*IF(circ_int,0,eq_c2/2))+(PI()*(s_0+3*s_r+IF(circ_int,eq_c1/2,0))/2))+2*IF(circ_int,0,eq_c1/2))+(PI()*(s_0+3*s_r+IF(circ_int,eq_c1/2,0))/2))+2*IF(circ_int,0,eq_c2/2))+(PI()*(s_0+3*s_r+IF(circ_int,eq_c1/2,0))/2)),-IF(circ_int,0,eq_c2/2)+(s_0+3*s_r+IF(circ_int,eq_c1/2,0))*SIN(PI()+(((8+0.5)*(4*IF(circ_int,0,eq_c1/2)+4*IF(circ_int,0,eq_c2/2)+2*PI()*(s_0+3*s_r+IF(circ_int,eq_c1/2,0)))/INDEX(lk_legs,4))-(((((2*IF(circ_int,0,eq_c2/2))+(PI()*(s_0+3*s_r+IF(circ_int,eq_c1/2,0))/2))+2*IF(circ_int,0,eq_c1/2))+(PI()*(s_0+3*s_r+IF(circ_int,eq_c1/2,0))/2))+2*IF(circ_int,0,eq_c2/2)))/(s_0+3*s_r+IF(circ_int,eq_c1/2,0))),IF(((8+0.5)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(8+0.5)*(4*IF(circ_int,0,eq_c1/2)+4*IF(circ_int,0,eq_c2/2)+2*PI()*(s_0+3*s_r+IF(circ_int,eq_c1/2,0)))/INDEX(lk_legs,4))-(((((((2*IF(circ_int,0,eq_c2/2))+(PI()*(s_0+3*s_r+IF(circ_int,eq_c1/2,0))/2))+2*IF(circ_int,0,eq_c1/2))+(PI()*(s_0+3*s_r+IF(circ_int,eq_c1/2,0))/2))+2*IF(circ_int,0,eq_c2/2))+(PI()*(s_0+3*s_r+IF(circ_int,eq_c1/2,0))/2))+2*IF(circ_int,0,eq_c1/2)))/(s_0+3*s_r+IF(circ_int,eq_c1/2,0)))))))))),NA())</f>
        <v/>
      </c>
      <c r="BU11">
        <f>IF(AND(links_on,5&lt;=n_per),IF(circ_int,(g_ox)+(c_1/2+(s_0+4*s_r))*0.568065,CHOOSE(INDEX(lk_kind,5),(g_ox+eq_c1/2)+((s_0+4*s_r))*0.500000,(eq_a1+eq_c1)+((s_0+4*s_r))*0.793353,(eq_a1+eq_c1)+((s_0+4*s_r))*0.793353,(eq_a1)+((s_0+4*s_r))*-0.608761)),NA())</f>
        <v/>
      </c>
      <c r="BV11">
        <f>IF(AND(links_on,5&lt;=n_per),IF(circ_int,(g_oy)+(c_1/2+(s_0+4*s_r))*0.822984,CHOOSE(INDEX(lk_kind,5),(g_oy+eq_c2/2)+((s_0+4*s_r))*0.866025,(g_oy+eq_c2/2)+((s_0+4*s_r))*0.608761,(eq_a2+eq_c2)+((s_0+4*s_r))*0.608761,(eq_a2+eq_c2)+((s_0+4*s_r))*0.793353)),NA())</f>
        <v/>
      </c>
      <c r="BX11">
        <f>IF(AND(AND(links_on,5&lt;=n_per),INDEX(lk_kind,5)=1,8&lt;INDEX(lk_legs,5)),g_ox+IF(((8+0.5)*(4*IF(circ_int,0,eq_c1/2)+4*IF(circ_int,0,eq_c2/2)+2*PI()*(s_0+4*s_r+IF(circ_int,eq_c1/2,0)))/INDEX(lk_legs,5))&lt;(2*IF(circ_int,0,eq_c2/2)),IF(circ_int,0,eq_c1/2)+(s_0+4*s_r+IF(circ_int,eq_c1/2,0)),IF(((8+0.5)*(4*IF(circ_int,0,eq_c1/2)+4*IF(circ_int,0,eq_c2/2)+2*PI()*(s_0+4*s_r+IF(circ_int,eq_c1/2,0)))/INDEX(lk_legs,5))&lt;((2*IF(circ_int,0,eq_c2/2))+(PI()*(s_0+4*s_r+IF(circ_int,eq_c1/2,0))/2)),IF(circ_int,0,eq_c1/2)+(s_0+4*s_r+IF(circ_int,eq_c1/2,0))*COS((((8+0.5)*(4*IF(circ_int,0,eq_c1/2)+4*IF(circ_int,0,eq_c2/2)+2*PI()*(s_0+4*s_r+IF(circ_int,eq_c1/2,0)))/INDEX(lk_legs,5))-(2*IF(circ_int,0,eq_c2/2)))/(s_0+4*s_r+IF(circ_int,eq_c1/2,0))),IF(((8+0.5)*(4*IF(circ_int,0,eq_c1/2)+4*IF(circ_int,0,eq_c2/2)+2*PI()*(s_0+4*s_r+IF(circ_int,eq_c1/2,0)))/INDEX(lk_legs,5))&lt;(((2*IF(circ_int,0,eq_c2/2))+(PI()*(s_0+4*s_r+IF(circ_int,eq_c1/2,0))/2))+2*IF(circ_int,0,eq_c1/2)),IF(circ_int,0,eq_c1/2)-(((8+0.5)*(4*IF(circ_int,0,eq_c1/2)+4*IF(circ_int,0,eq_c2/2)+2*PI()*(s_0+4*s_r+IF(circ_int,eq_c1/2,0)))/INDEX(lk_legs,5))-((2*IF(circ_int,0,eq_c2/2))+(PI()*(s_0+4*s_r+IF(circ_int,eq_c1/2,0))/2))),IF(((8+0.5)*(4*IF(circ_int,0,eq_c1/2)+4*IF(circ_int,0,eq_c2/2)+2*PI()*(s_0+4*s_r+IF(circ_int,eq_c1/2,0)))/INDEX(lk_legs,5))&lt;((((2*IF(circ_int,0,eq_c2/2))+(PI()*(s_0+4*s_r+IF(circ_int,eq_c1/2,0))/2))+2*IF(circ_int,0,eq_c1/2))+(PI()*(s_0+4*s_r+IF(circ_int,eq_c1/2,0))/2)),-IF(circ_int,0,eq_c1/2)+(s_0+4*s_r+IF(circ_int,eq_c1/2,0))*COS(PI()/2+(((8+0.5)*(4*IF(circ_int,0,eq_c1/2)+4*IF(circ_int,0,eq_c2/2)+2*PI()*(s_0+4*s_r+IF(circ_int,eq_c1/2,0)))/INDEX(lk_legs,5))-(((2*IF(circ_int,0,eq_c2/2))+(PI()*(s_0+4*s_r+IF(circ_int,eq_c1/2,0))/2))+2*IF(circ_int,0,eq_c1/2)))/(s_0+4*s_r+IF(circ_int,eq_c1/2,0))),IF(((8+0.5)*(4*IF(circ_int,0,eq_c1/2)+4*IF(circ_int,0,eq_c2/2)+2*PI()*(s_0+4*s_r+IF(circ_int,eq_c1/2,0)))/INDEX(lk_legs,5))&lt;(((((2*IF(circ_int,0,eq_c2/2))+(PI()*(s_0+4*s_r+IF(circ_int,eq_c1/2,0))/2))+2*IF(circ_int,0,eq_c1/2))+(PI()*(s_0+4*s_r+IF(circ_int,eq_c1/2,0))/2))+2*IF(circ_int,0,eq_c2/2)),-IF(circ_int,0,eq_c1/2)-(s_0+4*s_r+IF(circ_int,eq_c1/2,0)),IF(((8+0.5)*(4*IF(circ_int,0,eq_c1/2)+4*IF(circ_int,0,eq_c2/2)+2*PI()*(s_0+4*s_r+IF(circ_int,eq_c1/2,0)))/INDEX(lk_legs,5))&lt;((((((2*IF(circ_int,0,eq_c2/2))+(PI()*(s_0+4*s_r+IF(circ_int,eq_c1/2,0))/2))+2*IF(circ_int,0,eq_c1/2))+(PI()*(s_0+4*s_r+IF(circ_int,eq_c1/2,0))/2))+2*IF(circ_int,0,eq_c2/2))+(PI()*(s_0+4*s_r+IF(circ_int,eq_c1/2,0))/2)),-IF(circ_int,0,eq_c1/2)+(s_0+4*s_r+IF(circ_int,eq_c1/2,0))*COS(PI()+(((8+0.5)*(4*IF(circ_int,0,eq_c1/2)+4*IF(circ_int,0,eq_c2/2)+2*PI()*(s_0+4*s_r+IF(circ_int,eq_c1/2,0)))/INDEX(lk_legs,5))-(((((2*IF(circ_int,0,eq_c2/2))+(PI()*(s_0+4*s_r+IF(circ_int,eq_c1/2,0))/2))+2*IF(circ_int,0,eq_c1/2))+(PI()*(s_0+4*s_r+IF(circ_int,eq_c1/2,0))/2))+2*IF(circ_int,0,eq_c2/2)))/(s_0+4*s_r+IF(circ_int,eq_c1/2,0))),IF(((8+0.5)*(4*IF(circ_int,0,eq_c1/2)+4*IF(circ_int,0,eq_c2/2)+2*PI()*(s_0+4*s_r+IF(circ_int,eq_c1/2,0)))/INDEX(lk_legs,5))&lt;(((((((2*IF(circ_int,0,eq_c2/2))+(PI()*(s_0+4*s_r+IF(circ_int,eq_c1/2,0))/2))+2*IF(circ_int,0,eq_c1/2))+(PI()*(s_0+4*s_r+IF(circ_int,eq_c1/2,0))/2))+2*IF(circ_int,0,eq_c2/2))+(PI()*(s_0+4*s_r+IF(circ_int,eq_c1/2,0))/2))+2*IF(circ_int,0,eq_c1/2)),-IF(circ_int,0,eq_c1/2)+(((8+0.5)*(4*IF(circ_int,0,eq_c1/2)+4*IF(circ_int,0,eq_c2/2)+2*PI()*(s_0+4*s_r+IF(circ_int,eq_c1/2,0)))/INDEX(lk_legs,5))-((((((2*IF(circ_int,0,eq_c2/2))+(PI()*(s_0+4*s_r+IF(circ_int,eq_c1/2,0))/2))+2*IF(circ_int,0,eq_c1/2))+(PI()*(s_0+4*s_r+IF(circ_int,eq_c1/2,0))/2))+2*IF(circ_int,0,eq_c2/2))+(PI()*(s_0+4*s_r+IF(circ_int,eq_c1/2,0))/2))),IF(circ_int,0,eq_c1/2)+(s_0+4*s_r+IF(circ_int,eq_c1/2,0))*COS(3*PI()/2+(((8+0.5)*(4*IF(circ_int,0,eq_c1/2)+4*IF(circ_int,0,eq_c2/2)+2*PI()*(s_0+4*s_r+IF(circ_int,eq_c1/2,0)))/INDEX(lk_legs,5))-(((((((2*IF(circ_int,0,eq_c2/2))+(PI()*(s_0+4*s_r+IF(circ_int,eq_c1/2,0))/2))+2*IF(circ_int,0,eq_c1/2))+(PI()*(s_0+4*s_r+IF(circ_int,eq_c1/2,0))/2))+2*IF(circ_int,0,eq_c2/2))+(PI()*(s_0+4*s_r+IF(circ_int,eq_c1/2,0))/2))+2*IF(circ_int,0,eq_c1/2)))/(s_0+4*s_r+IF(circ_int,eq_c1/2,0)))))))))),NA())</f>
        <v/>
      </c>
      <c r="BY11">
        <f>IF(AND(AND(links_on,5&lt;=n_per),INDEX(lk_kind,5)=1,8&lt;INDEX(lk_legs,5)),g_oy+IF(((8+0.5)*(4*IF(circ_int,0,eq_c1/2)+4*IF(circ_int,0,eq_c2/2)+2*PI()*(s_0+4*s_r+IF(circ_int,eq_c1/2,0)))/INDEX(lk_legs,5))&lt;(2*IF(circ_int,0,eq_c2/2)),-IF(circ_int,0,eq_c2/2)+((8+0.5)*(4*IF(circ_int,0,eq_c1/2)+4*IF(circ_int,0,eq_c2/2)+2*PI()*(s_0+4*s_r+IF(circ_int,eq_c1/2,0)))/INDEX(lk_legs,5)),IF(((8+0.5)*(4*IF(circ_int,0,eq_c1/2)+4*IF(circ_int,0,eq_c2/2)+2*PI()*(s_0+4*s_r+IF(circ_int,eq_c1/2,0)))/INDEX(lk_legs,5))&lt;((2*IF(circ_int,0,eq_c2/2))+(PI()*(s_0+4*s_r+IF(circ_int,eq_c1/2,0))/2)),IF(circ_int,0,eq_c2/2)+(s_0+4*s_r+IF(circ_int,eq_c1/2,0))*SIN((((8+0.5)*(4*IF(circ_int,0,eq_c1/2)+4*IF(circ_int,0,eq_c2/2)+2*PI()*(s_0+4*s_r+IF(circ_int,eq_c1/2,0)))/INDEX(lk_legs,5))-(2*IF(circ_int,0,eq_c2/2)))/(s_0+4*s_r+IF(circ_int,eq_c1/2,0))),IF(((8+0.5)*(4*IF(circ_int,0,eq_c1/2)+4*IF(circ_int,0,eq_c2/2)+2*PI()*(s_0+4*s_r+IF(circ_int,eq_c1/2,0)))/INDEX(lk_legs,5))&lt;(((2*IF(circ_int,0,eq_c2/2))+(PI()*(s_0+4*s_r+IF(circ_int,eq_c1/2,0))/2))+2*IF(circ_int,0,eq_c1/2)),IF(circ_int,0,eq_c2/2)+(s_0+4*s_r+IF(circ_int,eq_c1/2,0)),IF(((8+0.5)*(4*IF(circ_int,0,eq_c1/2)+4*IF(circ_int,0,eq_c2/2)+2*PI()*(s_0+4*s_r+IF(circ_int,eq_c1/2,0)))/INDEX(lk_legs,5))&lt;((((2*IF(circ_int,0,eq_c2/2))+(PI()*(s_0+4*s_r+IF(circ_int,eq_c1/2,0))/2))+2*IF(circ_int,0,eq_c1/2))+(PI()*(s_0+4*s_r+IF(circ_int,eq_c1/2,0))/2)),IF(circ_int,0,eq_c2/2)+(s_0+4*s_r+IF(circ_int,eq_c1/2,0))*SIN(PI()/2+(((8+0.5)*(4*IF(circ_int,0,eq_c1/2)+4*IF(circ_int,0,eq_c2/2)+2*PI()*(s_0+4*s_r+IF(circ_int,eq_c1/2,0)))/INDEX(lk_legs,5))-(((2*IF(circ_int,0,eq_c2/2))+(PI()*(s_0+4*s_r+IF(circ_int,eq_c1/2,0))/2))+2*IF(circ_int,0,eq_c1/2)))/(s_0+4*s_r+IF(circ_int,eq_c1/2,0))),IF(((8+0.5)*(4*IF(circ_int,0,eq_c1/2)+4*IF(circ_int,0,eq_c2/2)+2*PI()*(s_0+4*s_r+IF(circ_int,eq_c1/2,0)))/INDEX(lk_legs,5))&lt;(((((2*IF(circ_int,0,eq_c2/2))+(PI()*(s_0+4*s_r+IF(circ_int,eq_c1/2,0))/2))+2*IF(circ_int,0,eq_c1/2))+(PI()*(s_0+4*s_r+IF(circ_int,eq_c1/2,0))/2))+2*IF(circ_int,0,eq_c2/2)),IF(circ_int,0,eq_c2/2)-(((8+0.5)*(4*IF(circ_int,0,eq_c1/2)+4*IF(circ_int,0,eq_c2/2)+2*PI()*(s_0+4*s_r+IF(circ_int,eq_c1/2,0)))/INDEX(lk_legs,5))-((((2*IF(circ_int,0,eq_c2/2))+(PI()*(s_0+4*s_r+IF(circ_int,eq_c1/2,0))/2))+2*IF(circ_int,0,eq_c1/2))+(PI()*(s_0+4*s_r+IF(circ_int,eq_c1/2,0))/2))),IF(((8+0.5)*(4*IF(circ_int,0,eq_c1/2)+4*IF(circ_int,0,eq_c2/2)+2*PI()*(s_0+4*s_r+IF(circ_int,eq_c1/2,0)))/INDEX(lk_legs,5))&lt;((((((2*IF(circ_int,0,eq_c2/2))+(PI()*(s_0+4*s_r+IF(circ_int,eq_c1/2,0))/2))+2*IF(circ_int,0,eq_c1/2))+(PI()*(s_0+4*s_r+IF(circ_int,eq_c1/2,0))/2))+2*IF(circ_int,0,eq_c2/2))+(PI()*(s_0+4*s_r+IF(circ_int,eq_c1/2,0))/2)),-IF(circ_int,0,eq_c2/2)+(s_0+4*s_r+IF(circ_int,eq_c1/2,0))*SIN(PI()+(((8+0.5)*(4*IF(circ_int,0,eq_c1/2)+4*IF(circ_int,0,eq_c2/2)+2*PI()*(s_0+4*s_r+IF(circ_int,eq_c1/2,0)))/INDEX(lk_legs,5))-(((((2*IF(circ_int,0,eq_c2/2))+(PI()*(s_0+4*s_r+IF(circ_int,eq_c1/2,0))/2))+2*IF(circ_int,0,eq_c1/2))+(PI()*(s_0+4*s_r+IF(circ_int,eq_c1/2,0))/2))+2*IF(circ_int,0,eq_c2/2)))/(s_0+4*s_r+IF(circ_int,eq_c1/2,0))),IF(((8+0.5)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(8+0.5)*(4*IF(circ_int,0,eq_c1/2)+4*IF(circ_int,0,eq_c2/2)+2*PI()*(s_0+4*s_r+IF(circ_int,eq_c1/2,0)))/INDEX(lk_legs,5))-(((((((2*IF(circ_int,0,eq_c2/2))+(PI()*(s_0+4*s_r+IF(circ_int,eq_c1/2,0))/2))+2*IF(circ_int,0,eq_c1/2))+(PI()*(s_0+4*s_r+IF(circ_int,eq_c1/2,0))/2))+2*IF(circ_int,0,eq_c2/2))+(PI()*(s_0+4*s_r+IF(circ_int,eq_c1/2,0))/2))+2*IF(circ_int,0,eq_c1/2)))/(s_0+4*s_r+IF(circ_int,eq_c1/2,0)))))))))),NA())</f>
        <v/>
      </c>
      <c r="CA11">
        <f>IF(AND(links_on,6&lt;=n_per),IF(circ_int,(g_ox)+(c_1/2+(s_0+5*s_r))*0.568065,CHOOSE(INDEX(lk_kind,6),(g_ox+eq_c1/2)+((s_0+5*s_r))*0.500000,(eq_a1+eq_c1)+((s_0+5*s_r))*0.793353,(eq_a1+eq_c1)+((s_0+5*s_r))*0.793353,(eq_a1)+((s_0+5*s_r))*-0.608761)),NA())</f>
        <v/>
      </c>
      <c r="CB11">
        <f>IF(AND(links_on,6&lt;=n_per),IF(circ_int,(g_oy)+(c_1/2+(s_0+5*s_r))*0.822984,CHOOSE(INDEX(lk_kind,6),(g_oy+eq_c2/2)+((s_0+5*s_r))*0.866025,(g_oy+eq_c2/2)+((s_0+5*s_r))*0.608761,(eq_a2+eq_c2)+((s_0+5*s_r))*0.608761,(eq_a2+eq_c2)+((s_0+5*s_r))*0.793353)),NA())</f>
        <v/>
      </c>
      <c r="CD11">
        <f>IF(AND(AND(links_on,6&lt;=n_per),INDEX(lk_kind,6)=1,8&lt;INDEX(lk_legs,6)),g_ox+IF(((8+0.5)*(4*IF(circ_int,0,eq_c1/2)+4*IF(circ_int,0,eq_c2/2)+2*PI()*(s_0+5*s_r+IF(circ_int,eq_c1/2,0)))/INDEX(lk_legs,6))&lt;(2*IF(circ_int,0,eq_c2/2)),IF(circ_int,0,eq_c1/2)+(s_0+5*s_r+IF(circ_int,eq_c1/2,0)),IF(((8+0.5)*(4*IF(circ_int,0,eq_c1/2)+4*IF(circ_int,0,eq_c2/2)+2*PI()*(s_0+5*s_r+IF(circ_int,eq_c1/2,0)))/INDEX(lk_legs,6))&lt;((2*IF(circ_int,0,eq_c2/2))+(PI()*(s_0+5*s_r+IF(circ_int,eq_c1/2,0))/2)),IF(circ_int,0,eq_c1/2)+(s_0+5*s_r+IF(circ_int,eq_c1/2,0))*COS((((8+0.5)*(4*IF(circ_int,0,eq_c1/2)+4*IF(circ_int,0,eq_c2/2)+2*PI()*(s_0+5*s_r+IF(circ_int,eq_c1/2,0)))/INDEX(lk_legs,6))-(2*IF(circ_int,0,eq_c2/2)))/(s_0+5*s_r+IF(circ_int,eq_c1/2,0))),IF(((8+0.5)*(4*IF(circ_int,0,eq_c1/2)+4*IF(circ_int,0,eq_c2/2)+2*PI()*(s_0+5*s_r+IF(circ_int,eq_c1/2,0)))/INDEX(lk_legs,6))&lt;(((2*IF(circ_int,0,eq_c2/2))+(PI()*(s_0+5*s_r+IF(circ_int,eq_c1/2,0))/2))+2*IF(circ_int,0,eq_c1/2)),IF(circ_int,0,eq_c1/2)-(((8+0.5)*(4*IF(circ_int,0,eq_c1/2)+4*IF(circ_int,0,eq_c2/2)+2*PI()*(s_0+5*s_r+IF(circ_int,eq_c1/2,0)))/INDEX(lk_legs,6))-((2*IF(circ_int,0,eq_c2/2))+(PI()*(s_0+5*s_r+IF(circ_int,eq_c1/2,0))/2))),IF(((8+0.5)*(4*IF(circ_int,0,eq_c1/2)+4*IF(circ_int,0,eq_c2/2)+2*PI()*(s_0+5*s_r+IF(circ_int,eq_c1/2,0)))/INDEX(lk_legs,6))&lt;((((2*IF(circ_int,0,eq_c2/2))+(PI()*(s_0+5*s_r+IF(circ_int,eq_c1/2,0))/2))+2*IF(circ_int,0,eq_c1/2))+(PI()*(s_0+5*s_r+IF(circ_int,eq_c1/2,0))/2)),-IF(circ_int,0,eq_c1/2)+(s_0+5*s_r+IF(circ_int,eq_c1/2,0))*COS(PI()/2+(((8+0.5)*(4*IF(circ_int,0,eq_c1/2)+4*IF(circ_int,0,eq_c2/2)+2*PI()*(s_0+5*s_r+IF(circ_int,eq_c1/2,0)))/INDEX(lk_legs,6))-(((2*IF(circ_int,0,eq_c2/2))+(PI()*(s_0+5*s_r+IF(circ_int,eq_c1/2,0))/2))+2*IF(circ_int,0,eq_c1/2)))/(s_0+5*s_r+IF(circ_int,eq_c1/2,0))),IF(((8+0.5)*(4*IF(circ_int,0,eq_c1/2)+4*IF(circ_int,0,eq_c2/2)+2*PI()*(s_0+5*s_r+IF(circ_int,eq_c1/2,0)))/INDEX(lk_legs,6))&lt;(((((2*IF(circ_int,0,eq_c2/2))+(PI()*(s_0+5*s_r+IF(circ_int,eq_c1/2,0))/2))+2*IF(circ_int,0,eq_c1/2))+(PI()*(s_0+5*s_r+IF(circ_int,eq_c1/2,0))/2))+2*IF(circ_int,0,eq_c2/2)),-IF(circ_int,0,eq_c1/2)-(s_0+5*s_r+IF(circ_int,eq_c1/2,0)),IF(((8+0.5)*(4*IF(circ_int,0,eq_c1/2)+4*IF(circ_int,0,eq_c2/2)+2*PI()*(s_0+5*s_r+IF(circ_int,eq_c1/2,0)))/INDEX(lk_legs,6))&lt;((((((2*IF(circ_int,0,eq_c2/2))+(PI()*(s_0+5*s_r+IF(circ_int,eq_c1/2,0))/2))+2*IF(circ_int,0,eq_c1/2))+(PI()*(s_0+5*s_r+IF(circ_int,eq_c1/2,0))/2))+2*IF(circ_int,0,eq_c2/2))+(PI()*(s_0+5*s_r+IF(circ_int,eq_c1/2,0))/2)),-IF(circ_int,0,eq_c1/2)+(s_0+5*s_r+IF(circ_int,eq_c1/2,0))*COS(PI()+(((8+0.5)*(4*IF(circ_int,0,eq_c1/2)+4*IF(circ_int,0,eq_c2/2)+2*PI()*(s_0+5*s_r+IF(circ_int,eq_c1/2,0)))/INDEX(lk_legs,6))-(((((2*IF(circ_int,0,eq_c2/2))+(PI()*(s_0+5*s_r+IF(circ_int,eq_c1/2,0))/2))+2*IF(circ_int,0,eq_c1/2))+(PI()*(s_0+5*s_r+IF(circ_int,eq_c1/2,0))/2))+2*IF(circ_int,0,eq_c2/2)))/(s_0+5*s_r+IF(circ_int,eq_c1/2,0))),IF(((8+0.5)*(4*IF(circ_int,0,eq_c1/2)+4*IF(circ_int,0,eq_c2/2)+2*PI()*(s_0+5*s_r+IF(circ_int,eq_c1/2,0)))/INDEX(lk_legs,6))&lt;(((((((2*IF(circ_int,0,eq_c2/2))+(PI()*(s_0+5*s_r+IF(circ_int,eq_c1/2,0))/2))+2*IF(circ_int,0,eq_c1/2))+(PI()*(s_0+5*s_r+IF(circ_int,eq_c1/2,0))/2))+2*IF(circ_int,0,eq_c2/2))+(PI()*(s_0+5*s_r+IF(circ_int,eq_c1/2,0))/2))+2*IF(circ_int,0,eq_c1/2)),-IF(circ_int,0,eq_c1/2)+(((8+0.5)*(4*IF(circ_int,0,eq_c1/2)+4*IF(circ_int,0,eq_c2/2)+2*PI()*(s_0+5*s_r+IF(circ_int,eq_c1/2,0)))/INDEX(lk_legs,6))-((((((2*IF(circ_int,0,eq_c2/2))+(PI()*(s_0+5*s_r+IF(circ_int,eq_c1/2,0))/2))+2*IF(circ_int,0,eq_c1/2))+(PI()*(s_0+5*s_r+IF(circ_int,eq_c1/2,0))/2))+2*IF(circ_int,0,eq_c2/2))+(PI()*(s_0+5*s_r+IF(circ_int,eq_c1/2,0))/2))),IF(circ_int,0,eq_c1/2)+(s_0+5*s_r+IF(circ_int,eq_c1/2,0))*COS(3*PI()/2+(((8+0.5)*(4*IF(circ_int,0,eq_c1/2)+4*IF(circ_int,0,eq_c2/2)+2*PI()*(s_0+5*s_r+IF(circ_int,eq_c1/2,0)))/INDEX(lk_legs,6))-(((((((2*IF(circ_int,0,eq_c2/2))+(PI()*(s_0+5*s_r+IF(circ_int,eq_c1/2,0))/2))+2*IF(circ_int,0,eq_c1/2))+(PI()*(s_0+5*s_r+IF(circ_int,eq_c1/2,0))/2))+2*IF(circ_int,0,eq_c2/2))+(PI()*(s_0+5*s_r+IF(circ_int,eq_c1/2,0))/2))+2*IF(circ_int,0,eq_c1/2)))/(s_0+5*s_r+IF(circ_int,eq_c1/2,0)))))))))),NA())</f>
        <v/>
      </c>
      <c r="CE11">
        <f>IF(AND(AND(links_on,6&lt;=n_per),INDEX(lk_kind,6)=1,8&lt;INDEX(lk_legs,6)),g_oy+IF(((8+0.5)*(4*IF(circ_int,0,eq_c1/2)+4*IF(circ_int,0,eq_c2/2)+2*PI()*(s_0+5*s_r+IF(circ_int,eq_c1/2,0)))/INDEX(lk_legs,6))&lt;(2*IF(circ_int,0,eq_c2/2)),-IF(circ_int,0,eq_c2/2)+((8+0.5)*(4*IF(circ_int,0,eq_c1/2)+4*IF(circ_int,0,eq_c2/2)+2*PI()*(s_0+5*s_r+IF(circ_int,eq_c1/2,0)))/INDEX(lk_legs,6)),IF(((8+0.5)*(4*IF(circ_int,0,eq_c1/2)+4*IF(circ_int,0,eq_c2/2)+2*PI()*(s_0+5*s_r+IF(circ_int,eq_c1/2,0)))/INDEX(lk_legs,6))&lt;((2*IF(circ_int,0,eq_c2/2))+(PI()*(s_0+5*s_r+IF(circ_int,eq_c1/2,0))/2)),IF(circ_int,0,eq_c2/2)+(s_0+5*s_r+IF(circ_int,eq_c1/2,0))*SIN((((8+0.5)*(4*IF(circ_int,0,eq_c1/2)+4*IF(circ_int,0,eq_c2/2)+2*PI()*(s_0+5*s_r+IF(circ_int,eq_c1/2,0)))/INDEX(lk_legs,6))-(2*IF(circ_int,0,eq_c2/2)))/(s_0+5*s_r+IF(circ_int,eq_c1/2,0))),IF(((8+0.5)*(4*IF(circ_int,0,eq_c1/2)+4*IF(circ_int,0,eq_c2/2)+2*PI()*(s_0+5*s_r+IF(circ_int,eq_c1/2,0)))/INDEX(lk_legs,6))&lt;(((2*IF(circ_int,0,eq_c2/2))+(PI()*(s_0+5*s_r+IF(circ_int,eq_c1/2,0))/2))+2*IF(circ_int,0,eq_c1/2)),IF(circ_int,0,eq_c2/2)+(s_0+5*s_r+IF(circ_int,eq_c1/2,0)),IF(((8+0.5)*(4*IF(circ_int,0,eq_c1/2)+4*IF(circ_int,0,eq_c2/2)+2*PI()*(s_0+5*s_r+IF(circ_int,eq_c1/2,0)))/INDEX(lk_legs,6))&lt;((((2*IF(circ_int,0,eq_c2/2))+(PI()*(s_0+5*s_r+IF(circ_int,eq_c1/2,0))/2))+2*IF(circ_int,0,eq_c1/2))+(PI()*(s_0+5*s_r+IF(circ_int,eq_c1/2,0))/2)),IF(circ_int,0,eq_c2/2)+(s_0+5*s_r+IF(circ_int,eq_c1/2,0))*SIN(PI()/2+(((8+0.5)*(4*IF(circ_int,0,eq_c1/2)+4*IF(circ_int,0,eq_c2/2)+2*PI()*(s_0+5*s_r+IF(circ_int,eq_c1/2,0)))/INDEX(lk_legs,6))-(((2*IF(circ_int,0,eq_c2/2))+(PI()*(s_0+5*s_r+IF(circ_int,eq_c1/2,0))/2))+2*IF(circ_int,0,eq_c1/2)))/(s_0+5*s_r+IF(circ_int,eq_c1/2,0))),IF(((8+0.5)*(4*IF(circ_int,0,eq_c1/2)+4*IF(circ_int,0,eq_c2/2)+2*PI()*(s_0+5*s_r+IF(circ_int,eq_c1/2,0)))/INDEX(lk_legs,6))&lt;(((((2*IF(circ_int,0,eq_c2/2))+(PI()*(s_0+5*s_r+IF(circ_int,eq_c1/2,0))/2))+2*IF(circ_int,0,eq_c1/2))+(PI()*(s_0+5*s_r+IF(circ_int,eq_c1/2,0))/2))+2*IF(circ_int,0,eq_c2/2)),IF(circ_int,0,eq_c2/2)-(((8+0.5)*(4*IF(circ_int,0,eq_c1/2)+4*IF(circ_int,0,eq_c2/2)+2*PI()*(s_0+5*s_r+IF(circ_int,eq_c1/2,0)))/INDEX(lk_legs,6))-((((2*IF(circ_int,0,eq_c2/2))+(PI()*(s_0+5*s_r+IF(circ_int,eq_c1/2,0))/2))+2*IF(circ_int,0,eq_c1/2))+(PI()*(s_0+5*s_r+IF(circ_int,eq_c1/2,0))/2))),IF(((8+0.5)*(4*IF(circ_int,0,eq_c1/2)+4*IF(circ_int,0,eq_c2/2)+2*PI()*(s_0+5*s_r+IF(circ_int,eq_c1/2,0)))/INDEX(lk_legs,6))&lt;((((((2*IF(circ_int,0,eq_c2/2))+(PI()*(s_0+5*s_r+IF(circ_int,eq_c1/2,0))/2))+2*IF(circ_int,0,eq_c1/2))+(PI()*(s_0+5*s_r+IF(circ_int,eq_c1/2,0))/2))+2*IF(circ_int,0,eq_c2/2))+(PI()*(s_0+5*s_r+IF(circ_int,eq_c1/2,0))/2)),-IF(circ_int,0,eq_c2/2)+(s_0+5*s_r+IF(circ_int,eq_c1/2,0))*SIN(PI()+(((8+0.5)*(4*IF(circ_int,0,eq_c1/2)+4*IF(circ_int,0,eq_c2/2)+2*PI()*(s_0+5*s_r+IF(circ_int,eq_c1/2,0)))/INDEX(lk_legs,6))-(((((2*IF(circ_int,0,eq_c2/2))+(PI()*(s_0+5*s_r+IF(circ_int,eq_c1/2,0))/2))+2*IF(circ_int,0,eq_c1/2))+(PI()*(s_0+5*s_r+IF(circ_int,eq_c1/2,0))/2))+2*IF(circ_int,0,eq_c2/2)))/(s_0+5*s_r+IF(circ_int,eq_c1/2,0))),IF(((8+0.5)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(8+0.5)*(4*IF(circ_int,0,eq_c1/2)+4*IF(circ_int,0,eq_c2/2)+2*PI()*(s_0+5*s_r+IF(circ_int,eq_c1/2,0)))/INDEX(lk_legs,6))-(((((((2*IF(circ_int,0,eq_c2/2))+(PI()*(s_0+5*s_r+IF(circ_int,eq_c1/2,0))/2))+2*IF(circ_int,0,eq_c1/2))+(PI()*(s_0+5*s_r+IF(circ_int,eq_c1/2,0))/2))+2*IF(circ_int,0,eq_c2/2))+(PI()*(s_0+5*s_r+IF(circ_int,eq_c1/2,0))/2))+2*IF(circ_int,0,eq_c1/2)))/(s_0+5*s_r+IF(circ_int,eq_c1/2,0)))))))))),NA())</f>
        <v/>
      </c>
      <c r="CG11">
        <f>IF(AND(links_on,7&lt;=n_per),IF(circ_int,(g_ox)+(c_1/2+(s_0+6*s_r))*0.568065,CHOOSE(INDEX(lk_kind,7),(g_ox+eq_c1/2)+((s_0+6*s_r))*0.500000,(eq_a1+eq_c1)+((s_0+6*s_r))*0.793353,(eq_a1+eq_c1)+((s_0+6*s_r))*0.793353,(eq_a1)+((s_0+6*s_r))*-0.608761)),NA())</f>
        <v/>
      </c>
      <c r="CH11">
        <f>IF(AND(links_on,7&lt;=n_per),IF(circ_int,(g_oy)+(c_1/2+(s_0+6*s_r))*0.822984,CHOOSE(INDEX(lk_kind,7),(g_oy+eq_c2/2)+((s_0+6*s_r))*0.866025,(g_oy+eq_c2/2)+((s_0+6*s_r))*0.608761,(eq_a2+eq_c2)+((s_0+6*s_r))*0.608761,(eq_a2+eq_c2)+((s_0+6*s_r))*0.793353)),NA())</f>
        <v/>
      </c>
      <c r="CJ11">
        <f>IF(AND(AND(links_on,7&lt;=n_per),INDEX(lk_kind,7)=1,8&lt;INDEX(lk_legs,7)),g_ox+IF(((8+0.5)*(4*IF(circ_int,0,eq_c1/2)+4*IF(circ_int,0,eq_c2/2)+2*PI()*(s_0+6*s_r+IF(circ_int,eq_c1/2,0)))/INDEX(lk_legs,7))&lt;(2*IF(circ_int,0,eq_c2/2)),IF(circ_int,0,eq_c1/2)+(s_0+6*s_r+IF(circ_int,eq_c1/2,0)),IF(((8+0.5)*(4*IF(circ_int,0,eq_c1/2)+4*IF(circ_int,0,eq_c2/2)+2*PI()*(s_0+6*s_r+IF(circ_int,eq_c1/2,0)))/INDEX(lk_legs,7))&lt;((2*IF(circ_int,0,eq_c2/2))+(PI()*(s_0+6*s_r+IF(circ_int,eq_c1/2,0))/2)),IF(circ_int,0,eq_c1/2)+(s_0+6*s_r+IF(circ_int,eq_c1/2,0))*COS((((8+0.5)*(4*IF(circ_int,0,eq_c1/2)+4*IF(circ_int,0,eq_c2/2)+2*PI()*(s_0+6*s_r+IF(circ_int,eq_c1/2,0)))/INDEX(lk_legs,7))-(2*IF(circ_int,0,eq_c2/2)))/(s_0+6*s_r+IF(circ_int,eq_c1/2,0))),IF(((8+0.5)*(4*IF(circ_int,0,eq_c1/2)+4*IF(circ_int,0,eq_c2/2)+2*PI()*(s_0+6*s_r+IF(circ_int,eq_c1/2,0)))/INDEX(lk_legs,7))&lt;(((2*IF(circ_int,0,eq_c2/2))+(PI()*(s_0+6*s_r+IF(circ_int,eq_c1/2,0))/2))+2*IF(circ_int,0,eq_c1/2)),IF(circ_int,0,eq_c1/2)-(((8+0.5)*(4*IF(circ_int,0,eq_c1/2)+4*IF(circ_int,0,eq_c2/2)+2*PI()*(s_0+6*s_r+IF(circ_int,eq_c1/2,0)))/INDEX(lk_legs,7))-((2*IF(circ_int,0,eq_c2/2))+(PI()*(s_0+6*s_r+IF(circ_int,eq_c1/2,0))/2))),IF(((8+0.5)*(4*IF(circ_int,0,eq_c1/2)+4*IF(circ_int,0,eq_c2/2)+2*PI()*(s_0+6*s_r+IF(circ_int,eq_c1/2,0)))/INDEX(lk_legs,7))&lt;((((2*IF(circ_int,0,eq_c2/2))+(PI()*(s_0+6*s_r+IF(circ_int,eq_c1/2,0))/2))+2*IF(circ_int,0,eq_c1/2))+(PI()*(s_0+6*s_r+IF(circ_int,eq_c1/2,0))/2)),-IF(circ_int,0,eq_c1/2)+(s_0+6*s_r+IF(circ_int,eq_c1/2,0))*COS(PI()/2+(((8+0.5)*(4*IF(circ_int,0,eq_c1/2)+4*IF(circ_int,0,eq_c2/2)+2*PI()*(s_0+6*s_r+IF(circ_int,eq_c1/2,0)))/INDEX(lk_legs,7))-(((2*IF(circ_int,0,eq_c2/2))+(PI()*(s_0+6*s_r+IF(circ_int,eq_c1/2,0))/2))+2*IF(circ_int,0,eq_c1/2)))/(s_0+6*s_r+IF(circ_int,eq_c1/2,0))),IF(((8+0.5)*(4*IF(circ_int,0,eq_c1/2)+4*IF(circ_int,0,eq_c2/2)+2*PI()*(s_0+6*s_r+IF(circ_int,eq_c1/2,0)))/INDEX(lk_legs,7))&lt;(((((2*IF(circ_int,0,eq_c2/2))+(PI()*(s_0+6*s_r+IF(circ_int,eq_c1/2,0))/2))+2*IF(circ_int,0,eq_c1/2))+(PI()*(s_0+6*s_r+IF(circ_int,eq_c1/2,0))/2))+2*IF(circ_int,0,eq_c2/2)),-IF(circ_int,0,eq_c1/2)-(s_0+6*s_r+IF(circ_int,eq_c1/2,0)),IF(((8+0.5)*(4*IF(circ_int,0,eq_c1/2)+4*IF(circ_int,0,eq_c2/2)+2*PI()*(s_0+6*s_r+IF(circ_int,eq_c1/2,0)))/INDEX(lk_legs,7))&lt;((((((2*IF(circ_int,0,eq_c2/2))+(PI()*(s_0+6*s_r+IF(circ_int,eq_c1/2,0))/2))+2*IF(circ_int,0,eq_c1/2))+(PI()*(s_0+6*s_r+IF(circ_int,eq_c1/2,0))/2))+2*IF(circ_int,0,eq_c2/2))+(PI()*(s_0+6*s_r+IF(circ_int,eq_c1/2,0))/2)),-IF(circ_int,0,eq_c1/2)+(s_0+6*s_r+IF(circ_int,eq_c1/2,0))*COS(PI()+(((8+0.5)*(4*IF(circ_int,0,eq_c1/2)+4*IF(circ_int,0,eq_c2/2)+2*PI()*(s_0+6*s_r+IF(circ_int,eq_c1/2,0)))/INDEX(lk_legs,7))-(((((2*IF(circ_int,0,eq_c2/2))+(PI()*(s_0+6*s_r+IF(circ_int,eq_c1/2,0))/2))+2*IF(circ_int,0,eq_c1/2))+(PI()*(s_0+6*s_r+IF(circ_int,eq_c1/2,0))/2))+2*IF(circ_int,0,eq_c2/2)))/(s_0+6*s_r+IF(circ_int,eq_c1/2,0))),IF(((8+0.5)*(4*IF(circ_int,0,eq_c1/2)+4*IF(circ_int,0,eq_c2/2)+2*PI()*(s_0+6*s_r+IF(circ_int,eq_c1/2,0)))/INDEX(lk_legs,7))&lt;(((((((2*IF(circ_int,0,eq_c2/2))+(PI()*(s_0+6*s_r+IF(circ_int,eq_c1/2,0))/2))+2*IF(circ_int,0,eq_c1/2))+(PI()*(s_0+6*s_r+IF(circ_int,eq_c1/2,0))/2))+2*IF(circ_int,0,eq_c2/2))+(PI()*(s_0+6*s_r+IF(circ_int,eq_c1/2,0))/2))+2*IF(circ_int,0,eq_c1/2)),-IF(circ_int,0,eq_c1/2)+(((8+0.5)*(4*IF(circ_int,0,eq_c1/2)+4*IF(circ_int,0,eq_c2/2)+2*PI()*(s_0+6*s_r+IF(circ_int,eq_c1/2,0)))/INDEX(lk_legs,7))-((((((2*IF(circ_int,0,eq_c2/2))+(PI()*(s_0+6*s_r+IF(circ_int,eq_c1/2,0))/2))+2*IF(circ_int,0,eq_c1/2))+(PI()*(s_0+6*s_r+IF(circ_int,eq_c1/2,0))/2))+2*IF(circ_int,0,eq_c2/2))+(PI()*(s_0+6*s_r+IF(circ_int,eq_c1/2,0))/2))),IF(circ_int,0,eq_c1/2)+(s_0+6*s_r+IF(circ_int,eq_c1/2,0))*COS(3*PI()/2+(((8+0.5)*(4*IF(circ_int,0,eq_c1/2)+4*IF(circ_int,0,eq_c2/2)+2*PI()*(s_0+6*s_r+IF(circ_int,eq_c1/2,0)))/INDEX(lk_legs,7))-(((((((2*IF(circ_int,0,eq_c2/2))+(PI()*(s_0+6*s_r+IF(circ_int,eq_c1/2,0))/2))+2*IF(circ_int,0,eq_c1/2))+(PI()*(s_0+6*s_r+IF(circ_int,eq_c1/2,0))/2))+2*IF(circ_int,0,eq_c2/2))+(PI()*(s_0+6*s_r+IF(circ_int,eq_c1/2,0))/2))+2*IF(circ_int,0,eq_c1/2)))/(s_0+6*s_r+IF(circ_int,eq_c1/2,0)))))))))),NA())</f>
        <v/>
      </c>
      <c r="CK11">
        <f>IF(AND(AND(links_on,7&lt;=n_per),INDEX(lk_kind,7)=1,8&lt;INDEX(lk_legs,7)),g_oy+IF(((8+0.5)*(4*IF(circ_int,0,eq_c1/2)+4*IF(circ_int,0,eq_c2/2)+2*PI()*(s_0+6*s_r+IF(circ_int,eq_c1/2,0)))/INDEX(lk_legs,7))&lt;(2*IF(circ_int,0,eq_c2/2)),-IF(circ_int,0,eq_c2/2)+((8+0.5)*(4*IF(circ_int,0,eq_c1/2)+4*IF(circ_int,0,eq_c2/2)+2*PI()*(s_0+6*s_r+IF(circ_int,eq_c1/2,0)))/INDEX(lk_legs,7)),IF(((8+0.5)*(4*IF(circ_int,0,eq_c1/2)+4*IF(circ_int,0,eq_c2/2)+2*PI()*(s_0+6*s_r+IF(circ_int,eq_c1/2,0)))/INDEX(lk_legs,7))&lt;((2*IF(circ_int,0,eq_c2/2))+(PI()*(s_0+6*s_r+IF(circ_int,eq_c1/2,0))/2)),IF(circ_int,0,eq_c2/2)+(s_0+6*s_r+IF(circ_int,eq_c1/2,0))*SIN((((8+0.5)*(4*IF(circ_int,0,eq_c1/2)+4*IF(circ_int,0,eq_c2/2)+2*PI()*(s_0+6*s_r+IF(circ_int,eq_c1/2,0)))/INDEX(lk_legs,7))-(2*IF(circ_int,0,eq_c2/2)))/(s_0+6*s_r+IF(circ_int,eq_c1/2,0))),IF(((8+0.5)*(4*IF(circ_int,0,eq_c1/2)+4*IF(circ_int,0,eq_c2/2)+2*PI()*(s_0+6*s_r+IF(circ_int,eq_c1/2,0)))/INDEX(lk_legs,7))&lt;(((2*IF(circ_int,0,eq_c2/2))+(PI()*(s_0+6*s_r+IF(circ_int,eq_c1/2,0))/2))+2*IF(circ_int,0,eq_c1/2)),IF(circ_int,0,eq_c2/2)+(s_0+6*s_r+IF(circ_int,eq_c1/2,0)),IF(((8+0.5)*(4*IF(circ_int,0,eq_c1/2)+4*IF(circ_int,0,eq_c2/2)+2*PI()*(s_0+6*s_r+IF(circ_int,eq_c1/2,0)))/INDEX(lk_legs,7))&lt;((((2*IF(circ_int,0,eq_c2/2))+(PI()*(s_0+6*s_r+IF(circ_int,eq_c1/2,0))/2))+2*IF(circ_int,0,eq_c1/2))+(PI()*(s_0+6*s_r+IF(circ_int,eq_c1/2,0))/2)),IF(circ_int,0,eq_c2/2)+(s_0+6*s_r+IF(circ_int,eq_c1/2,0))*SIN(PI()/2+(((8+0.5)*(4*IF(circ_int,0,eq_c1/2)+4*IF(circ_int,0,eq_c2/2)+2*PI()*(s_0+6*s_r+IF(circ_int,eq_c1/2,0)))/INDEX(lk_legs,7))-(((2*IF(circ_int,0,eq_c2/2))+(PI()*(s_0+6*s_r+IF(circ_int,eq_c1/2,0))/2))+2*IF(circ_int,0,eq_c1/2)))/(s_0+6*s_r+IF(circ_int,eq_c1/2,0))),IF(((8+0.5)*(4*IF(circ_int,0,eq_c1/2)+4*IF(circ_int,0,eq_c2/2)+2*PI()*(s_0+6*s_r+IF(circ_int,eq_c1/2,0)))/INDEX(lk_legs,7))&lt;(((((2*IF(circ_int,0,eq_c2/2))+(PI()*(s_0+6*s_r+IF(circ_int,eq_c1/2,0))/2))+2*IF(circ_int,0,eq_c1/2))+(PI()*(s_0+6*s_r+IF(circ_int,eq_c1/2,0))/2))+2*IF(circ_int,0,eq_c2/2)),IF(circ_int,0,eq_c2/2)-(((8+0.5)*(4*IF(circ_int,0,eq_c1/2)+4*IF(circ_int,0,eq_c2/2)+2*PI()*(s_0+6*s_r+IF(circ_int,eq_c1/2,0)))/INDEX(lk_legs,7))-((((2*IF(circ_int,0,eq_c2/2))+(PI()*(s_0+6*s_r+IF(circ_int,eq_c1/2,0))/2))+2*IF(circ_int,0,eq_c1/2))+(PI()*(s_0+6*s_r+IF(circ_int,eq_c1/2,0))/2))),IF(((8+0.5)*(4*IF(circ_int,0,eq_c1/2)+4*IF(circ_int,0,eq_c2/2)+2*PI()*(s_0+6*s_r+IF(circ_int,eq_c1/2,0)))/INDEX(lk_legs,7))&lt;((((((2*IF(circ_int,0,eq_c2/2))+(PI()*(s_0+6*s_r+IF(circ_int,eq_c1/2,0))/2))+2*IF(circ_int,0,eq_c1/2))+(PI()*(s_0+6*s_r+IF(circ_int,eq_c1/2,0))/2))+2*IF(circ_int,0,eq_c2/2))+(PI()*(s_0+6*s_r+IF(circ_int,eq_c1/2,0))/2)),-IF(circ_int,0,eq_c2/2)+(s_0+6*s_r+IF(circ_int,eq_c1/2,0))*SIN(PI()+(((8+0.5)*(4*IF(circ_int,0,eq_c1/2)+4*IF(circ_int,0,eq_c2/2)+2*PI()*(s_0+6*s_r+IF(circ_int,eq_c1/2,0)))/INDEX(lk_legs,7))-(((((2*IF(circ_int,0,eq_c2/2))+(PI()*(s_0+6*s_r+IF(circ_int,eq_c1/2,0))/2))+2*IF(circ_int,0,eq_c1/2))+(PI()*(s_0+6*s_r+IF(circ_int,eq_c1/2,0))/2))+2*IF(circ_int,0,eq_c2/2)))/(s_0+6*s_r+IF(circ_int,eq_c1/2,0))),IF(((8+0.5)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(8+0.5)*(4*IF(circ_int,0,eq_c1/2)+4*IF(circ_int,0,eq_c2/2)+2*PI()*(s_0+6*s_r+IF(circ_int,eq_c1/2,0)))/INDEX(lk_legs,7))-(((((((2*IF(circ_int,0,eq_c2/2))+(PI()*(s_0+6*s_r+IF(circ_int,eq_c1/2,0))/2))+2*IF(circ_int,0,eq_c1/2))+(PI()*(s_0+6*s_r+IF(circ_int,eq_c1/2,0))/2))+2*IF(circ_int,0,eq_c2/2))+(PI()*(s_0+6*s_r+IF(circ_int,eq_c1/2,0))/2))+2*IF(circ_int,0,eq_c1/2)))/(s_0+6*s_r+IF(circ_int,eq_c1/2,0)))))))))),NA())</f>
        <v/>
      </c>
      <c r="CM11">
        <f>IF(AND(links_on,8&lt;=n_per),IF(circ_int,(g_ox)+(c_1/2+(s_0+7*s_r))*0.568065,CHOOSE(INDEX(lk_kind,8),(g_ox+eq_c1/2)+((s_0+7*s_r))*0.500000,(eq_a1+eq_c1)+((s_0+7*s_r))*0.793353,(eq_a1+eq_c1)+((s_0+7*s_r))*0.793353,(eq_a1)+((s_0+7*s_r))*-0.608761)),NA())</f>
        <v/>
      </c>
      <c r="CN11">
        <f>IF(AND(links_on,8&lt;=n_per),IF(circ_int,(g_oy)+(c_1/2+(s_0+7*s_r))*0.822984,CHOOSE(INDEX(lk_kind,8),(g_oy+eq_c2/2)+((s_0+7*s_r))*0.866025,(g_oy+eq_c2/2)+((s_0+7*s_r))*0.608761,(eq_a2+eq_c2)+((s_0+7*s_r))*0.608761,(eq_a2+eq_c2)+((s_0+7*s_r))*0.793353)),NA())</f>
        <v/>
      </c>
      <c r="CP11">
        <f>IF(AND(AND(links_on,8&lt;=n_per),INDEX(lk_kind,8)=1,8&lt;INDEX(lk_legs,8)),g_ox+IF(((8+0.5)*(4*IF(circ_int,0,eq_c1/2)+4*IF(circ_int,0,eq_c2/2)+2*PI()*(s_0+7*s_r+IF(circ_int,eq_c1/2,0)))/INDEX(lk_legs,8))&lt;(2*IF(circ_int,0,eq_c2/2)),IF(circ_int,0,eq_c1/2)+(s_0+7*s_r+IF(circ_int,eq_c1/2,0)),IF(((8+0.5)*(4*IF(circ_int,0,eq_c1/2)+4*IF(circ_int,0,eq_c2/2)+2*PI()*(s_0+7*s_r+IF(circ_int,eq_c1/2,0)))/INDEX(lk_legs,8))&lt;((2*IF(circ_int,0,eq_c2/2))+(PI()*(s_0+7*s_r+IF(circ_int,eq_c1/2,0))/2)),IF(circ_int,0,eq_c1/2)+(s_0+7*s_r+IF(circ_int,eq_c1/2,0))*COS((((8+0.5)*(4*IF(circ_int,0,eq_c1/2)+4*IF(circ_int,0,eq_c2/2)+2*PI()*(s_0+7*s_r+IF(circ_int,eq_c1/2,0)))/INDEX(lk_legs,8))-(2*IF(circ_int,0,eq_c2/2)))/(s_0+7*s_r+IF(circ_int,eq_c1/2,0))),IF(((8+0.5)*(4*IF(circ_int,0,eq_c1/2)+4*IF(circ_int,0,eq_c2/2)+2*PI()*(s_0+7*s_r+IF(circ_int,eq_c1/2,0)))/INDEX(lk_legs,8))&lt;(((2*IF(circ_int,0,eq_c2/2))+(PI()*(s_0+7*s_r+IF(circ_int,eq_c1/2,0))/2))+2*IF(circ_int,0,eq_c1/2)),IF(circ_int,0,eq_c1/2)-(((8+0.5)*(4*IF(circ_int,0,eq_c1/2)+4*IF(circ_int,0,eq_c2/2)+2*PI()*(s_0+7*s_r+IF(circ_int,eq_c1/2,0)))/INDEX(lk_legs,8))-((2*IF(circ_int,0,eq_c2/2))+(PI()*(s_0+7*s_r+IF(circ_int,eq_c1/2,0))/2))),IF(((8+0.5)*(4*IF(circ_int,0,eq_c1/2)+4*IF(circ_int,0,eq_c2/2)+2*PI()*(s_0+7*s_r+IF(circ_int,eq_c1/2,0)))/INDEX(lk_legs,8))&lt;((((2*IF(circ_int,0,eq_c2/2))+(PI()*(s_0+7*s_r+IF(circ_int,eq_c1/2,0))/2))+2*IF(circ_int,0,eq_c1/2))+(PI()*(s_0+7*s_r+IF(circ_int,eq_c1/2,0))/2)),-IF(circ_int,0,eq_c1/2)+(s_0+7*s_r+IF(circ_int,eq_c1/2,0))*COS(PI()/2+(((8+0.5)*(4*IF(circ_int,0,eq_c1/2)+4*IF(circ_int,0,eq_c2/2)+2*PI()*(s_0+7*s_r+IF(circ_int,eq_c1/2,0)))/INDEX(lk_legs,8))-(((2*IF(circ_int,0,eq_c2/2))+(PI()*(s_0+7*s_r+IF(circ_int,eq_c1/2,0))/2))+2*IF(circ_int,0,eq_c1/2)))/(s_0+7*s_r+IF(circ_int,eq_c1/2,0))),IF(((8+0.5)*(4*IF(circ_int,0,eq_c1/2)+4*IF(circ_int,0,eq_c2/2)+2*PI()*(s_0+7*s_r+IF(circ_int,eq_c1/2,0)))/INDEX(lk_legs,8))&lt;(((((2*IF(circ_int,0,eq_c2/2))+(PI()*(s_0+7*s_r+IF(circ_int,eq_c1/2,0))/2))+2*IF(circ_int,0,eq_c1/2))+(PI()*(s_0+7*s_r+IF(circ_int,eq_c1/2,0))/2))+2*IF(circ_int,0,eq_c2/2)),-IF(circ_int,0,eq_c1/2)-(s_0+7*s_r+IF(circ_int,eq_c1/2,0)),IF(((8+0.5)*(4*IF(circ_int,0,eq_c1/2)+4*IF(circ_int,0,eq_c2/2)+2*PI()*(s_0+7*s_r+IF(circ_int,eq_c1/2,0)))/INDEX(lk_legs,8))&lt;((((((2*IF(circ_int,0,eq_c2/2))+(PI()*(s_0+7*s_r+IF(circ_int,eq_c1/2,0))/2))+2*IF(circ_int,0,eq_c1/2))+(PI()*(s_0+7*s_r+IF(circ_int,eq_c1/2,0))/2))+2*IF(circ_int,0,eq_c2/2))+(PI()*(s_0+7*s_r+IF(circ_int,eq_c1/2,0))/2)),-IF(circ_int,0,eq_c1/2)+(s_0+7*s_r+IF(circ_int,eq_c1/2,0))*COS(PI()+(((8+0.5)*(4*IF(circ_int,0,eq_c1/2)+4*IF(circ_int,0,eq_c2/2)+2*PI()*(s_0+7*s_r+IF(circ_int,eq_c1/2,0)))/INDEX(lk_legs,8))-(((((2*IF(circ_int,0,eq_c2/2))+(PI()*(s_0+7*s_r+IF(circ_int,eq_c1/2,0))/2))+2*IF(circ_int,0,eq_c1/2))+(PI()*(s_0+7*s_r+IF(circ_int,eq_c1/2,0))/2))+2*IF(circ_int,0,eq_c2/2)))/(s_0+7*s_r+IF(circ_int,eq_c1/2,0))),IF(((8+0.5)*(4*IF(circ_int,0,eq_c1/2)+4*IF(circ_int,0,eq_c2/2)+2*PI()*(s_0+7*s_r+IF(circ_int,eq_c1/2,0)))/INDEX(lk_legs,8))&lt;(((((((2*IF(circ_int,0,eq_c2/2))+(PI()*(s_0+7*s_r+IF(circ_int,eq_c1/2,0))/2))+2*IF(circ_int,0,eq_c1/2))+(PI()*(s_0+7*s_r+IF(circ_int,eq_c1/2,0))/2))+2*IF(circ_int,0,eq_c2/2))+(PI()*(s_0+7*s_r+IF(circ_int,eq_c1/2,0))/2))+2*IF(circ_int,0,eq_c1/2)),-IF(circ_int,0,eq_c1/2)+(((8+0.5)*(4*IF(circ_int,0,eq_c1/2)+4*IF(circ_int,0,eq_c2/2)+2*PI()*(s_0+7*s_r+IF(circ_int,eq_c1/2,0)))/INDEX(lk_legs,8))-((((((2*IF(circ_int,0,eq_c2/2))+(PI()*(s_0+7*s_r+IF(circ_int,eq_c1/2,0))/2))+2*IF(circ_int,0,eq_c1/2))+(PI()*(s_0+7*s_r+IF(circ_int,eq_c1/2,0))/2))+2*IF(circ_int,0,eq_c2/2))+(PI()*(s_0+7*s_r+IF(circ_int,eq_c1/2,0))/2))),IF(circ_int,0,eq_c1/2)+(s_0+7*s_r+IF(circ_int,eq_c1/2,0))*COS(3*PI()/2+(((8+0.5)*(4*IF(circ_int,0,eq_c1/2)+4*IF(circ_int,0,eq_c2/2)+2*PI()*(s_0+7*s_r+IF(circ_int,eq_c1/2,0)))/INDEX(lk_legs,8))-(((((((2*IF(circ_int,0,eq_c2/2))+(PI()*(s_0+7*s_r+IF(circ_int,eq_c1/2,0))/2))+2*IF(circ_int,0,eq_c1/2))+(PI()*(s_0+7*s_r+IF(circ_int,eq_c1/2,0))/2))+2*IF(circ_int,0,eq_c2/2))+(PI()*(s_0+7*s_r+IF(circ_int,eq_c1/2,0))/2))+2*IF(circ_int,0,eq_c1/2)))/(s_0+7*s_r+IF(circ_int,eq_c1/2,0)))))))))),NA())</f>
        <v/>
      </c>
      <c r="CQ11">
        <f>IF(AND(AND(links_on,8&lt;=n_per),INDEX(lk_kind,8)=1,8&lt;INDEX(lk_legs,8)),g_oy+IF(((8+0.5)*(4*IF(circ_int,0,eq_c1/2)+4*IF(circ_int,0,eq_c2/2)+2*PI()*(s_0+7*s_r+IF(circ_int,eq_c1/2,0)))/INDEX(lk_legs,8))&lt;(2*IF(circ_int,0,eq_c2/2)),-IF(circ_int,0,eq_c2/2)+((8+0.5)*(4*IF(circ_int,0,eq_c1/2)+4*IF(circ_int,0,eq_c2/2)+2*PI()*(s_0+7*s_r+IF(circ_int,eq_c1/2,0)))/INDEX(lk_legs,8)),IF(((8+0.5)*(4*IF(circ_int,0,eq_c1/2)+4*IF(circ_int,0,eq_c2/2)+2*PI()*(s_0+7*s_r+IF(circ_int,eq_c1/2,0)))/INDEX(lk_legs,8))&lt;((2*IF(circ_int,0,eq_c2/2))+(PI()*(s_0+7*s_r+IF(circ_int,eq_c1/2,0))/2)),IF(circ_int,0,eq_c2/2)+(s_0+7*s_r+IF(circ_int,eq_c1/2,0))*SIN((((8+0.5)*(4*IF(circ_int,0,eq_c1/2)+4*IF(circ_int,0,eq_c2/2)+2*PI()*(s_0+7*s_r+IF(circ_int,eq_c1/2,0)))/INDEX(lk_legs,8))-(2*IF(circ_int,0,eq_c2/2)))/(s_0+7*s_r+IF(circ_int,eq_c1/2,0))),IF(((8+0.5)*(4*IF(circ_int,0,eq_c1/2)+4*IF(circ_int,0,eq_c2/2)+2*PI()*(s_0+7*s_r+IF(circ_int,eq_c1/2,0)))/INDEX(lk_legs,8))&lt;(((2*IF(circ_int,0,eq_c2/2))+(PI()*(s_0+7*s_r+IF(circ_int,eq_c1/2,0))/2))+2*IF(circ_int,0,eq_c1/2)),IF(circ_int,0,eq_c2/2)+(s_0+7*s_r+IF(circ_int,eq_c1/2,0)),IF(((8+0.5)*(4*IF(circ_int,0,eq_c1/2)+4*IF(circ_int,0,eq_c2/2)+2*PI()*(s_0+7*s_r+IF(circ_int,eq_c1/2,0)))/INDEX(lk_legs,8))&lt;((((2*IF(circ_int,0,eq_c2/2))+(PI()*(s_0+7*s_r+IF(circ_int,eq_c1/2,0))/2))+2*IF(circ_int,0,eq_c1/2))+(PI()*(s_0+7*s_r+IF(circ_int,eq_c1/2,0))/2)),IF(circ_int,0,eq_c2/2)+(s_0+7*s_r+IF(circ_int,eq_c1/2,0))*SIN(PI()/2+(((8+0.5)*(4*IF(circ_int,0,eq_c1/2)+4*IF(circ_int,0,eq_c2/2)+2*PI()*(s_0+7*s_r+IF(circ_int,eq_c1/2,0)))/INDEX(lk_legs,8))-(((2*IF(circ_int,0,eq_c2/2))+(PI()*(s_0+7*s_r+IF(circ_int,eq_c1/2,0))/2))+2*IF(circ_int,0,eq_c1/2)))/(s_0+7*s_r+IF(circ_int,eq_c1/2,0))),IF(((8+0.5)*(4*IF(circ_int,0,eq_c1/2)+4*IF(circ_int,0,eq_c2/2)+2*PI()*(s_0+7*s_r+IF(circ_int,eq_c1/2,0)))/INDEX(lk_legs,8))&lt;(((((2*IF(circ_int,0,eq_c2/2))+(PI()*(s_0+7*s_r+IF(circ_int,eq_c1/2,0))/2))+2*IF(circ_int,0,eq_c1/2))+(PI()*(s_0+7*s_r+IF(circ_int,eq_c1/2,0))/2))+2*IF(circ_int,0,eq_c2/2)),IF(circ_int,0,eq_c2/2)-(((8+0.5)*(4*IF(circ_int,0,eq_c1/2)+4*IF(circ_int,0,eq_c2/2)+2*PI()*(s_0+7*s_r+IF(circ_int,eq_c1/2,0)))/INDEX(lk_legs,8))-((((2*IF(circ_int,0,eq_c2/2))+(PI()*(s_0+7*s_r+IF(circ_int,eq_c1/2,0))/2))+2*IF(circ_int,0,eq_c1/2))+(PI()*(s_0+7*s_r+IF(circ_int,eq_c1/2,0))/2))),IF(((8+0.5)*(4*IF(circ_int,0,eq_c1/2)+4*IF(circ_int,0,eq_c2/2)+2*PI()*(s_0+7*s_r+IF(circ_int,eq_c1/2,0)))/INDEX(lk_legs,8))&lt;((((((2*IF(circ_int,0,eq_c2/2))+(PI()*(s_0+7*s_r+IF(circ_int,eq_c1/2,0))/2))+2*IF(circ_int,0,eq_c1/2))+(PI()*(s_0+7*s_r+IF(circ_int,eq_c1/2,0))/2))+2*IF(circ_int,0,eq_c2/2))+(PI()*(s_0+7*s_r+IF(circ_int,eq_c1/2,0))/2)),-IF(circ_int,0,eq_c2/2)+(s_0+7*s_r+IF(circ_int,eq_c1/2,0))*SIN(PI()+(((8+0.5)*(4*IF(circ_int,0,eq_c1/2)+4*IF(circ_int,0,eq_c2/2)+2*PI()*(s_0+7*s_r+IF(circ_int,eq_c1/2,0)))/INDEX(lk_legs,8))-(((((2*IF(circ_int,0,eq_c2/2))+(PI()*(s_0+7*s_r+IF(circ_int,eq_c1/2,0))/2))+2*IF(circ_int,0,eq_c1/2))+(PI()*(s_0+7*s_r+IF(circ_int,eq_c1/2,0))/2))+2*IF(circ_int,0,eq_c2/2)))/(s_0+7*s_r+IF(circ_int,eq_c1/2,0))),IF(((8+0.5)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(8+0.5)*(4*IF(circ_int,0,eq_c1/2)+4*IF(circ_int,0,eq_c2/2)+2*PI()*(s_0+7*s_r+IF(circ_int,eq_c1/2,0)))/INDEX(lk_legs,8))-(((((((2*IF(circ_int,0,eq_c2/2))+(PI()*(s_0+7*s_r+IF(circ_int,eq_c1/2,0))/2))+2*IF(circ_int,0,eq_c1/2))+(PI()*(s_0+7*s_r+IF(circ_int,eq_c1/2,0))/2))+2*IF(circ_int,0,eq_c2/2))+(PI()*(s_0+7*s_r+IF(circ_int,eq_c1/2,0))/2))+2*IF(circ_int,0,eq_c1/2)))/(s_0+7*s_r+IF(circ_int,eq_c1/2,0)))))))))),NA())</f>
        <v/>
      </c>
      <c r="CS11">
        <f>IF(AND(links_on,9&lt;=n_per),IF(circ_int,(g_ox)+(c_1/2+(s_0+8*s_r))*0.568065,CHOOSE(INDEX(lk_kind,9),(g_ox+eq_c1/2)+((s_0+8*s_r))*0.500000,(eq_a1+eq_c1)+((s_0+8*s_r))*0.793353,(eq_a1+eq_c1)+((s_0+8*s_r))*0.793353,(eq_a1)+((s_0+8*s_r))*-0.608761)),NA())</f>
        <v/>
      </c>
      <c r="CT11">
        <f>IF(AND(links_on,9&lt;=n_per),IF(circ_int,(g_oy)+(c_1/2+(s_0+8*s_r))*0.822984,CHOOSE(INDEX(lk_kind,9),(g_oy+eq_c2/2)+((s_0+8*s_r))*0.866025,(g_oy+eq_c2/2)+((s_0+8*s_r))*0.608761,(eq_a2+eq_c2)+((s_0+8*s_r))*0.608761,(eq_a2+eq_c2)+((s_0+8*s_r))*0.793353)),NA())</f>
        <v/>
      </c>
      <c r="CV11">
        <f>IF(AND(AND(links_on,9&lt;=n_per),INDEX(lk_kind,9)=1,8&lt;INDEX(lk_legs,9)),g_ox+IF(((8+0.5)*(4*IF(circ_int,0,eq_c1/2)+4*IF(circ_int,0,eq_c2/2)+2*PI()*(s_0+8*s_r+IF(circ_int,eq_c1/2,0)))/INDEX(lk_legs,9))&lt;(2*IF(circ_int,0,eq_c2/2)),IF(circ_int,0,eq_c1/2)+(s_0+8*s_r+IF(circ_int,eq_c1/2,0)),IF(((8+0.5)*(4*IF(circ_int,0,eq_c1/2)+4*IF(circ_int,0,eq_c2/2)+2*PI()*(s_0+8*s_r+IF(circ_int,eq_c1/2,0)))/INDEX(lk_legs,9))&lt;((2*IF(circ_int,0,eq_c2/2))+(PI()*(s_0+8*s_r+IF(circ_int,eq_c1/2,0))/2)),IF(circ_int,0,eq_c1/2)+(s_0+8*s_r+IF(circ_int,eq_c1/2,0))*COS((((8+0.5)*(4*IF(circ_int,0,eq_c1/2)+4*IF(circ_int,0,eq_c2/2)+2*PI()*(s_0+8*s_r+IF(circ_int,eq_c1/2,0)))/INDEX(lk_legs,9))-(2*IF(circ_int,0,eq_c2/2)))/(s_0+8*s_r+IF(circ_int,eq_c1/2,0))),IF(((8+0.5)*(4*IF(circ_int,0,eq_c1/2)+4*IF(circ_int,0,eq_c2/2)+2*PI()*(s_0+8*s_r+IF(circ_int,eq_c1/2,0)))/INDEX(lk_legs,9))&lt;(((2*IF(circ_int,0,eq_c2/2))+(PI()*(s_0+8*s_r+IF(circ_int,eq_c1/2,0))/2))+2*IF(circ_int,0,eq_c1/2)),IF(circ_int,0,eq_c1/2)-(((8+0.5)*(4*IF(circ_int,0,eq_c1/2)+4*IF(circ_int,0,eq_c2/2)+2*PI()*(s_0+8*s_r+IF(circ_int,eq_c1/2,0)))/INDEX(lk_legs,9))-((2*IF(circ_int,0,eq_c2/2))+(PI()*(s_0+8*s_r+IF(circ_int,eq_c1/2,0))/2))),IF(((8+0.5)*(4*IF(circ_int,0,eq_c1/2)+4*IF(circ_int,0,eq_c2/2)+2*PI()*(s_0+8*s_r+IF(circ_int,eq_c1/2,0)))/INDEX(lk_legs,9))&lt;((((2*IF(circ_int,0,eq_c2/2))+(PI()*(s_0+8*s_r+IF(circ_int,eq_c1/2,0))/2))+2*IF(circ_int,0,eq_c1/2))+(PI()*(s_0+8*s_r+IF(circ_int,eq_c1/2,0))/2)),-IF(circ_int,0,eq_c1/2)+(s_0+8*s_r+IF(circ_int,eq_c1/2,0))*COS(PI()/2+(((8+0.5)*(4*IF(circ_int,0,eq_c1/2)+4*IF(circ_int,0,eq_c2/2)+2*PI()*(s_0+8*s_r+IF(circ_int,eq_c1/2,0)))/INDEX(lk_legs,9))-(((2*IF(circ_int,0,eq_c2/2))+(PI()*(s_0+8*s_r+IF(circ_int,eq_c1/2,0))/2))+2*IF(circ_int,0,eq_c1/2)))/(s_0+8*s_r+IF(circ_int,eq_c1/2,0))),IF(((8+0.5)*(4*IF(circ_int,0,eq_c1/2)+4*IF(circ_int,0,eq_c2/2)+2*PI()*(s_0+8*s_r+IF(circ_int,eq_c1/2,0)))/INDEX(lk_legs,9))&lt;(((((2*IF(circ_int,0,eq_c2/2))+(PI()*(s_0+8*s_r+IF(circ_int,eq_c1/2,0))/2))+2*IF(circ_int,0,eq_c1/2))+(PI()*(s_0+8*s_r+IF(circ_int,eq_c1/2,0))/2))+2*IF(circ_int,0,eq_c2/2)),-IF(circ_int,0,eq_c1/2)-(s_0+8*s_r+IF(circ_int,eq_c1/2,0)),IF(((8+0.5)*(4*IF(circ_int,0,eq_c1/2)+4*IF(circ_int,0,eq_c2/2)+2*PI()*(s_0+8*s_r+IF(circ_int,eq_c1/2,0)))/INDEX(lk_legs,9))&lt;((((((2*IF(circ_int,0,eq_c2/2))+(PI()*(s_0+8*s_r+IF(circ_int,eq_c1/2,0))/2))+2*IF(circ_int,0,eq_c1/2))+(PI()*(s_0+8*s_r+IF(circ_int,eq_c1/2,0))/2))+2*IF(circ_int,0,eq_c2/2))+(PI()*(s_0+8*s_r+IF(circ_int,eq_c1/2,0))/2)),-IF(circ_int,0,eq_c1/2)+(s_0+8*s_r+IF(circ_int,eq_c1/2,0))*COS(PI()+(((8+0.5)*(4*IF(circ_int,0,eq_c1/2)+4*IF(circ_int,0,eq_c2/2)+2*PI()*(s_0+8*s_r+IF(circ_int,eq_c1/2,0)))/INDEX(lk_legs,9))-(((((2*IF(circ_int,0,eq_c2/2))+(PI()*(s_0+8*s_r+IF(circ_int,eq_c1/2,0))/2))+2*IF(circ_int,0,eq_c1/2))+(PI()*(s_0+8*s_r+IF(circ_int,eq_c1/2,0))/2))+2*IF(circ_int,0,eq_c2/2)))/(s_0+8*s_r+IF(circ_int,eq_c1/2,0))),IF(((8+0.5)*(4*IF(circ_int,0,eq_c1/2)+4*IF(circ_int,0,eq_c2/2)+2*PI()*(s_0+8*s_r+IF(circ_int,eq_c1/2,0)))/INDEX(lk_legs,9))&lt;(((((((2*IF(circ_int,0,eq_c2/2))+(PI()*(s_0+8*s_r+IF(circ_int,eq_c1/2,0))/2))+2*IF(circ_int,0,eq_c1/2))+(PI()*(s_0+8*s_r+IF(circ_int,eq_c1/2,0))/2))+2*IF(circ_int,0,eq_c2/2))+(PI()*(s_0+8*s_r+IF(circ_int,eq_c1/2,0))/2))+2*IF(circ_int,0,eq_c1/2)),-IF(circ_int,0,eq_c1/2)+(((8+0.5)*(4*IF(circ_int,0,eq_c1/2)+4*IF(circ_int,0,eq_c2/2)+2*PI()*(s_0+8*s_r+IF(circ_int,eq_c1/2,0)))/INDEX(lk_legs,9))-((((((2*IF(circ_int,0,eq_c2/2))+(PI()*(s_0+8*s_r+IF(circ_int,eq_c1/2,0))/2))+2*IF(circ_int,0,eq_c1/2))+(PI()*(s_0+8*s_r+IF(circ_int,eq_c1/2,0))/2))+2*IF(circ_int,0,eq_c2/2))+(PI()*(s_0+8*s_r+IF(circ_int,eq_c1/2,0))/2))),IF(circ_int,0,eq_c1/2)+(s_0+8*s_r+IF(circ_int,eq_c1/2,0))*COS(3*PI()/2+(((8+0.5)*(4*IF(circ_int,0,eq_c1/2)+4*IF(circ_int,0,eq_c2/2)+2*PI()*(s_0+8*s_r+IF(circ_int,eq_c1/2,0)))/INDEX(lk_legs,9))-(((((((2*IF(circ_int,0,eq_c2/2))+(PI()*(s_0+8*s_r+IF(circ_int,eq_c1/2,0))/2))+2*IF(circ_int,0,eq_c1/2))+(PI()*(s_0+8*s_r+IF(circ_int,eq_c1/2,0))/2))+2*IF(circ_int,0,eq_c2/2))+(PI()*(s_0+8*s_r+IF(circ_int,eq_c1/2,0))/2))+2*IF(circ_int,0,eq_c1/2)))/(s_0+8*s_r+IF(circ_int,eq_c1/2,0)))))))))),NA())</f>
        <v/>
      </c>
      <c r="CW11">
        <f>IF(AND(AND(links_on,9&lt;=n_per),INDEX(lk_kind,9)=1,8&lt;INDEX(lk_legs,9)),g_oy+IF(((8+0.5)*(4*IF(circ_int,0,eq_c1/2)+4*IF(circ_int,0,eq_c2/2)+2*PI()*(s_0+8*s_r+IF(circ_int,eq_c1/2,0)))/INDEX(lk_legs,9))&lt;(2*IF(circ_int,0,eq_c2/2)),-IF(circ_int,0,eq_c2/2)+((8+0.5)*(4*IF(circ_int,0,eq_c1/2)+4*IF(circ_int,0,eq_c2/2)+2*PI()*(s_0+8*s_r+IF(circ_int,eq_c1/2,0)))/INDEX(lk_legs,9)),IF(((8+0.5)*(4*IF(circ_int,0,eq_c1/2)+4*IF(circ_int,0,eq_c2/2)+2*PI()*(s_0+8*s_r+IF(circ_int,eq_c1/2,0)))/INDEX(lk_legs,9))&lt;((2*IF(circ_int,0,eq_c2/2))+(PI()*(s_0+8*s_r+IF(circ_int,eq_c1/2,0))/2)),IF(circ_int,0,eq_c2/2)+(s_0+8*s_r+IF(circ_int,eq_c1/2,0))*SIN((((8+0.5)*(4*IF(circ_int,0,eq_c1/2)+4*IF(circ_int,0,eq_c2/2)+2*PI()*(s_0+8*s_r+IF(circ_int,eq_c1/2,0)))/INDEX(lk_legs,9))-(2*IF(circ_int,0,eq_c2/2)))/(s_0+8*s_r+IF(circ_int,eq_c1/2,0))),IF(((8+0.5)*(4*IF(circ_int,0,eq_c1/2)+4*IF(circ_int,0,eq_c2/2)+2*PI()*(s_0+8*s_r+IF(circ_int,eq_c1/2,0)))/INDEX(lk_legs,9))&lt;(((2*IF(circ_int,0,eq_c2/2))+(PI()*(s_0+8*s_r+IF(circ_int,eq_c1/2,0))/2))+2*IF(circ_int,0,eq_c1/2)),IF(circ_int,0,eq_c2/2)+(s_0+8*s_r+IF(circ_int,eq_c1/2,0)),IF(((8+0.5)*(4*IF(circ_int,0,eq_c1/2)+4*IF(circ_int,0,eq_c2/2)+2*PI()*(s_0+8*s_r+IF(circ_int,eq_c1/2,0)))/INDEX(lk_legs,9))&lt;((((2*IF(circ_int,0,eq_c2/2))+(PI()*(s_0+8*s_r+IF(circ_int,eq_c1/2,0))/2))+2*IF(circ_int,0,eq_c1/2))+(PI()*(s_0+8*s_r+IF(circ_int,eq_c1/2,0))/2)),IF(circ_int,0,eq_c2/2)+(s_0+8*s_r+IF(circ_int,eq_c1/2,0))*SIN(PI()/2+(((8+0.5)*(4*IF(circ_int,0,eq_c1/2)+4*IF(circ_int,0,eq_c2/2)+2*PI()*(s_0+8*s_r+IF(circ_int,eq_c1/2,0)))/INDEX(lk_legs,9))-(((2*IF(circ_int,0,eq_c2/2))+(PI()*(s_0+8*s_r+IF(circ_int,eq_c1/2,0))/2))+2*IF(circ_int,0,eq_c1/2)))/(s_0+8*s_r+IF(circ_int,eq_c1/2,0))),IF(((8+0.5)*(4*IF(circ_int,0,eq_c1/2)+4*IF(circ_int,0,eq_c2/2)+2*PI()*(s_0+8*s_r+IF(circ_int,eq_c1/2,0)))/INDEX(lk_legs,9))&lt;(((((2*IF(circ_int,0,eq_c2/2))+(PI()*(s_0+8*s_r+IF(circ_int,eq_c1/2,0))/2))+2*IF(circ_int,0,eq_c1/2))+(PI()*(s_0+8*s_r+IF(circ_int,eq_c1/2,0))/2))+2*IF(circ_int,0,eq_c2/2)),IF(circ_int,0,eq_c2/2)-(((8+0.5)*(4*IF(circ_int,0,eq_c1/2)+4*IF(circ_int,0,eq_c2/2)+2*PI()*(s_0+8*s_r+IF(circ_int,eq_c1/2,0)))/INDEX(lk_legs,9))-((((2*IF(circ_int,0,eq_c2/2))+(PI()*(s_0+8*s_r+IF(circ_int,eq_c1/2,0))/2))+2*IF(circ_int,0,eq_c1/2))+(PI()*(s_0+8*s_r+IF(circ_int,eq_c1/2,0))/2))),IF(((8+0.5)*(4*IF(circ_int,0,eq_c1/2)+4*IF(circ_int,0,eq_c2/2)+2*PI()*(s_0+8*s_r+IF(circ_int,eq_c1/2,0)))/INDEX(lk_legs,9))&lt;((((((2*IF(circ_int,0,eq_c2/2))+(PI()*(s_0+8*s_r+IF(circ_int,eq_c1/2,0))/2))+2*IF(circ_int,0,eq_c1/2))+(PI()*(s_0+8*s_r+IF(circ_int,eq_c1/2,0))/2))+2*IF(circ_int,0,eq_c2/2))+(PI()*(s_0+8*s_r+IF(circ_int,eq_c1/2,0))/2)),-IF(circ_int,0,eq_c2/2)+(s_0+8*s_r+IF(circ_int,eq_c1/2,0))*SIN(PI()+(((8+0.5)*(4*IF(circ_int,0,eq_c1/2)+4*IF(circ_int,0,eq_c2/2)+2*PI()*(s_0+8*s_r+IF(circ_int,eq_c1/2,0)))/INDEX(lk_legs,9))-(((((2*IF(circ_int,0,eq_c2/2))+(PI()*(s_0+8*s_r+IF(circ_int,eq_c1/2,0))/2))+2*IF(circ_int,0,eq_c1/2))+(PI()*(s_0+8*s_r+IF(circ_int,eq_c1/2,0))/2))+2*IF(circ_int,0,eq_c2/2)))/(s_0+8*s_r+IF(circ_int,eq_c1/2,0))),IF(((8+0.5)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(8+0.5)*(4*IF(circ_int,0,eq_c1/2)+4*IF(circ_int,0,eq_c2/2)+2*PI()*(s_0+8*s_r+IF(circ_int,eq_c1/2,0)))/INDEX(lk_legs,9))-(((((((2*IF(circ_int,0,eq_c2/2))+(PI()*(s_0+8*s_r+IF(circ_int,eq_c1/2,0))/2))+2*IF(circ_int,0,eq_c1/2))+(PI()*(s_0+8*s_r+IF(circ_int,eq_c1/2,0))/2))+2*IF(circ_int,0,eq_c2/2))+(PI()*(s_0+8*s_r+IF(circ_int,eq_c1/2,0))/2))+2*IF(circ_int,0,eq_c1/2)))/(s_0+8*s_r+IF(circ_int,eq_c1/2,0)))))))))),NA())</f>
        <v/>
      </c>
      <c r="CY11">
        <f>IF(AND(links_on,10&lt;=n_per),IF(circ_int,(g_ox)+(c_1/2+(s_0+9*s_r))*0.568065,CHOOSE(INDEX(lk_kind,10),(g_ox+eq_c1/2)+((s_0+9*s_r))*0.500000,(eq_a1+eq_c1)+((s_0+9*s_r))*0.793353,(eq_a1+eq_c1)+((s_0+9*s_r))*0.793353,(eq_a1)+((s_0+9*s_r))*-0.608761)),NA())</f>
        <v/>
      </c>
      <c r="CZ11">
        <f>IF(AND(links_on,10&lt;=n_per),IF(circ_int,(g_oy)+(c_1/2+(s_0+9*s_r))*0.822984,CHOOSE(INDEX(lk_kind,10),(g_oy+eq_c2/2)+((s_0+9*s_r))*0.866025,(g_oy+eq_c2/2)+((s_0+9*s_r))*0.608761,(eq_a2+eq_c2)+((s_0+9*s_r))*0.608761,(eq_a2+eq_c2)+((s_0+9*s_r))*0.793353)),NA())</f>
        <v/>
      </c>
      <c r="DB11">
        <f>IF(AND(AND(links_on,10&lt;=n_per),INDEX(lk_kind,10)=1,8&lt;INDEX(lk_legs,10)),g_ox+IF(((8+0.5)*(4*IF(circ_int,0,eq_c1/2)+4*IF(circ_int,0,eq_c2/2)+2*PI()*(s_0+9*s_r+IF(circ_int,eq_c1/2,0)))/INDEX(lk_legs,10))&lt;(2*IF(circ_int,0,eq_c2/2)),IF(circ_int,0,eq_c1/2)+(s_0+9*s_r+IF(circ_int,eq_c1/2,0)),IF(((8+0.5)*(4*IF(circ_int,0,eq_c1/2)+4*IF(circ_int,0,eq_c2/2)+2*PI()*(s_0+9*s_r+IF(circ_int,eq_c1/2,0)))/INDEX(lk_legs,10))&lt;((2*IF(circ_int,0,eq_c2/2))+(PI()*(s_0+9*s_r+IF(circ_int,eq_c1/2,0))/2)),IF(circ_int,0,eq_c1/2)+(s_0+9*s_r+IF(circ_int,eq_c1/2,0))*COS((((8+0.5)*(4*IF(circ_int,0,eq_c1/2)+4*IF(circ_int,0,eq_c2/2)+2*PI()*(s_0+9*s_r+IF(circ_int,eq_c1/2,0)))/INDEX(lk_legs,10))-(2*IF(circ_int,0,eq_c2/2)))/(s_0+9*s_r+IF(circ_int,eq_c1/2,0))),IF(((8+0.5)*(4*IF(circ_int,0,eq_c1/2)+4*IF(circ_int,0,eq_c2/2)+2*PI()*(s_0+9*s_r+IF(circ_int,eq_c1/2,0)))/INDEX(lk_legs,10))&lt;(((2*IF(circ_int,0,eq_c2/2))+(PI()*(s_0+9*s_r+IF(circ_int,eq_c1/2,0))/2))+2*IF(circ_int,0,eq_c1/2)),IF(circ_int,0,eq_c1/2)-(((8+0.5)*(4*IF(circ_int,0,eq_c1/2)+4*IF(circ_int,0,eq_c2/2)+2*PI()*(s_0+9*s_r+IF(circ_int,eq_c1/2,0)))/INDEX(lk_legs,10))-((2*IF(circ_int,0,eq_c2/2))+(PI()*(s_0+9*s_r+IF(circ_int,eq_c1/2,0))/2))),IF(((8+0.5)*(4*IF(circ_int,0,eq_c1/2)+4*IF(circ_int,0,eq_c2/2)+2*PI()*(s_0+9*s_r+IF(circ_int,eq_c1/2,0)))/INDEX(lk_legs,10))&lt;((((2*IF(circ_int,0,eq_c2/2))+(PI()*(s_0+9*s_r+IF(circ_int,eq_c1/2,0))/2))+2*IF(circ_int,0,eq_c1/2))+(PI()*(s_0+9*s_r+IF(circ_int,eq_c1/2,0))/2)),-IF(circ_int,0,eq_c1/2)+(s_0+9*s_r+IF(circ_int,eq_c1/2,0))*COS(PI()/2+(((8+0.5)*(4*IF(circ_int,0,eq_c1/2)+4*IF(circ_int,0,eq_c2/2)+2*PI()*(s_0+9*s_r+IF(circ_int,eq_c1/2,0)))/INDEX(lk_legs,10))-(((2*IF(circ_int,0,eq_c2/2))+(PI()*(s_0+9*s_r+IF(circ_int,eq_c1/2,0))/2))+2*IF(circ_int,0,eq_c1/2)))/(s_0+9*s_r+IF(circ_int,eq_c1/2,0))),IF(((8+0.5)*(4*IF(circ_int,0,eq_c1/2)+4*IF(circ_int,0,eq_c2/2)+2*PI()*(s_0+9*s_r+IF(circ_int,eq_c1/2,0)))/INDEX(lk_legs,10))&lt;(((((2*IF(circ_int,0,eq_c2/2))+(PI()*(s_0+9*s_r+IF(circ_int,eq_c1/2,0))/2))+2*IF(circ_int,0,eq_c1/2))+(PI()*(s_0+9*s_r+IF(circ_int,eq_c1/2,0))/2))+2*IF(circ_int,0,eq_c2/2)),-IF(circ_int,0,eq_c1/2)-(s_0+9*s_r+IF(circ_int,eq_c1/2,0)),IF(((8+0.5)*(4*IF(circ_int,0,eq_c1/2)+4*IF(circ_int,0,eq_c2/2)+2*PI()*(s_0+9*s_r+IF(circ_int,eq_c1/2,0)))/INDEX(lk_legs,10))&lt;((((((2*IF(circ_int,0,eq_c2/2))+(PI()*(s_0+9*s_r+IF(circ_int,eq_c1/2,0))/2))+2*IF(circ_int,0,eq_c1/2))+(PI()*(s_0+9*s_r+IF(circ_int,eq_c1/2,0))/2))+2*IF(circ_int,0,eq_c2/2))+(PI()*(s_0+9*s_r+IF(circ_int,eq_c1/2,0))/2)),-IF(circ_int,0,eq_c1/2)+(s_0+9*s_r+IF(circ_int,eq_c1/2,0))*COS(PI()+(((8+0.5)*(4*IF(circ_int,0,eq_c1/2)+4*IF(circ_int,0,eq_c2/2)+2*PI()*(s_0+9*s_r+IF(circ_int,eq_c1/2,0)))/INDEX(lk_legs,10))-(((((2*IF(circ_int,0,eq_c2/2))+(PI()*(s_0+9*s_r+IF(circ_int,eq_c1/2,0))/2))+2*IF(circ_int,0,eq_c1/2))+(PI()*(s_0+9*s_r+IF(circ_int,eq_c1/2,0))/2))+2*IF(circ_int,0,eq_c2/2)))/(s_0+9*s_r+IF(circ_int,eq_c1/2,0))),IF(((8+0.5)*(4*IF(circ_int,0,eq_c1/2)+4*IF(circ_int,0,eq_c2/2)+2*PI()*(s_0+9*s_r+IF(circ_int,eq_c1/2,0)))/INDEX(lk_legs,10))&lt;(((((((2*IF(circ_int,0,eq_c2/2))+(PI()*(s_0+9*s_r+IF(circ_int,eq_c1/2,0))/2))+2*IF(circ_int,0,eq_c1/2))+(PI()*(s_0+9*s_r+IF(circ_int,eq_c1/2,0))/2))+2*IF(circ_int,0,eq_c2/2))+(PI()*(s_0+9*s_r+IF(circ_int,eq_c1/2,0))/2))+2*IF(circ_int,0,eq_c1/2)),-IF(circ_int,0,eq_c1/2)+(((8+0.5)*(4*IF(circ_int,0,eq_c1/2)+4*IF(circ_int,0,eq_c2/2)+2*PI()*(s_0+9*s_r+IF(circ_int,eq_c1/2,0)))/INDEX(lk_legs,10))-((((((2*IF(circ_int,0,eq_c2/2))+(PI()*(s_0+9*s_r+IF(circ_int,eq_c1/2,0))/2))+2*IF(circ_int,0,eq_c1/2))+(PI()*(s_0+9*s_r+IF(circ_int,eq_c1/2,0))/2))+2*IF(circ_int,0,eq_c2/2))+(PI()*(s_0+9*s_r+IF(circ_int,eq_c1/2,0))/2))),IF(circ_int,0,eq_c1/2)+(s_0+9*s_r+IF(circ_int,eq_c1/2,0))*COS(3*PI()/2+(((8+0.5)*(4*IF(circ_int,0,eq_c1/2)+4*IF(circ_int,0,eq_c2/2)+2*PI()*(s_0+9*s_r+IF(circ_int,eq_c1/2,0)))/INDEX(lk_legs,10))-(((((((2*IF(circ_int,0,eq_c2/2))+(PI()*(s_0+9*s_r+IF(circ_int,eq_c1/2,0))/2))+2*IF(circ_int,0,eq_c1/2))+(PI()*(s_0+9*s_r+IF(circ_int,eq_c1/2,0))/2))+2*IF(circ_int,0,eq_c2/2))+(PI()*(s_0+9*s_r+IF(circ_int,eq_c1/2,0))/2))+2*IF(circ_int,0,eq_c1/2)))/(s_0+9*s_r+IF(circ_int,eq_c1/2,0)))))))))),NA())</f>
        <v/>
      </c>
      <c r="DC11">
        <f>IF(AND(AND(links_on,10&lt;=n_per),INDEX(lk_kind,10)=1,8&lt;INDEX(lk_legs,10)),g_oy+IF(((8+0.5)*(4*IF(circ_int,0,eq_c1/2)+4*IF(circ_int,0,eq_c2/2)+2*PI()*(s_0+9*s_r+IF(circ_int,eq_c1/2,0)))/INDEX(lk_legs,10))&lt;(2*IF(circ_int,0,eq_c2/2)),-IF(circ_int,0,eq_c2/2)+((8+0.5)*(4*IF(circ_int,0,eq_c1/2)+4*IF(circ_int,0,eq_c2/2)+2*PI()*(s_0+9*s_r+IF(circ_int,eq_c1/2,0)))/INDEX(lk_legs,10)),IF(((8+0.5)*(4*IF(circ_int,0,eq_c1/2)+4*IF(circ_int,0,eq_c2/2)+2*PI()*(s_0+9*s_r+IF(circ_int,eq_c1/2,0)))/INDEX(lk_legs,10))&lt;((2*IF(circ_int,0,eq_c2/2))+(PI()*(s_0+9*s_r+IF(circ_int,eq_c1/2,0))/2)),IF(circ_int,0,eq_c2/2)+(s_0+9*s_r+IF(circ_int,eq_c1/2,0))*SIN((((8+0.5)*(4*IF(circ_int,0,eq_c1/2)+4*IF(circ_int,0,eq_c2/2)+2*PI()*(s_0+9*s_r+IF(circ_int,eq_c1/2,0)))/INDEX(lk_legs,10))-(2*IF(circ_int,0,eq_c2/2)))/(s_0+9*s_r+IF(circ_int,eq_c1/2,0))),IF(((8+0.5)*(4*IF(circ_int,0,eq_c1/2)+4*IF(circ_int,0,eq_c2/2)+2*PI()*(s_0+9*s_r+IF(circ_int,eq_c1/2,0)))/INDEX(lk_legs,10))&lt;(((2*IF(circ_int,0,eq_c2/2))+(PI()*(s_0+9*s_r+IF(circ_int,eq_c1/2,0))/2))+2*IF(circ_int,0,eq_c1/2)),IF(circ_int,0,eq_c2/2)+(s_0+9*s_r+IF(circ_int,eq_c1/2,0)),IF(((8+0.5)*(4*IF(circ_int,0,eq_c1/2)+4*IF(circ_int,0,eq_c2/2)+2*PI()*(s_0+9*s_r+IF(circ_int,eq_c1/2,0)))/INDEX(lk_legs,10))&lt;((((2*IF(circ_int,0,eq_c2/2))+(PI()*(s_0+9*s_r+IF(circ_int,eq_c1/2,0))/2))+2*IF(circ_int,0,eq_c1/2))+(PI()*(s_0+9*s_r+IF(circ_int,eq_c1/2,0))/2)),IF(circ_int,0,eq_c2/2)+(s_0+9*s_r+IF(circ_int,eq_c1/2,0))*SIN(PI()/2+(((8+0.5)*(4*IF(circ_int,0,eq_c1/2)+4*IF(circ_int,0,eq_c2/2)+2*PI()*(s_0+9*s_r+IF(circ_int,eq_c1/2,0)))/INDEX(lk_legs,10))-(((2*IF(circ_int,0,eq_c2/2))+(PI()*(s_0+9*s_r+IF(circ_int,eq_c1/2,0))/2))+2*IF(circ_int,0,eq_c1/2)))/(s_0+9*s_r+IF(circ_int,eq_c1/2,0))),IF(((8+0.5)*(4*IF(circ_int,0,eq_c1/2)+4*IF(circ_int,0,eq_c2/2)+2*PI()*(s_0+9*s_r+IF(circ_int,eq_c1/2,0)))/INDEX(lk_legs,10))&lt;(((((2*IF(circ_int,0,eq_c2/2))+(PI()*(s_0+9*s_r+IF(circ_int,eq_c1/2,0))/2))+2*IF(circ_int,0,eq_c1/2))+(PI()*(s_0+9*s_r+IF(circ_int,eq_c1/2,0))/2))+2*IF(circ_int,0,eq_c2/2)),IF(circ_int,0,eq_c2/2)-(((8+0.5)*(4*IF(circ_int,0,eq_c1/2)+4*IF(circ_int,0,eq_c2/2)+2*PI()*(s_0+9*s_r+IF(circ_int,eq_c1/2,0)))/INDEX(lk_legs,10))-((((2*IF(circ_int,0,eq_c2/2))+(PI()*(s_0+9*s_r+IF(circ_int,eq_c1/2,0))/2))+2*IF(circ_int,0,eq_c1/2))+(PI()*(s_0+9*s_r+IF(circ_int,eq_c1/2,0))/2))),IF(((8+0.5)*(4*IF(circ_int,0,eq_c1/2)+4*IF(circ_int,0,eq_c2/2)+2*PI()*(s_0+9*s_r+IF(circ_int,eq_c1/2,0)))/INDEX(lk_legs,10))&lt;((((((2*IF(circ_int,0,eq_c2/2))+(PI()*(s_0+9*s_r+IF(circ_int,eq_c1/2,0))/2))+2*IF(circ_int,0,eq_c1/2))+(PI()*(s_0+9*s_r+IF(circ_int,eq_c1/2,0))/2))+2*IF(circ_int,0,eq_c2/2))+(PI()*(s_0+9*s_r+IF(circ_int,eq_c1/2,0))/2)),-IF(circ_int,0,eq_c2/2)+(s_0+9*s_r+IF(circ_int,eq_c1/2,0))*SIN(PI()+(((8+0.5)*(4*IF(circ_int,0,eq_c1/2)+4*IF(circ_int,0,eq_c2/2)+2*PI()*(s_0+9*s_r+IF(circ_int,eq_c1/2,0)))/INDEX(lk_legs,10))-(((((2*IF(circ_int,0,eq_c2/2))+(PI()*(s_0+9*s_r+IF(circ_int,eq_c1/2,0))/2))+2*IF(circ_int,0,eq_c1/2))+(PI()*(s_0+9*s_r+IF(circ_int,eq_c1/2,0))/2))+2*IF(circ_int,0,eq_c2/2)))/(s_0+9*s_r+IF(circ_int,eq_c1/2,0))),IF(((8+0.5)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(8+0.5)*(4*IF(circ_int,0,eq_c1/2)+4*IF(circ_int,0,eq_c2/2)+2*PI()*(s_0+9*s_r+IF(circ_int,eq_c1/2,0)))/INDEX(lk_legs,10))-(((((((2*IF(circ_int,0,eq_c2/2))+(PI()*(s_0+9*s_r+IF(circ_int,eq_c1/2,0))/2))+2*IF(circ_int,0,eq_c1/2))+(PI()*(s_0+9*s_r+IF(circ_int,eq_c1/2,0))/2))+2*IF(circ_int,0,eq_c2/2))+(PI()*(s_0+9*s_r+IF(circ_int,eq_c1/2,0))/2))+2*IF(circ_int,0,eq_c1/2)))/(s_0+9*s_r+IF(circ_int,eq_c1/2,0)))))))))),NA())</f>
        <v/>
      </c>
      <c r="DE11">
        <f>IF(AND(links_on,11&lt;=n_per),IF(circ_int,(g_ox)+(c_1/2+(s_0+10*s_r))*0.568065,CHOOSE(INDEX(lk_kind,11),(g_ox+eq_c1/2)+((s_0+10*s_r))*0.500000,(eq_a1+eq_c1)+((s_0+10*s_r))*0.793353,(eq_a1+eq_c1)+((s_0+10*s_r))*0.793353,(eq_a1)+((s_0+10*s_r))*-0.608761)),NA())</f>
        <v/>
      </c>
      <c r="DF11">
        <f>IF(AND(links_on,11&lt;=n_per),IF(circ_int,(g_oy)+(c_1/2+(s_0+10*s_r))*0.822984,CHOOSE(INDEX(lk_kind,11),(g_oy+eq_c2/2)+((s_0+10*s_r))*0.866025,(g_oy+eq_c2/2)+((s_0+10*s_r))*0.608761,(eq_a2+eq_c2)+((s_0+10*s_r))*0.608761,(eq_a2+eq_c2)+((s_0+10*s_r))*0.793353)),NA())</f>
        <v/>
      </c>
      <c r="DH11">
        <f>IF(AND(AND(links_on,11&lt;=n_per),INDEX(lk_kind,11)=1,8&lt;INDEX(lk_legs,11)),g_ox+IF(((8+0.5)*(4*IF(circ_int,0,eq_c1/2)+4*IF(circ_int,0,eq_c2/2)+2*PI()*(s_0+10*s_r+IF(circ_int,eq_c1/2,0)))/INDEX(lk_legs,11))&lt;(2*IF(circ_int,0,eq_c2/2)),IF(circ_int,0,eq_c1/2)+(s_0+10*s_r+IF(circ_int,eq_c1/2,0)),IF(((8+0.5)*(4*IF(circ_int,0,eq_c1/2)+4*IF(circ_int,0,eq_c2/2)+2*PI()*(s_0+10*s_r+IF(circ_int,eq_c1/2,0)))/INDEX(lk_legs,11))&lt;((2*IF(circ_int,0,eq_c2/2))+(PI()*(s_0+10*s_r+IF(circ_int,eq_c1/2,0))/2)),IF(circ_int,0,eq_c1/2)+(s_0+10*s_r+IF(circ_int,eq_c1/2,0))*COS((((8+0.5)*(4*IF(circ_int,0,eq_c1/2)+4*IF(circ_int,0,eq_c2/2)+2*PI()*(s_0+10*s_r+IF(circ_int,eq_c1/2,0)))/INDEX(lk_legs,11))-(2*IF(circ_int,0,eq_c2/2)))/(s_0+10*s_r+IF(circ_int,eq_c1/2,0))),IF(((8+0.5)*(4*IF(circ_int,0,eq_c1/2)+4*IF(circ_int,0,eq_c2/2)+2*PI()*(s_0+10*s_r+IF(circ_int,eq_c1/2,0)))/INDEX(lk_legs,11))&lt;(((2*IF(circ_int,0,eq_c2/2))+(PI()*(s_0+10*s_r+IF(circ_int,eq_c1/2,0))/2))+2*IF(circ_int,0,eq_c1/2)),IF(circ_int,0,eq_c1/2)-(((8+0.5)*(4*IF(circ_int,0,eq_c1/2)+4*IF(circ_int,0,eq_c2/2)+2*PI()*(s_0+10*s_r+IF(circ_int,eq_c1/2,0)))/INDEX(lk_legs,11))-((2*IF(circ_int,0,eq_c2/2))+(PI()*(s_0+10*s_r+IF(circ_int,eq_c1/2,0))/2))),IF(((8+0.5)*(4*IF(circ_int,0,eq_c1/2)+4*IF(circ_int,0,eq_c2/2)+2*PI()*(s_0+10*s_r+IF(circ_int,eq_c1/2,0)))/INDEX(lk_legs,11))&lt;((((2*IF(circ_int,0,eq_c2/2))+(PI()*(s_0+10*s_r+IF(circ_int,eq_c1/2,0))/2))+2*IF(circ_int,0,eq_c1/2))+(PI()*(s_0+10*s_r+IF(circ_int,eq_c1/2,0))/2)),-IF(circ_int,0,eq_c1/2)+(s_0+10*s_r+IF(circ_int,eq_c1/2,0))*COS(PI()/2+(((8+0.5)*(4*IF(circ_int,0,eq_c1/2)+4*IF(circ_int,0,eq_c2/2)+2*PI()*(s_0+10*s_r+IF(circ_int,eq_c1/2,0)))/INDEX(lk_legs,11))-(((2*IF(circ_int,0,eq_c2/2))+(PI()*(s_0+10*s_r+IF(circ_int,eq_c1/2,0))/2))+2*IF(circ_int,0,eq_c1/2)))/(s_0+10*s_r+IF(circ_int,eq_c1/2,0))),IF(((8+0.5)*(4*IF(circ_int,0,eq_c1/2)+4*IF(circ_int,0,eq_c2/2)+2*PI()*(s_0+10*s_r+IF(circ_int,eq_c1/2,0)))/INDEX(lk_legs,11))&lt;(((((2*IF(circ_int,0,eq_c2/2))+(PI()*(s_0+10*s_r+IF(circ_int,eq_c1/2,0))/2))+2*IF(circ_int,0,eq_c1/2))+(PI()*(s_0+10*s_r+IF(circ_int,eq_c1/2,0))/2))+2*IF(circ_int,0,eq_c2/2)),-IF(circ_int,0,eq_c1/2)-(s_0+10*s_r+IF(circ_int,eq_c1/2,0)),IF(((8+0.5)*(4*IF(circ_int,0,eq_c1/2)+4*IF(circ_int,0,eq_c2/2)+2*PI()*(s_0+10*s_r+IF(circ_int,eq_c1/2,0)))/INDEX(lk_legs,11))&lt;((((((2*IF(circ_int,0,eq_c2/2))+(PI()*(s_0+10*s_r+IF(circ_int,eq_c1/2,0))/2))+2*IF(circ_int,0,eq_c1/2))+(PI()*(s_0+10*s_r+IF(circ_int,eq_c1/2,0))/2))+2*IF(circ_int,0,eq_c2/2))+(PI()*(s_0+10*s_r+IF(circ_int,eq_c1/2,0))/2)),-IF(circ_int,0,eq_c1/2)+(s_0+10*s_r+IF(circ_int,eq_c1/2,0))*COS(PI()+(((8+0.5)*(4*IF(circ_int,0,eq_c1/2)+4*IF(circ_int,0,eq_c2/2)+2*PI()*(s_0+10*s_r+IF(circ_int,eq_c1/2,0)))/INDEX(lk_legs,11))-(((((2*IF(circ_int,0,eq_c2/2))+(PI()*(s_0+10*s_r+IF(circ_int,eq_c1/2,0))/2))+2*IF(circ_int,0,eq_c1/2))+(PI()*(s_0+10*s_r+IF(circ_int,eq_c1/2,0))/2))+2*IF(circ_int,0,eq_c2/2)))/(s_0+10*s_r+IF(circ_int,eq_c1/2,0))),IF(((8+0.5)*(4*IF(circ_int,0,eq_c1/2)+4*IF(circ_int,0,eq_c2/2)+2*PI()*(s_0+10*s_r+IF(circ_int,eq_c1/2,0)))/INDEX(lk_legs,11))&lt;(((((((2*IF(circ_int,0,eq_c2/2))+(PI()*(s_0+10*s_r+IF(circ_int,eq_c1/2,0))/2))+2*IF(circ_int,0,eq_c1/2))+(PI()*(s_0+10*s_r+IF(circ_int,eq_c1/2,0))/2))+2*IF(circ_int,0,eq_c2/2))+(PI()*(s_0+10*s_r+IF(circ_int,eq_c1/2,0))/2))+2*IF(circ_int,0,eq_c1/2)),-IF(circ_int,0,eq_c1/2)+(((8+0.5)*(4*IF(circ_int,0,eq_c1/2)+4*IF(circ_int,0,eq_c2/2)+2*PI()*(s_0+10*s_r+IF(circ_int,eq_c1/2,0)))/INDEX(lk_legs,11))-((((((2*IF(circ_int,0,eq_c2/2))+(PI()*(s_0+10*s_r+IF(circ_int,eq_c1/2,0))/2))+2*IF(circ_int,0,eq_c1/2))+(PI()*(s_0+10*s_r+IF(circ_int,eq_c1/2,0))/2))+2*IF(circ_int,0,eq_c2/2))+(PI()*(s_0+10*s_r+IF(circ_int,eq_c1/2,0))/2))),IF(circ_int,0,eq_c1/2)+(s_0+10*s_r+IF(circ_int,eq_c1/2,0))*COS(3*PI()/2+(((8+0.5)*(4*IF(circ_int,0,eq_c1/2)+4*IF(circ_int,0,eq_c2/2)+2*PI()*(s_0+10*s_r+IF(circ_int,eq_c1/2,0)))/INDEX(lk_legs,11))-(((((((2*IF(circ_int,0,eq_c2/2))+(PI()*(s_0+10*s_r+IF(circ_int,eq_c1/2,0))/2))+2*IF(circ_int,0,eq_c1/2))+(PI()*(s_0+10*s_r+IF(circ_int,eq_c1/2,0))/2))+2*IF(circ_int,0,eq_c2/2))+(PI()*(s_0+10*s_r+IF(circ_int,eq_c1/2,0))/2))+2*IF(circ_int,0,eq_c1/2)))/(s_0+10*s_r+IF(circ_int,eq_c1/2,0)))))))))),NA())</f>
        <v/>
      </c>
      <c r="DI11">
        <f>IF(AND(AND(links_on,11&lt;=n_per),INDEX(lk_kind,11)=1,8&lt;INDEX(lk_legs,11)),g_oy+IF(((8+0.5)*(4*IF(circ_int,0,eq_c1/2)+4*IF(circ_int,0,eq_c2/2)+2*PI()*(s_0+10*s_r+IF(circ_int,eq_c1/2,0)))/INDEX(lk_legs,11))&lt;(2*IF(circ_int,0,eq_c2/2)),-IF(circ_int,0,eq_c2/2)+((8+0.5)*(4*IF(circ_int,0,eq_c1/2)+4*IF(circ_int,0,eq_c2/2)+2*PI()*(s_0+10*s_r+IF(circ_int,eq_c1/2,0)))/INDEX(lk_legs,11)),IF(((8+0.5)*(4*IF(circ_int,0,eq_c1/2)+4*IF(circ_int,0,eq_c2/2)+2*PI()*(s_0+10*s_r+IF(circ_int,eq_c1/2,0)))/INDEX(lk_legs,11))&lt;((2*IF(circ_int,0,eq_c2/2))+(PI()*(s_0+10*s_r+IF(circ_int,eq_c1/2,0))/2)),IF(circ_int,0,eq_c2/2)+(s_0+10*s_r+IF(circ_int,eq_c1/2,0))*SIN((((8+0.5)*(4*IF(circ_int,0,eq_c1/2)+4*IF(circ_int,0,eq_c2/2)+2*PI()*(s_0+10*s_r+IF(circ_int,eq_c1/2,0)))/INDEX(lk_legs,11))-(2*IF(circ_int,0,eq_c2/2)))/(s_0+10*s_r+IF(circ_int,eq_c1/2,0))),IF(((8+0.5)*(4*IF(circ_int,0,eq_c1/2)+4*IF(circ_int,0,eq_c2/2)+2*PI()*(s_0+10*s_r+IF(circ_int,eq_c1/2,0)))/INDEX(lk_legs,11))&lt;(((2*IF(circ_int,0,eq_c2/2))+(PI()*(s_0+10*s_r+IF(circ_int,eq_c1/2,0))/2))+2*IF(circ_int,0,eq_c1/2)),IF(circ_int,0,eq_c2/2)+(s_0+10*s_r+IF(circ_int,eq_c1/2,0)),IF(((8+0.5)*(4*IF(circ_int,0,eq_c1/2)+4*IF(circ_int,0,eq_c2/2)+2*PI()*(s_0+10*s_r+IF(circ_int,eq_c1/2,0)))/INDEX(lk_legs,11))&lt;((((2*IF(circ_int,0,eq_c2/2))+(PI()*(s_0+10*s_r+IF(circ_int,eq_c1/2,0))/2))+2*IF(circ_int,0,eq_c1/2))+(PI()*(s_0+10*s_r+IF(circ_int,eq_c1/2,0))/2)),IF(circ_int,0,eq_c2/2)+(s_0+10*s_r+IF(circ_int,eq_c1/2,0))*SIN(PI()/2+(((8+0.5)*(4*IF(circ_int,0,eq_c1/2)+4*IF(circ_int,0,eq_c2/2)+2*PI()*(s_0+10*s_r+IF(circ_int,eq_c1/2,0)))/INDEX(lk_legs,11))-(((2*IF(circ_int,0,eq_c2/2))+(PI()*(s_0+10*s_r+IF(circ_int,eq_c1/2,0))/2))+2*IF(circ_int,0,eq_c1/2)))/(s_0+10*s_r+IF(circ_int,eq_c1/2,0))),IF(((8+0.5)*(4*IF(circ_int,0,eq_c1/2)+4*IF(circ_int,0,eq_c2/2)+2*PI()*(s_0+10*s_r+IF(circ_int,eq_c1/2,0)))/INDEX(lk_legs,11))&lt;(((((2*IF(circ_int,0,eq_c2/2))+(PI()*(s_0+10*s_r+IF(circ_int,eq_c1/2,0))/2))+2*IF(circ_int,0,eq_c1/2))+(PI()*(s_0+10*s_r+IF(circ_int,eq_c1/2,0))/2))+2*IF(circ_int,0,eq_c2/2)),IF(circ_int,0,eq_c2/2)-(((8+0.5)*(4*IF(circ_int,0,eq_c1/2)+4*IF(circ_int,0,eq_c2/2)+2*PI()*(s_0+10*s_r+IF(circ_int,eq_c1/2,0)))/INDEX(lk_legs,11))-((((2*IF(circ_int,0,eq_c2/2))+(PI()*(s_0+10*s_r+IF(circ_int,eq_c1/2,0))/2))+2*IF(circ_int,0,eq_c1/2))+(PI()*(s_0+10*s_r+IF(circ_int,eq_c1/2,0))/2))),IF(((8+0.5)*(4*IF(circ_int,0,eq_c1/2)+4*IF(circ_int,0,eq_c2/2)+2*PI()*(s_0+10*s_r+IF(circ_int,eq_c1/2,0)))/INDEX(lk_legs,11))&lt;((((((2*IF(circ_int,0,eq_c2/2))+(PI()*(s_0+10*s_r+IF(circ_int,eq_c1/2,0))/2))+2*IF(circ_int,0,eq_c1/2))+(PI()*(s_0+10*s_r+IF(circ_int,eq_c1/2,0))/2))+2*IF(circ_int,0,eq_c2/2))+(PI()*(s_0+10*s_r+IF(circ_int,eq_c1/2,0))/2)),-IF(circ_int,0,eq_c2/2)+(s_0+10*s_r+IF(circ_int,eq_c1/2,0))*SIN(PI()+(((8+0.5)*(4*IF(circ_int,0,eq_c1/2)+4*IF(circ_int,0,eq_c2/2)+2*PI()*(s_0+10*s_r+IF(circ_int,eq_c1/2,0)))/INDEX(lk_legs,11))-(((((2*IF(circ_int,0,eq_c2/2))+(PI()*(s_0+10*s_r+IF(circ_int,eq_c1/2,0))/2))+2*IF(circ_int,0,eq_c1/2))+(PI()*(s_0+10*s_r+IF(circ_int,eq_c1/2,0))/2))+2*IF(circ_int,0,eq_c2/2)))/(s_0+10*s_r+IF(circ_int,eq_c1/2,0))),IF(((8+0.5)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(8+0.5)*(4*IF(circ_int,0,eq_c1/2)+4*IF(circ_int,0,eq_c2/2)+2*PI()*(s_0+10*s_r+IF(circ_int,eq_c1/2,0)))/INDEX(lk_legs,11))-(((((((2*IF(circ_int,0,eq_c2/2))+(PI()*(s_0+10*s_r+IF(circ_int,eq_c1/2,0))/2))+2*IF(circ_int,0,eq_c1/2))+(PI()*(s_0+10*s_r+IF(circ_int,eq_c1/2,0))/2))+2*IF(circ_int,0,eq_c2/2))+(PI()*(s_0+10*s_r+IF(circ_int,eq_c1/2,0))/2))+2*IF(circ_int,0,eq_c1/2)))/(s_0+10*s_r+IF(circ_int,eq_c1/2,0)))))))))),NA())</f>
        <v/>
      </c>
      <c r="DK11">
        <f>IF(AND(links_on,12&lt;=n_per),IF(circ_int,(g_ox)+(c_1/2+(s_0+11*s_r))*0.568065,CHOOSE(INDEX(lk_kind,12),(g_ox+eq_c1/2)+((s_0+11*s_r))*0.500000,(eq_a1+eq_c1)+((s_0+11*s_r))*0.793353,(eq_a1+eq_c1)+((s_0+11*s_r))*0.793353,(eq_a1)+((s_0+11*s_r))*-0.608761)),NA())</f>
        <v/>
      </c>
      <c r="DL11">
        <f>IF(AND(links_on,12&lt;=n_per),IF(circ_int,(g_oy)+(c_1/2+(s_0+11*s_r))*0.822984,CHOOSE(INDEX(lk_kind,12),(g_oy+eq_c2/2)+((s_0+11*s_r))*0.866025,(g_oy+eq_c2/2)+((s_0+11*s_r))*0.608761,(eq_a2+eq_c2)+((s_0+11*s_r))*0.608761,(eq_a2+eq_c2)+((s_0+11*s_r))*0.793353)),NA())</f>
        <v/>
      </c>
      <c r="DN11">
        <f>IF(AND(AND(links_on,12&lt;=n_per),INDEX(lk_kind,12)=1,8&lt;INDEX(lk_legs,12)),g_ox+IF(((8+0.5)*(4*IF(circ_int,0,eq_c1/2)+4*IF(circ_int,0,eq_c2/2)+2*PI()*(s_0+11*s_r+IF(circ_int,eq_c1/2,0)))/INDEX(lk_legs,12))&lt;(2*IF(circ_int,0,eq_c2/2)),IF(circ_int,0,eq_c1/2)+(s_0+11*s_r+IF(circ_int,eq_c1/2,0)),IF(((8+0.5)*(4*IF(circ_int,0,eq_c1/2)+4*IF(circ_int,0,eq_c2/2)+2*PI()*(s_0+11*s_r+IF(circ_int,eq_c1/2,0)))/INDEX(lk_legs,12))&lt;((2*IF(circ_int,0,eq_c2/2))+(PI()*(s_0+11*s_r+IF(circ_int,eq_c1/2,0))/2)),IF(circ_int,0,eq_c1/2)+(s_0+11*s_r+IF(circ_int,eq_c1/2,0))*COS((((8+0.5)*(4*IF(circ_int,0,eq_c1/2)+4*IF(circ_int,0,eq_c2/2)+2*PI()*(s_0+11*s_r+IF(circ_int,eq_c1/2,0)))/INDEX(lk_legs,12))-(2*IF(circ_int,0,eq_c2/2)))/(s_0+11*s_r+IF(circ_int,eq_c1/2,0))),IF(((8+0.5)*(4*IF(circ_int,0,eq_c1/2)+4*IF(circ_int,0,eq_c2/2)+2*PI()*(s_0+11*s_r+IF(circ_int,eq_c1/2,0)))/INDEX(lk_legs,12))&lt;(((2*IF(circ_int,0,eq_c2/2))+(PI()*(s_0+11*s_r+IF(circ_int,eq_c1/2,0))/2))+2*IF(circ_int,0,eq_c1/2)),IF(circ_int,0,eq_c1/2)-(((8+0.5)*(4*IF(circ_int,0,eq_c1/2)+4*IF(circ_int,0,eq_c2/2)+2*PI()*(s_0+11*s_r+IF(circ_int,eq_c1/2,0)))/INDEX(lk_legs,12))-((2*IF(circ_int,0,eq_c2/2))+(PI()*(s_0+11*s_r+IF(circ_int,eq_c1/2,0))/2))),IF(((8+0.5)*(4*IF(circ_int,0,eq_c1/2)+4*IF(circ_int,0,eq_c2/2)+2*PI()*(s_0+11*s_r+IF(circ_int,eq_c1/2,0)))/INDEX(lk_legs,12))&lt;((((2*IF(circ_int,0,eq_c2/2))+(PI()*(s_0+11*s_r+IF(circ_int,eq_c1/2,0))/2))+2*IF(circ_int,0,eq_c1/2))+(PI()*(s_0+11*s_r+IF(circ_int,eq_c1/2,0))/2)),-IF(circ_int,0,eq_c1/2)+(s_0+11*s_r+IF(circ_int,eq_c1/2,0))*COS(PI()/2+(((8+0.5)*(4*IF(circ_int,0,eq_c1/2)+4*IF(circ_int,0,eq_c2/2)+2*PI()*(s_0+11*s_r+IF(circ_int,eq_c1/2,0)))/INDEX(lk_legs,12))-(((2*IF(circ_int,0,eq_c2/2))+(PI()*(s_0+11*s_r+IF(circ_int,eq_c1/2,0))/2))+2*IF(circ_int,0,eq_c1/2)))/(s_0+11*s_r+IF(circ_int,eq_c1/2,0))),IF(((8+0.5)*(4*IF(circ_int,0,eq_c1/2)+4*IF(circ_int,0,eq_c2/2)+2*PI()*(s_0+11*s_r+IF(circ_int,eq_c1/2,0)))/INDEX(lk_legs,12))&lt;(((((2*IF(circ_int,0,eq_c2/2))+(PI()*(s_0+11*s_r+IF(circ_int,eq_c1/2,0))/2))+2*IF(circ_int,0,eq_c1/2))+(PI()*(s_0+11*s_r+IF(circ_int,eq_c1/2,0))/2))+2*IF(circ_int,0,eq_c2/2)),-IF(circ_int,0,eq_c1/2)-(s_0+11*s_r+IF(circ_int,eq_c1/2,0)),IF(((8+0.5)*(4*IF(circ_int,0,eq_c1/2)+4*IF(circ_int,0,eq_c2/2)+2*PI()*(s_0+11*s_r+IF(circ_int,eq_c1/2,0)))/INDEX(lk_legs,12))&lt;((((((2*IF(circ_int,0,eq_c2/2))+(PI()*(s_0+11*s_r+IF(circ_int,eq_c1/2,0))/2))+2*IF(circ_int,0,eq_c1/2))+(PI()*(s_0+11*s_r+IF(circ_int,eq_c1/2,0))/2))+2*IF(circ_int,0,eq_c2/2))+(PI()*(s_0+11*s_r+IF(circ_int,eq_c1/2,0))/2)),-IF(circ_int,0,eq_c1/2)+(s_0+11*s_r+IF(circ_int,eq_c1/2,0))*COS(PI()+(((8+0.5)*(4*IF(circ_int,0,eq_c1/2)+4*IF(circ_int,0,eq_c2/2)+2*PI()*(s_0+11*s_r+IF(circ_int,eq_c1/2,0)))/INDEX(lk_legs,12))-(((((2*IF(circ_int,0,eq_c2/2))+(PI()*(s_0+11*s_r+IF(circ_int,eq_c1/2,0))/2))+2*IF(circ_int,0,eq_c1/2))+(PI()*(s_0+11*s_r+IF(circ_int,eq_c1/2,0))/2))+2*IF(circ_int,0,eq_c2/2)))/(s_0+11*s_r+IF(circ_int,eq_c1/2,0))),IF(((8+0.5)*(4*IF(circ_int,0,eq_c1/2)+4*IF(circ_int,0,eq_c2/2)+2*PI()*(s_0+11*s_r+IF(circ_int,eq_c1/2,0)))/INDEX(lk_legs,12))&lt;(((((((2*IF(circ_int,0,eq_c2/2))+(PI()*(s_0+11*s_r+IF(circ_int,eq_c1/2,0))/2))+2*IF(circ_int,0,eq_c1/2))+(PI()*(s_0+11*s_r+IF(circ_int,eq_c1/2,0))/2))+2*IF(circ_int,0,eq_c2/2))+(PI()*(s_0+11*s_r+IF(circ_int,eq_c1/2,0))/2))+2*IF(circ_int,0,eq_c1/2)),-IF(circ_int,0,eq_c1/2)+(((8+0.5)*(4*IF(circ_int,0,eq_c1/2)+4*IF(circ_int,0,eq_c2/2)+2*PI()*(s_0+11*s_r+IF(circ_int,eq_c1/2,0)))/INDEX(lk_legs,12))-((((((2*IF(circ_int,0,eq_c2/2))+(PI()*(s_0+11*s_r+IF(circ_int,eq_c1/2,0))/2))+2*IF(circ_int,0,eq_c1/2))+(PI()*(s_0+11*s_r+IF(circ_int,eq_c1/2,0))/2))+2*IF(circ_int,0,eq_c2/2))+(PI()*(s_0+11*s_r+IF(circ_int,eq_c1/2,0))/2))),IF(circ_int,0,eq_c1/2)+(s_0+11*s_r+IF(circ_int,eq_c1/2,0))*COS(3*PI()/2+(((8+0.5)*(4*IF(circ_int,0,eq_c1/2)+4*IF(circ_int,0,eq_c2/2)+2*PI()*(s_0+11*s_r+IF(circ_int,eq_c1/2,0)))/INDEX(lk_legs,12))-(((((((2*IF(circ_int,0,eq_c2/2))+(PI()*(s_0+11*s_r+IF(circ_int,eq_c1/2,0))/2))+2*IF(circ_int,0,eq_c1/2))+(PI()*(s_0+11*s_r+IF(circ_int,eq_c1/2,0))/2))+2*IF(circ_int,0,eq_c2/2))+(PI()*(s_0+11*s_r+IF(circ_int,eq_c1/2,0))/2))+2*IF(circ_int,0,eq_c1/2)))/(s_0+11*s_r+IF(circ_int,eq_c1/2,0)))))))))),NA())</f>
        <v/>
      </c>
      <c r="DO11">
        <f>IF(AND(AND(links_on,12&lt;=n_per),INDEX(lk_kind,12)=1,8&lt;INDEX(lk_legs,12)),g_oy+IF(((8+0.5)*(4*IF(circ_int,0,eq_c1/2)+4*IF(circ_int,0,eq_c2/2)+2*PI()*(s_0+11*s_r+IF(circ_int,eq_c1/2,0)))/INDEX(lk_legs,12))&lt;(2*IF(circ_int,0,eq_c2/2)),-IF(circ_int,0,eq_c2/2)+((8+0.5)*(4*IF(circ_int,0,eq_c1/2)+4*IF(circ_int,0,eq_c2/2)+2*PI()*(s_0+11*s_r+IF(circ_int,eq_c1/2,0)))/INDEX(lk_legs,12)),IF(((8+0.5)*(4*IF(circ_int,0,eq_c1/2)+4*IF(circ_int,0,eq_c2/2)+2*PI()*(s_0+11*s_r+IF(circ_int,eq_c1/2,0)))/INDEX(lk_legs,12))&lt;((2*IF(circ_int,0,eq_c2/2))+(PI()*(s_0+11*s_r+IF(circ_int,eq_c1/2,0))/2)),IF(circ_int,0,eq_c2/2)+(s_0+11*s_r+IF(circ_int,eq_c1/2,0))*SIN((((8+0.5)*(4*IF(circ_int,0,eq_c1/2)+4*IF(circ_int,0,eq_c2/2)+2*PI()*(s_0+11*s_r+IF(circ_int,eq_c1/2,0)))/INDEX(lk_legs,12))-(2*IF(circ_int,0,eq_c2/2)))/(s_0+11*s_r+IF(circ_int,eq_c1/2,0))),IF(((8+0.5)*(4*IF(circ_int,0,eq_c1/2)+4*IF(circ_int,0,eq_c2/2)+2*PI()*(s_0+11*s_r+IF(circ_int,eq_c1/2,0)))/INDEX(lk_legs,12))&lt;(((2*IF(circ_int,0,eq_c2/2))+(PI()*(s_0+11*s_r+IF(circ_int,eq_c1/2,0))/2))+2*IF(circ_int,0,eq_c1/2)),IF(circ_int,0,eq_c2/2)+(s_0+11*s_r+IF(circ_int,eq_c1/2,0)),IF(((8+0.5)*(4*IF(circ_int,0,eq_c1/2)+4*IF(circ_int,0,eq_c2/2)+2*PI()*(s_0+11*s_r+IF(circ_int,eq_c1/2,0)))/INDEX(lk_legs,12))&lt;((((2*IF(circ_int,0,eq_c2/2))+(PI()*(s_0+11*s_r+IF(circ_int,eq_c1/2,0))/2))+2*IF(circ_int,0,eq_c1/2))+(PI()*(s_0+11*s_r+IF(circ_int,eq_c1/2,0))/2)),IF(circ_int,0,eq_c2/2)+(s_0+11*s_r+IF(circ_int,eq_c1/2,0))*SIN(PI()/2+(((8+0.5)*(4*IF(circ_int,0,eq_c1/2)+4*IF(circ_int,0,eq_c2/2)+2*PI()*(s_0+11*s_r+IF(circ_int,eq_c1/2,0)))/INDEX(lk_legs,12))-(((2*IF(circ_int,0,eq_c2/2))+(PI()*(s_0+11*s_r+IF(circ_int,eq_c1/2,0))/2))+2*IF(circ_int,0,eq_c1/2)))/(s_0+11*s_r+IF(circ_int,eq_c1/2,0))),IF(((8+0.5)*(4*IF(circ_int,0,eq_c1/2)+4*IF(circ_int,0,eq_c2/2)+2*PI()*(s_0+11*s_r+IF(circ_int,eq_c1/2,0)))/INDEX(lk_legs,12))&lt;(((((2*IF(circ_int,0,eq_c2/2))+(PI()*(s_0+11*s_r+IF(circ_int,eq_c1/2,0))/2))+2*IF(circ_int,0,eq_c1/2))+(PI()*(s_0+11*s_r+IF(circ_int,eq_c1/2,0))/2))+2*IF(circ_int,0,eq_c2/2)),IF(circ_int,0,eq_c2/2)-(((8+0.5)*(4*IF(circ_int,0,eq_c1/2)+4*IF(circ_int,0,eq_c2/2)+2*PI()*(s_0+11*s_r+IF(circ_int,eq_c1/2,0)))/INDEX(lk_legs,12))-((((2*IF(circ_int,0,eq_c2/2))+(PI()*(s_0+11*s_r+IF(circ_int,eq_c1/2,0))/2))+2*IF(circ_int,0,eq_c1/2))+(PI()*(s_0+11*s_r+IF(circ_int,eq_c1/2,0))/2))),IF(((8+0.5)*(4*IF(circ_int,0,eq_c1/2)+4*IF(circ_int,0,eq_c2/2)+2*PI()*(s_0+11*s_r+IF(circ_int,eq_c1/2,0)))/INDEX(lk_legs,12))&lt;((((((2*IF(circ_int,0,eq_c2/2))+(PI()*(s_0+11*s_r+IF(circ_int,eq_c1/2,0))/2))+2*IF(circ_int,0,eq_c1/2))+(PI()*(s_0+11*s_r+IF(circ_int,eq_c1/2,0))/2))+2*IF(circ_int,0,eq_c2/2))+(PI()*(s_0+11*s_r+IF(circ_int,eq_c1/2,0))/2)),-IF(circ_int,0,eq_c2/2)+(s_0+11*s_r+IF(circ_int,eq_c1/2,0))*SIN(PI()+(((8+0.5)*(4*IF(circ_int,0,eq_c1/2)+4*IF(circ_int,0,eq_c2/2)+2*PI()*(s_0+11*s_r+IF(circ_int,eq_c1/2,0)))/INDEX(lk_legs,12))-(((((2*IF(circ_int,0,eq_c2/2))+(PI()*(s_0+11*s_r+IF(circ_int,eq_c1/2,0))/2))+2*IF(circ_int,0,eq_c1/2))+(PI()*(s_0+11*s_r+IF(circ_int,eq_c1/2,0))/2))+2*IF(circ_int,0,eq_c2/2)))/(s_0+11*s_r+IF(circ_int,eq_c1/2,0))),IF(((8+0.5)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(8+0.5)*(4*IF(circ_int,0,eq_c1/2)+4*IF(circ_int,0,eq_c2/2)+2*PI()*(s_0+11*s_r+IF(circ_int,eq_c1/2,0)))/INDEX(lk_legs,12))-(((((((2*IF(circ_int,0,eq_c2/2))+(PI()*(s_0+11*s_r+IF(circ_int,eq_c1/2,0))/2))+2*IF(circ_int,0,eq_c1/2))+(PI()*(s_0+11*s_r+IF(circ_int,eq_c1/2,0))/2))+2*IF(circ_int,0,eq_c2/2))+(PI()*(s_0+11*s_r+IF(circ_int,eq_c1/2,0))/2))+2*IF(circ_int,0,eq_c1/2)))/(s_0+11*s_r+IF(circ_int,eq_c1/2,0)))))))))),NA())</f>
        <v/>
      </c>
    </row>
    <row r="12">
      <c r="A12">
        <f>IF(shape="Circular",(g_ox)+(c_1/2+0)*0.464723,CHOOSE(1,(g_ox+eq_c1/2)+(0)*0.382683,(eq_a1+eq_c1)+(0)*0.866025,(eq_a1+eq_c1)+(0)*0.866025,(eq_a1)+(0)*-0.500000))</f>
        <v/>
      </c>
      <c r="B12">
        <f>IF(shape="Circular",(g_oy)+(c_1/2+0)*0.885456,CHOOSE(1,(g_oy+eq_c2/2)+(0)*0.923880,(g_oy+eq_c2/2)+(0)*0.500000,(eq_a2+eq_c2)+(0)*0.500000,(eq_a2+eq_c2)+(0)*0.866025))</f>
        <v/>
      </c>
      <c r="D12">
        <f>IF(circ_int,(g_ox)+(c_1/2+2*d_eff)*0.464723,CHOOSE(geo_idx,(g_ox+eq_c1/2)+(2*d_eff)*0.382683,(eq_a1+eq_c1)+(2*d_eff)*0.866025,(eq_a1+eq_c1)+(2*d_eff)*0.866025,(eq_a1)+(2*d_eff)*-0.500000))</f>
        <v/>
      </c>
      <c r="E12">
        <f>IF(circ_int,(g_oy)+(c_1/2+2*d_eff)*0.885456,CHOOSE(geo_idx,(g_oy+eq_c2/2)+(2*d_eff)*0.923880,(g_oy+eq_c2/2)+(2*d_eff)*0.500000,(eq_a2+eq_c2)+(2*d_eff)*0.500000,(eq_a2+eq_c2)+(2*d_eff)*0.866025))</f>
        <v/>
      </c>
      <c r="G12">
        <f>IF(AND(inputs_ok,punch_ok,A_sw&gt;0),IF(circ_int,(g_ox)+(c_1/2+r_out)*0.464723,CHOOSE(kind_out,(g_ox+eq_c1/2)+(r_out)*0.382683,(eq_a1+eq_c1)+(r_out)*0.866025,(eq_a1+eq_c1)+(r_out)*0.866025,(eq_a1)+(r_out)*-0.500000)),NA())</f>
        <v/>
      </c>
      <c r="H12">
        <f>IF(AND(inputs_ok,punch_ok,A_sw&gt;0),IF(circ_int,(g_oy)+(c_1/2+r_out)*0.885456,CHOOSE(kind_out,(g_oy+eq_c2/2)+(r_out)*0.923880,(g_oy+eq_c2/2)+(r_out)*0.500000,(eq_a2+eq_c2)+(r_out)*0.500000,(eq_a2+eq_c2)+(r_out)*0.866025)),NA())</f>
        <v/>
      </c>
      <c r="AW12">
        <f>IF(AND(links_on,1&lt;=n_per),IF(circ_int,(g_ox)+(c_1/2+(s_0+0*s_r))*0.464723,CHOOSE(INDEX(lk_kind,1),(g_ox+eq_c1/2)+((s_0+0*s_r))*0.382683,(eq_a1+eq_c1)+((s_0+0*s_r))*0.866025,(eq_a1+eq_c1)+((s_0+0*s_r))*0.866025,(eq_a1)+((s_0+0*s_r))*-0.500000)),NA())</f>
        <v/>
      </c>
      <c r="AX12">
        <f>IF(AND(links_on,1&lt;=n_per),IF(circ_int,(g_oy)+(c_1/2+(s_0+0*s_r))*0.885456,CHOOSE(INDEX(lk_kind,1),(g_oy+eq_c2/2)+((s_0+0*s_r))*0.923880,(g_oy+eq_c2/2)+((s_0+0*s_r))*0.500000,(eq_a2+eq_c2)+((s_0+0*s_r))*0.500000,(eq_a2+eq_c2)+((s_0+0*s_r))*0.866025)),NA())</f>
        <v/>
      </c>
      <c r="AZ12">
        <f>IF(AND(AND(links_on,1&lt;=n_per),INDEX(lk_kind,1)=1,9&lt;INDEX(lk_legs,1)),g_ox+IF(((9+0.5)*(4*IF(circ_int,0,eq_c1/2)+4*IF(circ_int,0,eq_c2/2)+2*PI()*(s_0+0*s_r+IF(circ_int,eq_c1/2,0)))/INDEX(lk_legs,1))&lt;(2*IF(circ_int,0,eq_c2/2)),IF(circ_int,0,eq_c1/2)+(s_0+0*s_r+IF(circ_int,eq_c1/2,0)),IF(((9+0.5)*(4*IF(circ_int,0,eq_c1/2)+4*IF(circ_int,0,eq_c2/2)+2*PI()*(s_0+0*s_r+IF(circ_int,eq_c1/2,0)))/INDEX(lk_legs,1))&lt;((2*IF(circ_int,0,eq_c2/2))+(PI()*(s_0+0*s_r+IF(circ_int,eq_c1/2,0))/2)),IF(circ_int,0,eq_c1/2)+(s_0+0*s_r+IF(circ_int,eq_c1/2,0))*COS((((9+0.5)*(4*IF(circ_int,0,eq_c1/2)+4*IF(circ_int,0,eq_c2/2)+2*PI()*(s_0+0*s_r+IF(circ_int,eq_c1/2,0)))/INDEX(lk_legs,1))-(2*IF(circ_int,0,eq_c2/2)))/(s_0+0*s_r+IF(circ_int,eq_c1/2,0))),IF(((9+0.5)*(4*IF(circ_int,0,eq_c1/2)+4*IF(circ_int,0,eq_c2/2)+2*PI()*(s_0+0*s_r+IF(circ_int,eq_c1/2,0)))/INDEX(lk_legs,1))&lt;(((2*IF(circ_int,0,eq_c2/2))+(PI()*(s_0+0*s_r+IF(circ_int,eq_c1/2,0))/2))+2*IF(circ_int,0,eq_c1/2)),IF(circ_int,0,eq_c1/2)-(((9+0.5)*(4*IF(circ_int,0,eq_c1/2)+4*IF(circ_int,0,eq_c2/2)+2*PI()*(s_0+0*s_r+IF(circ_int,eq_c1/2,0)))/INDEX(lk_legs,1))-((2*IF(circ_int,0,eq_c2/2))+(PI()*(s_0+0*s_r+IF(circ_int,eq_c1/2,0))/2))),IF(((9+0.5)*(4*IF(circ_int,0,eq_c1/2)+4*IF(circ_int,0,eq_c2/2)+2*PI()*(s_0+0*s_r+IF(circ_int,eq_c1/2,0)))/INDEX(lk_legs,1))&lt;((((2*IF(circ_int,0,eq_c2/2))+(PI()*(s_0+0*s_r+IF(circ_int,eq_c1/2,0))/2))+2*IF(circ_int,0,eq_c1/2))+(PI()*(s_0+0*s_r+IF(circ_int,eq_c1/2,0))/2)),-IF(circ_int,0,eq_c1/2)+(s_0+0*s_r+IF(circ_int,eq_c1/2,0))*COS(PI()/2+(((9+0.5)*(4*IF(circ_int,0,eq_c1/2)+4*IF(circ_int,0,eq_c2/2)+2*PI()*(s_0+0*s_r+IF(circ_int,eq_c1/2,0)))/INDEX(lk_legs,1))-(((2*IF(circ_int,0,eq_c2/2))+(PI()*(s_0+0*s_r+IF(circ_int,eq_c1/2,0))/2))+2*IF(circ_int,0,eq_c1/2)))/(s_0+0*s_r+IF(circ_int,eq_c1/2,0))),IF(((9+0.5)*(4*IF(circ_int,0,eq_c1/2)+4*IF(circ_int,0,eq_c2/2)+2*PI()*(s_0+0*s_r+IF(circ_int,eq_c1/2,0)))/INDEX(lk_legs,1))&lt;(((((2*IF(circ_int,0,eq_c2/2))+(PI()*(s_0+0*s_r+IF(circ_int,eq_c1/2,0))/2))+2*IF(circ_int,0,eq_c1/2))+(PI()*(s_0+0*s_r+IF(circ_int,eq_c1/2,0))/2))+2*IF(circ_int,0,eq_c2/2)),-IF(circ_int,0,eq_c1/2)-(s_0+0*s_r+IF(circ_int,eq_c1/2,0)),IF(((9+0.5)*(4*IF(circ_int,0,eq_c1/2)+4*IF(circ_int,0,eq_c2/2)+2*PI()*(s_0+0*s_r+IF(circ_int,eq_c1/2,0)))/INDEX(lk_legs,1))&lt;((((((2*IF(circ_int,0,eq_c2/2))+(PI()*(s_0+0*s_r+IF(circ_int,eq_c1/2,0))/2))+2*IF(circ_int,0,eq_c1/2))+(PI()*(s_0+0*s_r+IF(circ_int,eq_c1/2,0))/2))+2*IF(circ_int,0,eq_c2/2))+(PI()*(s_0+0*s_r+IF(circ_int,eq_c1/2,0))/2)),-IF(circ_int,0,eq_c1/2)+(s_0+0*s_r+IF(circ_int,eq_c1/2,0))*COS(PI()+(((9+0.5)*(4*IF(circ_int,0,eq_c1/2)+4*IF(circ_int,0,eq_c2/2)+2*PI()*(s_0+0*s_r+IF(circ_int,eq_c1/2,0)))/INDEX(lk_legs,1))-(((((2*IF(circ_int,0,eq_c2/2))+(PI()*(s_0+0*s_r+IF(circ_int,eq_c1/2,0))/2))+2*IF(circ_int,0,eq_c1/2))+(PI()*(s_0+0*s_r+IF(circ_int,eq_c1/2,0))/2))+2*IF(circ_int,0,eq_c2/2)))/(s_0+0*s_r+IF(circ_int,eq_c1/2,0))),IF(((9+0.5)*(4*IF(circ_int,0,eq_c1/2)+4*IF(circ_int,0,eq_c2/2)+2*PI()*(s_0+0*s_r+IF(circ_int,eq_c1/2,0)))/INDEX(lk_legs,1))&lt;(((((((2*IF(circ_int,0,eq_c2/2))+(PI()*(s_0+0*s_r+IF(circ_int,eq_c1/2,0))/2))+2*IF(circ_int,0,eq_c1/2))+(PI()*(s_0+0*s_r+IF(circ_int,eq_c1/2,0))/2))+2*IF(circ_int,0,eq_c2/2))+(PI()*(s_0+0*s_r+IF(circ_int,eq_c1/2,0))/2))+2*IF(circ_int,0,eq_c1/2)),-IF(circ_int,0,eq_c1/2)+(((9+0.5)*(4*IF(circ_int,0,eq_c1/2)+4*IF(circ_int,0,eq_c2/2)+2*PI()*(s_0+0*s_r+IF(circ_int,eq_c1/2,0)))/INDEX(lk_legs,1))-((((((2*IF(circ_int,0,eq_c2/2))+(PI()*(s_0+0*s_r+IF(circ_int,eq_c1/2,0))/2))+2*IF(circ_int,0,eq_c1/2))+(PI()*(s_0+0*s_r+IF(circ_int,eq_c1/2,0))/2))+2*IF(circ_int,0,eq_c2/2))+(PI()*(s_0+0*s_r+IF(circ_int,eq_c1/2,0))/2))),IF(circ_int,0,eq_c1/2)+(s_0+0*s_r+IF(circ_int,eq_c1/2,0))*COS(3*PI()/2+(((9+0.5)*(4*IF(circ_int,0,eq_c1/2)+4*IF(circ_int,0,eq_c2/2)+2*PI()*(s_0+0*s_r+IF(circ_int,eq_c1/2,0)))/INDEX(lk_legs,1))-(((((((2*IF(circ_int,0,eq_c2/2))+(PI()*(s_0+0*s_r+IF(circ_int,eq_c1/2,0))/2))+2*IF(circ_int,0,eq_c1/2))+(PI()*(s_0+0*s_r+IF(circ_int,eq_c1/2,0))/2))+2*IF(circ_int,0,eq_c2/2))+(PI()*(s_0+0*s_r+IF(circ_int,eq_c1/2,0))/2))+2*IF(circ_int,0,eq_c1/2)))/(s_0+0*s_r+IF(circ_int,eq_c1/2,0)))))))))),NA())</f>
        <v/>
      </c>
      <c r="BA12">
        <f>IF(AND(AND(links_on,1&lt;=n_per),INDEX(lk_kind,1)=1,9&lt;INDEX(lk_legs,1)),g_oy+IF(((9+0.5)*(4*IF(circ_int,0,eq_c1/2)+4*IF(circ_int,0,eq_c2/2)+2*PI()*(s_0+0*s_r+IF(circ_int,eq_c1/2,0)))/INDEX(lk_legs,1))&lt;(2*IF(circ_int,0,eq_c2/2)),-IF(circ_int,0,eq_c2/2)+((9+0.5)*(4*IF(circ_int,0,eq_c1/2)+4*IF(circ_int,0,eq_c2/2)+2*PI()*(s_0+0*s_r+IF(circ_int,eq_c1/2,0)))/INDEX(lk_legs,1)),IF(((9+0.5)*(4*IF(circ_int,0,eq_c1/2)+4*IF(circ_int,0,eq_c2/2)+2*PI()*(s_0+0*s_r+IF(circ_int,eq_c1/2,0)))/INDEX(lk_legs,1))&lt;((2*IF(circ_int,0,eq_c2/2))+(PI()*(s_0+0*s_r+IF(circ_int,eq_c1/2,0))/2)),IF(circ_int,0,eq_c2/2)+(s_0+0*s_r+IF(circ_int,eq_c1/2,0))*SIN((((9+0.5)*(4*IF(circ_int,0,eq_c1/2)+4*IF(circ_int,0,eq_c2/2)+2*PI()*(s_0+0*s_r+IF(circ_int,eq_c1/2,0)))/INDEX(lk_legs,1))-(2*IF(circ_int,0,eq_c2/2)))/(s_0+0*s_r+IF(circ_int,eq_c1/2,0))),IF(((9+0.5)*(4*IF(circ_int,0,eq_c1/2)+4*IF(circ_int,0,eq_c2/2)+2*PI()*(s_0+0*s_r+IF(circ_int,eq_c1/2,0)))/INDEX(lk_legs,1))&lt;(((2*IF(circ_int,0,eq_c2/2))+(PI()*(s_0+0*s_r+IF(circ_int,eq_c1/2,0))/2))+2*IF(circ_int,0,eq_c1/2)),IF(circ_int,0,eq_c2/2)+(s_0+0*s_r+IF(circ_int,eq_c1/2,0)),IF(((9+0.5)*(4*IF(circ_int,0,eq_c1/2)+4*IF(circ_int,0,eq_c2/2)+2*PI()*(s_0+0*s_r+IF(circ_int,eq_c1/2,0)))/INDEX(lk_legs,1))&lt;((((2*IF(circ_int,0,eq_c2/2))+(PI()*(s_0+0*s_r+IF(circ_int,eq_c1/2,0))/2))+2*IF(circ_int,0,eq_c1/2))+(PI()*(s_0+0*s_r+IF(circ_int,eq_c1/2,0))/2)),IF(circ_int,0,eq_c2/2)+(s_0+0*s_r+IF(circ_int,eq_c1/2,0))*SIN(PI()/2+(((9+0.5)*(4*IF(circ_int,0,eq_c1/2)+4*IF(circ_int,0,eq_c2/2)+2*PI()*(s_0+0*s_r+IF(circ_int,eq_c1/2,0)))/INDEX(lk_legs,1))-(((2*IF(circ_int,0,eq_c2/2))+(PI()*(s_0+0*s_r+IF(circ_int,eq_c1/2,0))/2))+2*IF(circ_int,0,eq_c1/2)))/(s_0+0*s_r+IF(circ_int,eq_c1/2,0))),IF(((9+0.5)*(4*IF(circ_int,0,eq_c1/2)+4*IF(circ_int,0,eq_c2/2)+2*PI()*(s_0+0*s_r+IF(circ_int,eq_c1/2,0)))/INDEX(lk_legs,1))&lt;(((((2*IF(circ_int,0,eq_c2/2))+(PI()*(s_0+0*s_r+IF(circ_int,eq_c1/2,0))/2))+2*IF(circ_int,0,eq_c1/2))+(PI()*(s_0+0*s_r+IF(circ_int,eq_c1/2,0))/2))+2*IF(circ_int,0,eq_c2/2)),IF(circ_int,0,eq_c2/2)-(((9+0.5)*(4*IF(circ_int,0,eq_c1/2)+4*IF(circ_int,0,eq_c2/2)+2*PI()*(s_0+0*s_r+IF(circ_int,eq_c1/2,0)))/INDEX(lk_legs,1))-((((2*IF(circ_int,0,eq_c2/2))+(PI()*(s_0+0*s_r+IF(circ_int,eq_c1/2,0))/2))+2*IF(circ_int,0,eq_c1/2))+(PI()*(s_0+0*s_r+IF(circ_int,eq_c1/2,0))/2))),IF(((9+0.5)*(4*IF(circ_int,0,eq_c1/2)+4*IF(circ_int,0,eq_c2/2)+2*PI()*(s_0+0*s_r+IF(circ_int,eq_c1/2,0)))/INDEX(lk_legs,1))&lt;((((((2*IF(circ_int,0,eq_c2/2))+(PI()*(s_0+0*s_r+IF(circ_int,eq_c1/2,0))/2))+2*IF(circ_int,0,eq_c1/2))+(PI()*(s_0+0*s_r+IF(circ_int,eq_c1/2,0))/2))+2*IF(circ_int,0,eq_c2/2))+(PI()*(s_0+0*s_r+IF(circ_int,eq_c1/2,0))/2)),-IF(circ_int,0,eq_c2/2)+(s_0+0*s_r+IF(circ_int,eq_c1/2,0))*SIN(PI()+(((9+0.5)*(4*IF(circ_int,0,eq_c1/2)+4*IF(circ_int,0,eq_c2/2)+2*PI()*(s_0+0*s_r+IF(circ_int,eq_c1/2,0)))/INDEX(lk_legs,1))-(((((2*IF(circ_int,0,eq_c2/2))+(PI()*(s_0+0*s_r+IF(circ_int,eq_c1/2,0))/2))+2*IF(circ_int,0,eq_c1/2))+(PI()*(s_0+0*s_r+IF(circ_int,eq_c1/2,0))/2))+2*IF(circ_int,0,eq_c2/2)))/(s_0+0*s_r+IF(circ_int,eq_c1/2,0))),IF(((9+0.5)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(9+0.5)*(4*IF(circ_int,0,eq_c1/2)+4*IF(circ_int,0,eq_c2/2)+2*PI()*(s_0+0*s_r+IF(circ_int,eq_c1/2,0)))/INDEX(lk_legs,1))-(((((((2*IF(circ_int,0,eq_c2/2))+(PI()*(s_0+0*s_r+IF(circ_int,eq_c1/2,0))/2))+2*IF(circ_int,0,eq_c1/2))+(PI()*(s_0+0*s_r+IF(circ_int,eq_c1/2,0))/2))+2*IF(circ_int,0,eq_c2/2))+(PI()*(s_0+0*s_r+IF(circ_int,eq_c1/2,0))/2))+2*IF(circ_int,0,eq_c1/2)))/(s_0+0*s_r+IF(circ_int,eq_c1/2,0)))))))))),NA())</f>
        <v/>
      </c>
      <c r="BC12">
        <f>IF(AND(links_on,2&lt;=n_per),IF(circ_int,(g_ox)+(c_1/2+(s_0+1*s_r))*0.464723,CHOOSE(INDEX(lk_kind,2),(g_ox+eq_c1/2)+((s_0+1*s_r))*0.382683,(eq_a1+eq_c1)+((s_0+1*s_r))*0.866025,(eq_a1+eq_c1)+((s_0+1*s_r))*0.866025,(eq_a1)+((s_0+1*s_r))*-0.500000)),NA())</f>
        <v/>
      </c>
      <c r="BD12">
        <f>IF(AND(links_on,2&lt;=n_per),IF(circ_int,(g_oy)+(c_1/2+(s_0+1*s_r))*0.885456,CHOOSE(INDEX(lk_kind,2),(g_oy+eq_c2/2)+((s_0+1*s_r))*0.923880,(g_oy+eq_c2/2)+((s_0+1*s_r))*0.500000,(eq_a2+eq_c2)+((s_0+1*s_r))*0.500000,(eq_a2+eq_c2)+((s_0+1*s_r))*0.866025)),NA())</f>
        <v/>
      </c>
      <c r="BF12">
        <f>IF(AND(AND(links_on,2&lt;=n_per),INDEX(lk_kind,2)=1,9&lt;INDEX(lk_legs,2)),g_ox+IF(((9+0.5)*(4*IF(circ_int,0,eq_c1/2)+4*IF(circ_int,0,eq_c2/2)+2*PI()*(s_0+1*s_r+IF(circ_int,eq_c1/2,0)))/INDEX(lk_legs,2))&lt;(2*IF(circ_int,0,eq_c2/2)),IF(circ_int,0,eq_c1/2)+(s_0+1*s_r+IF(circ_int,eq_c1/2,0)),IF(((9+0.5)*(4*IF(circ_int,0,eq_c1/2)+4*IF(circ_int,0,eq_c2/2)+2*PI()*(s_0+1*s_r+IF(circ_int,eq_c1/2,0)))/INDEX(lk_legs,2))&lt;((2*IF(circ_int,0,eq_c2/2))+(PI()*(s_0+1*s_r+IF(circ_int,eq_c1/2,0))/2)),IF(circ_int,0,eq_c1/2)+(s_0+1*s_r+IF(circ_int,eq_c1/2,0))*COS((((9+0.5)*(4*IF(circ_int,0,eq_c1/2)+4*IF(circ_int,0,eq_c2/2)+2*PI()*(s_0+1*s_r+IF(circ_int,eq_c1/2,0)))/INDEX(lk_legs,2))-(2*IF(circ_int,0,eq_c2/2)))/(s_0+1*s_r+IF(circ_int,eq_c1/2,0))),IF(((9+0.5)*(4*IF(circ_int,0,eq_c1/2)+4*IF(circ_int,0,eq_c2/2)+2*PI()*(s_0+1*s_r+IF(circ_int,eq_c1/2,0)))/INDEX(lk_legs,2))&lt;(((2*IF(circ_int,0,eq_c2/2))+(PI()*(s_0+1*s_r+IF(circ_int,eq_c1/2,0))/2))+2*IF(circ_int,0,eq_c1/2)),IF(circ_int,0,eq_c1/2)-(((9+0.5)*(4*IF(circ_int,0,eq_c1/2)+4*IF(circ_int,0,eq_c2/2)+2*PI()*(s_0+1*s_r+IF(circ_int,eq_c1/2,0)))/INDEX(lk_legs,2))-((2*IF(circ_int,0,eq_c2/2))+(PI()*(s_0+1*s_r+IF(circ_int,eq_c1/2,0))/2))),IF(((9+0.5)*(4*IF(circ_int,0,eq_c1/2)+4*IF(circ_int,0,eq_c2/2)+2*PI()*(s_0+1*s_r+IF(circ_int,eq_c1/2,0)))/INDEX(lk_legs,2))&lt;((((2*IF(circ_int,0,eq_c2/2))+(PI()*(s_0+1*s_r+IF(circ_int,eq_c1/2,0))/2))+2*IF(circ_int,0,eq_c1/2))+(PI()*(s_0+1*s_r+IF(circ_int,eq_c1/2,0))/2)),-IF(circ_int,0,eq_c1/2)+(s_0+1*s_r+IF(circ_int,eq_c1/2,0))*COS(PI()/2+(((9+0.5)*(4*IF(circ_int,0,eq_c1/2)+4*IF(circ_int,0,eq_c2/2)+2*PI()*(s_0+1*s_r+IF(circ_int,eq_c1/2,0)))/INDEX(lk_legs,2))-(((2*IF(circ_int,0,eq_c2/2))+(PI()*(s_0+1*s_r+IF(circ_int,eq_c1/2,0))/2))+2*IF(circ_int,0,eq_c1/2)))/(s_0+1*s_r+IF(circ_int,eq_c1/2,0))),IF(((9+0.5)*(4*IF(circ_int,0,eq_c1/2)+4*IF(circ_int,0,eq_c2/2)+2*PI()*(s_0+1*s_r+IF(circ_int,eq_c1/2,0)))/INDEX(lk_legs,2))&lt;(((((2*IF(circ_int,0,eq_c2/2))+(PI()*(s_0+1*s_r+IF(circ_int,eq_c1/2,0))/2))+2*IF(circ_int,0,eq_c1/2))+(PI()*(s_0+1*s_r+IF(circ_int,eq_c1/2,0))/2))+2*IF(circ_int,0,eq_c2/2)),-IF(circ_int,0,eq_c1/2)-(s_0+1*s_r+IF(circ_int,eq_c1/2,0)),IF(((9+0.5)*(4*IF(circ_int,0,eq_c1/2)+4*IF(circ_int,0,eq_c2/2)+2*PI()*(s_0+1*s_r+IF(circ_int,eq_c1/2,0)))/INDEX(lk_legs,2))&lt;((((((2*IF(circ_int,0,eq_c2/2))+(PI()*(s_0+1*s_r+IF(circ_int,eq_c1/2,0))/2))+2*IF(circ_int,0,eq_c1/2))+(PI()*(s_0+1*s_r+IF(circ_int,eq_c1/2,0))/2))+2*IF(circ_int,0,eq_c2/2))+(PI()*(s_0+1*s_r+IF(circ_int,eq_c1/2,0))/2)),-IF(circ_int,0,eq_c1/2)+(s_0+1*s_r+IF(circ_int,eq_c1/2,0))*COS(PI()+(((9+0.5)*(4*IF(circ_int,0,eq_c1/2)+4*IF(circ_int,0,eq_c2/2)+2*PI()*(s_0+1*s_r+IF(circ_int,eq_c1/2,0)))/INDEX(lk_legs,2))-(((((2*IF(circ_int,0,eq_c2/2))+(PI()*(s_0+1*s_r+IF(circ_int,eq_c1/2,0))/2))+2*IF(circ_int,0,eq_c1/2))+(PI()*(s_0+1*s_r+IF(circ_int,eq_c1/2,0))/2))+2*IF(circ_int,0,eq_c2/2)))/(s_0+1*s_r+IF(circ_int,eq_c1/2,0))),IF(((9+0.5)*(4*IF(circ_int,0,eq_c1/2)+4*IF(circ_int,0,eq_c2/2)+2*PI()*(s_0+1*s_r+IF(circ_int,eq_c1/2,0)))/INDEX(lk_legs,2))&lt;(((((((2*IF(circ_int,0,eq_c2/2))+(PI()*(s_0+1*s_r+IF(circ_int,eq_c1/2,0))/2))+2*IF(circ_int,0,eq_c1/2))+(PI()*(s_0+1*s_r+IF(circ_int,eq_c1/2,0))/2))+2*IF(circ_int,0,eq_c2/2))+(PI()*(s_0+1*s_r+IF(circ_int,eq_c1/2,0))/2))+2*IF(circ_int,0,eq_c1/2)),-IF(circ_int,0,eq_c1/2)+(((9+0.5)*(4*IF(circ_int,0,eq_c1/2)+4*IF(circ_int,0,eq_c2/2)+2*PI()*(s_0+1*s_r+IF(circ_int,eq_c1/2,0)))/INDEX(lk_legs,2))-((((((2*IF(circ_int,0,eq_c2/2))+(PI()*(s_0+1*s_r+IF(circ_int,eq_c1/2,0))/2))+2*IF(circ_int,0,eq_c1/2))+(PI()*(s_0+1*s_r+IF(circ_int,eq_c1/2,0))/2))+2*IF(circ_int,0,eq_c2/2))+(PI()*(s_0+1*s_r+IF(circ_int,eq_c1/2,0))/2))),IF(circ_int,0,eq_c1/2)+(s_0+1*s_r+IF(circ_int,eq_c1/2,0))*COS(3*PI()/2+(((9+0.5)*(4*IF(circ_int,0,eq_c1/2)+4*IF(circ_int,0,eq_c2/2)+2*PI()*(s_0+1*s_r+IF(circ_int,eq_c1/2,0)))/INDEX(lk_legs,2))-(((((((2*IF(circ_int,0,eq_c2/2))+(PI()*(s_0+1*s_r+IF(circ_int,eq_c1/2,0))/2))+2*IF(circ_int,0,eq_c1/2))+(PI()*(s_0+1*s_r+IF(circ_int,eq_c1/2,0))/2))+2*IF(circ_int,0,eq_c2/2))+(PI()*(s_0+1*s_r+IF(circ_int,eq_c1/2,0))/2))+2*IF(circ_int,0,eq_c1/2)))/(s_0+1*s_r+IF(circ_int,eq_c1/2,0)))))))))),NA())</f>
        <v/>
      </c>
      <c r="BG12">
        <f>IF(AND(AND(links_on,2&lt;=n_per),INDEX(lk_kind,2)=1,9&lt;INDEX(lk_legs,2)),g_oy+IF(((9+0.5)*(4*IF(circ_int,0,eq_c1/2)+4*IF(circ_int,0,eq_c2/2)+2*PI()*(s_0+1*s_r+IF(circ_int,eq_c1/2,0)))/INDEX(lk_legs,2))&lt;(2*IF(circ_int,0,eq_c2/2)),-IF(circ_int,0,eq_c2/2)+((9+0.5)*(4*IF(circ_int,0,eq_c1/2)+4*IF(circ_int,0,eq_c2/2)+2*PI()*(s_0+1*s_r+IF(circ_int,eq_c1/2,0)))/INDEX(lk_legs,2)),IF(((9+0.5)*(4*IF(circ_int,0,eq_c1/2)+4*IF(circ_int,0,eq_c2/2)+2*PI()*(s_0+1*s_r+IF(circ_int,eq_c1/2,0)))/INDEX(lk_legs,2))&lt;((2*IF(circ_int,0,eq_c2/2))+(PI()*(s_0+1*s_r+IF(circ_int,eq_c1/2,0))/2)),IF(circ_int,0,eq_c2/2)+(s_0+1*s_r+IF(circ_int,eq_c1/2,0))*SIN((((9+0.5)*(4*IF(circ_int,0,eq_c1/2)+4*IF(circ_int,0,eq_c2/2)+2*PI()*(s_0+1*s_r+IF(circ_int,eq_c1/2,0)))/INDEX(lk_legs,2))-(2*IF(circ_int,0,eq_c2/2)))/(s_0+1*s_r+IF(circ_int,eq_c1/2,0))),IF(((9+0.5)*(4*IF(circ_int,0,eq_c1/2)+4*IF(circ_int,0,eq_c2/2)+2*PI()*(s_0+1*s_r+IF(circ_int,eq_c1/2,0)))/INDEX(lk_legs,2))&lt;(((2*IF(circ_int,0,eq_c2/2))+(PI()*(s_0+1*s_r+IF(circ_int,eq_c1/2,0))/2))+2*IF(circ_int,0,eq_c1/2)),IF(circ_int,0,eq_c2/2)+(s_0+1*s_r+IF(circ_int,eq_c1/2,0)),IF(((9+0.5)*(4*IF(circ_int,0,eq_c1/2)+4*IF(circ_int,0,eq_c2/2)+2*PI()*(s_0+1*s_r+IF(circ_int,eq_c1/2,0)))/INDEX(lk_legs,2))&lt;((((2*IF(circ_int,0,eq_c2/2))+(PI()*(s_0+1*s_r+IF(circ_int,eq_c1/2,0))/2))+2*IF(circ_int,0,eq_c1/2))+(PI()*(s_0+1*s_r+IF(circ_int,eq_c1/2,0))/2)),IF(circ_int,0,eq_c2/2)+(s_0+1*s_r+IF(circ_int,eq_c1/2,0))*SIN(PI()/2+(((9+0.5)*(4*IF(circ_int,0,eq_c1/2)+4*IF(circ_int,0,eq_c2/2)+2*PI()*(s_0+1*s_r+IF(circ_int,eq_c1/2,0)))/INDEX(lk_legs,2))-(((2*IF(circ_int,0,eq_c2/2))+(PI()*(s_0+1*s_r+IF(circ_int,eq_c1/2,0))/2))+2*IF(circ_int,0,eq_c1/2)))/(s_0+1*s_r+IF(circ_int,eq_c1/2,0))),IF(((9+0.5)*(4*IF(circ_int,0,eq_c1/2)+4*IF(circ_int,0,eq_c2/2)+2*PI()*(s_0+1*s_r+IF(circ_int,eq_c1/2,0)))/INDEX(lk_legs,2))&lt;(((((2*IF(circ_int,0,eq_c2/2))+(PI()*(s_0+1*s_r+IF(circ_int,eq_c1/2,0))/2))+2*IF(circ_int,0,eq_c1/2))+(PI()*(s_0+1*s_r+IF(circ_int,eq_c1/2,0))/2))+2*IF(circ_int,0,eq_c2/2)),IF(circ_int,0,eq_c2/2)-(((9+0.5)*(4*IF(circ_int,0,eq_c1/2)+4*IF(circ_int,0,eq_c2/2)+2*PI()*(s_0+1*s_r+IF(circ_int,eq_c1/2,0)))/INDEX(lk_legs,2))-((((2*IF(circ_int,0,eq_c2/2))+(PI()*(s_0+1*s_r+IF(circ_int,eq_c1/2,0))/2))+2*IF(circ_int,0,eq_c1/2))+(PI()*(s_0+1*s_r+IF(circ_int,eq_c1/2,0))/2))),IF(((9+0.5)*(4*IF(circ_int,0,eq_c1/2)+4*IF(circ_int,0,eq_c2/2)+2*PI()*(s_0+1*s_r+IF(circ_int,eq_c1/2,0)))/INDEX(lk_legs,2))&lt;((((((2*IF(circ_int,0,eq_c2/2))+(PI()*(s_0+1*s_r+IF(circ_int,eq_c1/2,0))/2))+2*IF(circ_int,0,eq_c1/2))+(PI()*(s_0+1*s_r+IF(circ_int,eq_c1/2,0))/2))+2*IF(circ_int,0,eq_c2/2))+(PI()*(s_0+1*s_r+IF(circ_int,eq_c1/2,0))/2)),-IF(circ_int,0,eq_c2/2)+(s_0+1*s_r+IF(circ_int,eq_c1/2,0))*SIN(PI()+(((9+0.5)*(4*IF(circ_int,0,eq_c1/2)+4*IF(circ_int,0,eq_c2/2)+2*PI()*(s_0+1*s_r+IF(circ_int,eq_c1/2,0)))/INDEX(lk_legs,2))-(((((2*IF(circ_int,0,eq_c2/2))+(PI()*(s_0+1*s_r+IF(circ_int,eq_c1/2,0))/2))+2*IF(circ_int,0,eq_c1/2))+(PI()*(s_0+1*s_r+IF(circ_int,eq_c1/2,0))/2))+2*IF(circ_int,0,eq_c2/2)))/(s_0+1*s_r+IF(circ_int,eq_c1/2,0))),IF(((9+0.5)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(9+0.5)*(4*IF(circ_int,0,eq_c1/2)+4*IF(circ_int,0,eq_c2/2)+2*PI()*(s_0+1*s_r+IF(circ_int,eq_c1/2,0)))/INDEX(lk_legs,2))-(((((((2*IF(circ_int,0,eq_c2/2))+(PI()*(s_0+1*s_r+IF(circ_int,eq_c1/2,0))/2))+2*IF(circ_int,0,eq_c1/2))+(PI()*(s_0+1*s_r+IF(circ_int,eq_c1/2,0))/2))+2*IF(circ_int,0,eq_c2/2))+(PI()*(s_0+1*s_r+IF(circ_int,eq_c1/2,0))/2))+2*IF(circ_int,0,eq_c1/2)))/(s_0+1*s_r+IF(circ_int,eq_c1/2,0)))))))))),NA())</f>
        <v/>
      </c>
      <c r="BI12">
        <f>IF(AND(links_on,3&lt;=n_per),IF(circ_int,(g_ox)+(c_1/2+(s_0+2*s_r))*0.464723,CHOOSE(INDEX(lk_kind,3),(g_ox+eq_c1/2)+((s_0+2*s_r))*0.382683,(eq_a1+eq_c1)+((s_0+2*s_r))*0.866025,(eq_a1+eq_c1)+((s_0+2*s_r))*0.866025,(eq_a1)+((s_0+2*s_r))*-0.500000)),NA())</f>
        <v/>
      </c>
      <c r="BJ12">
        <f>IF(AND(links_on,3&lt;=n_per),IF(circ_int,(g_oy)+(c_1/2+(s_0+2*s_r))*0.885456,CHOOSE(INDEX(lk_kind,3),(g_oy+eq_c2/2)+((s_0+2*s_r))*0.923880,(g_oy+eq_c2/2)+((s_0+2*s_r))*0.500000,(eq_a2+eq_c2)+((s_0+2*s_r))*0.500000,(eq_a2+eq_c2)+((s_0+2*s_r))*0.866025)),NA())</f>
        <v/>
      </c>
      <c r="BL12">
        <f>IF(AND(AND(links_on,3&lt;=n_per),INDEX(lk_kind,3)=1,9&lt;INDEX(lk_legs,3)),g_ox+IF(((9+0.5)*(4*IF(circ_int,0,eq_c1/2)+4*IF(circ_int,0,eq_c2/2)+2*PI()*(s_0+2*s_r+IF(circ_int,eq_c1/2,0)))/INDEX(lk_legs,3))&lt;(2*IF(circ_int,0,eq_c2/2)),IF(circ_int,0,eq_c1/2)+(s_0+2*s_r+IF(circ_int,eq_c1/2,0)),IF(((9+0.5)*(4*IF(circ_int,0,eq_c1/2)+4*IF(circ_int,0,eq_c2/2)+2*PI()*(s_0+2*s_r+IF(circ_int,eq_c1/2,0)))/INDEX(lk_legs,3))&lt;((2*IF(circ_int,0,eq_c2/2))+(PI()*(s_0+2*s_r+IF(circ_int,eq_c1/2,0))/2)),IF(circ_int,0,eq_c1/2)+(s_0+2*s_r+IF(circ_int,eq_c1/2,0))*COS((((9+0.5)*(4*IF(circ_int,0,eq_c1/2)+4*IF(circ_int,0,eq_c2/2)+2*PI()*(s_0+2*s_r+IF(circ_int,eq_c1/2,0)))/INDEX(lk_legs,3))-(2*IF(circ_int,0,eq_c2/2)))/(s_0+2*s_r+IF(circ_int,eq_c1/2,0))),IF(((9+0.5)*(4*IF(circ_int,0,eq_c1/2)+4*IF(circ_int,0,eq_c2/2)+2*PI()*(s_0+2*s_r+IF(circ_int,eq_c1/2,0)))/INDEX(lk_legs,3))&lt;(((2*IF(circ_int,0,eq_c2/2))+(PI()*(s_0+2*s_r+IF(circ_int,eq_c1/2,0))/2))+2*IF(circ_int,0,eq_c1/2)),IF(circ_int,0,eq_c1/2)-(((9+0.5)*(4*IF(circ_int,0,eq_c1/2)+4*IF(circ_int,0,eq_c2/2)+2*PI()*(s_0+2*s_r+IF(circ_int,eq_c1/2,0)))/INDEX(lk_legs,3))-((2*IF(circ_int,0,eq_c2/2))+(PI()*(s_0+2*s_r+IF(circ_int,eq_c1/2,0))/2))),IF(((9+0.5)*(4*IF(circ_int,0,eq_c1/2)+4*IF(circ_int,0,eq_c2/2)+2*PI()*(s_0+2*s_r+IF(circ_int,eq_c1/2,0)))/INDEX(lk_legs,3))&lt;((((2*IF(circ_int,0,eq_c2/2))+(PI()*(s_0+2*s_r+IF(circ_int,eq_c1/2,0))/2))+2*IF(circ_int,0,eq_c1/2))+(PI()*(s_0+2*s_r+IF(circ_int,eq_c1/2,0))/2)),-IF(circ_int,0,eq_c1/2)+(s_0+2*s_r+IF(circ_int,eq_c1/2,0))*COS(PI()/2+(((9+0.5)*(4*IF(circ_int,0,eq_c1/2)+4*IF(circ_int,0,eq_c2/2)+2*PI()*(s_0+2*s_r+IF(circ_int,eq_c1/2,0)))/INDEX(lk_legs,3))-(((2*IF(circ_int,0,eq_c2/2))+(PI()*(s_0+2*s_r+IF(circ_int,eq_c1/2,0))/2))+2*IF(circ_int,0,eq_c1/2)))/(s_0+2*s_r+IF(circ_int,eq_c1/2,0))),IF(((9+0.5)*(4*IF(circ_int,0,eq_c1/2)+4*IF(circ_int,0,eq_c2/2)+2*PI()*(s_0+2*s_r+IF(circ_int,eq_c1/2,0)))/INDEX(lk_legs,3))&lt;(((((2*IF(circ_int,0,eq_c2/2))+(PI()*(s_0+2*s_r+IF(circ_int,eq_c1/2,0))/2))+2*IF(circ_int,0,eq_c1/2))+(PI()*(s_0+2*s_r+IF(circ_int,eq_c1/2,0))/2))+2*IF(circ_int,0,eq_c2/2)),-IF(circ_int,0,eq_c1/2)-(s_0+2*s_r+IF(circ_int,eq_c1/2,0)),IF(((9+0.5)*(4*IF(circ_int,0,eq_c1/2)+4*IF(circ_int,0,eq_c2/2)+2*PI()*(s_0+2*s_r+IF(circ_int,eq_c1/2,0)))/INDEX(lk_legs,3))&lt;((((((2*IF(circ_int,0,eq_c2/2))+(PI()*(s_0+2*s_r+IF(circ_int,eq_c1/2,0))/2))+2*IF(circ_int,0,eq_c1/2))+(PI()*(s_0+2*s_r+IF(circ_int,eq_c1/2,0))/2))+2*IF(circ_int,0,eq_c2/2))+(PI()*(s_0+2*s_r+IF(circ_int,eq_c1/2,0))/2)),-IF(circ_int,0,eq_c1/2)+(s_0+2*s_r+IF(circ_int,eq_c1/2,0))*COS(PI()+(((9+0.5)*(4*IF(circ_int,0,eq_c1/2)+4*IF(circ_int,0,eq_c2/2)+2*PI()*(s_0+2*s_r+IF(circ_int,eq_c1/2,0)))/INDEX(lk_legs,3))-(((((2*IF(circ_int,0,eq_c2/2))+(PI()*(s_0+2*s_r+IF(circ_int,eq_c1/2,0))/2))+2*IF(circ_int,0,eq_c1/2))+(PI()*(s_0+2*s_r+IF(circ_int,eq_c1/2,0))/2))+2*IF(circ_int,0,eq_c2/2)))/(s_0+2*s_r+IF(circ_int,eq_c1/2,0))),IF(((9+0.5)*(4*IF(circ_int,0,eq_c1/2)+4*IF(circ_int,0,eq_c2/2)+2*PI()*(s_0+2*s_r+IF(circ_int,eq_c1/2,0)))/INDEX(lk_legs,3))&lt;(((((((2*IF(circ_int,0,eq_c2/2))+(PI()*(s_0+2*s_r+IF(circ_int,eq_c1/2,0))/2))+2*IF(circ_int,0,eq_c1/2))+(PI()*(s_0+2*s_r+IF(circ_int,eq_c1/2,0))/2))+2*IF(circ_int,0,eq_c2/2))+(PI()*(s_0+2*s_r+IF(circ_int,eq_c1/2,0))/2))+2*IF(circ_int,0,eq_c1/2)),-IF(circ_int,0,eq_c1/2)+(((9+0.5)*(4*IF(circ_int,0,eq_c1/2)+4*IF(circ_int,0,eq_c2/2)+2*PI()*(s_0+2*s_r+IF(circ_int,eq_c1/2,0)))/INDEX(lk_legs,3))-((((((2*IF(circ_int,0,eq_c2/2))+(PI()*(s_0+2*s_r+IF(circ_int,eq_c1/2,0))/2))+2*IF(circ_int,0,eq_c1/2))+(PI()*(s_0+2*s_r+IF(circ_int,eq_c1/2,0))/2))+2*IF(circ_int,0,eq_c2/2))+(PI()*(s_0+2*s_r+IF(circ_int,eq_c1/2,0))/2))),IF(circ_int,0,eq_c1/2)+(s_0+2*s_r+IF(circ_int,eq_c1/2,0))*COS(3*PI()/2+(((9+0.5)*(4*IF(circ_int,0,eq_c1/2)+4*IF(circ_int,0,eq_c2/2)+2*PI()*(s_0+2*s_r+IF(circ_int,eq_c1/2,0)))/INDEX(lk_legs,3))-(((((((2*IF(circ_int,0,eq_c2/2))+(PI()*(s_0+2*s_r+IF(circ_int,eq_c1/2,0))/2))+2*IF(circ_int,0,eq_c1/2))+(PI()*(s_0+2*s_r+IF(circ_int,eq_c1/2,0))/2))+2*IF(circ_int,0,eq_c2/2))+(PI()*(s_0+2*s_r+IF(circ_int,eq_c1/2,0))/2))+2*IF(circ_int,0,eq_c1/2)))/(s_0+2*s_r+IF(circ_int,eq_c1/2,0)))))))))),NA())</f>
        <v/>
      </c>
      <c r="BM12">
        <f>IF(AND(AND(links_on,3&lt;=n_per),INDEX(lk_kind,3)=1,9&lt;INDEX(lk_legs,3)),g_oy+IF(((9+0.5)*(4*IF(circ_int,0,eq_c1/2)+4*IF(circ_int,0,eq_c2/2)+2*PI()*(s_0+2*s_r+IF(circ_int,eq_c1/2,0)))/INDEX(lk_legs,3))&lt;(2*IF(circ_int,0,eq_c2/2)),-IF(circ_int,0,eq_c2/2)+((9+0.5)*(4*IF(circ_int,0,eq_c1/2)+4*IF(circ_int,0,eq_c2/2)+2*PI()*(s_0+2*s_r+IF(circ_int,eq_c1/2,0)))/INDEX(lk_legs,3)),IF(((9+0.5)*(4*IF(circ_int,0,eq_c1/2)+4*IF(circ_int,0,eq_c2/2)+2*PI()*(s_0+2*s_r+IF(circ_int,eq_c1/2,0)))/INDEX(lk_legs,3))&lt;((2*IF(circ_int,0,eq_c2/2))+(PI()*(s_0+2*s_r+IF(circ_int,eq_c1/2,0))/2)),IF(circ_int,0,eq_c2/2)+(s_0+2*s_r+IF(circ_int,eq_c1/2,0))*SIN((((9+0.5)*(4*IF(circ_int,0,eq_c1/2)+4*IF(circ_int,0,eq_c2/2)+2*PI()*(s_0+2*s_r+IF(circ_int,eq_c1/2,0)))/INDEX(lk_legs,3))-(2*IF(circ_int,0,eq_c2/2)))/(s_0+2*s_r+IF(circ_int,eq_c1/2,0))),IF(((9+0.5)*(4*IF(circ_int,0,eq_c1/2)+4*IF(circ_int,0,eq_c2/2)+2*PI()*(s_0+2*s_r+IF(circ_int,eq_c1/2,0)))/INDEX(lk_legs,3))&lt;(((2*IF(circ_int,0,eq_c2/2))+(PI()*(s_0+2*s_r+IF(circ_int,eq_c1/2,0))/2))+2*IF(circ_int,0,eq_c1/2)),IF(circ_int,0,eq_c2/2)+(s_0+2*s_r+IF(circ_int,eq_c1/2,0)),IF(((9+0.5)*(4*IF(circ_int,0,eq_c1/2)+4*IF(circ_int,0,eq_c2/2)+2*PI()*(s_0+2*s_r+IF(circ_int,eq_c1/2,0)))/INDEX(lk_legs,3))&lt;((((2*IF(circ_int,0,eq_c2/2))+(PI()*(s_0+2*s_r+IF(circ_int,eq_c1/2,0))/2))+2*IF(circ_int,0,eq_c1/2))+(PI()*(s_0+2*s_r+IF(circ_int,eq_c1/2,0))/2)),IF(circ_int,0,eq_c2/2)+(s_0+2*s_r+IF(circ_int,eq_c1/2,0))*SIN(PI()/2+(((9+0.5)*(4*IF(circ_int,0,eq_c1/2)+4*IF(circ_int,0,eq_c2/2)+2*PI()*(s_0+2*s_r+IF(circ_int,eq_c1/2,0)))/INDEX(lk_legs,3))-(((2*IF(circ_int,0,eq_c2/2))+(PI()*(s_0+2*s_r+IF(circ_int,eq_c1/2,0))/2))+2*IF(circ_int,0,eq_c1/2)))/(s_0+2*s_r+IF(circ_int,eq_c1/2,0))),IF(((9+0.5)*(4*IF(circ_int,0,eq_c1/2)+4*IF(circ_int,0,eq_c2/2)+2*PI()*(s_0+2*s_r+IF(circ_int,eq_c1/2,0)))/INDEX(lk_legs,3))&lt;(((((2*IF(circ_int,0,eq_c2/2))+(PI()*(s_0+2*s_r+IF(circ_int,eq_c1/2,0))/2))+2*IF(circ_int,0,eq_c1/2))+(PI()*(s_0+2*s_r+IF(circ_int,eq_c1/2,0))/2))+2*IF(circ_int,0,eq_c2/2)),IF(circ_int,0,eq_c2/2)-(((9+0.5)*(4*IF(circ_int,0,eq_c1/2)+4*IF(circ_int,0,eq_c2/2)+2*PI()*(s_0+2*s_r+IF(circ_int,eq_c1/2,0)))/INDEX(lk_legs,3))-((((2*IF(circ_int,0,eq_c2/2))+(PI()*(s_0+2*s_r+IF(circ_int,eq_c1/2,0))/2))+2*IF(circ_int,0,eq_c1/2))+(PI()*(s_0+2*s_r+IF(circ_int,eq_c1/2,0))/2))),IF(((9+0.5)*(4*IF(circ_int,0,eq_c1/2)+4*IF(circ_int,0,eq_c2/2)+2*PI()*(s_0+2*s_r+IF(circ_int,eq_c1/2,0)))/INDEX(lk_legs,3))&lt;((((((2*IF(circ_int,0,eq_c2/2))+(PI()*(s_0+2*s_r+IF(circ_int,eq_c1/2,0))/2))+2*IF(circ_int,0,eq_c1/2))+(PI()*(s_0+2*s_r+IF(circ_int,eq_c1/2,0))/2))+2*IF(circ_int,0,eq_c2/2))+(PI()*(s_0+2*s_r+IF(circ_int,eq_c1/2,0))/2)),-IF(circ_int,0,eq_c2/2)+(s_0+2*s_r+IF(circ_int,eq_c1/2,0))*SIN(PI()+(((9+0.5)*(4*IF(circ_int,0,eq_c1/2)+4*IF(circ_int,0,eq_c2/2)+2*PI()*(s_0+2*s_r+IF(circ_int,eq_c1/2,0)))/INDEX(lk_legs,3))-(((((2*IF(circ_int,0,eq_c2/2))+(PI()*(s_0+2*s_r+IF(circ_int,eq_c1/2,0))/2))+2*IF(circ_int,0,eq_c1/2))+(PI()*(s_0+2*s_r+IF(circ_int,eq_c1/2,0))/2))+2*IF(circ_int,0,eq_c2/2)))/(s_0+2*s_r+IF(circ_int,eq_c1/2,0))),IF(((9+0.5)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(9+0.5)*(4*IF(circ_int,0,eq_c1/2)+4*IF(circ_int,0,eq_c2/2)+2*PI()*(s_0+2*s_r+IF(circ_int,eq_c1/2,0)))/INDEX(lk_legs,3))-(((((((2*IF(circ_int,0,eq_c2/2))+(PI()*(s_0+2*s_r+IF(circ_int,eq_c1/2,0))/2))+2*IF(circ_int,0,eq_c1/2))+(PI()*(s_0+2*s_r+IF(circ_int,eq_c1/2,0))/2))+2*IF(circ_int,0,eq_c2/2))+(PI()*(s_0+2*s_r+IF(circ_int,eq_c1/2,0))/2))+2*IF(circ_int,0,eq_c1/2)))/(s_0+2*s_r+IF(circ_int,eq_c1/2,0)))))))))),NA())</f>
        <v/>
      </c>
      <c r="BO12">
        <f>IF(AND(links_on,4&lt;=n_per),IF(circ_int,(g_ox)+(c_1/2+(s_0+3*s_r))*0.464723,CHOOSE(INDEX(lk_kind,4),(g_ox+eq_c1/2)+((s_0+3*s_r))*0.382683,(eq_a1+eq_c1)+((s_0+3*s_r))*0.866025,(eq_a1+eq_c1)+((s_0+3*s_r))*0.866025,(eq_a1)+((s_0+3*s_r))*-0.500000)),NA())</f>
        <v/>
      </c>
      <c r="BP12">
        <f>IF(AND(links_on,4&lt;=n_per),IF(circ_int,(g_oy)+(c_1/2+(s_0+3*s_r))*0.885456,CHOOSE(INDEX(lk_kind,4),(g_oy+eq_c2/2)+((s_0+3*s_r))*0.923880,(g_oy+eq_c2/2)+((s_0+3*s_r))*0.500000,(eq_a2+eq_c2)+((s_0+3*s_r))*0.500000,(eq_a2+eq_c2)+((s_0+3*s_r))*0.866025)),NA())</f>
        <v/>
      </c>
      <c r="BR12">
        <f>IF(AND(AND(links_on,4&lt;=n_per),INDEX(lk_kind,4)=1,9&lt;INDEX(lk_legs,4)),g_ox+IF(((9+0.5)*(4*IF(circ_int,0,eq_c1/2)+4*IF(circ_int,0,eq_c2/2)+2*PI()*(s_0+3*s_r+IF(circ_int,eq_c1/2,0)))/INDEX(lk_legs,4))&lt;(2*IF(circ_int,0,eq_c2/2)),IF(circ_int,0,eq_c1/2)+(s_0+3*s_r+IF(circ_int,eq_c1/2,0)),IF(((9+0.5)*(4*IF(circ_int,0,eq_c1/2)+4*IF(circ_int,0,eq_c2/2)+2*PI()*(s_0+3*s_r+IF(circ_int,eq_c1/2,0)))/INDEX(lk_legs,4))&lt;((2*IF(circ_int,0,eq_c2/2))+(PI()*(s_0+3*s_r+IF(circ_int,eq_c1/2,0))/2)),IF(circ_int,0,eq_c1/2)+(s_0+3*s_r+IF(circ_int,eq_c1/2,0))*COS((((9+0.5)*(4*IF(circ_int,0,eq_c1/2)+4*IF(circ_int,0,eq_c2/2)+2*PI()*(s_0+3*s_r+IF(circ_int,eq_c1/2,0)))/INDEX(lk_legs,4))-(2*IF(circ_int,0,eq_c2/2)))/(s_0+3*s_r+IF(circ_int,eq_c1/2,0))),IF(((9+0.5)*(4*IF(circ_int,0,eq_c1/2)+4*IF(circ_int,0,eq_c2/2)+2*PI()*(s_0+3*s_r+IF(circ_int,eq_c1/2,0)))/INDEX(lk_legs,4))&lt;(((2*IF(circ_int,0,eq_c2/2))+(PI()*(s_0+3*s_r+IF(circ_int,eq_c1/2,0))/2))+2*IF(circ_int,0,eq_c1/2)),IF(circ_int,0,eq_c1/2)-(((9+0.5)*(4*IF(circ_int,0,eq_c1/2)+4*IF(circ_int,0,eq_c2/2)+2*PI()*(s_0+3*s_r+IF(circ_int,eq_c1/2,0)))/INDEX(lk_legs,4))-((2*IF(circ_int,0,eq_c2/2))+(PI()*(s_0+3*s_r+IF(circ_int,eq_c1/2,0))/2))),IF(((9+0.5)*(4*IF(circ_int,0,eq_c1/2)+4*IF(circ_int,0,eq_c2/2)+2*PI()*(s_0+3*s_r+IF(circ_int,eq_c1/2,0)))/INDEX(lk_legs,4))&lt;((((2*IF(circ_int,0,eq_c2/2))+(PI()*(s_0+3*s_r+IF(circ_int,eq_c1/2,0))/2))+2*IF(circ_int,0,eq_c1/2))+(PI()*(s_0+3*s_r+IF(circ_int,eq_c1/2,0))/2)),-IF(circ_int,0,eq_c1/2)+(s_0+3*s_r+IF(circ_int,eq_c1/2,0))*COS(PI()/2+(((9+0.5)*(4*IF(circ_int,0,eq_c1/2)+4*IF(circ_int,0,eq_c2/2)+2*PI()*(s_0+3*s_r+IF(circ_int,eq_c1/2,0)))/INDEX(lk_legs,4))-(((2*IF(circ_int,0,eq_c2/2))+(PI()*(s_0+3*s_r+IF(circ_int,eq_c1/2,0))/2))+2*IF(circ_int,0,eq_c1/2)))/(s_0+3*s_r+IF(circ_int,eq_c1/2,0))),IF(((9+0.5)*(4*IF(circ_int,0,eq_c1/2)+4*IF(circ_int,0,eq_c2/2)+2*PI()*(s_0+3*s_r+IF(circ_int,eq_c1/2,0)))/INDEX(lk_legs,4))&lt;(((((2*IF(circ_int,0,eq_c2/2))+(PI()*(s_0+3*s_r+IF(circ_int,eq_c1/2,0))/2))+2*IF(circ_int,0,eq_c1/2))+(PI()*(s_0+3*s_r+IF(circ_int,eq_c1/2,0))/2))+2*IF(circ_int,0,eq_c2/2)),-IF(circ_int,0,eq_c1/2)-(s_0+3*s_r+IF(circ_int,eq_c1/2,0)),IF(((9+0.5)*(4*IF(circ_int,0,eq_c1/2)+4*IF(circ_int,0,eq_c2/2)+2*PI()*(s_0+3*s_r+IF(circ_int,eq_c1/2,0)))/INDEX(lk_legs,4))&lt;((((((2*IF(circ_int,0,eq_c2/2))+(PI()*(s_0+3*s_r+IF(circ_int,eq_c1/2,0))/2))+2*IF(circ_int,0,eq_c1/2))+(PI()*(s_0+3*s_r+IF(circ_int,eq_c1/2,0))/2))+2*IF(circ_int,0,eq_c2/2))+(PI()*(s_0+3*s_r+IF(circ_int,eq_c1/2,0))/2)),-IF(circ_int,0,eq_c1/2)+(s_0+3*s_r+IF(circ_int,eq_c1/2,0))*COS(PI()+(((9+0.5)*(4*IF(circ_int,0,eq_c1/2)+4*IF(circ_int,0,eq_c2/2)+2*PI()*(s_0+3*s_r+IF(circ_int,eq_c1/2,0)))/INDEX(lk_legs,4))-(((((2*IF(circ_int,0,eq_c2/2))+(PI()*(s_0+3*s_r+IF(circ_int,eq_c1/2,0))/2))+2*IF(circ_int,0,eq_c1/2))+(PI()*(s_0+3*s_r+IF(circ_int,eq_c1/2,0))/2))+2*IF(circ_int,0,eq_c2/2)))/(s_0+3*s_r+IF(circ_int,eq_c1/2,0))),IF(((9+0.5)*(4*IF(circ_int,0,eq_c1/2)+4*IF(circ_int,0,eq_c2/2)+2*PI()*(s_0+3*s_r+IF(circ_int,eq_c1/2,0)))/INDEX(lk_legs,4))&lt;(((((((2*IF(circ_int,0,eq_c2/2))+(PI()*(s_0+3*s_r+IF(circ_int,eq_c1/2,0))/2))+2*IF(circ_int,0,eq_c1/2))+(PI()*(s_0+3*s_r+IF(circ_int,eq_c1/2,0))/2))+2*IF(circ_int,0,eq_c2/2))+(PI()*(s_0+3*s_r+IF(circ_int,eq_c1/2,0))/2))+2*IF(circ_int,0,eq_c1/2)),-IF(circ_int,0,eq_c1/2)+(((9+0.5)*(4*IF(circ_int,0,eq_c1/2)+4*IF(circ_int,0,eq_c2/2)+2*PI()*(s_0+3*s_r+IF(circ_int,eq_c1/2,0)))/INDEX(lk_legs,4))-((((((2*IF(circ_int,0,eq_c2/2))+(PI()*(s_0+3*s_r+IF(circ_int,eq_c1/2,0))/2))+2*IF(circ_int,0,eq_c1/2))+(PI()*(s_0+3*s_r+IF(circ_int,eq_c1/2,0))/2))+2*IF(circ_int,0,eq_c2/2))+(PI()*(s_0+3*s_r+IF(circ_int,eq_c1/2,0))/2))),IF(circ_int,0,eq_c1/2)+(s_0+3*s_r+IF(circ_int,eq_c1/2,0))*COS(3*PI()/2+(((9+0.5)*(4*IF(circ_int,0,eq_c1/2)+4*IF(circ_int,0,eq_c2/2)+2*PI()*(s_0+3*s_r+IF(circ_int,eq_c1/2,0)))/INDEX(lk_legs,4))-(((((((2*IF(circ_int,0,eq_c2/2))+(PI()*(s_0+3*s_r+IF(circ_int,eq_c1/2,0))/2))+2*IF(circ_int,0,eq_c1/2))+(PI()*(s_0+3*s_r+IF(circ_int,eq_c1/2,0))/2))+2*IF(circ_int,0,eq_c2/2))+(PI()*(s_0+3*s_r+IF(circ_int,eq_c1/2,0))/2))+2*IF(circ_int,0,eq_c1/2)))/(s_0+3*s_r+IF(circ_int,eq_c1/2,0)))))))))),NA())</f>
        <v/>
      </c>
      <c r="BS12">
        <f>IF(AND(AND(links_on,4&lt;=n_per),INDEX(lk_kind,4)=1,9&lt;INDEX(lk_legs,4)),g_oy+IF(((9+0.5)*(4*IF(circ_int,0,eq_c1/2)+4*IF(circ_int,0,eq_c2/2)+2*PI()*(s_0+3*s_r+IF(circ_int,eq_c1/2,0)))/INDEX(lk_legs,4))&lt;(2*IF(circ_int,0,eq_c2/2)),-IF(circ_int,0,eq_c2/2)+((9+0.5)*(4*IF(circ_int,0,eq_c1/2)+4*IF(circ_int,0,eq_c2/2)+2*PI()*(s_0+3*s_r+IF(circ_int,eq_c1/2,0)))/INDEX(lk_legs,4)),IF(((9+0.5)*(4*IF(circ_int,0,eq_c1/2)+4*IF(circ_int,0,eq_c2/2)+2*PI()*(s_0+3*s_r+IF(circ_int,eq_c1/2,0)))/INDEX(lk_legs,4))&lt;((2*IF(circ_int,0,eq_c2/2))+(PI()*(s_0+3*s_r+IF(circ_int,eq_c1/2,0))/2)),IF(circ_int,0,eq_c2/2)+(s_0+3*s_r+IF(circ_int,eq_c1/2,0))*SIN((((9+0.5)*(4*IF(circ_int,0,eq_c1/2)+4*IF(circ_int,0,eq_c2/2)+2*PI()*(s_0+3*s_r+IF(circ_int,eq_c1/2,0)))/INDEX(lk_legs,4))-(2*IF(circ_int,0,eq_c2/2)))/(s_0+3*s_r+IF(circ_int,eq_c1/2,0))),IF(((9+0.5)*(4*IF(circ_int,0,eq_c1/2)+4*IF(circ_int,0,eq_c2/2)+2*PI()*(s_0+3*s_r+IF(circ_int,eq_c1/2,0)))/INDEX(lk_legs,4))&lt;(((2*IF(circ_int,0,eq_c2/2))+(PI()*(s_0+3*s_r+IF(circ_int,eq_c1/2,0))/2))+2*IF(circ_int,0,eq_c1/2)),IF(circ_int,0,eq_c2/2)+(s_0+3*s_r+IF(circ_int,eq_c1/2,0)),IF(((9+0.5)*(4*IF(circ_int,0,eq_c1/2)+4*IF(circ_int,0,eq_c2/2)+2*PI()*(s_0+3*s_r+IF(circ_int,eq_c1/2,0)))/INDEX(lk_legs,4))&lt;((((2*IF(circ_int,0,eq_c2/2))+(PI()*(s_0+3*s_r+IF(circ_int,eq_c1/2,0))/2))+2*IF(circ_int,0,eq_c1/2))+(PI()*(s_0+3*s_r+IF(circ_int,eq_c1/2,0))/2)),IF(circ_int,0,eq_c2/2)+(s_0+3*s_r+IF(circ_int,eq_c1/2,0))*SIN(PI()/2+(((9+0.5)*(4*IF(circ_int,0,eq_c1/2)+4*IF(circ_int,0,eq_c2/2)+2*PI()*(s_0+3*s_r+IF(circ_int,eq_c1/2,0)))/INDEX(lk_legs,4))-(((2*IF(circ_int,0,eq_c2/2))+(PI()*(s_0+3*s_r+IF(circ_int,eq_c1/2,0))/2))+2*IF(circ_int,0,eq_c1/2)))/(s_0+3*s_r+IF(circ_int,eq_c1/2,0))),IF(((9+0.5)*(4*IF(circ_int,0,eq_c1/2)+4*IF(circ_int,0,eq_c2/2)+2*PI()*(s_0+3*s_r+IF(circ_int,eq_c1/2,0)))/INDEX(lk_legs,4))&lt;(((((2*IF(circ_int,0,eq_c2/2))+(PI()*(s_0+3*s_r+IF(circ_int,eq_c1/2,0))/2))+2*IF(circ_int,0,eq_c1/2))+(PI()*(s_0+3*s_r+IF(circ_int,eq_c1/2,0))/2))+2*IF(circ_int,0,eq_c2/2)),IF(circ_int,0,eq_c2/2)-(((9+0.5)*(4*IF(circ_int,0,eq_c1/2)+4*IF(circ_int,0,eq_c2/2)+2*PI()*(s_0+3*s_r+IF(circ_int,eq_c1/2,0)))/INDEX(lk_legs,4))-((((2*IF(circ_int,0,eq_c2/2))+(PI()*(s_0+3*s_r+IF(circ_int,eq_c1/2,0))/2))+2*IF(circ_int,0,eq_c1/2))+(PI()*(s_0+3*s_r+IF(circ_int,eq_c1/2,0))/2))),IF(((9+0.5)*(4*IF(circ_int,0,eq_c1/2)+4*IF(circ_int,0,eq_c2/2)+2*PI()*(s_0+3*s_r+IF(circ_int,eq_c1/2,0)))/INDEX(lk_legs,4))&lt;((((((2*IF(circ_int,0,eq_c2/2))+(PI()*(s_0+3*s_r+IF(circ_int,eq_c1/2,0))/2))+2*IF(circ_int,0,eq_c1/2))+(PI()*(s_0+3*s_r+IF(circ_int,eq_c1/2,0))/2))+2*IF(circ_int,0,eq_c2/2))+(PI()*(s_0+3*s_r+IF(circ_int,eq_c1/2,0))/2)),-IF(circ_int,0,eq_c2/2)+(s_0+3*s_r+IF(circ_int,eq_c1/2,0))*SIN(PI()+(((9+0.5)*(4*IF(circ_int,0,eq_c1/2)+4*IF(circ_int,0,eq_c2/2)+2*PI()*(s_0+3*s_r+IF(circ_int,eq_c1/2,0)))/INDEX(lk_legs,4))-(((((2*IF(circ_int,0,eq_c2/2))+(PI()*(s_0+3*s_r+IF(circ_int,eq_c1/2,0))/2))+2*IF(circ_int,0,eq_c1/2))+(PI()*(s_0+3*s_r+IF(circ_int,eq_c1/2,0))/2))+2*IF(circ_int,0,eq_c2/2)))/(s_0+3*s_r+IF(circ_int,eq_c1/2,0))),IF(((9+0.5)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(9+0.5)*(4*IF(circ_int,0,eq_c1/2)+4*IF(circ_int,0,eq_c2/2)+2*PI()*(s_0+3*s_r+IF(circ_int,eq_c1/2,0)))/INDEX(lk_legs,4))-(((((((2*IF(circ_int,0,eq_c2/2))+(PI()*(s_0+3*s_r+IF(circ_int,eq_c1/2,0))/2))+2*IF(circ_int,0,eq_c1/2))+(PI()*(s_0+3*s_r+IF(circ_int,eq_c1/2,0))/2))+2*IF(circ_int,0,eq_c2/2))+(PI()*(s_0+3*s_r+IF(circ_int,eq_c1/2,0))/2))+2*IF(circ_int,0,eq_c1/2)))/(s_0+3*s_r+IF(circ_int,eq_c1/2,0)))))))))),NA())</f>
        <v/>
      </c>
      <c r="BU12">
        <f>IF(AND(links_on,5&lt;=n_per),IF(circ_int,(g_ox)+(c_1/2+(s_0+4*s_r))*0.464723,CHOOSE(INDEX(lk_kind,5),(g_ox+eq_c1/2)+((s_0+4*s_r))*0.382683,(eq_a1+eq_c1)+((s_0+4*s_r))*0.866025,(eq_a1+eq_c1)+((s_0+4*s_r))*0.866025,(eq_a1)+((s_0+4*s_r))*-0.500000)),NA())</f>
        <v/>
      </c>
      <c r="BV12">
        <f>IF(AND(links_on,5&lt;=n_per),IF(circ_int,(g_oy)+(c_1/2+(s_0+4*s_r))*0.885456,CHOOSE(INDEX(lk_kind,5),(g_oy+eq_c2/2)+((s_0+4*s_r))*0.923880,(g_oy+eq_c2/2)+((s_0+4*s_r))*0.500000,(eq_a2+eq_c2)+((s_0+4*s_r))*0.500000,(eq_a2+eq_c2)+((s_0+4*s_r))*0.866025)),NA())</f>
        <v/>
      </c>
      <c r="BX12">
        <f>IF(AND(AND(links_on,5&lt;=n_per),INDEX(lk_kind,5)=1,9&lt;INDEX(lk_legs,5)),g_ox+IF(((9+0.5)*(4*IF(circ_int,0,eq_c1/2)+4*IF(circ_int,0,eq_c2/2)+2*PI()*(s_0+4*s_r+IF(circ_int,eq_c1/2,0)))/INDEX(lk_legs,5))&lt;(2*IF(circ_int,0,eq_c2/2)),IF(circ_int,0,eq_c1/2)+(s_0+4*s_r+IF(circ_int,eq_c1/2,0)),IF(((9+0.5)*(4*IF(circ_int,0,eq_c1/2)+4*IF(circ_int,0,eq_c2/2)+2*PI()*(s_0+4*s_r+IF(circ_int,eq_c1/2,0)))/INDEX(lk_legs,5))&lt;((2*IF(circ_int,0,eq_c2/2))+(PI()*(s_0+4*s_r+IF(circ_int,eq_c1/2,0))/2)),IF(circ_int,0,eq_c1/2)+(s_0+4*s_r+IF(circ_int,eq_c1/2,0))*COS((((9+0.5)*(4*IF(circ_int,0,eq_c1/2)+4*IF(circ_int,0,eq_c2/2)+2*PI()*(s_0+4*s_r+IF(circ_int,eq_c1/2,0)))/INDEX(lk_legs,5))-(2*IF(circ_int,0,eq_c2/2)))/(s_0+4*s_r+IF(circ_int,eq_c1/2,0))),IF(((9+0.5)*(4*IF(circ_int,0,eq_c1/2)+4*IF(circ_int,0,eq_c2/2)+2*PI()*(s_0+4*s_r+IF(circ_int,eq_c1/2,0)))/INDEX(lk_legs,5))&lt;(((2*IF(circ_int,0,eq_c2/2))+(PI()*(s_0+4*s_r+IF(circ_int,eq_c1/2,0))/2))+2*IF(circ_int,0,eq_c1/2)),IF(circ_int,0,eq_c1/2)-(((9+0.5)*(4*IF(circ_int,0,eq_c1/2)+4*IF(circ_int,0,eq_c2/2)+2*PI()*(s_0+4*s_r+IF(circ_int,eq_c1/2,0)))/INDEX(lk_legs,5))-((2*IF(circ_int,0,eq_c2/2))+(PI()*(s_0+4*s_r+IF(circ_int,eq_c1/2,0))/2))),IF(((9+0.5)*(4*IF(circ_int,0,eq_c1/2)+4*IF(circ_int,0,eq_c2/2)+2*PI()*(s_0+4*s_r+IF(circ_int,eq_c1/2,0)))/INDEX(lk_legs,5))&lt;((((2*IF(circ_int,0,eq_c2/2))+(PI()*(s_0+4*s_r+IF(circ_int,eq_c1/2,0))/2))+2*IF(circ_int,0,eq_c1/2))+(PI()*(s_0+4*s_r+IF(circ_int,eq_c1/2,0))/2)),-IF(circ_int,0,eq_c1/2)+(s_0+4*s_r+IF(circ_int,eq_c1/2,0))*COS(PI()/2+(((9+0.5)*(4*IF(circ_int,0,eq_c1/2)+4*IF(circ_int,0,eq_c2/2)+2*PI()*(s_0+4*s_r+IF(circ_int,eq_c1/2,0)))/INDEX(lk_legs,5))-(((2*IF(circ_int,0,eq_c2/2))+(PI()*(s_0+4*s_r+IF(circ_int,eq_c1/2,0))/2))+2*IF(circ_int,0,eq_c1/2)))/(s_0+4*s_r+IF(circ_int,eq_c1/2,0))),IF(((9+0.5)*(4*IF(circ_int,0,eq_c1/2)+4*IF(circ_int,0,eq_c2/2)+2*PI()*(s_0+4*s_r+IF(circ_int,eq_c1/2,0)))/INDEX(lk_legs,5))&lt;(((((2*IF(circ_int,0,eq_c2/2))+(PI()*(s_0+4*s_r+IF(circ_int,eq_c1/2,0))/2))+2*IF(circ_int,0,eq_c1/2))+(PI()*(s_0+4*s_r+IF(circ_int,eq_c1/2,0))/2))+2*IF(circ_int,0,eq_c2/2)),-IF(circ_int,0,eq_c1/2)-(s_0+4*s_r+IF(circ_int,eq_c1/2,0)),IF(((9+0.5)*(4*IF(circ_int,0,eq_c1/2)+4*IF(circ_int,0,eq_c2/2)+2*PI()*(s_0+4*s_r+IF(circ_int,eq_c1/2,0)))/INDEX(lk_legs,5))&lt;((((((2*IF(circ_int,0,eq_c2/2))+(PI()*(s_0+4*s_r+IF(circ_int,eq_c1/2,0))/2))+2*IF(circ_int,0,eq_c1/2))+(PI()*(s_0+4*s_r+IF(circ_int,eq_c1/2,0))/2))+2*IF(circ_int,0,eq_c2/2))+(PI()*(s_0+4*s_r+IF(circ_int,eq_c1/2,0))/2)),-IF(circ_int,0,eq_c1/2)+(s_0+4*s_r+IF(circ_int,eq_c1/2,0))*COS(PI()+(((9+0.5)*(4*IF(circ_int,0,eq_c1/2)+4*IF(circ_int,0,eq_c2/2)+2*PI()*(s_0+4*s_r+IF(circ_int,eq_c1/2,0)))/INDEX(lk_legs,5))-(((((2*IF(circ_int,0,eq_c2/2))+(PI()*(s_0+4*s_r+IF(circ_int,eq_c1/2,0))/2))+2*IF(circ_int,0,eq_c1/2))+(PI()*(s_0+4*s_r+IF(circ_int,eq_c1/2,0))/2))+2*IF(circ_int,0,eq_c2/2)))/(s_0+4*s_r+IF(circ_int,eq_c1/2,0))),IF(((9+0.5)*(4*IF(circ_int,0,eq_c1/2)+4*IF(circ_int,0,eq_c2/2)+2*PI()*(s_0+4*s_r+IF(circ_int,eq_c1/2,0)))/INDEX(lk_legs,5))&lt;(((((((2*IF(circ_int,0,eq_c2/2))+(PI()*(s_0+4*s_r+IF(circ_int,eq_c1/2,0))/2))+2*IF(circ_int,0,eq_c1/2))+(PI()*(s_0+4*s_r+IF(circ_int,eq_c1/2,0))/2))+2*IF(circ_int,0,eq_c2/2))+(PI()*(s_0+4*s_r+IF(circ_int,eq_c1/2,0))/2))+2*IF(circ_int,0,eq_c1/2)),-IF(circ_int,0,eq_c1/2)+(((9+0.5)*(4*IF(circ_int,0,eq_c1/2)+4*IF(circ_int,0,eq_c2/2)+2*PI()*(s_0+4*s_r+IF(circ_int,eq_c1/2,0)))/INDEX(lk_legs,5))-((((((2*IF(circ_int,0,eq_c2/2))+(PI()*(s_0+4*s_r+IF(circ_int,eq_c1/2,0))/2))+2*IF(circ_int,0,eq_c1/2))+(PI()*(s_0+4*s_r+IF(circ_int,eq_c1/2,0))/2))+2*IF(circ_int,0,eq_c2/2))+(PI()*(s_0+4*s_r+IF(circ_int,eq_c1/2,0))/2))),IF(circ_int,0,eq_c1/2)+(s_0+4*s_r+IF(circ_int,eq_c1/2,0))*COS(3*PI()/2+(((9+0.5)*(4*IF(circ_int,0,eq_c1/2)+4*IF(circ_int,0,eq_c2/2)+2*PI()*(s_0+4*s_r+IF(circ_int,eq_c1/2,0)))/INDEX(lk_legs,5))-(((((((2*IF(circ_int,0,eq_c2/2))+(PI()*(s_0+4*s_r+IF(circ_int,eq_c1/2,0))/2))+2*IF(circ_int,0,eq_c1/2))+(PI()*(s_0+4*s_r+IF(circ_int,eq_c1/2,0))/2))+2*IF(circ_int,0,eq_c2/2))+(PI()*(s_0+4*s_r+IF(circ_int,eq_c1/2,0))/2))+2*IF(circ_int,0,eq_c1/2)))/(s_0+4*s_r+IF(circ_int,eq_c1/2,0)))))))))),NA())</f>
        <v/>
      </c>
      <c r="BY12">
        <f>IF(AND(AND(links_on,5&lt;=n_per),INDEX(lk_kind,5)=1,9&lt;INDEX(lk_legs,5)),g_oy+IF(((9+0.5)*(4*IF(circ_int,0,eq_c1/2)+4*IF(circ_int,0,eq_c2/2)+2*PI()*(s_0+4*s_r+IF(circ_int,eq_c1/2,0)))/INDEX(lk_legs,5))&lt;(2*IF(circ_int,0,eq_c2/2)),-IF(circ_int,0,eq_c2/2)+((9+0.5)*(4*IF(circ_int,0,eq_c1/2)+4*IF(circ_int,0,eq_c2/2)+2*PI()*(s_0+4*s_r+IF(circ_int,eq_c1/2,0)))/INDEX(lk_legs,5)),IF(((9+0.5)*(4*IF(circ_int,0,eq_c1/2)+4*IF(circ_int,0,eq_c2/2)+2*PI()*(s_0+4*s_r+IF(circ_int,eq_c1/2,0)))/INDEX(lk_legs,5))&lt;((2*IF(circ_int,0,eq_c2/2))+(PI()*(s_0+4*s_r+IF(circ_int,eq_c1/2,0))/2)),IF(circ_int,0,eq_c2/2)+(s_0+4*s_r+IF(circ_int,eq_c1/2,0))*SIN((((9+0.5)*(4*IF(circ_int,0,eq_c1/2)+4*IF(circ_int,0,eq_c2/2)+2*PI()*(s_0+4*s_r+IF(circ_int,eq_c1/2,0)))/INDEX(lk_legs,5))-(2*IF(circ_int,0,eq_c2/2)))/(s_0+4*s_r+IF(circ_int,eq_c1/2,0))),IF(((9+0.5)*(4*IF(circ_int,0,eq_c1/2)+4*IF(circ_int,0,eq_c2/2)+2*PI()*(s_0+4*s_r+IF(circ_int,eq_c1/2,0)))/INDEX(lk_legs,5))&lt;(((2*IF(circ_int,0,eq_c2/2))+(PI()*(s_0+4*s_r+IF(circ_int,eq_c1/2,0))/2))+2*IF(circ_int,0,eq_c1/2)),IF(circ_int,0,eq_c2/2)+(s_0+4*s_r+IF(circ_int,eq_c1/2,0)),IF(((9+0.5)*(4*IF(circ_int,0,eq_c1/2)+4*IF(circ_int,0,eq_c2/2)+2*PI()*(s_0+4*s_r+IF(circ_int,eq_c1/2,0)))/INDEX(lk_legs,5))&lt;((((2*IF(circ_int,0,eq_c2/2))+(PI()*(s_0+4*s_r+IF(circ_int,eq_c1/2,0))/2))+2*IF(circ_int,0,eq_c1/2))+(PI()*(s_0+4*s_r+IF(circ_int,eq_c1/2,0))/2)),IF(circ_int,0,eq_c2/2)+(s_0+4*s_r+IF(circ_int,eq_c1/2,0))*SIN(PI()/2+(((9+0.5)*(4*IF(circ_int,0,eq_c1/2)+4*IF(circ_int,0,eq_c2/2)+2*PI()*(s_0+4*s_r+IF(circ_int,eq_c1/2,0)))/INDEX(lk_legs,5))-(((2*IF(circ_int,0,eq_c2/2))+(PI()*(s_0+4*s_r+IF(circ_int,eq_c1/2,0))/2))+2*IF(circ_int,0,eq_c1/2)))/(s_0+4*s_r+IF(circ_int,eq_c1/2,0))),IF(((9+0.5)*(4*IF(circ_int,0,eq_c1/2)+4*IF(circ_int,0,eq_c2/2)+2*PI()*(s_0+4*s_r+IF(circ_int,eq_c1/2,0)))/INDEX(lk_legs,5))&lt;(((((2*IF(circ_int,0,eq_c2/2))+(PI()*(s_0+4*s_r+IF(circ_int,eq_c1/2,0))/2))+2*IF(circ_int,0,eq_c1/2))+(PI()*(s_0+4*s_r+IF(circ_int,eq_c1/2,0))/2))+2*IF(circ_int,0,eq_c2/2)),IF(circ_int,0,eq_c2/2)-(((9+0.5)*(4*IF(circ_int,0,eq_c1/2)+4*IF(circ_int,0,eq_c2/2)+2*PI()*(s_0+4*s_r+IF(circ_int,eq_c1/2,0)))/INDEX(lk_legs,5))-((((2*IF(circ_int,0,eq_c2/2))+(PI()*(s_0+4*s_r+IF(circ_int,eq_c1/2,0))/2))+2*IF(circ_int,0,eq_c1/2))+(PI()*(s_0+4*s_r+IF(circ_int,eq_c1/2,0))/2))),IF(((9+0.5)*(4*IF(circ_int,0,eq_c1/2)+4*IF(circ_int,0,eq_c2/2)+2*PI()*(s_0+4*s_r+IF(circ_int,eq_c1/2,0)))/INDEX(lk_legs,5))&lt;((((((2*IF(circ_int,0,eq_c2/2))+(PI()*(s_0+4*s_r+IF(circ_int,eq_c1/2,0))/2))+2*IF(circ_int,0,eq_c1/2))+(PI()*(s_0+4*s_r+IF(circ_int,eq_c1/2,0))/2))+2*IF(circ_int,0,eq_c2/2))+(PI()*(s_0+4*s_r+IF(circ_int,eq_c1/2,0))/2)),-IF(circ_int,0,eq_c2/2)+(s_0+4*s_r+IF(circ_int,eq_c1/2,0))*SIN(PI()+(((9+0.5)*(4*IF(circ_int,0,eq_c1/2)+4*IF(circ_int,0,eq_c2/2)+2*PI()*(s_0+4*s_r+IF(circ_int,eq_c1/2,0)))/INDEX(lk_legs,5))-(((((2*IF(circ_int,0,eq_c2/2))+(PI()*(s_0+4*s_r+IF(circ_int,eq_c1/2,0))/2))+2*IF(circ_int,0,eq_c1/2))+(PI()*(s_0+4*s_r+IF(circ_int,eq_c1/2,0))/2))+2*IF(circ_int,0,eq_c2/2)))/(s_0+4*s_r+IF(circ_int,eq_c1/2,0))),IF(((9+0.5)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(9+0.5)*(4*IF(circ_int,0,eq_c1/2)+4*IF(circ_int,0,eq_c2/2)+2*PI()*(s_0+4*s_r+IF(circ_int,eq_c1/2,0)))/INDEX(lk_legs,5))-(((((((2*IF(circ_int,0,eq_c2/2))+(PI()*(s_0+4*s_r+IF(circ_int,eq_c1/2,0))/2))+2*IF(circ_int,0,eq_c1/2))+(PI()*(s_0+4*s_r+IF(circ_int,eq_c1/2,0))/2))+2*IF(circ_int,0,eq_c2/2))+(PI()*(s_0+4*s_r+IF(circ_int,eq_c1/2,0))/2))+2*IF(circ_int,0,eq_c1/2)))/(s_0+4*s_r+IF(circ_int,eq_c1/2,0)))))))))),NA())</f>
        <v/>
      </c>
      <c r="CA12">
        <f>IF(AND(links_on,6&lt;=n_per),IF(circ_int,(g_ox)+(c_1/2+(s_0+5*s_r))*0.464723,CHOOSE(INDEX(lk_kind,6),(g_ox+eq_c1/2)+((s_0+5*s_r))*0.382683,(eq_a1+eq_c1)+((s_0+5*s_r))*0.866025,(eq_a1+eq_c1)+((s_0+5*s_r))*0.866025,(eq_a1)+((s_0+5*s_r))*-0.500000)),NA())</f>
        <v/>
      </c>
      <c r="CB12">
        <f>IF(AND(links_on,6&lt;=n_per),IF(circ_int,(g_oy)+(c_1/2+(s_0+5*s_r))*0.885456,CHOOSE(INDEX(lk_kind,6),(g_oy+eq_c2/2)+((s_0+5*s_r))*0.923880,(g_oy+eq_c2/2)+((s_0+5*s_r))*0.500000,(eq_a2+eq_c2)+((s_0+5*s_r))*0.500000,(eq_a2+eq_c2)+((s_0+5*s_r))*0.866025)),NA())</f>
        <v/>
      </c>
      <c r="CD12">
        <f>IF(AND(AND(links_on,6&lt;=n_per),INDEX(lk_kind,6)=1,9&lt;INDEX(lk_legs,6)),g_ox+IF(((9+0.5)*(4*IF(circ_int,0,eq_c1/2)+4*IF(circ_int,0,eq_c2/2)+2*PI()*(s_0+5*s_r+IF(circ_int,eq_c1/2,0)))/INDEX(lk_legs,6))&lt;(2*IF(circ_int,0,eq_c2/2)),IF(circ_int,0,eq_c1/2)+(s_0+5*s_r+IF(circ_int,eq_c1/2,0)),IF(((9+0.5)*(4*IF(circ_int,0,eq_c1/2)+4*IF(circ_int,0,eq_c2/2)+2*PI()*(s_0+5*s_r+IF(circ_int,eq_c1/2,0)))/INDEX(lk_legs,6))&lt;((2*IF(circ_int,0,eq_c2/2))+(PI()*(s_0+5*s_r+IF(circ_int,eq_c1/2,0))/2)),IF(circ_int,0,eq_c1/2)+(s_0+5*s_r+IF(circ_int,eq_c1/2,0))*COS((((9+0.5)*(4*IF(circ_int,0,eq_c1/2)+4*IF(circ_int,0,eq_c2/2)+2*PI()*(s_0+5*s_r+IF(circ_int,eq_c1/2,0)))/INDEX(lk_legs,6))-(2*IF(circ_int,0,eq_c2/2)))/(s_0+5*s_r+IF(circ_int,eq_c1/2,0))),IF(((9+0.5)*(4*IF(circ_int,0,eq_c1/2)+4*IF(circ_int,0,eq_c2/2)+2*PI()*(s_0+5*s_r+IF(circ_int,eq_c1/2,0)))/INDEX(lk_legs,6))&lt;(((2*IF(circ_int,0,eq_c2/2))+(PI()*(s_0+5*s_r+IF(circ_int,eq_c1/2,0))/2))+2*IF(circ_int,0,eq_c1/2)),IF(circ_int,0,eq_c1/2)-(((9+0.5)*(4*IF(circ_int,0,eq_c1/2)+4*IF(circ_int,0,eq_c2/2)+2*PI()*(s_0+5*s_r+IF(circ_int,eq_c1/2,0)))/INDEX(lk_legs,6))-((2*IF(circ_int,0,eq_c2/2))+(PI()*(s_0+5*s_r+IF(circ_int,eq_c1/2,0))/2))),IF(((9+0.5)*(4*IF(circ_int,0,eq_c1/2)+4*IF(circ_int,0,eq_c2/2)+2*PI()*(s_0+5*s_r+IF(circ_int,eq_c1/2,0)))/INDEX(lk_legs,6))&lt;((((2*IF(circ_int,0,eq_c2/2))+(PI()*(s_0+5*s_r+IF(circ_int,eq_c1/2,0))/2))+2*IF(circ_int,0,eq_c1/2))+(PI()*(s_0+5*s_r+IF(circ_int,eq_c1/2,0))/2)),-IF(circ_int,0,eq_c1/2)+(s_0+5*s_r+IF(circ_int,eq_c1/2,0))*COS(PI()/2+(((9+0.5)*(4*IF(circ_int,0,eq_c1/2)+4*IF(circ_int,0,eq_c2/2)+2*PI()*(s_0+5*s_r+IF(circ_int,eq_c1/2,0)))/INDEX(lk_legs,6))-(((2*IF(circ_int,0,eq_c2/2))+(PI()*(s_0+5*s_r+IF(circ_int,eq_c1/2,0))/2))+2*IF(circ_int,0,eq_c1/2)))/(s_0+5*s_r+IF(circ_int,eq_c1/2,0))),IF(((9+0.5)*(4*IF(circ_int,0,eq_c1/2)+4*IF(circ_int,0,eq_c2/2)+2*PI()*(s_0+5*s_r+IF(circ_int,eq_c1/2,0)))/INDEX(lk_legs,6))&lt;(((((2*IF(circ_int,0,eq_c2/2))+(PI()*(s_0+5*s_r+IF(circ_int,eq_c1/2,0))/2))+2*IF(circ_int,0,eq_c1/2))+(PI()*(s_0+5*s_r+IF(circ_int,eq_c1/2,0))/2))+2*IF(circ_int,0,eq_c2/2)),-IF(circ_int,0,eq_c1/2)-(s_0+5*s_r+IF(circ_int,eq_c1/2,0)),IF(((9+0.5)*(4*IF(circ_int,0,eq_c1/2)+4*IF(circ_int,0,eq_c2/2)+2*PI()*(s_0+5*s_r+IF(circ_int,eq_c1/2,0)))/INDEX(lk_legs,6))&lt;((((((2*IF(circ_int,0,eq_c2/2))+(PI()*(s_0+5*s_r+IF(circ_int,eq_c1/2,0))/2))+2*IF(circ_int,0,eq_c1/2))+(PI()*(s_0+5*s_r+IF(circ_int,eq_c1/2,0))/2))+2*IF(circ_int,0,eq_c2/2))+(PI()*(s_0+5*s_r+IF(circ_int,eq_c1/2,0))/2)),-IF(circ_int,0,eq_c1/2)+(s_0+5*s_r+IF(circ_int,eq_c1/2,0))*COS(PI()+(((9+0.5)*(4*IF(circ_int,0,eq_c1/2)+4*IF(circ_int,0,eq_c2/2)+2*PI()*(s_0+5*s_r+IF(circ_int,eq_c1/2,0)))/INDEX(lk_legs,6))-(((((2*IF(circ_int,0,eq_c2/2))+(PI()*(s_0+5*s_r+IF(circ_int,eq_c1/2,0))/2))+2*IF(circ_int,0,eq_c1/2))+(PI()*(s_0+5*s_r+IF(circ_int,eq_c1/2,0))/2))+2*IF(circ_int,0,eq_c2/2)))/(s_0+5*s_r+IF(circ_int,eq_c1/2,0))),IF(((9+0.5)*(4*IF(circ_int,0,eq_c1/2)+4*IF(circ_int,0,eq_c2/2)+2*PI()*(s_0+5*s_r+IF(circ_int,eq_c1/2,0)))/INDEX(lk_legs,6))&lt;(((((((2*IF(circ_int,0,eq_c2/2))+(PI()*(s_0+5*s_r+IF(circ_int,eq_c1/2,0))/2))+2*IF(circ_int,0,eq_c1/2))+(PI()*(s_0+5*s_r+IF(circ_int,eq_c1/2,0))/2))+2*IF(circ_int,0,eq_c2/2))+(PI()*(s_0+5*s_r+IF(circ_int,eq_c1/2,0))/2))+2*IF(circ_int,0,eq_c1/2)),-IF(circ_int,0,eq_c1/2)+(((9+0.5)*(4*IF(circ_int,0,eq_c1/2)+4*IF(circ_int,0,eq_c2/2)+2*PI()*(s_0+5*s_r+IF(circ_int,eq_c1/2,0)))/INDEX(lk_legs,6))-((((((2*IF(circ_int,0,eq_c2/2))+(PI()*(s_0+5*s_r+IF(circ_int,eq_c1/2,0))/2))+2*IF(circ_int,0,eq_c1/2))+(PI()*(s_0+5*s_r+IF(circ_int,eq_c1/2,0))/2))+2*IF(circ_int,0,eq_c2/2))+(PI()*(s_0+5*s_r+IF(circ_int,eq_c1/2,0))/2))),IF(circ_int,0,eq_c1/2)+(s_0+5*s_r+IF(circ_int,eq_c1/2,0))*COS(3*PI()/2+(((9+0.5)*(4*IF(circ_int,0,eq_c1/2)+4*IF(circ_int,0,eq_c2/2)+2*PI()*(s_0+5*s_r+IF(circ_int,eq_c1/2,0)))/INDEX(lk_legs,6))-(((((((2*IF(circ_int,0,eq_c2/2))+(PI()*(s_0+5*s_r+IF(circ_int,eq_c1/2,0))/2))+2*IF(circ_int,0,eq_c1/2))+(PI()*(s_0+5*s_r+IF(circ_int,eq_c1/2,0))/2))+2*IF(circ_int,0,eq_c2/2))+(PI()*(s_0+5*s_r+IF(circ_int,eq_c1/2,0))/2))+2*IF(circ_int,0,eq_c1/2)))/(s_0+5*s_r+IF(circ_int,eq_c1/2,0)))))))))),NA())</f>
        <v/>
      </c>
      <c r="CE12">
        <f>IF(AND(AND(links_on,6&lt;=n_per),INDEX(lk_kind,6)=1,9&lt;INDEX(lk_legs,6)),g_oy+IF(((9+0.5)*(4*IF(circ_int,0,eq_c1/2)+4*IF(circ_int,0,eq_c2/2)+2*PI()*(s_0+5*s_r+IF(circ_int,eq_c1/2,0)))/INDEX(lk_legs,6))&lt;(2*IF(circ_int,0,eq_c2/2)),-IF(circ_int,0,eq_c2/2)+((9+0.5)*(4*IF(circ_int,0,eq_c1/2)+4*IF(circ_int,0,eq_c2/2)+2*PI()*(s_0+5*s_r+IF(circ_int,eq_c1/2,0)))/INDEX(lk_legs,6)),IF(((9+0.5)*(4*IF(circ_int,0,eq_c1/2)+4*IF(circ_int,0,eq_c2/2)+2*PI()*(s_0+5*s_r+IF(circ_int,eq_c1/2,0)))/INDEX(lk_legs,6))&lt;((2*IF(circ_int,0,eq_c2/2))+(PI()*(s_0+5*s_r+IF(circ_int,eq_c1/2,0))/2)),IF(circ_int,0,eq_c2/2)+(s_0+5*s_r+IF(circ_int,eq_c1/2,0))*SIN((((9+0.5)*(4*IF(circ_int,0,eq_c1/2)+4*IF(circ_int,0,eq_c2/2)+2*PI()*(s_0+5*s_r+IF(circ_int,eq_c1/2,0)))/INDEX(lk_legs,6))-(2*IF(circ_int,0,eq_c2/2)))/(s_0+5*s_r+IF(circ_int,eq_c1/2,0))),IF(((9+0.5)*(4*IF(circ_int,0,eq_c1/2)+4*IF(circ_int,0,eq_c2/2)+2*PI()*(s_0+5*s_r+IF(circ_int,eq_c1/2,0)))/INDEX(lk_legs,6))&lt;(((2*IF(circ_int,0,eq_c2/2))+(PI()*(s_0+5*s_r+IF(circ_int,eq_c1/2,0))/2))+2*IF(circ_int,0,eq_c1/2)),IF(circ_int,0,eq_c2/2)+(s_0+5*s_r+IF(circ_int,eq_c1/2,0)),IF(((9+0.5)*(4*IF(circ_int,0,eq_c1/2)+4*IF(circ_int,0,eq_c2/2)+2*PI()*(s_0+5*s_r+IF(circ_int,eq_c1/2,0)))/INDEX(lk_legs,6))&lt;((((2*IF(circ_int,0,eq_c2/2))+(PI()*(s_0+5*s_r+IF(circ_int,eq_c1/2,0))/2))+2*IF(circ_int,0,eq_c1/2))+(PI()*(s_0+5*s_r+IF(circ_int,eq_c1/2,0))/2)),IF(circ_int,0,eq_c2/2)+(s_0+5*s_r+IF(circ_int,eq_c1/2,0))*SIN(PI()/2+(((9+0.5)*(4*IF(circ_int,0,eq_c1/2)+4*IF(circ_int,0,eq_c2/2)+2*PI()*(s_0+5*s_r+IF(circ_int,eq_c1/2,0)))/INDEX(lk_legs,6))-(((2*IF(circ_int,0,eq_c2/2))+(PI()*(s_0+5*s_r+IF(circ_int,eq_c1/2,0))/2))+2*IF(circ_int,0,eq_c1/2)))/(s_0+5*s_r+IF(circ_int,eq_c1/2,0))),IF(((9+0.5)*(4*IF(circ_int,0,eq_c1/2)+4*IF(circ_int,0,eq_c2/2)+2*PI()*(s_0+5*s_r+IF(circ_int,eq_c1/2,0)))/INDEX(lk_legs,6))&lt;(((((2*IF(circ_int,0,eq_c2/2))+(PI()*(s_0+5*s_r+IF(circ_int,eq_c1/2,0))/2))+2*IF(circ_int,0,eq_c1/2))+(PI()*(s_0+5*s_r+IF(circ_int,eq_c1/2,0))/2))+2*IF(circ_int,0,eq_c2/2)),IF(circ_int,0,eq_c2/2)-(((9+0.5)*(4*IF(circ_int,0,eq_c1/2)+4*IF(circ_int,0,eq_c2/2)+2*PI()*(s_0+5*s_r+IF(circ_int,eq_c1/2,0)))/INDEX(lk_legs,6))-((((2*IF(circ_int,0,eq_c2/2))+(PI()*(s_0+5*s_r+IF(circ_int,eq_c1/2,0))/2))+2*IF(circ_int,0,eq_c1/2))+(PI()*(s_0+5*s_r+IF(circ_int,eq_c1/2,0))/2))),IF(((9+0.5)*(4*IF(circ_int,0,eq_c1/2)+4*IF(circ_int,0,eq_c2/2)+2*PI()*(s_0+5*s_r+IF(circ_int,eq_c1/2,0)))/INDEX(lk_legs,6))&lt;((((((2*IF(circ_int,0,eq_c2/2))+(PI()*(s_0+5*s_r+IF(circ_int,eq_c1/2,0))/2))+2*IF(circ_int,0,eq_c1/2))+(PI()*(s_0+5*s_r+IF(circ_int,eq_c1/2,0))/2))+2*IF(circ_int,0,eq_c2/2))+(PI()*(s_0+5*s_r+IF(circ_int,eq_c1/2,0))/2)),-IF(circ_int,0,eq_c2/2)+(s_0+5*s_r+IF(circ_int,eq_c1/2,0))*SIN(PI()+(((9+0.5)*(4*IF(circ_int,0,eq_c1/2)+4*IF(circ_int,0,eq_c2/2)+2*PI()*(s_0+5*s_r+IF(circ_int,eq_c1/2,0)))/INDEX(lk_legs,6))-(((((2*IF(circ_int,0,eq_c2/2))+(PI()*(s_0+5*s_r+IF(circ_int,eq_c1/2,0))/2))+2*IF(circ_int,0,eq_c1/2))+(PI()*(s_0+5*s_r+IF(circ_int,eq_c1/2,0))/2))+2*IF(circ_int,0,eq_c2/2)))/(s_0+5*s_r+IF(circ_int,eq_c1/2,0))),IF(((9+0.5)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(9+0.5)*(4*IF(circ_int,0,eq_c1/2)+4*IF(circ_int,0,eq_c2/2)+2*PI()*(s_0+5*s_r+IF(circ_int,eq_c1/2,0)))/INDEX(lk_legs,6))-(((((((2*IF(circ_int,0,eq_c2/2))+(PI()*(s_0+5*s_r+IF(circ_int,eq_c1/2,0))/2))+2*IF(circ_int,0,eq_c1/2))+(PI()*(s_0+5*s_r+IF(circ_int,eq_c1/2,0))/2))+2*IF(circ_int,0,eq_c2/2))+(PI()*(s_0+5*s_r+IF(circ_int,eq_c1/2,0))/2))+2*IF(circ_int,0,eq_c1/2)))/(s_0+5*s_r+IF(circ_int,eq_c1/2,0)))))))))),NA())</f>
        <v/>
      </c>
      <c r="CG12">
        <f>IF(AND(links_on,7&lt;=n_per),IF(circ_int,(g_ox)+(c_1/2+(s_0+6*s_r))*0.464723,CHOOSE(INDEX(lk_kind,7),(g_ox+eq_c1/2)+((s_0+6*s_r))*0.382683,(eq_a1+eq_c1)+((s_0+6*s_r))*0.866025,(eq_a1+eq_c1)+((s_0+6*s_r))*0.866025,(eq_a1)+((s_0+6*s_r))*-0.500000)),NA())</f>
        <v/>
      </c>
      <c r="CH12">
        <f>IF(AND(links_on,7&lt;=n_per),IF(circ_int,(g_oy)+(c_1/2+(s_0+6*s_r))*0.885456,CHOOSE(INDEX(lk_kind,7),(g_oy+eq_c2/2)+((s_0+6*s_r))*0.923880,(g_oy+eq_c2/2)+((s_0+6*s_r))*0.500000,(eq_a2+eq_c2)+((s_0+6*s_r))*0.500000,(eq_a2+eq_c2)+((s_0+6*s_r))*0.866025)),NA())</f>
        <v/>
      </c>
      <c r="CJ12">
        <f>IF(AND(AND(links_on,7&lt;=n_per),INDEX(lk_kind,7)=1,9&lt;INDEX(lk_legs,7)),g_ox+IF(((9+0.5)*(4*IF(circ_int,0,eq_c1/2)+4*IF(circ_int,0,eq_c2/2)+2*PI()*(s_0+6*s_r+IF(circ_int,eq_c1/2,0)))/INDEX(lk_legs,7))&lt;(2*IF(circ_int,0,eq_c2/2)),IF(circ_int,0,eq_c1/2)+(s_0+6*s_r+IF(circ_int,eq_c1/2,0)),IF(((9+0.5)*(4*IF(circ_int,0,eq_c1/2)+4*IF(circ_int,0,eq_c2/2)+2*PI()*(s_0+6*s_r+IF(circ_int,eq_c1/2,0)))/INDEX(lk_legs,7))&lt;((2*IF(circ_int,0,eq_c2/2))+(PI()*(s_0+6*s_r+IF(circ_int,eq_c1/2,0))/2)),IF(circ_int,0,eq_c1/2)+(s_0+6*s_r+IF(circ_int,eq_c1/2,0))*COS((((9+0.5)*(4*IF(circ_int,0,eq_c1/2)+4*IF(circ_int,0,eq_c2/2)+2*PI()*(s_0+6*s_r+IF(circ_int,eq_c1/2,0)))/INDEX(lk_legs,7))-(2*IF(circ_int,0,eq_c2/2)))/(s_0+6*s_r+IF(circ_int,eq_c1/2,0))),IF(((9+0.5)*(4*IF(circ_int,0,eq_c1/2)+4*IF(circ_int,0,eq_c2/2)+2*PI()*(s_0+6*s_r+IF(circ_int,eq_c1/2,0)))/INDEX(lk_legs,7))&lt;(((2*IF(circ_int,0,eq_c2/2))+(PI()*(s_0+6*s_r+IF(circ_int,eq_c1/2,0))/2))+2*IF(circ_int,0,eq_c1/2)),IF(circ_int,0,eq_c1/2)-(((9+0.5)*(4*IF(circ_int,0,eq_c1/2)+4*IF(circ_int,0,eq_c2/2)+2*PI()*(s_0+6*s_r+IF(circ_int,eq_c1/2,0)))/INDEX(lk_legs,7))-((2*IF(circ_int,0,eq_c2/2))+(PI()*(s_0+6*s_r+IF(circ_int,eq_c1/2,0))/2))),IF(((9+0.5)*(4*IF(circ_int,0,eq_c1/2)+4*IF(circ_int,0,eq_c2/2)+2*PI()*(s_0+6*s_r+IF(circ_int,eq_c1/2,0)))/INDEX(lk_legs,7))&lt;((((2*IF(circ_int,0,eq_c2/2))+(PI()*(s_0+6*s_r+IF(circ_int,eq_c1/2,0))/2))+2*IF(circ_int,0,eq_c1/2))+(PI()*(s_0+6*s_r+IF(circ_int,eq_c1/2,0))/2)),-IF(circ_int,0,eq_c1/2)+(s_0+6*s_r+IF(circ_int,eq_c1/2,0))*COS(PI()/2+(((9+0.5)*(4*IF(circ_int,0,eq_c1/2)+4*IF(circ_int,0,eq_c2/2)+2*PI()*(s_0+6*s_r+IF(circ_int,eq_c1/2,0)))/INDEX(lk_legs,7))-(((2*IF(circ_int,0,eq_c2/2))+(PI()*(s_0+6*s_r+IF(circ_int,eq_c1/2,0))/2))+2*IF(circ_int,0,eq_c1/2)))/(s_0+6*s_r+IF(circ_int,eq_c1/2,0))),IF(((9+0.5)*(4*IF(circ_int,0,eq_c1/2)+4*IF(circ_int,0,eq_c2/2)+2*PI()*(s_0+6*s_r+IF(circ_int,eq_c1/2,0)))/INDEX(lk_legs,7))&lt;(((((2*IF(circ_int,0,eq_c2/2))+(PI()*(s_0+6*s_r+IF(circ_int,eq_c1/2,0))/2))+2*IF(circ_int,0,eq_c1/2))+(PI()*(s_0+6*s_r+IF(circ_int,eq_c1/2,0))/2))+2*IF(circ_int,0,eq_c2/2)),-IF(circ_int,0,eq_c1/2)-(s_0+6*s_r+IF(circ_int,eq_c1/2,0)),IF(((9+0.5)*(4*IF(circ_int,0,eq_c1/2)+4*IF(circ_int,0,eq_c2/2)+2*PI()*(s_0+6*s_r+IF(circ_int,eq_c1/2,0)))/INDEX(lk_legs,7))&lt;((((((2*IF(circ_int,0,eq_c2/2))+(PI()*(s_0+6*s_r+IF(circ_int,eq_c1/2,0))/2))+2*IF(circ_int,0,eq_c1/2))+(PI()*(s_0+6*s_r+IF(circ_int,eq_c1/2,0))/2))+2*IF(circ_int,0,eq_c2/2))+(PI()*(s_0+6*s_r+IF(circ_int,eq_c1/2,0))/2)),-IF(circ_int,0,eq_c1/2)+(s_0+6*s_r+IF(circ_int,eq_c1/2,0))*COS(PI()+(((9+0.5)*(4*IF(circ_int,0,eq_c1/2)+4*IF(circ_int,0,eq_c2/2)+2*PI()*(s_0+6*s_r+IF(circ_int,eq_c1/2,0)))/INDEX(lk_legs,7))-(((((2*IF(circ_int,0,eq_c2/2))+(PI()*(s_0+6*s_r+IF(circ_int,eq_c1/2,0))/2))+2*IF(circ_int,0,eq_c1/2))+(PI()*(s_0+6*s_r+IF(circ_int,eq_c1/2,0))/2))+2*IF(circ_int,0,eq_c2/2)))/(s_0+6*s_r+IF(circ_int,eq_c1/2,0))),IF(((9+0.5)*(4*IF(circ_int,0,eq_c1/2)+4*IF(circ_int,0,eq_c2/2)+2*PI()*(s_0+6*s_r+IF(circ_int,eq_c1/2,0)))/INDEX(lk_legs,7))&lt;(((((((2*IF(circ_int,0,eq_c2/2))+(PI()*(s_0+6*s_r+IF(circ_int,eq_c1/2,0))/2))+2*IF(circ_int,0,eq_c1/2))+(PI()*(s_0+6*s_r+IF(circ_int,eq_c1/2,0))/2))+2*IF(circ_int,0,eq_c2/2))+(PI()*(s_0+6*s_r+IF(circ_int,eq_c1/2,0))/2))+2*IF(circ_int,0,eq_c1/2)),-IF(circ_int,0,eq_c1/2)+(((9+0.5)*(4*IF(circ_int,0,eq_c1/2)+4*IF(circ_int,0,eq_c2/2)+2*PI()*(s_0+6*s_r+IF(circ_int,eq_c1/2,0)))/INDEX(lk_legs,7))-((((((2*IF(circ_int,0,eq_c2/2))+(PI()*(s_0+6*s_r+IF(circ_int,eq_c1/2,0))/2))+2*IF(circ_int,0,eq_c1/2))+(PI()*(s_0+6*s_r+IF(circ_int,eq_c1/2,0))/2))+2*IF(circ_int,0,eq_c2/2))+(PI()*(s_0+6*s_r+IF(circ_int,eq_c1/2,0))/2))),IF(circ_int,0,eq_c1/2)+(s_0+6*s_r+IF(circ_int,eq_c1/2,0))*COS(3*PI()/2+(((9+0.5)*(4*IF(circ_int,0,eq_c1/2)+4*IF(circ_int,0,eq_c2/2)+2*PI()*(s_0+6*s_r+IF(circ_int,eq_c1/2,0)))/INDEX(lk_legs,7))-(((((((2*IF(circ_int,0,eq_c2/2))+(PI()*(s_0+6*s_r+IF(circ_int,eq_c1/2,0))/2))+2*IF(circ_int,0,eq_c1/2))+(PI()*(s_0+6*s_r+IF(circ_int,eq_c1/2,0))/2))+2*IF(circ_int,0,eq_c2/2))+(PI()*(s_0+6*s_r+IF(circ_int,eq_c1/2,0))/2))+2*IF(circ_int,0,eq_c1/2)))/(s_0+6*s_r+IF(circ_int,eq_c1/2,0)))))))))),NA())</f>
        <v/>
      </c>
      <c r="CK12">
        <f>IF(AND(AND(links_on,7&lt;=n_per),INDEX(lk_kind,7)=1,9&lt;INDEX(lk_legs,7)),g_oy+IF(((9+0.5)*(4*IF(circ_int,0,eq_c1/2)+4*IF(circ_int,0,eq_c2/2)+2*PI()*(s_0+6*s_r+IF(circ_int,eq_c1/2,0)))/INDEX(lk_legs,7))&lt;(2*IF(circ_int,0,eq_c2/2)),-IF(circ_int,0,eq_c2/2)+((9+0.5)*(4*IF(circ_int,0,eq_c1/2)+4*IF(circ_int,0,eq_c2/2)+2*PI()*(s_0+6*s_r+IF(circ_int,eq_c1/2,0)))/INDEX(lk_legs,7)),IF(((9+0.5)*(4*IF(circ_int,0,eq_c1/2)+4*IF(circ_int,0,eq_c2/2)+2*PI()*(s_0+6*s_r+IF(circ_int,eq_c1/2,0)))/INDEX(lk_legs,7))&lt;((2*IF(circ_int,0,eq_c2/2))+(PI()*(s_0+6*s_r+IF(circ_int,eq_c1/2,0))/2)),IF(circ_int,0,eq_c2/2)+(s_0+6*s_r+IF(circ_int,eq_c1/2,0))*SIN((((9+0.5)*(4*IF(circ_int,0,eq_c1/2)+4*IF(circ_int,0,eq_c2/2)+2*PI()*(s_0+6*s_r+IF(circ_int,eq_c1/2,0)))/INDEX(lk_legs,7))-(2*IF(circ_int,0,eq_c2/2)))/(s_0+6*s_r+IF(circ_int,eq_c1/2,0))),IF(((9+0.5)*(4*IF(circ_int,0,eq_c1/2)+4*IF(circ_int,0,eq_c2/2)+2*PI()*(s_0+6*s_r+IF(circ_int,eq_c1/2,0)))/INDEX(lk_legs,7))&lt;(((2*IF(circ_int,0,eq_c2/2))+(PI()*(s_0+6*s_r+IF(circ_int,eq_c1/2,0))/2))+2*IF(circ_int,0,eq_c1/2)),IF(circ_int,0,eq_c2/2)+(s_0+6*s_r+IF(circ_int,eq_c1/2,0)),IF(((9+0.5)*(4*IF(circ_int,0,eq_c1/2)+4*IF(circ_int,0,eq_c2/2)+2*PI()*(s_0+6*s_r+IF(circ_int,eq_c1/2,0)))/INDEX(lk_legs,7))&lt;((((2*IF(circ_int,0,eq_c2/2))+(PI()*(s_0+6*s_r+IF(circ_int,eq_c1/2,0))/2))+2*IF(circ_int,0,eq_c1/2))+(PI()*(s_0+6*s_r+IF(circ_int,eq_c1/2,0))/2)),IF(circ_int,0,eq_c2/2)+(s_0+6*s_r+IF(circ_int,eq_c1/2,0))*SIN(PI()/2+(((9+0.5)*(4*IF(circ_int,0,eq_c1/2)+4*IF(circ_int,0,eq_c2/2)+2*PI()*(s_0+6*s_r+IF(circ_int,eq_c1/2,0)))/INDEX(lk_legs,7))-(((2*IF(circ_int,0,eq_c2/2))+(PI()*(s_0+6*s_r+IF(circ_int,eq_c1/2,0))/2))+2*IF(circ_int,0,eq_c1/2)))/(s_0+6*s_r+IF(circ_int,eq_c1/2,0))),IF(((9+0.5)*(4*IF(circ_int,0,eq_c1/2)+4*IF(circ_int,0,eq_c2/2)+2*PI()*(s_0+6*s_r+IF(circ_int,eq_c1/2,0)))/INDEX(lk_legs,7))&lt;(((((2*IF(circ_int,0,eq_c2/2))+(PI()*(s_0+6*s_r+IF(circ_int,eq_c1/2,0))/2))+2*IF(circ_int,0,eq_c1/2))+(PI()*(s_0+6*s_r+IF(circ_int,eq_c1/2,0))/2))+2*IF(circ_int,0,eq_c2/2)),IF(circ_int,0,eq_c2/2)-(((9+0.5)*(4*IF(circ_int,0,eq_c1/2)+4*IF(circ_int,0,eq_c2/2)+2*PI()*(s_0+6*s_r+IF(circ_int,eq_c1/2,0)))/INDEX(lk_legs,7))-((((2*IF(circ_int,0,eq_c2/2))+(PI()*(s_0+6*s_r+IF(circ_int,eq_c1/2,0))/2))+2*IF(circ_int,0,eq_c1/2))+(PI()*(s_0+6*s_r+IF(circ_int,eq_c1/2,0))/2))),IF(((9+0.5)*(4*IF(circ_int,0,eq_c1/2)+4*IF(circ_int,0,eq_c2/2)+2*PI()*(s_0+6*s_r+IF(circ_int,eq_c1/2,0)))/INDEX(lk_legs,7))&lt;((((((2*IF(circ_int,0,eq_c2/2))+(PI()*(s_0+6*s_r+IF(circ_int,eq_c1/2,0))/2))+2*IF(circ_int,0,eq_c1/2))+(PI()*(s_0+6*s_r+IF(circ_int,eq_c1/2,0))/2))+2*IF(circ_int,0,eq_c2/2))+(PI()*(s_0+6*s_r+IF(circ_int,eq_c1/2,0))/2)),-IF(circ_int,0,eq_c2/2)+(s_0+6*s_r+IF(circ_int,eq_c1/2,0))*SIN(PI()+(((9+0.5)*(4*IF(circ_int,0,eq_c1/2)+4*IF(circ_int,0,eq_c2/2)+2*PI()*(s_0+6*s_r+IF(circ_int,eq_c1/2,0)))/INDEX(lk_legs,7))-(((((2*IF(circ_int,0,eq_c2/2))+(PI()*(s_0+6*s_r+IF(circ_int,eq_c1/2,0))/2))+2*IF(circ_int,0,eq_c1/2))+(PI()*(s_0+6*s_r+IF(circ_int,eq_c1/2,0))/2))+2*IF(circ_int,0,eq_c2/2)))/(s_0+6*s_r+IF(circ_int,eq_c1/2,0))),IF(((9+0.5)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(9+0.5)*(4*IF(circ_int,0,eq_c1/2)+4*IF(circ_int,0,eq_c2/2)+2*PI()*(s_0+6*s_r+IF(circ_int,eq_c1/2,0)))/INDEX(lk_legs,7))-(((((((2*IF(circ_int,0,eq_c2/2))+(PI()*(s_0+6*s_r+IF(circ_int,eq_c1/2,0))/2))+2*IF(circ_int,0,eq_c1/2))+(PI()*(s_0+6*s_r+IF(circ_int,eq_c1/2,0))/2))+2*IF(circ_int,0,eq_c2/2))+(PI()*(s_0+6*s_r+IF(circ_int,eq_c1/2,0))/2))+2*IF(circ_int,0,eq_c1/2)))/(s_0+6*s_r+IF(circ_int,eq_c1/2,0)))))))))),NA())</f>
        <v/>
      </c>
      <c r="CM12">
        <f>IF(AND(links_on,8&lt;=n_per),IF(circ_int,(g_ox)+(c_1/2+(s_0+7*s_r))*0.464723,CHOOSE(INDEX(lk_kind,8),(g_ox+eq_c1/2)+((s_0+7*s_r))*0.382683,(eq_a1+eq_c1)+((s_0+7*s_r))*0.866025,(eq_a1+eq_c1)+((s_0+7*s_r))*0.866025,(eq_a1)+((s_0+7*s_r))*-0.500000)),NA())</f>
        <v/>
      </c>
      <c r="CN12">
        <f>IF(AND(links_on,8&lt;=n_per),IF(circ_int,(g_oy)+(c_1/2+(s_0+7*s_r))*0.885456,CHOOSE(INDEX(lk_kind,8),(g_oy+eq_c2/2)+((s_0+7*s_r))*0.923880,(g_oy+eq_c2/2)+((s_0+7*s_r))*0.500000,(eq_a2+eq_c2)+((s_0+7*s_r))*0.500000,(eq_a2+eq_c2)+((s_0+7*s_r))*0.866025)),NA())</f>
        <v/>
      </c>
      <c r="CP12">
        <f>IF(AND(AND(links_on,8&lt;=n_per),INDEX(lk_kind,8)=1,9&lt;INDEX(lk_legs,8)),g_ox+IF(((9+0.5)*(4*IF(circ_int,0,eq_c1/2)+4*IF(circ_int,0,eq_c2/2)+2*PI()*(s_0+7*s_r+IF(circ_int,eq_c1/2,0)))/INDEX(lk_legs,8))&lt;(2*IF(circ_int,0,eq_c2/2)),IF(circ_int,0,eq_c1/2)+(s_0+7*s_r+IF(circ_int,eq_c1/2,0)),IF(((9+0.5)*(4*IF(circ_int,0,eq_c1/2)+4*IF(circ_int,0,eq_c2/2)+2*PI()*(s_0+7*s_r+IF(circ_int,eq_c1/2,0)))/INDEX(lk_legs,8))&lt;((2*IF(circ_int,0,eq_c2/2))+(PI()*(s_0+7*s_r+IF(circ_int,eq_c1/2,0))/2)),IF(circ_int,0,eq_c1/2)+(s_0+7*s_r+IF(circ_int,eq_c1/2,0))*COS((((9+0.5)*(4*IF(circ_int,0,eq_c1/2)+4*IF(circ_int,0,eq_c2/2)+2*PI()*(s_0+7*s_r+IF(circ_int,eq_c1/2,0)))/INDEX(lk_legs,8))-(2*IF(circ_int,0,eq_c2/2)))/(s_0+7*s_r+IF(circ_int,eq_c1/2,0))),IF(((9+0.5)*(4*IF(circ_int,0,eq_c1/2)+4*IF(circ_int,0,eq_c2/2)+2*PI()*(s_0+7*s_r+IF(circ_int,eq_c1/2,0)))/INDEX(lk_legs,8))&lt;(((2*IF(circ_int,0,eq_c2/2))+(PI()*(s_0+7*s_r+IF(circ_int,eq_c1/2,0))/2))+2*IF(circ_int,0,eq_c1/2)),IF(circ_int,0,eq_c1/2)-(((9+0.5)*(4*IF(circ_int,0,eq_c1/2)+4*IF(circ_int,0,eq_c2/2)+2*PI()*(s_0+7*s_r+IF(circ_int,eq_c1/2,0)))/INDEX(lk_legs,8))-((2*IF(circ_int,0,eq_c2/2))+(PI()*(s_0+7*s_r+IF(circ_int,eq_c1/2,0))/2))),IF(((9+0.5)*(4*IF(circ_int,0,eq_c1/2)+4*IF(circ_int,0,eq_c2/2)+2*PI()*(s_0+7*s_r+IF(circ_int,eq_c1/2,0)))/INDEX(lk_legs,8))&lt;((((2*IF(circ_int,0,eq_c2/2))+(PI()*(s_0+7*s_r+IF(circ_int,eq_c1/2,0))/2))+2*IF(circ_int,0,eq_c1/2))+(PI()*(s_0+7*s_r+IF(circ_int,eq_c1/2,0))/2)),-IF(circ_int,0,eq_c1/2)+(s_0+7*s_r+IF(circ_int,eq_c1/2,0))*COS(PI()/2+(((9+0.5)*(4*IF(circ_int,0,eq_c1/2)+4*IF(circ_int,0,eq_c2/2)+2*PI()*(s_0+7*s_r+IF(circ_int,eq_c1/2,0)))/INDEX(lk_legs,8))-(((2*IF(circ_int,0,eq_c2/2))+(PI()*(s_0+7*s_r+IF(circ_int,eq_c1/2,0))/2))+2*IF(circ_int,0,eq_c1/2)))/(s_0+7*s_r+IF(circ_int,eq_c1/2,0))),IF(((9+0.5)*(4*IF(circ_int,0,eq_c1/2)+4*IF(circ_int,0,eq_c2/2)+2*PI()*(s_0+7*s_r+IF(circ_int,eq_c1/2,0)))/INDEX(lk_legs,8))&lt;(((((2*IF(circ_int,0,eq_c2/2))+(PI()*(s_0+7*s_r+IF(circ_int,eq_c1/2,0))/2))+2*IF(circ_int,0,eq_c1/2))+(PI()*(s_0+7*s_r+IF(circ_int,eq_c1/2,0))/2))+2*IF(circ_int,0,eq_c2/2)),-IF(circ_int,0,eq_c1/2)-(s_0+7*s_r+IF(circ_int,eq_c1/2,0)),IF(((9+0.5)*(4*IF(circ_int,0,eq_c1/2)+4*IF(circ_int,0,eq_c2/2)+2*PI()*(s_0+7*s_r+IF(circ_int,eq_c1/2,0)))/INDEX(lk_legs,8))&lt;((((((2*IF(circ_int,0,eq_c2/2))+(PI()*(s_0+7*s_r+IF(circ_int,eq_c1/2,0))/2))+2*IF(circ_int,0,eq_c1/2))+(PI()*(s_0+7*s_r+IF(circ_int,eq_c1/2,0))/2))+2*IF(circ_int,0,eq_c2/2))+(PI()*(s_0+7*s_r+IF(circ_int,eq_c1/2,0))/2)),-IF(circ_int,0,eq_c1/2)+(s_0+7*s_r+IF(circ_int,eq_c1/2,0))*COS(PI()+(((9+0.5)*(4*IF(circ_int,0,eq_c1/2)+4*IF(circ_int,0,eq_c2/2)+2*PI()*(s_0+7*s_r+IF(circ_int,eq_c1/2,0)))/INDEX(lk_legs,8))-(((((2*IF(circ_int,0,eq_c2/2))+(PI()*(s_0+7*s_r+IF(circ_int,eq_c1/2,0))/2))+2*IF(circ_int,0,eq_c1/2))+(PI()*(s_0+7*s_r+IF(circ_int,eq_c1/2,0))/2))+2*IF(circ_int,0,eq_c2/2)))/(s_0+7*s_r+IF(circ_int,eq_c1/2,0))),IF(((9+0.5)*(4*IF(circ_int,0,eq_c1/2)+4*IF(circ_int,0,eq_c2/2)+2*PI()*(s_0+7*s_r+IF(circ_int,eq_c1/2,0)))/INDEX(lk_legs,8))&lt;(((((((2*IF(circ_int,0,eq_c2/2))+(PI()*(s_0+7*s_r+IF(circ_int,eq_c1/2,0))/2))+2*IF(circ_int,0,eq_c1/2))+(PI()*(s_0+7*s_r+IF(circ_int,eq_c1/2,0))/2))+2*IF(circ_int,0,eq_c2/2))+(PI()*(s_0+7*s_r+IF(circ_int,eq_c1/2,0))/2))+2*IF(circ_int,0,eq_c1/2)),-IF(circ_int,0,eq_c1/2)+(((9+0.5)*(4*IF(circ_int,0,eq_c1/2)+4*IF(circ_int,0,eq_c2/2)+2*PI()*(s_0+7*s_r+IF(circ_int,eq_c1/2,0)))/INDEX(lk_legs,8))-((((((2*IF(circ_int,0,eq_c2/2))+(PI()*(s_0+7*s_r+IF(circ_int,eq_c1/2,0))/2))+2*IF(circ_int,0,eq_c1/2))+(PI()*(s_0+7*s_r+IF(circ_int,eq_c1/2,0))/2))+2*IF(circ_int,0,eq_c2/2))+(PI()*(s_0+7*s_r+IF(circ_int,eq_c1/2,0))/2))),IF(circ_int,0,eq_c1/2)+(s_0+7*s_r+IF(circ_int,eq_c1/2,0))*COS(3*PI()/2+(((9+0.5)*(4*IF(circ_int,0,eq_c1/2)+4*IF(circ_int,0,eq_c2/2)+2*PI()*(s_0+7*s_r+IF(circ_int,eq_c1/2,0)))/INDEX(lk_legs,8))-(((((((2*IF(circ_int,0,eq_c2/2))+(PI()*(s_0+7*s_r+IF(circ_int,eq_c1/2,0))/2))+2*IF(circ_int,0,eq_c1/2))+(PI()*(s_0+7*s_r+IF(circ_int,eq_c1/2,0))/2))+2*IF(circ_int,0,eq_c2/2))+(PI()*(s_0+7*s_r+IF(circ_int,eq_c1/2,0))/2))+2*IF(circ_int,0,eq_c1/2)))/(s_0+7*s_r+IF(circ_int,eq_c1/2,0)))))))))),NA())</f>
        <v/>
      </c>
      <c r="CQ12">
        <f>IF(AND(AND(links_on,8&lt;=n_per),INDEX(lk_kind,8)=1,9&lt;INDEX(lk_legs,8)),g_oy+IF(((9+0.5)*(4*IF(circ_int,0,eq_c1/2)+4*IF(circ_int,0,eq_c2/2)+2*PI()*(s_0+7*s_r+IF(circ_int,eq_c1/2,0)))/INDEX(lk_legs,8))&lt;(2*IF(circ_int,0,eq_c2/2)),-IF(circ_int,0,eq_c2/2)+((9+0.5)*(4*IF(circ_int,0,eq_c1/2)+4*IF(circ_int,0,eq_c2/2)+2*PI()*(s_0+7*s_r+IF(circ_int,eq_c1/2,0)))/INDEX(lk_legs,8)),IF(((9+0.5)*(4*IF(circ_int,0,eq_c1/2)+4*IF(circ_int,0,eq_c2/2)+2*PI()*(s_0+7*s_r+IF(circ_int,eq_c1/2,0)))/INDEX(lk_legs,8))&lt;((2*IF(circ_int,0,eq_c2/2))+(PI()*(s_0+7*s_r+IF(circ_int,eq_c1/2,0))/2)),IF(circ_int,0,eq_c2/2)+(s_0+7*s_r+IF(circ_int,eq_c1/2,0))*SIN((((9+0.5)*(4*IF(circ_int,0,eq_c1/2)+4*IF(circ_int,0,eq_c2/2)+2*PI()*(s_0+7*s_r+IF(circ_int,eq_c1/2,0)))/INDEX(lk_legs,8))-(2*IF(circ_int,0,eq_c2/2)))/(s_0+7*s_r+IF(circ_int,eq_c1/2,0))),IF(((9+0.5)*(4*IF(circ_int,0,eq_c1/2)+4*IF(circ_int,0,eq_c2/2)+2*PI()*(s_0+7*s_r+IF(circ_int,eq_c1/2,0)))/INDEX(lk_legs,8))&lt;(((2*IF(circ_int,0,eq_c2/2))+(PI()*(s_0+7*s_r+IF(circ_int,eq_c1/2,0))/2))+2*IF(circ_int,0,eq_c1/2)),IF(circ_int,0,eq_c2/2)+(s_0+7*s_r+IF(circ_int,eq_c1/2,0)),IF(((9+0.5)*(4*IF(circ_int,0,eq_c1/2)+4*IF(circ_int,0,eq_c2/2)+2*PI()*(s_0+7*s_r+IF(circ_int,eq_c1/2,0)))/INDEX(lk_legs,8))&lt;((((2*IF(circ_int,0,eq_c2/2))+(PI()*(s_0+7*s_r+IF(circ_int,eq_c1/2,0))/2))+2*IF(circ_int,0,eq_c1/2))+(PI()*(s_0+7*s_r+IF(circ_int,eq_c1/2,0))/2)),IF(circ_int,0,eq_c2/2)+(s_0+7*s_r+IF(circ_int,eq_c1/2,0))*SIN(PI()/2+(((9+0.5)*(4*IF(circ_int,0,eq_c1/2)+4*IF(circ_int,0,eq_c2/2)+2*PI()*(s_0+7*s_r+IF(circ_int,eq_c1/2,0)))/INDEX(lk_legs,8))-(((2*IF(circ_int,0,eq_c2/2))+(PI()*(s_0+7*s_r+IF(circ_int,eq_c1/2,0))/2))+2*IF(circ_int,0,eq_c1/2)))/(s_0+7*s_r+IF(circ_int,eq_c1/2,0))),IF(((9+0.5)*(4*IF(circ_int,0,eq_c1/2)+4*IF(circ_int,0,eq_c2/2)+2*PI()*(s_0+7*s_r+IF(circ_int,eq_c1/2,0)))/INDEX(lk_legs,8))&lt;(((((2*IF(circ_int,0,eq_c2/2))+(PI()*(s_0+7*s_r+IF(circ_int,eq_c1/2,0))/2))+2*IF(circ_int,0,eq_c1/2))+(PI()*(s_0+7*s_r+IF(circ_int,eq_c1/2,0))/2))+2*IF(circ_int,0,eq_c2/2)),IF(circ_int,0,eq_c2/2)-(((9+0.5)*(4*IF(circ_int,0,eq_c1/2)+4*IF(circ_int,0,eq_c2/2)+2*PI()*(s_0+7*s_r+IF(circ_int,eq_c1/2,0)))/INDEX(lk_legs,8))-((((2*IF(circ_int,0,eq_c2/2))+(PI()*(s_0+7*s_r+IF(circ_int,eq_c1/2,0))/2))+2*IF(circ_int,0,eq_c1/2))+(PI()*(s_0+7*s_r+IF(circ_int,eq_c1/2,0))/2))),IF(((9+0.5)*(4*IF(circ_int,0,eq_c1/2)+4*IF(circ_int,0,eq_c2/2)+2*PI()*(s_0+7*s_r+IF(circ_int,eq_c1/2,0)))/INDEX(lk_legs,8))&lt;((((((2*IF(circ_int,0,eq_c2/2))+(PI()*(s_0+7*s_r+IF(circ_int,eq_c1/2,0))/2))+2*IF(circ_int,0,eq_c1/2))+(PI()*(s_0+7*s_r+IF(circ_int,eq_c1/2,0))/2))+2*IF(circ_int,0,eq_c2/2))+(PI()*(s_0+7*s_r+IF(circ_int,eq_c1/2,0))/2)),-IF(circ_int,0,eq_c2/2)+(s_0+7*s_r+IF(circ_int,eq_c1/2,0))*SIN(PI()+(((9+0.5)*(4*IF(circ_int,0,eq_c1/2)+4*IF(circ_int,0,eq_c2/2)+2*PI()*(s_0+7*s_r+IF(circ_int,eq_c1/2,0)))/INDEX(lk_legs,8))-(((((2*IF(circ_int,0,eq_c2/2))+(PI()*(s_0+7*s_r+IF(circ_int,eq_c1/2,0))/2))+2*IF(circ_int,0,eq_c1/2))+(PI()*(s_0+7*s_r+IF(circ_int,eq_c1/2,0))/2))+2*IF(circ_int,0,eq_c2/2)))/(s_0+7*s_r+IF(circ_int,eq_c1/2,0))),IF(((9+0.5)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(9+0.5)*(4*IF(circ_int,0,eq_c1/2)+4*IF(circ_int,0,eq_c2/2)+2*PI()*(s_0+7*s_r+IF(circ_int,eq_c1/2,0)))/INDEX(lk_legs,8))-(((((((2*IF(circ_int,0,eq_c2/2))+(PI()*(s_0+7*s_r+IF(circ_int,eq_c1/2,0))/2))+2*IF(circ_int,0,eq_c1/2))+(PI()*(s_0+7*s_r+IF(circ_int,eq_c1/2,0))/2))+2*IF(circ_int,0,eq_c2/2))+(PI()*(s_0+7*s_r+IF(circ_int,eq_c1/2,0))/2))+2*IF(circ_int,0,eq_c1/2)))/(s_0+7*s_r+IF(circ_int,eq_c1/2,0)))))))))),NA())</f>
        <v/>
      </c>
      <c r="CS12">
        <f>IF(AND(links_on,9&lt;=n_per),IF(circ_int,(g_ox)+(c_1/2+(s_0+8*s_r))*0.464723,CHOOSE(INDEX(lk_kind,9),(g_ox+eq_c1/2)+((s_0+8*s_r))*0.382683,(eq_a1+eq_c1)+((s_0+8*s_r))*0.866025,(eq_a1+eq_c1)+((s_0+8*s_r))*0.866025,(eq_a1)+((s_0+8*s_r))*-0.500000)),NA())</f>
        <v/>
      </c>
      <c r="CT12">
        <f>IF(AND(links_on,9&lt;=n_per),IF(circ_int,(g_oy)+(c_1/2+(s_0+8*s_r))*0.885456,CHOOSE(INDEX(lk_kind,9),(g_oy+eq_c2/2)+((s_0+8*s_r))*0.923880,(g_oy+eq_c2/2)+((s_0+8*s_r))*0.500000,(eq_a2+eq_c2)+((s_0+8*s_r))*0.500000,(eq_a2+eq_c2)+((s_0+8*s_r))*0.866025)),NA())</f>
        <v/>
      </c>
      <c r="CV12">
        <f>IF(AND(AND(links_on,9&lt;=n_per),INDEX(lk_kind,9)=1,9&lt;INDEX(lk_legs,9)),g_ox+IF(((9+0.5)*(4*IF(circ_int,0,eq_c1/2)+4*IF(circ_int,0,eq_c2/2)+2*PI()*(s_0+8*s_r+IF(circ_int,eq_c1/2,0)))/INDEX(lk_legs,9))&lt;(2*IF(circ_int,0,eq_c2/2)),IF(circ_int,0,eq_c1/2)+(s_0+8*s_r+IF(circ_int,eq_c1/2,0)),IF(((9+0.5)*(4*IF(circ_int,0,eq_c1/2)+4*IF(circ_int,0,eq_c2/2)+2*PI()*(s_0+8*s_r+IF(circ_int,eq_c1/2,0)))/INDEX(lk_legs,9))&lt;((2*IF(circ_int,0,eq_c2/2))+(PI()*(s_0+8*s_r+IF(circ_int,eq_c1/2,0))/2)),IF(circ_int,0,eq_c1/2)+(s_0+8*s_r+IF(circ_int,eq_c1/2,0))*COS((((9+0.5)*(4*IF(circ_int,0,eq_c1/2)+4*IF(circ_int,0,eq_c2/2)+2*PI()*(s_0+8*s_r+IF(circ_int,eq_c1/2,0)))/INDEX(lk_legs,9))-(2*IF(circ_int,0,eq_c2/2)))/(s_0+8*s_r+IF(circ_int,eq_c1/2,0))),IF(((9+0.5)*(4*IF(circ_int,0,eq_c1/2)+4*IF(circ_int,0,eq_c2/2)+2*PI()*(s_0+8*s_r+IF(circ_int,eq_c1/2,0)))/INDEX(lk_legs,9))&lt;(((2*IF(circ_int,0,eq_c2/2))+(PI()*(s_0+8*s_r+IF(circ_int,eq_c1/2,0))/2))+2*IF(circ_int,0,eq_c1/2)),IF(circ_int,0,eq_c1/2)-(((9+0.5)*(4*IF(circ_int,0,eq_c1/2)+4*IF(circ_int,0,eq_c2/2)+2*PI()*(s_0+8*s_r+IF(circ_int,eq_c1/2,0)))/INDEX(lk_legs,9))-((2*IF(circ_int,0,eq_c2/2))+(PI()*(s_0+8*s_r+IF(circ_int,eq_c1/2,0))/2))),IF(((9+0.5)*(4*IF(circ_int,0,eq_c1/2)+4*IF(circ_int,0,eq_c2/2)+2*PI()*(s_0+8*s_r+IF(circ_int,eq_c1/2,0)))/INDEX(lk_legs,9))&lt;((((2*IF(circ_int,0,eq_c2/2))+(PI()*(s_0+8*s_r+IF(circ_int,eq_c1/2,0))/2))+2*IF(circ_int,0,eq_c1/2))+(PI()*(s_0+8*s_r+IF(circ_int,eq_c1/2,0))/2)),-IF(circ_int,0,eq_c1/2)+(s_0+8*s_r+IF(circ_int,eq_c1/2,0))*COS(PI()/2+(((9+0.5)*(4*IF(circ_int,0,eq_c1/2)+4*IF(circ_int,0,eq_c2/2)+2*PI()*(s_0+8*s_r+IF(circ_int,eq_c1/2,0)))/INDEX(lk_legs,9))-(((2*IF(circ_int,0,eq_c2/2))+(PI()*(s_0+8*s_r+IF(circ_int,eq_c1/2,0))/2))+2*IF(circ_int,0,eq_c1/2)))/(s_0+8*s_r+IF(circ_int,eq_c1/2,0))),IF(((9+0.5)*(4*IF(circ_int,0,eq_c1/2)+4*IF(circ_int,0,eq_c2/2)+2*PI()*(s_0+8*s_r+IF(circ_int,eq_c1/2,0)))/INDEX(lk_legs,9))&lt;(((((2*IF(circ_int,0,eq_c2/2))+(PI()*(s_0+8*s_r+IF(circ_int,eq_c1/2,0))/2))+2*IF(circ_int,0,eq_c1/2))+(PI()*(s_0+8*s_r+IF(circ_int,eq_c1/2,0))/2))+2*IF(circ_int,0,eq_c2/2)),-IF(circ_int,0,eq_c1/2)-(s_0+8*s_r+IF(circ_int,eq_c1/2,0)),IF(((9+0.5)*(4*IF(circ_int,0,eq_c1/2)+4*IF(circ_int,0,eq_c2/2)+2*PI()*(s_0+8*s_r+IF(circ_int,eq_c1/2,0)))/INDEX(lk_legs,9))&lt;((((((2*IF(circ_int,0,eq_c2/2))+(PI()*(s_0+8*s_r+IF(circ_int,eq_c1/2,0))/2))+2*IF(circ_int,0,eq_c1/2))+(PI()*(s_0+8*s_r+IF(circ_int,eq_c1/2,0))/2))+2*IF(circ_int,0,eq_c2/2))+(PI()*(s_0+8*s_r+IF(circ_int,eq_c1/2,0))/2)),-IF(circ_int,0,eq_c1/2)+(s_0+8*s_r+IF(circ_int,eq_c1/2,0))*COS(PI()+(((9+0.5)*(4*IF(circ_int,0,eq_c1/2)+4*IF(circ_int,0,eq_c2/2)+2*PI()*(s_0+8*s_r+IF(circ_int,eq_c1/2,0)))/INDEX(lk_legs,9))-(((((2*IF(circ_int,0,eq_c2/2))+(PI()*(s_0+8*s_r+IF(circ_int,eq_c1/2,0))/2))+2*IF(circ_int,0,eq_c1/2))+(PI()*(s_0+8*s_r+IF(circ_int,eq_c1/2,0))/2))+2*IF(circ_int,0,eq_c2/2)))/(s_0+8*s_r+IF(circ_int,eq_c1/2,0))),IF(((9+0.5)*(4*IF(circ_int,0,eq_c1/2)+4*IF(circ_int,0,eq_c2/2)+2*PI()*(s_0+8*s_r+IF(circ_int,eq_c1/2,0)))/INDEX(lk_legs,9))&lt;(((((((2*IF(circ_int,0,eq_c2/2))+(PI()*(s_0+8*s_r+IF(circ_int,eq_c1/2,0))/2))+2*IF(circ_int,0,eq_c1/2))+(PI()*(s_0+8*s_r+IF(circ_int,eq_c1/2,0))/2))+2*IF(circ_int,0,eq_c2/2))+(PI()*(s_0+8*s_r+IF(circ_int,eq_c1/2,0))/2))+2*IF(circ_int,0,eq_c1/2)),-IF(circ_int,0,eq_c1/2)+(((9+0.5)*(4*IF(circ_int,0,eq_c1/2)+4*IF(circ_int,0,eq_c2/2)+2*PI()*(s_0+8*s_r+IF(circ_int,eq_c1/2,0)))/INDEX(lk_legs,9))-((((((2*IF(circ_int,0,eq_c2/2))+(PI()*(s_0+8*s_r+IF(circ_int,eq_c1/2,0))/2))+2*IF(circ_int,0,eq_c1/2))+(PI()*(s_0+8*s_r+IF(circ_int,eq_c1/2,0))/2))+2*IF(circ_int,0,eq_c2/2))+(PI()*(s_0+8*s_r+IF(circ_int,eq_c1/2,0))/2))),IF(circ_int,0,eq_c1/2)+(s_0+8*s_r+IF(circ_int,eq_c1/2,0))*COS(3*PI()/2+(((9+0.5)*(4*IF(circ_int,0,eq_c1/2)+4*IF(circ_int,0,eq_c2/2)+2*PI()*(s_0+8*s_r+IF(circ_int,eq_c1/2,0)))/INDEX(lk_legs,9))-(((((((2*IF(circ_int,0,eq_c2/2))+(PI()*(s_0+8*s_r+IF(circ_int,eq_c1/2,0))/2))+2*IF(circ_int,0,eq_c1/2))+(PI()*(s_0+8*s_r+IF(circ_int,eq_c1/2,0))/2))+2*IF(circ_int,0,eq_c2/2))+(PI()*(s_0+8*s_r+IF(circ_int,eq_c1/2,0))/2))+2*IF(circ_int,0,eq_c1/2)))/(s_0+8*s_r+IF(circ_int,eq_c1/2,0)))))))))),NA())</f>
        <v/>
      </c>
      <c r="CW12">
        <f>IF(AND(AND(links_on,9&lt;=n_per),INDEX(lk_kind,9)=1,9&lt;INDEX(lk_legs,9)),g_oy+IF(((9+0.5)*(4*IF(circ_int,0,eq_c1/2)+4*IF(circ_int,0,eq_c2/2)+2*PI()*(s_0+8*s_r+IF(circ_int,eq_c1/2,0)))/INDEX(lk_legs,9))&lt;(2*IF(circ_int,0,eq_c2/2)),-IF(circ_int,0,eq_c2/2)+((9+0.5)*(4*IF(circ_int,0,eq_c1/2)+4*IF(circ_int,0,eq_c2/2)+2*PI()*(s_0+8*s_r+IF(circ_int,eq_c1/2,0)))/INDEX(lk_legs,9)),IF(((9+0.5)*(4*IF(circ_int,0,eq_c1/2)+4*IF(circ_int,0,eq_c2/2)+2*PI()*(s_0+8*s_r+IF(circ_int,eq_c1/2,0)))/INDEX(lk_legs,9))&lt;((2*IF(circ_int,0,eq_c2/2))+(PI()*(s_0+8*s_r+IF(circ_int,eq_c1/2,0))/2)),IF(circ_int,0,eq_c2/2)+(s_0+8*s_r+IF(circ_int,eq_c1/2,0))*SIN((((9+0.5)*(4*IF(circ_int,0,eq_c1/2)+4*IF(circ_int,0,eq_c2/2)+2*PI()*(s_0+8*s_r+IF(circ_int,eq_c1/2,0)))/INDEX(lk_legs,9))-(2*IF(circ_int,0,eq_c2/2)))/(s_0+8*s_r+IF(circ_int,eq_c1/2,0))),IF(((9+0.5)*(4*IF(circ_int,0,eq_c1/2)+4*IF(circ_int,0,eq_c2/2)+2*PI()*(s_0+8*s_r+IF(circ_int,eq_c1/2,0)))/INDEX(lk_legs,9))&lt;(((2*IF(circ_int,0,eq_c2/2))+(PI()*(s_0+8*s_r+IF(circ_int,eq_c1/2,0))/2))+2*IF(circ_int,0,eq_c1/2)),IF(circ_int,0,eq_c2/2)+(s_0+8*s_r+IF(circ_int,eq_c1/2,0)),IF(((9+0.5)*(4*IF(circ_int,0,eq_c1/2)+4*IF(circ_int,0,eq_c2/2)+2*PI()*(s_0+8*s_r+IF(circ_int,eq_c1/2,0)))/INDEX(lk_legs,9))&lt;((((2*IF(circ_int,0,eq_c2/2))+(PI()*(s_0+8*s_r+IF(circ_int,eq_c1/2,0))/2))+2*IF(circ_int,0,eq_c1/2))+(PI()*(s_0+8*s_r+IF(circ_int,eq_c1/2,0))/2)),IF(circ_int,0,eq_c2/2)+(s_0+8*s_r+IF(circ_int,eq_c1/2,0))*SIN(PI()/2+(((9+0.5)*(4*IF(circ_int,0,eq_c1/2)+4*IF(circ_int,0,eq_c2/2)+2*PI()*(s_0+8*s_r+IF(circ_int,eq_c1/2,0)))/INDEX(lk_legs,9))-(((2*IF(circ_int,0,eq_c2/2))+(PI()*(s_0+8*s_r+IF(circ_int,eq_c1/2,0))/2))+2*IF(circ_int,0,eq_c1/2)))/(s_0+8*s_r+IF(circ_int,eq_c1/2,0))),IF(((9+0.5)*(4*IF(circ_int,0,eq_c1/2)+4*IF(circ_int,0,eq_c2/2)+2*PI()*(s_0+8*s_r+IF(circ_int,eq_c1/2,0)))/INDEX(lk_legs,9))&lt;(((((2*IF(circ_int,0,eq_c2/2))+(PI()*(s_0+8*s_r+IF(circ_int,eq_c1/2,0))/2))+2*IF(circ_int,0,eq_c1/2))+(PI()*(s_0+8*s_r+IF(circ_int,eq_c1/2,0))/2))+2*IF(circ_int,0,eq_c2/2)),IF(circ_int,0,eq_c2/2)-(((9+0.5)*(4*IF(circ_int,0,eq_c1/2)+4*IF(circ_int,0,eq_c2/2)+2*PI()*(s_0+8*s_r+IF(circ_int,eq_c1/2,0)))/INDEX(lk_legs,9))-((((2*IF(circ_int,0,eq_c2/2))+(PI()*(s_0+8*s_r+IF(circ_int,eq_c1/2,0))/2))+2*IF(circ_int,0,eq_c1/2))+(PI()*(s_0+8*s_r+IF(circ_int,eq_c1/2,0))/2))),IF(((9+0.5)*(4*IF(circ_int,0,eq_c1/2)+4*IF(circ_int,0,eq_c2/2)+2*PI()*(s_0+8*s_r+IF(circ_int,eq_c1/2,0)))/INDEX(lk_legs,9))&lt;((((((2*IF(circ_int,0,eq_c2/2))+(PI()*(s_0+8*s_r+IF(circ_int,eq_c1/2,0))/2))+2*IF(circ_int,0,eq_c1/2))+(PI()*(s_0+8*s_r+IF(circ_int,eq_c1/2,0))/2))+2*IF(circ_int,0,eq_c2/2))+(PI()*(s_0+8*s_r+IF(circ_int,eq_c1/2,0))/2)),-IF(circ_int,0,eq_c2/2)+(s_0+8*s_r+IF(circ_int,eq_c1/2,0))*SIN(PI()+(((9+0.5)*(4*IF(circ_int,0,eq_c1/2)+4*IF(circ_int,0,eq_c2/2)+2*PI()*(s_0+8*s_r+IF(circ_int,eq_c1/2,0)))/INDEX(lk_legs,9))-(((((2*IF(circ_int,0,eq_c2/2))+(PI()*(s_0+8*s_r+IF(circ_int,eq_c1/2,0))/2))+2*IF(circ_int,0,eq_c1/2))+(PI()*(s_0+8*s_r+IF(circ_int,eq_c1/2,0))/2))+2*IF(circ_int,0,eq_c2/2)))/(s_0+8*s_r+IF(circ_int,eq_c1/2,0))),IF(((9+0.5)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(9+0.5)*(4*IF(circ_int,0,eq_c1/2)+4*IF(circ_int,0,eq_c2/2)+2*PI()*(s_0+8*s_r+IF(circ_int,eq_c1/2,0)))/INDEX(lk_legs,9))-(((((((2*IF(circ_int,0,eq_c2/2))+(PI()*(s_0+8*s_r+IF(circ_int,eq_c1/2,0))/2))+2*IF(circ_int,0,eq_c1/2))+(PI()*(s_0+8*s_r+IF(circ_int,eq_c1/2,0))/2))+2*IF(circ_int,0,eq_c2/2))+(PI()*(s_0+8*s_r+IF(circ_int,eq_c1/2,0))/2))+2*IF(circ_int,0,eq_c1/2)))/(s_0+8*s_r+IF(circ_int,eq_c1/2,0)))))))))),NA())</f>
        <v/>
      </c>
      <c r="CY12">
        <f>IF(AND(links_on,10&lt;=n_per),IF(circ_int,(g_ox)+(c_1/2+(s_0+9*s_r))*0.464723,CHOOSE(INDEX(lk_kind,10),(g_ox+eq_c1/2)+((s_0+9*s_r))*0.382683,(eq_a1+eq_c1)+((s_0+9*s_r))*0.866025,(eq_a1+eq_c1)+((s_0+9*s_r))*0.866025,(eq_a1)+((s_0+9*s_r))*-0.500000)),NA())</f>
        <v/>
      </c>
      <c r="CZ12">
        <f>IF(AND(links_on,10&lt;=n_per),IF(circ_int,(g_oy)+(c_1/2+(s_0+9*s_r))*0.885456,CHOOSE(INDEX(lk_kind,10),(g_oy+eq_c2/2)+((s_0+9*s_r))*0.923880,(g_oy+eq_c2/2)+((s_0+9*s_r))*0.500000,(eq_a2+eq_c2)+((s_0+9*s_r))*0.500000,(eq_a2+eq_c2)+((s_0+9*s_r))*0.866025)),NA())</f>
        <v/>
      </c>
      <c r="DB12">
        <f>IF(AND(AND(links_on,10&lt;=n_per),INDEX(lk_kind,10)=1,9&lt;INDEX(lk_legs,10)),g_ox+IF(((9+0.5)*(4*IF(circ_int,0,eq_c1/2)+4*IF(circ_int,0,eq_c2/2)+2*PI()*(s_0+9*s_r+IF(circ_int,eq_c1/2,0)))/INDEX(lk_legs,10))&lt;(2*IF(circ_int,0,eq_c2/2)),IF(circ_int,0,eq_c1/2)+(s_0+9*s_r+IF(circ_int,eq_c1/2,0)),IF(((9+0.5)*(4*IF(circ_int,0,eq_c1/2)+4*IF(circ_int,0,eq_c2/2)+2*PI()*(s_0+9*s_r+IF(circ_int,eq_c1/2,0)))/INDEX(lk_legs,10))&lt;((2*IF(circ_int,0,eq_c2/2))+(PI()*(s_0+9*s_r+IF(circ_int,eq_c1/2,0))/2)),IF(circ_int,0,eq_c1/2)+(s_0+9*s_r+IF(circ_int,eq_c1/2,0))*COS((((9+0.5)*(4*IF(circ_int,0,eq_c1/2)+4*IF(circ_int,0,eq_c2/2)+2*PI()*(s_0+9*s_r+IF(circ_int,eq_c1/2,0)))/INDEX(lk_legs,10))-(2*IF(circ_int,0,eq_c2/2)))/(s_0+9*s_r+IF(circ_int,eq_c1/2,0))),IF(((9+0.5)*(4*IF(circ_int,0,eq_c1/2)+4*IF(circ_int,0,eq_c2/2)+2*PI()*(s_0+9*s_r+IF(circ_int,eq_c1/2,0)))/INDEX(lk_legs,10))&lt;(((2*IF(circ_int,0,eq_c2/2))+(PI()*(s_0+9*s_r+IF(circ_int,eq_c1/2,0))/2))+2*IF(circ_int,0,eq_c1/2)),IF(circ_int,0,eq_c1/2)-(((9+0.5)*(4*IF(circ_int,0,eq_c1/2)+4*IF(circ_int,0,eq_c2/2)+2*PI()*(s_0+9*s_r+IF(circ_int,eq_c1/2,0)))/INDEX(lk_legs,10))-((2*IF(circ_int,0,eq_c2/2))+(PI()*(s_0+9*s_r+IF(circ_int,eq_c1/2,0))/2))),IF(((9+0.5)*(4*IF(circ_int,0,eq_c1/2)+4*IF(circ_int,0,eq_c2/2)+2*PI()*(s_0+9*s_r+IF(circ_int,eq_c1/2,0)))/INDEX(lk_legs,10))&lt;((((2*IF(circ_int,0,eq_c2/2))+(PI()*(s_0+9*s_r+IF(circ_int,eq_c1/2,0))/2))+2*IF(circ_int,0,eq_c1/2))+(PI()*(s_0+9*s_r+IF(circ_int,eq_c1/2,0))/2)),-IF(circ_int,0,eq_c1/2)+(s_0+9*s_r+IF(circ_int,eq_c1/2,0))*COS(PI()/2+(((9+0.5)*(4*IF(circ_int,0,eq_c1/2)+4*IF(circ_int,0,eq_c2/2)+2*PI()*(s_0+9*s_r+IF(circ_int,eq_c1/2,0)))/INDEX(lk_legs,10))-(((2*IF(circ_int,0,eq_c2/2))+(PI()*(s_0+9*s_r+IF(circ_int,eq_c1/2,0))/2))+2*IF(circ_int,0,eq_c1/2)))/(s_0+9*s_r+IF(circ_int,eq_c1/2,0))),IF(((9+0.5)*(4*IF(circ_int,0,eq_c1/2)+4*IF(circ_int,0,eq_c2/2)+2*PI()*(s_0+9*s_r+IF(circ_int,eq_c1/2,0)))/INDEX(lk_legs,10))&lt;(((((2*IF(circ_int,0,eq_c2/2))+(PI()*(s_0+9*s_r+IF(circ_int,eq_c1/2,0))/2))+2*IF(circ_int,0,eq_c1/2))+(PI()*(s_0+9*s_r+IF(circ_int,eq_c1/2,0))/2))+2*IF(circ_int,0,eq_c2/2)),-IF(circ_int,0,eq_c1/2)-(s_0+9*s_r+IF(circ_int,eq_c1/2,0)),IF(((9+0.5)*(4*IF(circ_int,0,eq_c1/2)+4*IF(circ_int,0,eq_c2/2)+2*PI()*(s_0+9*s_r+IF(circ_int,eq_c1/2,0)))/INDEX(lk_legs,10))&lt;((((((2*IF(circ_int,0,eq_c2/2))+(PI()*(s_0+9*s_r+IF(circ_int,eq_c1/2,0))/2))+2*IF(circ_int,0,eq_c1/2))+(PI()*(s_0+9*s_r+IF(circ_int,eq_c1/2,0))/2))+2*IF(circ_int,0,eq_c2/2))+(PI()*(s_0+9*s_r+IF(circ_int,eq_c1/2,0))/2)),-IF(circ_int,0,eq_c1/2)+(s_0+9*s_r+IF(circ_int,eq_c1/2,0))*COS(PI()+(((9+0.5)*(4*IF(circ_int,0,eq_c1/2)+4*IF(circ_int,0,eq_c2/2)+2*PI()*(s_0+9*s_r+IF(circ_int,eq_c1/2,0)))/INDEX(lk_legs,10))-(((((2*IF(circ_int,0,eq_c2/2))+(PI()*(s_0+9*s_r+IF(circ_int,eq_c1/2,0))/2))+2*IF(circ_int,0,eq_c1/2))+(PI()*(s_0+9*s_r+IF(circ_int,eq_c1/2,0))/2))+2*IF(circ_int,0,eq_c2/2)))/(s_0+9*s_r+IF(circ_int,eq_c1/2,0))),IF(((9+0.5)*(4*IF(circ_int,0,eq_c1/2)+4*IF(circ_int,0,eq_c2/2)+2*PI()*(s_0+9*s_r+IF(circ_int,eq_c1/2,0)))/INDEX(lk_legs,10))&lt;(((((((2*IF(circ_int,0,eq_c2/2))+(PI()*(s_0+9*s_r+IF(circ_int,eq_c1/2,0))/2))+2*IF(circ_int,0,eq_c1/2))+(PI()*(s_0+9*s_r+IF(circ_int,eq_c1/2,0))/2))+2*IF(circ_int,0,eq_c2/2))+(PI()*(s_0+9*s_r+IF(circ_int,eq_c1/2,0))/2))+2*IF(circ_int,0,eq_c1/2)),-IF(circ_int,0,eq_c1/2)+(((9+0.5)*(4*IF(circ_int,0,eq_c1/2)+4*IF(circ_int,0,eq_c2/2)+2*PI()*(s_0+9*s_r+IF(circ_int,eq_c1/2,0)))/INDEX(lk_legs,10))-((((((2*IF(circ_int,0,eq_c2/2))+(PI()*(s_0+9*s_r+IF(circ_int,eq_c1/2,0))/2))+2*IF(circ_int,0,eq_c1/2))+(PI()*(s_0+9*s_r+IF(circ_int,eq_c1/2,0))/2))+2*IF(circ_int,0,eq_c2/2))+(PI()*(s_0+9*s_r+IF(circ_int,eq_c1/2,0))/2))),IF(circ_int,0,eq_c1/2)+(s_0+9*s_r+IF(circ_int,eq_c1/2,0))*COS(3*PI()/2+(((9+0.5)*(4*IF(circ_int,0,eq_c1/2)+4*IF(circ_int,0,eq_c2/2)+2*PI()*(s_0+9*s_r+IF(circ_int,eq_c1/2,0)))/INDEX(lk_legs,10))-(((((((2*IF(circ_int,0,eq_c2/2))+(PI()*(s_0+9*s_r+IF(circ_int,eq_c1/2,0))/2))+2*IF(circ_int,0,eq_c1/2))+(PI()*(s_0+9*s_r+IF(circ_int,eq_c1/2,0))/2))+2*IF(circ_int,0,eq_c2/2))+(PI()*(s_0+9*s_r+IF(circ_int,eq_c1/2,0))/2))+2*IF(circ_int,0,eq_c1/2)))/(s_0+9*s_r+IF(circ_int,eq_c1/2,0)))))))))),NA())</f>
        <v/>
      </c>
      <c r="DC12">
        <f>IF(AND(AND(links_on,10&lt;=n_per),INDEX(lk_kind,10)=1,9&lt;INDEX(lk_legs,10)),g_oy+IF(((9+0.5)*(4*IF(circ_int,0,eq_c1/2)+4*IF(circ_int,0,eq_c2/2)+2*PI()*(s_0+9*s_r+IF(circ_int,eq_c1/2,0)))/INDEX(lk_legs,10))&lt;(2*IF(circ_int,0,eq_c2/2)),-IF(circ_int,0,eq_c2/2)+((9+0.5)*(4*IF(circ_int,0,eq_c1/2)+4*IF(circ_int,0,eq_c2/2)+2*PI()*(s_0+9*s_r+IF(circ_int,eq_c1/2,0)))/INDEX(lk_legs,10)),IF(((9+0.5)*(4*IF(circ_int,0,eq_c1/2)+4*IF(circ_int,0,eq_c2/2)+2*PI()*(s_0+9*s_r+IF(circ_int,eq_c1/2,0)))/INDEX(lk_legs,10))&lt;((2*IF(circ_int,0,eq_c2/2))+(PI()*(s_0+9*s_r+IF(circ_int,eq_c1/2,0))/2)),IF(circ_int,0,eq_c2/2)+(s_0+9*s_r+IF(circ_int,eq_c1/2,0))*SIN((((9+0.5)*(4*IF(circ_int,0,eq_c1/2)+4*IF(circ_int,0,eq_c2/2)+2*PI()*(s_0+9*s_r+IF(circ_int,eq_c1/2,0)))/INDEX(lk_legs,10))-(2*IF(circ_int,0,eq_c2/2)))/(s_0+9*s_r+IF(circ_int,eq_c1/2,0))),IF(((9+0.5)*(4*IF(circ_int,0,eq_c1/2)+4*IF(circ_int,0,eq_c2/2)+2*PI()*(s_0+9*s_r+IF(circ_int,eq_c1/2,0)))/INDEX(lk_legs,10))&lt;(((2*IF(circ_int,0,eq_c2/2))+(PI()*(s_0+9*s_r+IF(circ_int,eq_c1/2,0))/2))+2*IF(circ_int,0,eq_c1/2)),IF(circ_int,0,eq_c2/2)+(s_0+9*s_r+IF(circ_int,eq_c1/2,0)),IF(((9+0.5)*(4*IF(circ_int,0,eq_c1/2)+4*IF(circ_int,0,eq_c2/2)+2*PI()*(s_0+9*s_r+IF(circ_int,eq_c1/2,0)))/INDEX(lk_legs,10))&lt;((((2*IF(circ_int,0,eq_c2/2))+(PI()*(s_0+9*s_r+IF(circ_int,eq_c1/2,0))/2))+2*IF(circ_int,0,eq_c1/2))+(PI()*(s_0+9*s_r+IF(circ_int,eq_c1/2,0))/2)),IF(circ_int,0,eq_c2/2)+(s_0+9*s_r+IF(circ_int,eq_c1/2,0))*SIN(PI()/2+(((9+0.5)*(4*IF(circ_int,0,eq_c1/2)+4*IF(circ_int,0,eq_c2/2)+2*PI()*(s_0+9*s_r+IF(circ_int,eq_c1/2,0)))/INDEX(lk_legs,10))-(((2*IF(circ_int,0,eq_c2/2))+(PI()*(s_0+9*s_r+IF(circ_int,eq_c1/2,0))/2))+2*IF(circ_int,0,eq_c1/2)))/(s_0+9*s_r+IF(circ_int,eq_c1/2,0))),IF(((9+0.5)*(4*IF(circ_int,0,eq_c1/2)+4*IF(circ_int,0,eq_c2/2)+2*PI()*(s_0+9*s_r+IF(circ_int,eq_c1/2,0)))/INDEX(lk_legs,10))&lt;(((((2*IF(circ_int,0,eq_c2/2))+(PI()*(s_0+9*s_r+IF(circ_int,eq_c1/2,0))/2))+2*IF(circ_int,0,eq_c1/2))+(PI()*(s_0+9*s_r+IF(circ_int,eq_c1/2,0))/2))+2*IF(circ_int,0,eq_c2/2)),IF(circ_int,0,eq_c2/2)-(((9+0.5)*(4*IF(circ_int,0,eq_c1/2)+4*IF(circ_int,0,eq_c2/2)+2*PI()*(s_0+9*s_r+IF(circ_int,eq_c1/2,0)))/INDEX(lk_legs,10))-((((2*IF(circ_int,0,eq_c2/2))+(PI()*(s_0+9*s_r+IF(circ_int,eq_c1/2,0))/2))+2*IF(circ_int,0,eq_c1/2))+(PI()*(s_0+9*s_r+IF(circ_int,eq_c1/2,0))/2))),IF(((9+0.5)*(4*IF(circ_int,0,eq_c1/2)+4*IF(circ_int,0,eq_c2/2)+2*PI()*(s_0+9*s_r+IF(circ_int,eq_c1/2,0)))/INDEX(lk_legs,10))&lt;((((((2*IF(circ_int,0,eq_c2/2))+(PI()*(s_0+9*s_r+IF(circ_int,eq_c1/2,0))/2))+2*IF(circ_int,0,eq_c1/2))+(PI()*(s_0+9*s_r+IF(circ_int,eq_c1/2,0))/2))+2*IF(circ_int,0,eq_c2/2))+(PI()*(s_0+9*s_r+IF(circ_int,eq_c1/2,0))/2)),-IF(circ_int,0,eq_c2/2)+(s_0+9*s_r+IF(circ_int,eq_c1/2,0))*SIN(PI()+(((9+0.5)*(4*IF(circ_int,0,eq_c1/2)+4*IF(circ_int,0,eq_c2/2)+2*PI()*(s_0+9*s_r+IF(circ_int,eq_c1/2,0)))/INDEX(lk_legs,10))-(((((2*IF(circ_int,0,eq_c2/2))+(PI()*(s_0+9*s_r+IF(circ_int,eq_c1/2,0))/2))+2*IF(circ_int,0,eq_c1/2))+(PI()*(s_0+9*s_r+IF(circ_int,eq_c1/2,0))/2))+2*IF(circ_int,0,eq_c2/2)))/(s_0+9*s_r+IF(circ_int,eq_c1/2,0))),IF(((9+0.5)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(9+0.5)*(4*IF(circ_int,0,eq_c1/2)+4*IF(circ_int,0,eq_c2/2)+2*PI()*(s_0+9*s_r+IF(circ_int,eq_c1/2,0)))/INDEX(lk_legs,10))-(((((((2*IF(circ_int,0,eq_c2/2))+(PI()*(s_0+9*s_r+IF(circ_int,eq_c1/2,0))/2))+2*IF(circ_int,0,eq_c1/2))+(PI()*(s_0+9*s_r+IF(circ_int,eq_c1/2,0))/2))+2*IF(circ_int,0,eq_c2/2))+(PI()*(s_0+9*s_r+IF(circ_int,eq_c1/2,0))/2))+2*IF(circ_int,0,eq_c1/2)))/(s_0+9*s_r+IF(circ_int,eq_c1/2,0)))))))))),NA())</f>
        <v/>
      </c>
      <c r="DE12">
        <f>IF(AND(links_on,11&lt;=n_per),IF(circ_int,(g_ox)+(c_1/2+(s_0+10*s_r))*0.464723,CHOOSE(INDEX(lk_kind,11),(g_ox+eq_c1/2)+((s_0+10*s_r))*0.382683,(eq_a1+eq_c1)+((s_0+10*s_r))*0.866025,(eq_a1+eq_c1)+((s_0+10*s_r))*0.866025,(eq_a1)+((s_0+10*s_r))*-0.500000)),NA())</f>
        <v/>
      </c>
      <c r="DF12">
        <f>IF(AND(links_on,11&lt;=n_per),IF(circ_int,(g_oy)+(c_1/2+(s_0+10*s_r))*0.885456,CHOOSE(INDEX(lk_kind,11),(g_oy+eq_c2/2)+((s_0+10*s_r))*0.923880,(g_oy+eq_c2/2)+((s_0+10*s_r))*0.500000,(eq_a2+eq_c2)+((s_0+10*s_r))*0.500000,(eq_a2+eq_c2)+((s_0+10*s_r))*0.866025)),NA())</f>
        <v/>
      </c>
      <c r="DH12">
        <f>IF(AND(AND(links_on,11&lt;=n_per),INDEX(lk_kind,11)=1,9&lt;INDEX(lk_legs,11)),g_ox+IF(((9+0.5)*(4*IF(circ_int,0,eq_c1/2)+4*IF(circ_int,0,eq_c2/2)+2*PI()*(s_0+10*s_r+IF(circ_int,eq_c1/2,0)))/INDEX(lk_legs,11))&lt;(2*IF(circ_int,0,eq_c2/2)),IF(circ_int,0,eq_c1/2)+(s_0+10*s_r+IF(circ_int,eq_c1/2,0)),IF(((9+0.5)*(4*IF(circ_int,0,eq_c1/2)+4*IF(circ_int,0,eq_c2/2)+2*PI()*(s_0+10*s_r+IF(circ_int,eq_c1/2,0)))/INDEX(lk_legs,11))&lt;((2*IF(circ_int,0,eq_c2/2))+(PI()*(s_0+10*s_r+IF(circ_int,eq_c1/2,0))/2)),IF(circ_int,0,eq_c1/2)+(s_0+10*s_r+IF(circ_int,eq_c1/2,0))*COS((((9+0.5)*(4*IF(circ_int,0,eq_c1/2)+4*IF(circ_int,0,eq_c2/2)+2*PI()*(s_0+10*s_r+IF(circ_int,eq_c1/2,0)))/INDEX(lk_legs,11))-(2*IF(circ_int,0,eq_c2/2)))/(s_0+10*s_r+IF(circ_int,eq_c1/2,0))),IF(((9+0.5)*(4*IF(circ_int,0,eq_c1/2)+4*IF(circ_int,0,eq_c2/2)+2*PI()*(s_0+10*s_r+IF(circ_int,eq_c1/2,0)))/INDEX(lk_legs,11))&lt;(((2*IF(circ_int,0,eq_c2/2))+(PI()*(s_0+10*s_r+IF(circ_int,eq_c1/2,0))/2))+2*IF(circ_int,0,eq_c1/2)),IF(circ_int,0,eq_c1/2)-(((9+0.5)*(4*IF(circ_int,0,eq_c1/2)+4*IF(circ_int,0,eq_c2/2)+2*PI()*(s_0+10*s_r+IF(circ_int,eq_c1/2,0)))/INDEX(lk_legs,11))-((2*IF(circ_int,0,eq_c2/2))+(PI()*(s_0+10*s_r+IF(circ_int,eq_c1/2,0))/2))),IF(((9+0.5)*(4*IF(circ_int,0,eq_c1/2)+4*IF(circ_int,0,eq_c2/2)+2*PI()*(s_0+10*s_r+IF(circ_int,eq_c1/2,0)))/INDEX(lk_legs,11))&lt;((((2*IF(circ_int,0,eq_c2/2))+(PI()*(s_0+10*s_r+IF(circ_int,eq_c1/2,0))/2))+2*IF(circ_int,0,eq_c1/2))+(PI()*(s_0+10*s_r+IF(circ_int,eq_c1/2,0))/2)),-IF(circ_int,0,eq_c1/2)+(s_0+10*s_r+IF(circ_int,eq_c1/2,0))*COS(PI()/2+(((9+0.5)*(4*IF(circ_int,0,eq_c1/2)+4*IF(circ_int,0,eq_c2/2)+2*PI()*(s_0+10*s_r+IF(circ_int,eq_c1/2,0)))/INDEX(lk_legs,11))-(((2*IF(circ_int,0,eq_c2/2))+(PI()*(s_0+10*s_r+IF(circ_int,eq_c1/2,0))/2))+2*IF(circ_int,0,eq_c1/2)))/(s_0+10*s_r+IF(circ_int,eq_c1/2,0))),IF(((9+0.5)*(4*IF(circ_int,0,eq_c1/2)+4*IF(circ_int,0,eq_c2/2)+2*PI()*(s_0+10*s_r+IF(circ_int,eq_c1/2,0)))/INDEX(lk_legs,11))&lt;(((((2*IF(circ_int,0,eq_c2/2))+(PI()*(s_0+10*s_r+IF(circ_int,eq_c1/2,0))/2))+2*IF(circ_int,0,eq_c1/2))+(PI()*(s_0+10*s_r+IF(circ_int,eq_c1/2,0))/2))+2*IF(circ_int,0,eq_c2/2)),-IF(circ_int,0,eq_c1/2)-(s_0+10*s_r+IF(circ_int,eq_c1/2,0)),IF(((9+0.5)*(4*IF(circ_int,0,eq_c1/2)+4*IF(circ_int,0,eq_c2/2)+2*PI()*(s_0+10*s_r+IF(circ_int,eq_c1/2,0)))/INDEX(lk_legs,11))&lt;((((((2*IF(circ_int,0,eq_c2/2))+(PI()*(s_0+10*s_r+IF(circ_int,eq_c1/2,0))/2))+2*IF(circ_int,0,eq_c1/2))+(PI()*(s_0+10*s_r+IF(circ_int,eq_c1/2,0))/2))+2*IF(circ_int,0,eq_c2/2))+(PI()*(s_0+10*s_r+IF(circ_int,eq_c1/2,0))/2)),-IF(circ_int,0,eq_c1/2)+(s_0+10*s_r+IF(circ_int,eq_c1/2,0))*COS(PI()+(((9+0.5)*(4*IF(circ_int,0,eq_c1/2)+4*IF(circ_int,0,eq_c2/2)+2*PI()*(s_0+10*s_r+IF(circ_int,eq_c1/2,0)))/INDEX(lk_legs,11))-(((((2*IF(circ_int,0,eq_c2/2))+(PI()*(s_0+10*s_r+IF(circ_int,eq_c1/2,0))/2))+2*IF(circ_int,0,eq_c1/2))+(PI()*(s_0+10*s_r+IF(circ_int,eq_c1/2,0))/2))+2*IF(circ_int,0,eq_c2/2)))/(s_0+10*s_r+IF(circ_int,eq_c1/2,0))),IF(((9+0.5)*(4*IF(circ_int,0,eq_c1/2)+4*IF(circ_int,0,eq_c2/2)+2*PI()*(s_0+10*s_r+IF(circ_int,eq_c1/2,0)))/INDEX(lk_legs,11))&lt;(((((((2*IF(circ_int,0,eq_c2/2))+(PI()*(s_0+10*s_r+IF(circ_int,eq_c1/2,0))/2))+2*IF(circ_int,0,eq_c1/2))+(PI()*(s_0+10*s_r+IF(circ_int,eq_c1/2,0))/2))+2*IF(circ_int,0,eq_c2/2))+(PI()*(s_0+10*s_r+IF(circ_int,eq_c1/2,0))/2))+2*IF(circ_int,0,eq_c1/2)),-IF(circ_int,0,eq_c1/2)+(((9+0.5)*(4*IF(circ_int,0,eq_c1/2)+4*IF(circ_int,0,eq_c2/2)+2*PI()*(s_0+10*s_r+IF(circ_int,eq_c1/2,0)))/INDEX(lk_legs,11))-((((((2*IF(circ_int,0,eq_c2/2))+(PI()*(s_0+10*s_r+IF(circ_int,eq_c1/2,0))/2))+2*IF(circ_int,0,eq_c1/2))+(PI()*(s_0+10*s_r+IF(circ_int,eq_c1/2,0))/2))+2*IF(circ_int,0,eq_c2/2))+(PI()*(s_0+10*s_r+IF(circ_int,eq_c1/2,0))/2))),IF(circ_int,0,eq_c1/2)+(s_0+10*s_r+IF(circ_int,eq_c1/2,0))*COS(3*PI()/2+(((9+0.5)*(4*IF(circ_int,0,eq_c1/2)+4*IF(circ_int,0,eq_c2/2)+2*PI()*(s_0+10*s_r+IF(circ_int,eq_c1/2,0)))/INDEX(lk_legs,11))-(((((((2*IF(circ_int,0,eq_c2/2))+(PI()*(s_0+10*s_r+IF(circ_int,eq_c1/2,0))/2))+2*IF(circ_int,0,eq_c1/2))+(PI()*(s_0+10*s_r+IF(circ_int,eq_c1/2,0))/2))+2*IF(circ_int,0,eq_c2/2))+(PI()*(s_0+10*s_r+IF(circ_int,eq_c1/2,0))/2))+2*IF(circ_int,0,eq_c1/2)))/(s_0+10*s_r+IF(circ_int,eq_c1/2,0)))))))))),NA())</f>
        <v/>
      </c>
      <c r="DI12">
        <f>IF(AND(AND(links_on,11&lt;=n_per),INDEX(lk_kind,11)=1,9&lt;INDEX(lk_legs,11)),g_oy+IF(((9+0.5)*(4*IF(circ_int,0,eq_c1/2)+4*IF(circ_int,0,eq_c2/2)+2*PI()*(s_0+10*s_r+IF(circ_int,eq_c1/2,0)))/INDEX(lk_legs,11))&lt;(2*IF(circ_int,0,eq_c2/2)),-IF(circ_int,0,eq_c2/2)+((9+0.5)*(4*IF(circ_int,0,eq_c1/2)+4*IF(circ_int,0,eq_c2/2)+2*PI()*(s_0+10*s_r+IF(circ_int,eq_c1/2,0)))/INDEX(lk_legs,11)),IF(((9+0.5)*(4*IF(circ_int,0,eq_c1/2)+4*IF(circ_int,0,eq_c2/2)+2*PI()*(s_0+10*s_r+IF(circ_int,eq_c1/2,0)))/INDEX(lk_legs,11))&lt;((2*IF(circ_int,0,eq_c2/2))+(PI()*(s_0+10*s_r+IF(circ_int,eq_c1/2,0))/2)),IF(circ_int,0,eq_c2/2)+(s_0+10*s_r+IF(circ_int,eq_c1/2,0))*SIN((((9+0.5)*(4*IF(circ_int,0,eq_c1/2)+4*IF(circ_int,0,eq_c2/2)+2*PI()*(s_0+10*s_r+IF(circ_int,eq_c1/2,0)))/INDEX(lk_legs,11))-(2*IF(circ_int,0,eq_c2/2)))/(s_0+10*s_r+IF(circ_int,eq_c1/2,0))),IF(((9+0.5)*(4*IF(circ_int,0,eq_c1/2)+4*IF(circ_int,0,eq_c2/2)+2*PI()*(s_0+10*s_r+IF(circ_int,eq_c1/2,0)))/INDEX(lk_legs,11))&lt;(((2*IF(circ_int,0,eq_c2/2))+(PI()*(s_0+10*s_r+IF(circ_int,eq_c1/2,0))/2))+2*IF(circ_int,0,eq_c1/2)),IF(circ_int,0,eq_c2/2)+(s_0+10*s_r+IF(circ_int,eq_c1/2,0)),IF(((9+0.5)*(4*IF(circ_int,0,eq_c1/2)+4*IF(circ_int,0,eq_c2/2)+2*PI()*(s_0+10*s_r+IF(circ_int,eq_c1/2,0)))/INDEX(lk_legs,11))&lt;((((2*IF(circ_int,0,eq_c2/2))+(PI()*(s_0+10*s_r+IF(circ_int,eq_c1/2,0))/2))+2*IF(circ_int,0,eq_c1/2))+(PI()*(s_0+10*s_r+IF(circ_int,eq_c1/2,0))/2)),IF(circ_int,0,eq_c2/2)+(s_0+10*s_r+IF(circ_int,eq_c1/2,0))*SIN(PI()/2+(((9+0.5)*(4*IF(circ_int,0,eq_c1/2)+4*IF(circ_int,0,eq_c2/2)+2*PI()*(s_0+10*s_r+IF(circ_int,eq_c1/2,0)))/INDEX(lk_legs,11))-(((2*IF(circ_int,0,eq_c2/2))+(PI()*(s_0+10*s_r+IF(circ_int,eq_c1/2,0))/2))+2*IF(circ_int,0,eq_c1/2)))/(s_0+10*s_r+IF(circ_int,eq_c1/2,0))),IF(((9+0.5)*(4*IF(circ_int,0,eq_c1/2)+4*IF(circ_int,0,eq_c2/2)+2*PI()*(s_0+10*s_r+IF(circ_int,eq_c1/2,0)))/INDEX(lk_legs,11))&lt;(((((2*IF(circ_int,0,eq_c2/2))+(PI()*(s_0+10*s_r+IF(circ_int,eq_c1/2,0))/2))+2*IF(circ_int,0,eq_c1/2))+(PI()*(s_0+10*s_r+IF(circ_int,eq_c1/2,0))/2))+2*IF(circ_int,0,eq_c2/2)),IF(circ_int,0,eq_c2/2)-(((9+0.5)*(4*IF(circ_int,0,eq_c1/2)+4*IF(circ_int,0,eq_c2/2)+2*PI()*(s_0+10*s_r+IF(circ_int,eq_c1/2,0)))/INDEX(lk_legs,11))-((((2*IF(circ_int,0,eq_c2/2))+(PI()*(s_0+10*s_r+IF(circ_int,eq_c1/2,0))/2))+2*IF(circ_int,0,eq_c1/2))+(PI()*(s_0+10*s_r+IF(circ_int,eq_c1/2,0))/2))),IF(((9+0.5)*(4*IF(circ_int,0,eq_c1/2)+4*IF(circ_int,0,eq_c2/2)+2*PI()*(s_0+10*s_r+IF(circ_int,eq_c1/2,0)))/INDEX(lk_legs,11))&lt;((((((2*IF(circ_int,0,eq_c2/2))+(PI()*(s_0+10*s_r+IF(circ_int,eq_c1/2,0))/2))+2*IF(circ_int,0,eq_c1/2))+(PI()*(s_0+10*s_r+IF(circ_int,eq_c1/2,0))/2))+2*IF(circ_int,0,eq_c2/2))+(PI()*(s_0+10*s_r+IF(circ_int,eq_c1/2,0))/2)),-IF(circ_int,0,eq_c2/2)+(s_0+10*s_r+IF(circ_int,eq_c1/2,0))*SIN(PI()+(((9+0.5)*(4*IF(circ_int,0,eq_c1/2)+4*IF(circ_int,0,eq_c2/2)+2*PI()*(s_0+10*s_r+IF(circ_int,eq_c1/2,0)))/INDEX(lk_legs,11))-(((((2*IF(circ_int,0,eq_c2/2))+(PI()*(s_0+10*s_r+IF(circ_int,eq_c1/2,0))/2))+2*IF(circ_int,0,eq_c1/2))+(PI()*(s_0+10*s_r+IF(circ_int,eq_c1/2,0))/2))+2*IF(circ_int,0,eq_c2/2)))/(s_0+10*s_r+IF(circ_int,eq_c1/2,0))),IF(((9+0.5)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(9+0.5)*(4*IF(circ_int,0,eq_c1/2)+4*IF(circ_int,0,eq_c2/2)+2*PI()*(s_0+10*s_r+IF(circ_int,eq_c1/2,0)))/INDEX(lk_legs,11))-(((((((2*IF(circ_int,0,eq_c2/2))+(PI()*(s_0+10*s_r+IF(circ_int,eq_c1/2,0))/2))+2*IF(circ_int,0,eq_c1/2))+(PI()*(s_0+10*s_r+IF(circ_int,eq_c1/2,0))/2))+2*IF(circ_int,0,eq_c2/2))+(PI()*(s_0+10*s_r+IF(circ_int,eq_c1/2,0))/2))+2*IF(circ_int,0,eq_c1/2)))/(s_0+10*s_r+IF(circ_int,eq_c1/2,0)))))))))),NA())</f>
        <v/>
      </c>
      <c r="DK12">
        <f>IF(AND(links_on,12&lt;=n_per),IF(circ_int,(g_ox)+(c_1/2+(s_0+11*s_r))*0.464723,CHOOSE(INDEX(lk_kind,12),(g_ox+eq_c1/2)+((s_0+11*s_r))*0.382683,(eq_a1+eq_c1)+((s_0+11*s_r))*0.866025,(eq_a1+eq_c1)+((s_0+11*s_r))*0.866025,(eq_a1)+((s_0+11*s_r))*-0.500000)),NA())</f>
        <v/>
      </c>
      <c r="DL12">
        <f>IF(AND(links_on,12&lt;=n_per),IF(circ_int,(g_oy)+(c_1/2+(s_0+11*s_r))*0.885456,CHOOSE(INDEX(lk_kind,12),(g_oy+eq_c2/2)+((s_0+11*s_r))*0.923880,(g_oy+eq_c2/2)+((s_0+11*s_r))*0.500000,(eq_a2+eq_c2)+((s_0+11*s_r))*0.500000,(eq_a2+eq_c2)+((s_0+11*s_r))*0.866025)),NA())</f>
        <v/>
      </c>
      <c r="DN12">
        <f>IF(AND(AND(links_on,12&lt;=n_per),INDEX(lk_kind,12)=1,9&lt;INDEX(lk_legs,12)),g_ox+IF(((9+0.5)*(4*IF(circ_int,0,eq_c1/2)+4*IF(circ_int,0,eq_c2/2)+2*PI()*(s_0+11*s_r+IF(circ_int,eq_c1/2,0)))/INDEX(lk_legs,12))&lt;(2*IF(circ_int,0,eq_c2/2)),IF(circ_int,0,eq_c1/2)+(s_0+11*s_r+IF(circ_int,eq_c1/2,0)),IF(((9+0.5)*(4*IF(circ_int,0,eq_c1/2)+4*IF(circ_int,0,eq_c2/2)+2*PI()*(s_0+11*s_r+IF(circ_int,eq_c1/2,0)))/INDEX(lk_legs,12))&lt;((2*IF(circ_int,0,eq_c2/2))+(PI()*(s_0+11*s_r+IF(circ_int,eq_c1/2,0))/2)),IF(circ_int,0,eq_c1/2)+(s_0+11*s_r+IF(circ_int,eq_c1/2,0))*COS((((9+0.5)*(4*IF(circ_int,0,eq_c1/2)+4*IF(circ_int,0,eq_c2/2)+2*PI()*(s_0+11*s_r+IF(circ_int,eq_c1/2,0)))/INDEX(lk_legs,12))-(2*IF(circ_int,0,eq_c2/2)))/(s_0+11*s_r+IF(circ_int,eq_c1/2,0))),IF(((9+0.5)*(4*IF(circ_int,0,eq_c1/2)+4*IF(circ_int,0,eq_c2/2)+2*PI()*(s_0+11*s_r+IF(circ_int,eq_c1/2,0)))/INDEX(lk_legs,12))&lt;(((2*IF(circ_int,0,eq_c2/2))+(PI()*(s_0+11*s_r+IF(circ_int,eq_c1/2,0))/2))+2*IF(circ_int,0,eq_c1/2)),IF(circ_int,0,eq_c1/2)-(((9+0.5)*(4*IF(circ_int,0,eq_c1/2)+4*IF(circ_int,0,eq_c2/2)+2*PI()*(s_0+11*s_r+IF(circ_int,eq_c1/2,0)))/INDEX(lk_legs,12))-((2*IF(circ_int,0,eq_c2/2))+(PI()*(s_0+11*s_r+IF(circ_int,eq_c1/2,0))/2))),IF(((9+0.5)*(4*IF(circ_int,0,eq_c1/2)+4*IF(circ_int,0,eq_c2/2)+2*PI()*(s_0+11*s_r+IF(circ_int,eq_c1/2,0)))/INDEX(lk_legs,12))&lt;((((2*IF(circ_int,0,eq_c2/2))+(PI()*(s_0+11*s_r+IF(circ_int,eq_c1/2,0))/2))+2*IF(circ_int,0,eq_c1/2))+(PI()*(s_0+11*s_r+IF(circ_int,eq_c1/2,0))/2)),-IF(circ_int,0,eq_c1/2)+(s_0+11*s_r+IF(circ_int,eq_c1/2,0))*COS(PI()/2+(((9+0.5)*(4*IF(circ_int,0,eq_c1/2)+4*IF(circ_int,0,eq_c2/2)+2*PI()*(s_0+11*s_r+IF(circ_int,eq_c1/2,0)))/INDEX(lk_legs,12))-(((2*IF(circ_int,0,eq_c2/2))+(PI()*(s_0+11*s_r+IF(circ_int,eq_c1/2,0))/2))+2*IF(circ_int,0,eq_c1/2)))/(s_0+11*s_r+IF(circ_int,eq_c1/2,0))),IF(((9+0.5)*(4*IF(circ_int,0,eq_c1/2)+4*IF(circ_int,0,eq_c2/2)+2*PI()*(s_0+11*s_r+IF(circ_int,eq_c1/2,0)))/INDEX(lk_legs,12))&lt;(((((2*IF(circ_int,0,eq_c2/2))+(PI()*(s_0+11*s_r+IF(circ_int,eq_c1/2,0))/2))+2*IF(circ_int,0,eq_c1/2))+(PI()*(s_0+11*s_r+IF(circ_int,eq_c1/2,0))/2))+2*IF(circ_int,0,eq_c2/2)),-IF(circ_int,0,eq_c1/2)-(s_0+11*s_r+IF(circ_int,eq_c1/2,0)),IF(((9+0.5)*(4*IF(circ_int,0,eq_c1/2)+4*IF(circ_int,0,eq_c2/2)+2*PI()*(s_0+11*s_r+IF(circ_int,eq_c1/2,0)))/INDEX(lk_legs,12))&lt;((((((2*IF(circ_int,0,eq_c2/2))+(PI()*(s_0+11*s_r+IF(circ_int,eq_c1/2,0))/2))+2*IF(circ_int,0,eq_c1/2))+(PI()*(s_0+11*s_r+IF(circ_int,eq_c1/2,0))/2))+2*IF(circ_int,0,eq_c2/2))+(PI()*(s_0+11*s_r+IF(circ_int,eq_c1/2,0))/2)),-IF(circ_int,0,eq_c1/2)+(s_0+11*s_r+IF(circ_int,eq_c1/2,0))*COS(PI()+(((9+0.5)*(4*IF(circ_int,0,eq_c1/2)+4*IF(circ_int,0,eq_c2/2)+2*PI()*(s_0+11*s_r+IF(circ_int,eq_c1/2,0)))/INDEX(lk_legs,12))-(((((2*IF(circ_int,0,eq_c2/2))+(PI()*(s_0+11*s_r+IF(circ_int,eq_c1/2,0))/2))+2*IF(circ_int,0,eq_c1/2))+(PI()*(s_0+11*s_r+IF(circ_int,eq_c1/2,0))/2))+2*IF(circ_int,0,eq_c2/2)))/(s_0+11*s_r+IF(circ_int,eq_c1/2,0))),IF(((9+0.5)*(4*IF(circ_int,0,eq_c1/2)+4*IF(circ_int,0,eq_c2/2)+2*PI()*(s_0+11*s_r+IF(circ_int,eq_c1/2,0)))/INDEX(lk_legs,12))&lt;(((((((2*IF(circ_int,0,eq_c2/2))+(PI()*(s_0+11*s_r+IF(circ_int,eq_c1/2,0))/2))+2*IF(circ_int,0,eq_c1/2))+(PI()*(s_0+11*s_r+IF(circ_int,eq_c1/2,0))/2))+2*IF(circ_int,0,eq_c2/2))+(PI()*(s_0+11*s_r+IF(circ_int,eq_c1/2,0))/2))+2*IF(circ_int,0,eq_c1/2)),-IF(circ_int,0,eq_c1/2)+(((9+0.5)*(4*IF(circ_int,0,eq_c1/2)+4*IF(circ_int,0,eq_c2/2)+2*PI()*(s_0+11*s_r+IF(circ_int,eq_c1/2,0)))/INDEX(lk_legs,12))-((((((2*IF(circ_int,0,eq_c2/2))+(PI()*(s_0+11*s_r+IF(circ_int,eq_c1/2,0))/2))+2*IF(circ_int,0,eq_c1/2))+(PI()*(s_0+11*s_r+IF(circ_int,eq_c1/2,0))/2))+2*IF(circ_int,0,eq_c2/2))+(PI()*(s_0+11*s_r+IF(circ_int,eq_c1/2,0))/2))),IF(circ_int,0,eq_c1/2)+(s_0+11*s_r+IF(circ_int,eq_c1/2,0))*COS(3*PI()/2+(((9+0.5)*(4*IF(circ_int,0,eq_c1/2)+4*IF(circ_int,0,eq_c2/2)+2*PI()*(s_0+11*s_r+IF(circ_int,eq_c1/2,0)))/INDEX(lk_legs,12))-(((((((2*IF(circ_int,0,eq_c2/2))+(PI()*(s_0+11*s_r+IF(circ_int,eq_c1/2,0))/2))+2*IF(circ_int,0,eq_c1/2))+(PI()*(s_0+11*s_r+IF(circ_int,eq_c1/2,0))/2))+2*IF(circ_int,0,eq_c2/2))+(PI()*(s_0+11*s_r+IF(circ_int,eq_c1/2,0))/2))+2*IF(circ_int,0,eq_c1/2)))/(s_0+11*s_r+IF(circ_int,eq_c1/2,0)))))))))),NA())</f>
        <v/>
      </c>
      <c r="DO12">
        <f>IF(AND(AND(links_on,12&lt;=n_per),INDEX(lk_kind,12)=1,9&lt;INDEX(lk_legs,12)),g_oy+IF(((9+0.5)*(4*IF(circ_int,0,eq_c1/2)+4*IF(circ_int,0,eq_c2/2)+2*PI()*(s_0+11*s_r+IF(circ_int,eq_c1/2,0)))/INDEX(lk_legs,12))&lt;(2*IF(circ_int,0,eq_c2/2)),-IF(circ_int,0,eq_c2/2)+((9+0.5)*(4*IF(circ_int,0,eq_c1/2)+4*IF(circ_int,0,eq_c2/2)+2*PI()*(s_0+11*s_r+IF(circ_int,eq_c1/2,0)))/INDEX(lk_legs,12)),IF(((9+0.5)*(4*IF(circ_int,0,eq_c1/2)+4*IF(circ_int,0,eq_c2/2)+2*PI()*(s_0+11*s_r+IF(circ_int,eq_c1/2,0)))/INDEX(lk_legs,12))&lt;((2*IF(circ_int,0,eq_c2/2))+(PI()*(s_0+11*s_r+IF(circ_int,eq_c1/2,0))/2)),IF(circ_int,0,eq_c2/2)+(s_0+11*s_r+IF(circ_int,eq_c1/2,0))*SIN((((9+0.5)*(4*IF(circ_int,0,eq_c1/2)+4*IF(circ_int,0,eq_c2/2)+2*PI()*(s_0+11*s_r+IF(circ_int,eq_c1/2,0)))/INDEX(lk_legs,12))-(2*IF(circ_int,0,eq_c2/2)))/(s_0+11*s_r+IF(circ_int,eq_c1/2,0))),IF(((9+0.5)*(4*IF(circ_int,0,eq_c1/2)+4*IF(circ_int,0,eq_c2/2)+2*PI()*(s_0+11*s_r+IF(circ_int,eq_c1/2,0)))/INDEX(lk_legs,12))&lt;(((2*IF(circ_int,0,eq_c2/2))+(PI()*(s_0+11*s_r+IF(circ_int,eq_c1/2,0))/2))+2*IF(circ_int,0,eq_c1/2)),IF(circ_int,0,eq_c2/2)+(s_0+11*s_r+IF(circ_int,eq_c1/2,0)),IF(((9+0.5)*(4*IF(circ_int,0,eq_c1/2)+4*IF(circ_int,0,eq_c2/2)+2*PI()*(s_0+11*s_r+IF(circ_int,eq_c1/2,0)))/INDEX(lk_legs,12))&lt;((((2*IF(circ_int,0,eq_c2/2))+(PI()*(s_0+11*s_r+IF(circ_int,eq_c1/2,0))/2))+2*IF(circ_int,0,eq_c1/2))+(PI()*(s_0+11*s_r+IF(circ_int,eq_c1/2,0))/2)),IF(circ_int,0,eq_c2/2)+(s_0+11*s_r+IF(circ_int,eq_c1/2,0))*SIN(PI()/2+(((9+0.5)*(4*IF(circ_int,0,eq_c1/2)+4*IF(circ_int,0,eq_c2/2)+2*PI()*(s_0+11*s_r+IF(circ_int,eq_c1/2,0)))/INDEX(lk_legs,12))-(((2*IF(circ_int,0,eq_c2/2))+(PI()*(s_0+11*s_r+IF(circ_int,eq_c1/2,0))/2))+2*IF(circ_int,0,eq_c1/2)))/(s_0+11*s_r+IF(circ_int,eq_c1/2,0))),IF(((9+0.5)*(4*IF(circ_int,0,eq_c1/2)+4*IF(circ_int,0,eq_c2/2)+2*PI()*(s_0+11*s_r+IF(circ_int,eq_c1/2,0)))/INDEX(lk_legs,12))&lt;(((((2*IF(circ_int,0,eq_c2/2))+(PI()*(s_0+11*s_r+IF(circ_int,eq_c1/2,0))/2))+2*IF(circ_int,0,eq_c1/2))+(PI()*(s_0+11*s_r+IF(circ_int,eq_c1/2,0))/2))+2*IF(circ_int,0,eq_c2/2)),IF(circ_int,0,eq_c2/2)-(((9+0.5)*(4*IF(circ_int,0,eq_c1/2)+4*IF(circ_int,0,eq_c2/2)+2*PI()*(s_0+11*s_r+IF(circ_int,eq_c1/2,0)))/INDEX(lk_legs,12))-((((2*IF(circ_int,0,eq_c2/2))+(PI()*(s_0+11*s_r+IF(circ_int,eq_c1/2,0))/2))+2*IF(circ_int,0,eq_c1/2))+(PI()*(s_0+11*s_r+IF(circ_int,eq_c1/2,0))/2))),IF(((9+0.5)*(4*IF(circ_int,0,eq_c1/2)+4*IF(circ_int,0,eq_c2/2)+2*PI()*(s_0+11*s_r+IF(circ_int,eq_c1/2,0)))/INDEX(lk_legs,12))&lt;((((((2*IF(circ_int,0,eq_c2/2))+(PI()*(s_0+11*s_r+IF(circ_int,eq_c1/2,0))/2))+2*IF(circ_int,0,eq_c1/2))+(PI()*(s_0+11*s_r+IF(circ_int,eq_c1/2,0))/2))+2*IF(circ_int,0,eq_c2/2))+(PI()*(s_0+11*s_r+IF(circ_int,eq_c1/2,0))/2)),-IF(circ_int,0,eq_c2/2)+(s_0+11*s_r+IF(circ_int,eq_c1/2,0))*SIN(PI()+(((9+0.5)*(4*IF(circ_int,0,eq_c1/2)+4*IF(circ_int,0,eq_c2/2)+2*PI()*(s_0+11*s_r+IF(circ_int,eq_c1/2,0)))/INDEX(lk_legs,12))-(((((2*IF(circ_int,0,eq_c2/2))+(PI()*(s_0+11*s_r+IF(circ_int,eq_c1/2,0))/2))+2*IF(circ_int,0,eq_c1/2))+(PI()*(s_0+11*s_r+IF(circ_int,eq_c1/2,0))/2))+2*IF(circ_int,0,eq_c2/2)))/(s_0+11*s_r+IF(circ_int,eq_c1/2,0))),IF(((9+0.5)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(9+0.5)*(4*IF(circ_int,0,eq_c1/2)+4*IF(circ_int,0,eq_c2/2)+2*PI()*(s_0+11*s_r+IF(circ_int,eq_c1/2,0)))/INDEX(lk_legs,12))-(((((((2*IF(circ_int,0,eq_c2/2))+(PI()*(s_0+11*s_r+IF(circ_int,eq_c1/2,0))/2))+2*IF(circ_int,0,eq_c1/2))+(PI()*(s_0+11*s_r+IF(circ_int,eq_c1/2,0))/2))+2*IF(circ_int,0,eq_c2/2))+(PI()*(s_0+11*s_r+IF(circ_int,eq_c1/2,0))/2))+2*IF(circ_int,0,eq_c1/2)))/(s_0+11*s_r+IF(circ_int,eq_c1/2,0)))))))))),NA())</f>
        <v/>
      </c>
    </row>
    <row r="13">
      <c r="A13">
        <f>IF(shape="Circular",(g_ox)+(c_1/2+0)*0.354605,CHOOSE(1,(g_ox+eq_c1/2)+(0)*0.258819,(eq_a1+eq_c1)+(0)*0.923880,(eq_a1+eq_c1)+(0)*0.923880,(eq_a1)+(0)*-0.382683))</f>
        <v/>
      </c>
      <c r="B13">
        <f>IF(shape="Circular",(g_oy)+(c_1/2+0)*0.935016,CHOOSE(1,(g_oy+eq_c2/2)+(0)*0.965926,(g_oy+eq_c2/2)+(0)*0.382683,(eq_a2+eq_c2)+(0)*0.382683,(eq_a2+eq_c2)+(0)*0.923880))</f>
        <v/>
      </c>
      <c r="D13">
        <f>IF(circ_int,(g_ox)+(c_1/2+2*d_eff)*0.354605,CHOOSE(geo_idx,(g_ox+eq_c1/2)+(2*d_eff)*0.258819,(eq_a1+eq_c1)+(2*d_eff)*0.923880,(eq_a1+eq_c1)+(2*d_eff)*0.923880,(eq_a1)+(2*d_eff)*-0.382683))</f>
        <v/>
      </c>
      <c r="E13">
        <f>IF(circ_int,(g_oy)+(c_1/2+2*d_eff)*0.935016,CHOOSE(geo_idx,(g_oy+eq_c2/2)+(2*d_eff)*0.965926,(g_oy+eq_c2/2)+(2*d_eff)*0.382683,(eq_a2+eq_c2)+(2*d_eff)*0.382683,(eq_a2+eq_c2)+(2*d_eff)*0.923880))</f>
        <v/>
      </c>
      <c r="G13">
        <f>IF(AND(inputs_ok,punch_ok,A_sw&gt;0),IF(circ_int,(g_ox)+(c_1/2+r_out)*0.354605,CHOOSE(kind_out,(g_ox+eq_c1/2)+(r_out)*0.258819,(eq_a1+eq_c1)+(r_out)*0.923880,(eq_a1+eq_c1)+(r_out)*0.923880,(eq_a1)+(r_out)*-0.382683)),NA())</f>
        <v/>
      </c>
      <c r="H13">
        <f>IF(AND(inputs_ok,punch_ok,A_sw&gt;0),IF(circ_int,(g_oy)+(c_1/2+r_out)*0.935016,CHOOSE(kind_out,(g_oy+eq_c2/2)+(r_out)*0.965926,(g_oy+eq_c2/2)+(r_out)*0.382683,(eq_a2+eq_c2)+(r_out)*0.382683,(eq_a2+eq_c2)+(r_out)*0.923880)),NA())</f>
        <v/>
      </c>
      <c r="AW13">
        <f>IF(AND(links_on,1&lt;=n_per),IF(circ_int,(g_ox)+(c_1/2+(s_0+0*s_r))*0.354605,CHOOSE(INDEX(lk_kind,1),(g_ox+eq_c1/2)+((s_0+0*s_r))*0.258819,(eq_a1+eq_c1)+((s_0+0*s_r))*0.923880,(eq_a1+eq_c1)+((s_0+0*s_r))*0.923880,(eq_a1)+((s_0+0*s_r))*-0.382683)),NA())</f>
        <v/>
      </c>
      <c r="AX13">
        <f>IF(AND(links_on,1&lt;=n_per),IF(circ_int,(g_oy)+(c_1/2+(s_0+0*s_r))*0.935016,CHOOSE(INDEX(lk_kind,1),(g_oy+eq_c2/2)+((s_0+0*s_r))*0.965926,(g_oy+eq_c2/2)+((s_0+0*s_r))*0.382683,(eq_a2+eq_c2)+((s_0+0*s_r))*0.382683,(eq_a2+eq_c2)+((s_0+0*s_r))*0.923880)),NA())</f>
        <v/>
      </c>
      <c r="AZ13">
        <f>IF(AND(AND(links_on,1&lt;=n_per),INDEX(lk_kind,1)=1,10&lt;INDEX(lk_legs,1)),g_ox+IF(((10+0.5)*(4*IF(circ_int,0,eq_c1/2)+4*IF(circ_int,0,eq_c2/2)+2*PI()*(s_0+0*s_r+IF(circ_int,eq_c1/2,0)))/INDEX(lk_legs,1))&lt;(2*IF(circ_int,0,eq_c2/2)),IF(circ_int,0,eq_c1/2)+(s_0+0*s_r+IF(circ_int,eq_c1/2,0)),IF(((10+0.5)*(4*IF(circ_int,0,eq_c1/2)+4*IF(circ_int,0,eq_c2/2)+2*PI()*(s_0+0*s_r+IF(circ_int,eq_c1/2,0)))/INDEX(lk_legs,1))&lt;((2*IF(circ_int,0,eq_c2/2))+(PI()*(s_0+0*s_r+IF(circ_int,eq_c1/2,0))/2)),IF(circ_int,0,eq_c1/2)+(s_0+0*s_r+IF(circ_int,eq_c1/2,0))*COS((((10+0.5)*(4*IF(circ_int,0,eq_c1/2)+4*IF(circ_int,0,eq_c2/2)+2*PI()*(s_0+0*s_r+IF(circ_int,eq_c1/2,0)))/INDEX(lk_legs,1))-(2*IF(circ_int,0,eq_c2/2)))/(s_0+0*s_r+IF(circ_int,eq_c1/2,0))),IF(((10+0.5)*(4*IF(circ_int,0,eq_c1/2)+4*IF(circ_int,0,eq_c2/2)+2*PI()*(s_0+0*s_r+IF(circ_int,eq_c1/2,0)))/INDEX(lk_legs,1))&lt;(((2*IF(circ_int,0,eq_c2/2))+(PI()*(s_0+0*s_r+IF(circ_int,eq_c1/2,0))/2))+2*IF(circ_int,0,eq_c1/2)),IF(circ_int,0,eq_c1/2)-(((10+0.5)*(4*IF(circ_int,0,eq_c1/2)+4*IF(circ_int,0,eq_c2/2)+2*PI()*(s_0+0*s_r+IF(circ_int,eq_c1/2,0)))/INDEX(lk_legs,1))-((2*IF(circ_int,0,eq_c2/2))+(PI()*(s_0+0*s_r+IF(circ_int,eq_c1/2,0))/2))),IF(((10+0.5)*(4*IF(circ_int,0,eq_c1/2)+4*IF(circ_int,0,eq_c2/2)+2*PI()*(s_0+0*s_r+IF(circ_int,eq_c1/2,0)))/INDEX(lk_legs,1))&lt;((((2*IF(circ_int,0,eq_c2/2))+(PI()*(s_0+0*s_r+IF(circ_int,eq_c1/2,0))/2))+2*IF(circ_int,0,eq_c1/2))+(PI()*(s_0+0*s_r+IF(circ_int,eq_c1/2,0))/2)),-IF(circ_int,0,eq_c1/2)+(s_0+0*s_r+IF(circ_int,eq_c1/2,0))*COS(PI()/2+(((10+0.5)*(4*IF(circ_int,0,eq_c1/2)+4*IF(circ_int,0,eq_c2/2)+2*PI()*(s_0+0*s_r+IF(circ_int,eq_c1/2,0)))/INDEX(lk_legs,1))-(((2*IF(circ_int,0,eq_c2/2))+(PI()*(s_0+0*s_r+IF(circ_int,eq_c1/2,0))/2))+2*IF(circ_int,0,eq_c1/2)))/(s_0+0*s_r+IF(circ_int,eq_c1/2,0))),IF(((10+0.5)*(4*IF(circ_int,0,eq_c1/2)+4*IF(circ_int,0,eq_c2/2)+2*PI()*(s_0+0*s_r+IF(circ_int,eq_c1/2,0)))/INDEX(lk_legs,1))&lt;(((((2*IF(circ_int,0,eq_c2/2))+(PI()*(s_0+0*s_r+IF(circ_int,eq_c1/2,0))/2))+2*IF(circ_int,0,eq_c1/2))+(PI()*(s_0+0*s_r+IF(circ_int,eq_c1/2,0))/2))+2*IF(circ_int,0,eq_c2/2)),-IF(circ_int,0,eq_c1/2)-(s_0+0*s_r+IF(circ_int,eq_c1/2,0)),IF(((10+0.5)*(4*IF(circ_int,0,eq_c1/2)+4*IF(circ_int,0,eq_c2/2)+2*PI()*(s_0+0*s_r+IF(circ_int,eq_c1/2,0)))/INDEX(lk_legs,1))&lt;((((((2*IF(circ_int,0,eq_c2/2))+(PI()*(s_0+0*s_r+IF(circ_int,eq_c1/2,0))/2))+2*IF(circ_int,0,eq_c1/2))+(PI()*(s_0+0*s_r+IF(circ_int,eq_c1/2,0))/2))+2*IF(circ_int,0,eq_c2/2))+(PI()*(s_0+0*s_r+IF(circ_int,eq_c1/2,0))/2)),-IF(circ_int,0,eq_c1/2)+(s_0+0*s_r+IF(circ_int,eq_c1/2,0))*COS(PI()+(((10+0.5)*(4*IF(circ_int,0,eq_c1/2)+4*IF(circ_int,0,eq_c2/2)+2*PI()*(s_0+0*s_r+IF(circ_int,eq_c1/2,0)))/INDEX(lk_legs,1))-(((((2*IF(circ_int,0,eq_c2/2))+(PI()*(s_0+0*s_r+IF(circ_int,eq_c1/2,0))/2))+2*IF(circ_int,0,eq_c1/2))+(PI()*(s_0+0*s_r+IF(circ_int,eq_c1/2,0))/2))+2*IF(circ_int,0,eq_c2/2)))/(s_0+0*s_r+IF(circ_int,eq_c1/2,0))),IF(((10+0.5)*(4*IF(circ_int,0,eq_c1/2)+4*IF(circ_int,0,eq_c2/2)+2*PI()*(s_0+0*s_r+IF(circ_int,eq_c1/2,0)))/INDEX(lk_legs,1))&lt;(((((((2*IF(circ_int,0,eq_c2/2))+(PI()*(s_0+0*s_r+IF(circ_int,eq_c1/2,0))/2))+2*IF(circ_int,0,eq_c1/2))+(PI()*(s_0+0*s_r+IF(circ_int,eq_c1/2,0))/2))+2*IF(circ_int,0,eq_c2/2))+(PI()*(s_0+0*s_r+IF(circ_int,eq_c1/2,0))/2))+2*IF(circ_int,0,eq_c1/2)),-IF(circ_int,0,eq_c1/2)+(((10+0.5)*(4*IF(circ_int,0,eq_c1/2)+4*IF(circ_int,0,eq_c2/2)+2*PI()*(s_0+0*s_r+IF(circ_int,eq_c1/2,0)))/INDEX(lk_legs,1))-((((((2*IF(circ_int,0,eq_c2/2))+(PI()*(s_0+0*s_r+IF(circ_int,eq_c1/2,0))/2))+2*IF(circ_int,0,eq_c1/2))+(PI()*(s_0+0*s_r+IF(circ_int,eq_c1/2,0))/2))+2*IF(circ_int,0,eq_c2/2))+(PI()*(s_0+0*s_r+IF(circ_int,eq_c1/2,0))/2))),IF(circ_int,0,eq_c1/2)+(s_0+0*s_r+IF(circ_int,eq_c1/2,0))*COS(3*PI()/2+(((10+0.5)*(4*IF(circ_int,0,eq_c1/2)+4*IF(circ_int,0,eq_c2/2)+2*PI()*(s_0+0*s_r+IF(circ_int,eq_c1/2,0)))/INDEX(lk_legs,1))-(((((((2*IF(circ_int,0,eq_c2/2))+(PI()*(s_0+0*s_r+IF(circ_int,eq_c1/2,0))/2))+2*IF(circ_int,0,eq_c1/2))+(PI()*(s_0+0*s_r+IF(circ_int,eq_c1/2,0))/2))+2*IF(circ_int,0,eq_c2/2))+(PI()*(s_0+0*s_r+IF(circ_int,eq_c1/2,0))/2))+2*IF(circ_int,0,eq_c1/2)))/(s_0+0*s_r+IF(circ_int,eq_c1/2,0)))))))))),NA())</f>
        <v/>
      </c>
      <c r="BA13">
        <f>IF(AND(AND(links_on,1&lt;=n_per),INDEX(lk_kind,1)=1,10&lt;INDEX(lk_legs,1)),g_oy+IF(((10+0.5)*(4*IF(circ_int,0,eq_c1/2)+4*IF(circ_int,0,eq_c2/2)+2*PI()*(s_0+0*s_r+IF(circ_int,eq_c1/2,0)))/INDEX(lk_legs,1))&lt;(2*IF(circ_int,0,eq_c2/2)),-IF(circ_int,0,eq_c2/2)+((10+0.5)*(4*IF(circ_int,0,eq_c1/2)+4*IF(circ_int,0,eq_c2/2)+2*PI()*(s_0+0*s_r+IF(circ_int,eq_c1/2,0)))/INDEX(lk_legs,1)),IF(((10+0.5)*(4*IF(circ_int,0,eq_c1/2)+4*IF(circ_int,0,eq_c2/2)+2*PI()*(s_0+0*s_r+IF(circ_int,eq_c1/2,0)))/INDEX(lk_legs,1))&lt;((2*IF(circ_int,0,eq_c2/2))+(PI()*(s_0+0*s_r+IF(circ_int,eq_c1/2,0))/2)),IF(circ_int,0,eq_c2/2)+(s_0+0*s_r+IF(circ_int,eq_c1/2,0))*SIN((((10+0.5)*(4*IF(circ_int,0,eq_c1/2)+4*IF(circ_int,0,eq_c2/2)+2*PI()*(s_0+0*s_r+IF(circ_int,eq_c1/2,0)))/INDEX(lk_legs,1))-(2*IF(circ_int,0,eq_c2/2)))/(s_0+0*s_r+IF(circ_int,eq_c1/2,0))),IF(((10+0.5)*(4*IF(circ_int,0,eq_c1/2)+4*IF(circ_int,0,eq_c2/2)+2*PI()*(s_0+0*s_r+IF(circ_int,eq_c1/2,0)))/INDEX(lk_legs,1))&lt;(((2*IF(circ_int,0,eq_c2/2))+(PI()*(s_0+0*s_r+IF(circ_int,eq_c1/2,0))/2))+2*IF(circ_int,0,eq_c1/2)),IF(circ_int,0,eq_c2/2)+(s_0+0*s_r+IF(circ_int,eq_c1/2,0)),IF(((10+0.5)*(4*IF(circ_int,0,eq_c1/2)+4*IF(circ_int,0,eq_c2/2)+2*PI()*(s_0+0*s_r+IF(circ_int,eq_c1/2,0)))/INDEX(lk_legs,1))&lt;((((2*IF(circ_int,0,eq_c2/2))+(PI()*(s_0+0*s_r+IF(circ_int,eq_c1/2,0))/2))+2*IF(circ_int,0,eq_c1/2))+(PI()*(s_0+0*s_r+IF(circ_int,eq_c1/2,0))/2)),IF(circ_int,0,eq_c2/2)+(s_0+0*s_r+IF(circ_int,eq_c1/2,0))*SIN(PI()/2+(((10+0.5)*(4*IF(circ_int,0,eq_c1/2)+4*IF(circ_int,0,eq_c2/2)+2*PI()*(s_0+0*s_r+IF(circ_int,eq_c1/2,0)))/INDEX(lk_legs,1))-(((2*IF(circ_int,0,eq_c2/2))+(PI()*(s_0+0*s_r+IF(circ_int,eq_c1/2,0))/2))+2*IF(circ_int,0,eq_c1/2)))/(s_0+0*s_r+IF(circ_int,eq_c1/2,0))),IF(((10+0.5)*(4*IF(circ_int,0,eq_c1/2)+4*IF(circ_int,0,eq_c2/2)+2*PI()*(s_0+0*s_r+IF(circ_int,eq_c1/2,0)))/INDEX(lk_legs,1))&lt;(((((2*IF(circ_int,0,eq_c2/2))+(PI()*(s_0+0*s_r+IF(circ_int,eq_c1/2,0))/2))+2*IF(circ_int,0,eq_c1/2))+(PI()*(s_0+0*s_r+IF(circ_int,eq_c1/2,0))/2))+2*IF(circ_int,0,eq_c2/2)),IF(circ_int,0,eq_c2/2)-(((10+0.5)*(4*IF(circ_int,0,eq_c1/2)+4*IF(circ_int,0,eq_c2/2)+2*PI()*(s_0+0*s_r+IF(circ_int,eq_c1/2,0)))/INDEX(lk_legs,1))-((((2*IF(circ_int,0,eq_c2/2))+(PI()*(s_0+0*s_r+IF(circ_int,eq_c1/2,0))/2))+2*IF(circ_int,0,eq_c1/2))+(PI()*(s_0+0*s_r+IF(circ_int,eq_c1/2,0))/2))),IF(((10+0.5)*(4*IF(circ_int,0,eq_c1/2)+4*IF(circ_int,0,eq_c2/2)+2*PI()*(s_0+0*s_r+IF(circ_int,eq_c1/2,0)))/INDEX(lk_legs,1))&lt;((((((2*IF(circ_int,0,eq_c2/2))+(PI()*(s_0+0*s_r+IF(circ_int,eq_c1/2,0))/2))+2*IF(circ_int,0,eq_c1/2))+(PI()*(s_0+0*s_r+IF(circ_int,eq_c1/2,0))/2))+2*IF(circ_int,0,eq_c2/2))+(PI()*(s_0+0*s_r+IF(circ_int,eq_c1/2,0))/2)),-IF(circ_int,0,eq_c2/2)+(s_0+0*s_r+IF(circ_int,eq_c1/2,0))*SIN(PI()+(((10+0.5)*(4*IF(circ_int,0,eq_c1/2)+4*IF(circ_int,0,eq_c2/2)+2*PI()*(s_0+0*s_r+IF(circ_int,eq_c1/2,0)))/INDEX(lk_legs,1))-(((((2*IF(circ_int,0,eq_c2/2))+(PI()*(s_0+0*s_r+IF(circ_int,eq_c1/2,0))/2))+2*IF(circ_int,0,eq_c1/2))+(PI()*(s_0+0*s_r+IF(circ_int,eq_c1/2,0))/2))+2*IF(circ_int,0,eq_c2/2)))/(s_0+0*s_r+IF(circ_int,eq_c1/2,0))),IF(((10+0.5)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(10+0.5)*(4*IF(circ_int,0,eq_c1/2)+4*IF(circ_int,0,eq_c2/2)+2*PI()*(s_0+0*s_r+IF(circ_int,eq_c1/2,0)))/INDEX(lk_legs,1))-(((((((2*IF(circ_int,0,eq_c2/2))+(PI()*(s_0+0*s_r+IF(circ_int,eq_c1/2,0))/2))+2*IF(circ_int,0,eq_c1/2))+(PI()*(s_0+0*s_r+IF(circ_int,eq_c1/2,0))/2))+2*IF(circ_int,0,eq_c2/2))+(PI()*(s_0+0*s_r+IF(circ_int,eq_c1/2,0))/2))+2*IF(circ_int,0,eq_c1/2)))/(s_0+0*s_r+IF(circ_int,eq_c1/2,0)))))))))),NA())</f>
        <v/>
      </c>
      <c r="BC13">
        <f>IF(AND(links_on,2&lt;=n_per),IF(circ_int,(g_ox)+(c_1/2+(s_0+1*s_r))*0.354605,CHOOSE(INDEX(lk_kind,2),(g_ox+eq_c1/2)+((s_0+1*s_r))*0.258819,(eq_a1+eq_c1)+((s_0+1*s_r))*0.923880,(eq_a1+eq_c1)+((s_0+1*s_r))*0.923880,(eq_a1)+((s_0+1*s_r))*-0.382683)),NA())</f>
        <v/>
      </c>
      <c r="BD13">
        <f>IF(AND(links_on,2&lt;=n_per),IF(circ_int,(g_oy)+(c_1/2+(s_0+1*s_r))*0.935016,CHOOSE(INDEX(lk_kind,2),(g_oy+eq_c2/2)+((s_0+1*s_r))*0.965926,(g_oy+eq_c2/2)+((s_0+1*s_r))*0.382683,(eq_a2+eq_c2)+((s_0+1*s_r))*0.382683,(eq_a2+eq_c2)+((s_0+1*s_r))*0.923880)),NA())</f>
        <v/>
      </c>
      <c r="BF13">
        <f>IF(AND(AND(links_on,2&lt;=n_per),INDEX(lk_kind,2)=1,10&lt;INDEX(lk_legs,2)),g_ox+IF(((10+0.5)*(4*IF(circ_int,0,eq_c1/2)+4*IF(circ_int,0,eq_c2/2)+2*PI()*(s_0+1*s_r+IF(circ_int,eq_c1/2,0)))/INDEX(lk_legs,2))&lt;(2*IF(circ_int,0,eq_c2/2)),IF(circ_int,0,eq_c1/2)+(s_0+1*s_r+IF(circ_int,eq_c1/2,0)),IF(((10+0.5)*(4*IF(circ_int,0,eq_c1/2)+4*IF(circ_int,0,eq_c2/2)+2*PI()*(s_0+1*s_r+IF(circ_int,eq_c1/2,0)))/INDEX(lk_legs,2))&lt;((2*IF(circ_int,0,eq_c2/2))+(PI()*(s_0+1*s_r+IF(circ_int,eq_c1/2,0))/2)),IF(circ_int,0,eq_c1/2)+(s_0+1*s_r+IF(circ_int,eq_c1/2,0))*COS((((10+0.5)*(4*IF(circ_int,0,eq_c1/2)+4*IF(circ_int,0,eq_c2/2)+2*PI()*(s_0+1*s_r+IF(circ_int,eq_c1/2,0)))/INDEX(lk_legs,2))-(2*IF(circ_int,0,eq_c2/2)))/(s_0+1*s_r+IF(circ_int,eq_c1/2,0))),IF(((10+0.5)*(4*IF(circ_int,0,eq_c1/2)+4*IF(circ_int,0,eq_c2/2)+2*PI()*(s_0+1*s_r+IF(circ_int,eq_c1/2,0)))/INDEX(lk_legs,2))&lt;(((2*IF(circ_int,0,eq_c2/2))+(PI()*(s_0+1*s_r+IF(circ_int,eq_c1/2,0))/2))+2*IF(circ_int,0,eq_c1/2)),IF(circ_int,0,eq_c1/2)-(((10+0.5)*(4*IF(circ_int,0,eq_c1/2)+4*IF(circ_int,0,eq_c2/2)+2*PI()*(s_0+1*s_r+IF(circ_int,eq_c1/2,0)))/INDEX(lk_legs,2))-((2*IF(circ_int,0,eq_c2/2))+(PI()*(s_0+1*s_r+IF(circ_int,eq_c1/2,0))/2))),IF(((10+0.5)*(4*IF(circ_int,0,eq_c1/2)+4*IF(circ_int,0,eq_c2/2)+2*PI()*(s_0+1*s_r+IF(circ_int,eq_c1/2,0)))/INDEX(lk_legs,2))&lt;((((2*IF(circ_int,0,eq_c2/2))+(PI()*(s_0+1*s_r+IF(circ_int,eq_c1/2,0))/2))+2*IF(circ_int,0,eq_c1/2))+(PI()*(s_0+1*s_r+IF(circ_int,eq_c1/2,0))/2)),-IF(circ_int,0,eq_c1/2)+(s_0+1*s_r+IF(circ_int,eq_c1/2,0))*COS(PI()/2+(((10+0.5)*(4*IF(circ_int,0,eq_c1/2)+4*IF(circ_int,0,eq_c2/2)+2*PI()*(s_0+1*s_r+IF(circ_int,eq_c1/2,0)))/INDEX(lk_legs,2))-(((2*IF(circ_int,0,eq_c2/2))+(PI()*(s_0+1*s_r+IF(circ_int,eq_c1/2,0))/2))+2*IF(circ_int,0,eq_c1/2)))/(s_0+1*s_r+IF(circ_int,eq_c1/2,0))),IF(((10+0.5)*(4*IF(circ_int,0,eq_c1/2)+4*IF(circ_int,0,eq_c2/2)+2*PI()*(s_0+1*s_r+IF(circ_int,eq_c1/2,0)))/INDEX(lk_legs,2))&lt;(((((2*IF(circ_int,0,eq_c2/2))+(PI()*(s_0+1*s_r+IF(circ_int,eq_c1/2,0))/2))+2*IF(circ_int,0,eq_c1/2))+(PI()*(s_0+1*s_r+IF(circ_int,eq_c1/2,0))/2))+2*IF(circ_int,0,eq_c2/2)),-IF(circ_int,0,eq_c1/2)-(s_0+1*s_r+IF(circ_int,eq_c1/2,0)),IF(((10+0.5)*(4*IF(circ_int,0,eq_c1/2)+4*IF(circ_int,0,eq_c2/2)+2*PI()*(s_0+1*s_r+IF(circ_int,eq_c1/2,0)))/INDEX(lk_legs,2))&lt;((((((2*IF(circ_int,0,eq_c2/2))+(PI()*(s_0+1*s_r+IF(circ_int,eq_c1/2,0))/2))+2*IF(circ_int,0,eq_c1/2))+(PI()*(s_0+1*s_r+IF(circ_int,eq_c1/2,0))/2))+2*IF(circ_int,0,eq_c2/2))+(PI()*(s_0+1*s_r+IF(circ_int,eq_c1/2,0))/2)),-IF(circ_int,0,eq_c1/2)+(s_0+1*s_r+IF(circ_int,eq_c1/2,0))*COS(PI()+(((10+0.5)*(4*IF(circ_int,0,eq_c1/2)+4*IF(circ_int,0,eq_c2/2)+2*PI()*(s_0+1*s_r+IF(circ_int,eq_c1/2,0)))/INDEX(lk_legs,2))-(((((2*IF(circ_int,0,eq_c2/2))+(PI()*(s_0+1*s_r+IF(circ_int,eq_c1/2,0))/2))+2*IF(circ_int,0,eq_c1/2))+(PI()*(s_0+1*s_r+IF(circ_int,eq_c1/2,0))/2))+2*IF(circ_int,0,eq_c2/2)))/(s_0+1*s_r+IF(circ_int,eq_c1/2,0))),IF(((10+0.5)*(4*IF(circ_int,0,eq_c1/2)+4*IF(circ_int,0,eq_c2/2)+2*PI()*(s_0+1*s_r+IF(circ_int,eq_c1/2,0)))/INDEX(lk_legs,2))&lt;(((((((2*IF(circ_int,0,eq_c2/2))+(PI()*(s_0+1*s_r+IF(circ_int,eq_c1/2,0))/2))+2*IF(circ_int,0,eq_c1/2))+(PI()*(s_0+1*s_r+IF(circ_int,eq_c1/2,0))/2))+2*IF(circ_int,0,eq_c2/2))+(PI()*(s_0+1*s_r+IF(circ_int,eq_c1/2,0))/2))+2*IF(circ_int,0,eq_c1/2)),-IF(circ_int,0,eq_c1/2)+(((10+0.5)*(4*IF(circ_int,0,eq_c1/2)+4*IF(circ_int,0,eq_c2/2)+2*PI()*(s_0+1*s_r+IF(circ_int,eq_c1/2,0)))/INDEX(lk_legs,2))-((((((2*IF(circ_int,0,eq_c2/2))+(PI()*(s_0+1*s_r+IF(circ_int,eq_c1/2,0))/2))+2*IF(circ_int,0,eq_c1/2))+(PI()*(s_0+1*s_r+IF(circ_int,eq_c1/2,0))/2))+2*IF(circ_int,0,eq_c2/2))+(PI()*(s_0+1*s_r+IF(circ_int,eq_c1/2,0))/2))),IF(circ_int,0,eq_c1/2)+(s_0+1*s_r+IF(circ_int,eq_c1/2,0))*COS(3*PI()/2+(((10+0.5)*(4*IF(circ_int,0,eq_c1/2)+4*IF(circ_int,0,eq_c2/2)+2*PI()*(s_0+1*s_r+IF(circ_int,eq_c1/2,0)))/INDEX(lk_legs,2))-(((((((2*IF(circ_int,0,eq_c2/2))+(PI()*(s_0+1*s_r+IF(circ_int,eq_c1/2,0))/2))+2*IF(circ_int,0,eq_c1/2))+(PI()*(s_0+1*s_r+IF(circ_int,eq_c1/2,0))/2))+2*IF(circ_int,0,eq_c2/2))+(PI()*(s_0+1*s_r+IF(circ_int,eq_c1/2,0))/2))+2*IF(circ_int,0,eq_c1/2)))/(s_0+1*s_r+IF(circ_int,eq_c1/2,0)))))))))),NA())</f>
        <v/>
      </c>
      <c r="BG13">
        <f>IF(AND(AND(links_on,2&lt;=n_per),INDEX(lk_kind,2)=1,10&lt;INDEX(lk_legs,2)),g_oy+IF(((10+0.5)*(4*IF(circ_int,0,eq_c1/2)+4*IF(circ_int,0,eq_c2/2)+2*PI()*(s_0+1*s_r+IF(circ_int,eq_c1/2,0)))/INDEX(lk_legs,2))&lt;(2*IF(circ_int,0,eq_c2/2)),-IF(circ_int,0,eq_c2/2)+((10+0.5)*(4*IF(circ_int,0,eq_c1/2)+4*IF(circ_int,0,eq_c2/2)+2*PI()*(s_0+1*s_r+IF(circ_int,eq_c1/2,0)))/INDEX(lk_legs,2)),IF(((10+0.5)*(4*IF(circ_int,0,eq_c1/2)+4*IF(circ_int,0,eq_c2/2)+2*PI()*(s_0+1*s_r+IF(circ_int,eq_c1/2,0)))/INDEX(lk_legs,2))&lt;((2*IF(circ_int,0,eq_c2/2))+(PI()*(s_0+1*s_r+IF(circ_int,eq_c1/2,0))/2)),IF(circ_int,0,eq_c2/2)+(s_0+1*s_r+IF(circ_int,eq_c1/2,0))*SIN((((10+0.5)*(4*IF(circ_int,0,eq_c1/2)+4*IF(circ_int,0,eq_c2/2)+2*PI()*(s_0+1*s_r+IF(circ_int,eq_c1/2,0)))/INDEX(lk_legs,2))-(2*IF(circ_int,0,eq_c2/2)))/(s_0+1*s_r+IF(circ_int,eq_c1/2,0))),IF(((10+0.5)*(4*IF(circ_int,0,eq_c1/2)+4*IF(circ_int,0,eq_c2/2)+2*PI()*(s_0+1*s_r+IF(circ_int,eq_c1/2,0)))/INDEX(lk_legs,2))&lt;(((2*IF(circ_int,0,eq_c2/2))+(PI()*(s_0+1*s_r+IF(circ_int,eq_c1/2,0))/2))+2*IF(circ_int,0,eq_c1/2)),IF(circ_int,0,eq_c2/2)+(s_0+1*s_r+IF(circ_int,eq_c1/2,0)),IF(((10+0.5)*(4*IF(circ_int,0,eq_c1/2)+4*IF(circ_int,0,eq_c2/2)+2*PI()*(s_0+1*s_r+IF(circ_int,eq_c1/2,0)))/INDEX(lk_legs,2))&lt;((((2*IF(circ_int,0,eq_c2/2))+(PI()*(s_0+1*s_r+IF(circ_int,eq_c1/2,0))/2))+2*IF(circ_int,0,eq_c1/2))+(PI()*(s_0+1*s_r+IF(circ_int,eq_c1/2,0))/2)),IF(circ_int,0,eq_c2/2)+(s_0+1*s_r+IF(circ_int,eq_c1/2,0))*SIN(PI()/2+(((10+0.5)*(4*IF(circ_int,0,eq_c1/2)+4*IF(circ_int,0,eq_c2/2)+2*PI()*(s_0+1*s_r+IF(circ_int,eq_c1/2,0)))/INDEX(lk_legs,2))-(((2*IF(circ_int,0,eq_c2/2))+(PI()*(s_0+1*s_r+IF(circ_int,eq_c1/2,0))/2))+2*IF(circ_int,0,eq_c1/2)))/(s_0+1*s_r+IF(circ_int,eq_c1/2,0))),IF(((10+0.5)*(4*IF(circ_int,0,eq_c1/2)+4*IF(circ_int,0,eq_c2/2)+2*PI()*(s_0+1*s_r+IF(circ_int,eq_c1/2,0)))/INDEX(lk_legs,2))&lt;(((((2*IF(circ_int,0,eq_c2/2))+(PI()*(s_0+1*s_r+IF(circ_int,eq_c1/2,0))/2))+2*IF(circ_int,0,eq_c1/2))+(PI()*(s_0+1*s_r+IF(circ_int,eq_c1/2,0))/2))+2*IF(circ_int,0,eq_c2/2)),IF(circ_int,0,eq_c2/2)-(((10+0.5)*(4*IF(circ_int,0,eq_c1/2)+4*IF(circ_int,0,eq_c2/2)+2*PI()*(s_0+1*s_r+IF(circ_int,eq_c1/2,0)))/INDEX(lk_legs,2))-((((2*IF(circ_int,0,eq_c2/2))+(PI()*(s_0+1*s_r+IF(circ_int,eq_c1/2,0))/2))+2*IF(circ_int,0,eq_c1/2))+(PI()*(s_0+1*s_r+IF(circ_int,eq_c1/2,0))/2))),IF(((10+0.5)*(4*IF(circ_int,0,eq_c1/2)+4*IF(circ_int,0,eq_c2/2)+2*PI()*(s_0+1*s_r+IF(circ_int,eq_c1/2,0)))/INDEX(lk_legs,2))&lt;((((((2*IF(circ_int,0,eq_c2/2))+(PI()*(s_0+1*s_r+IF(circ_int,eq_c1/2,0))/2))+2*IF(circ_int,0,eq_c1/2))+(PI()*(s_0+1*s_r+IF(circ_int,eq_c1/2,0))/2))+2*IF(circ_int,0,eq_c2/2))+(PI()*(s_0+1*s_r+IF(circ_int,eq_c1/2,0))/2)),-IF(circ_int,0,eq_c2/2)+(s_0+1*s_r+IF(circ_int,eq_c1/2,0))*SIN(PI()+(((10+0.5)*(4*IF(circ_int,0,eq_c1/2)+4*IF(circ_int,0,eq_c2/2)+2*PI()*(s_0+1*s_r+IF(circ_int,eq_c1/2,0)))/INDEX(lk_legs,2))-(((((2*IF(circ_int,0,eq_c2/2))+(PI()*(s_0+1*s_r+IF(circ_int,eq_c1/2,0))/2))+2*IF(circ_int,0,eq_c1/2))+(PI()*(s_0+1*s_r+IF(circ_int,eq_c1/2,0))/2))+2*IF(circ_int,0,eq_c2/2)))/(s_0+1*s_r+IF(circ_int,eq_c1/2,0))),IF(((10+0.5)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(10+0.5)*(4*IF(circ_int,0,eq_c1/2)+4*IF(circ_int,0,eq_c2/2)+2*PI()*(s_0+1*s_r+IF(circ_int,eq_c1/2,0)))/INDEX(lk_legs,2))-(((((((2*IF(circ_int,0,eq_c2/2))+(PI()*(s_0+1*s_r+IF(circ_int,eq_c1/2,0))/2))+2*IF(circ_int,0,eq_c1/2))+(PI()*(s_0+1*s_r+IF(circ_int,eq_c1/2,0))/2))+2*IF(circ_int,0,eq_c2/2))+(PI()*(s_0+1*s_r+IF(circ_int,eq_c1/2,0))/2))+2*IF(circ_int,0,eq_c1/2)))/(s_0+1*s_r+IF(circ_int,eq_c1/2,0)))))))))),NA())</f>
        <v/>
      </c>
      <c r="BI13">
        <f>IF(AND(links_on,3&lt;=n_per),IF(circ_int,(g_ox)+(c_1/2+(s_0+2*s_r))*0.354605,CHOOSE(INDEX(lk_kind,3),(g_ox+eq_c1/2)+((s_0+2*s_r))*0.258819,(eq_a1+eq_c1)+((s_0+2*s_r))*0.923880,(eq_a1+eq_c1)+((s_0+2*s_r))*0.923880,(eq_a1)+((s_0+2*s_r))*-0.382683)),NA())</f>
        <v/>
      </c>
      <c r="BJ13">
        <f>IF(AND(links_on,3&lt;=n_per),IF(circ_int,(g_oy)+(c_1/2+(s_0+2*s_r))*0.935016,CHOOSE(INDEX(lk_kind,3),(g_oy+eq_c2/2)+((s_0+2*s_r))*0.965926,(g_oy+eq_c2/2)+((s_0+2*s_r))*0.382683,(eq_a2+eq_c2)+((s_0+2*s_r))*0.382683,(eq_a2+eq_c2)+((s_0+2*s_r))*0.923880)),NA())</f>
        <v/>
      </c>
      <c r="BL13">
        <f>IF(AND(AND(links_on,3&lt;=n_per),INDEX(lk_kind,3)=1,10&lt;INDEX(lk_legs,3)),g_ox+IF(((10+0.5)*(4*IF(circ_int,0,eq_c1/2)+4*IF(circ_int,0,eq_c2/2)+2*PI()*(s_0+2*s_r+IF(circ_int,eq_c1/2,0)))/INDEX(lk_legs,3))&lt;(2*IF(circ_int,0,eq_c2/2)),IF(circ_int,0,eq_c1/2)+(s_0+2*s_r+IF(circ_int,eq_c1/2,0)),IF(((10+0.5)*(4*IF(circ_int,0,eq_c1/2)+4*IF(circ_int,0,eq_c2/2)+2*PI()*(s_0+2*s_r+IF(circ_int,eq_c1/2,0)))/INDEX(lk_legs,3))&lt;((2*IF(circ_int,0,eq_c2/2))+(PI()*(s_0+2*s_r+IF(circ_int,eq_c1/2,0))/2)),IF(circ_int,0,eq_c1/2)+(s_0+2*s_r+IF(circ_int,eq_c1/2,0))*COS((((10+0.5)*(4*IF(circ_int,0,eq_c1/2)+4*IF(circ_int,0,eq_c2/2)+2*PI()*(s_0+2*s_r+IF(circ_int,eq_c1/2,0)))/INDEX(lk_legs,3))-(2*IF(circ_int,0,eq_c2/2)))/(s_0+2*s_r+IF(circ_int,eq_c1/2,0))),IF(((10+0.5)*(4*IF(circ_int,0,eq_c1/2)+4*IF(circ_int,0,eq_c2/2)+2*PI()*(s_0+2*s_r+IF(circ_int,eq_c1/2,0)))/INDEX(lk_legs,3))&lt;(((2*IF(circ_int,0,eq_c2/2))+(PI()*(s_0+2*s_r+IF(circ_int,eq_c1/2,0))/2))+2*IF(circ_int,0,eq_c1/2)),IF(circ_int,0,eq_c1/2)-(((10+0.5)*(4*IF(circ_int,0,eq_c1/2)+4*IF(circ_int,0,eq_c2/2)+2*PI()*(s_0+2*s_r+IF(circ_int,eq_c1/2,0)))/INDEX(lk_legs,3))-((2*IF(circ_int,0,eq_c2/2))+(PI()*(s_0+2*s_r+IF(circ_int,eq_c1/2,0))/2))),IF(((10+0.5)*(4*IF(circ_int,0,eq_c1/2)+4*IF(circ_int,0,eq_c2/2)+2*PI()*(s_0+2*s_r+IF(circ_int,eq_c1/2,0)))/INDEX(lk_legs,3))&lt;((((2*IF(circ_int,0,eq_c2/2))+(PI()*(s_0+2*s_r+IF(circ_int,eq_c1/2,0))/2))+2*IF(circ_int,0,eq_c1/2))+(PI()*(s_0+2*s_r+IF(circ_int,eq_c1/2,0))/2)),-IF(circ_int,0,eq_c1/2)+(s_0+2*s_r+IF(circ_int,eq_c1/2,0))*COS(PI()/2+(((10+0.5)*(4*IF(circ_int,0,eq_c1/2)+4*IF(circ_int,0,eq_c2/2)+2*PI()*(s_0+2*s_r+IF(circ_int,eq_c1/2,0)))/INDEX(lk_legs,3))-(((2*IF(circ_int,0,eq_c2/2))+(PI()*(s_0+2*s_r+IF(circ_int,eq_c1/2,0))/2))+2*IF(circ_int,0,eq_c1/2)))/(s_0+2*s_r+IF(circ_int,eq_c1/2,0))),IF(((10+0.5)*(4*IF(circ_int,0,eq_c1/2)+4*IF(circ_int,0,eq_c2/2)+2*PI()*(s_0+2*s_r+IF(circ_int,eq_c1/2,0)))/INDEX(lk_legs,3))&lt;(((((2*IF(circ_int,0,eq_c2/2))+(PI()*(s_0+2*s_r+IF(circ_int,eq_c1/2,0))/2))+2*IF(circ_int,0,eq_c1/2))+(PI()*(s_0+2*s_r+IF(circ_int,eq_c1/2,0))/2))+2*IF(circ_int,0,eq_c2/2)),-IF(circ_int,0,eq_c1/2)-(s_0+2*s_r+IF(circ_int,eq_c1/2,0)),IF(((10+0.5)*(4*IF(circ_int,0,eq_c1/2)+4*IF(circ_int,0,eq_c2/2)+2*PI()*(s_0+2*s_r+IF(circ_int,eq_c1/2,0)))/INDEX(lk_legs,3))&lt;((((((2*IF(circ_int,0,eq_c2/2))+(PI()*(s_0+2*s_r+IF(circ_int,eq_c1/2,0))/2))+2*IF(circ_int,0,eq_c1/2))+(PI()*(s_0+2*s_r+IF(circ_int,eq_c1/2,0))/2))+2*IF(circ_int,0,eq_c2/2))+(PI()*(s_0+2*s_r+IF(circ_int,eq_c1/2,0))/2)),-IF(circ_int,0,eq_c1/2)+(s_0+2*s_r+IF(circ_int,eq_c1/2,0))*COS(PI()+(((10+0.5)*(4*IF(circ_int,0,eq_c1/2)+4*IF(circ_int,0,eq_c2/2)+2*PI()*(s_0+2*s_r+IF(circ_int,eq_c1/2,0)))/INDEX(lk_legs,3))-(((((2*IF(circ_int,0,eq_c2/2))+(PI()*(s_0+2*s_r+IF(circ_int,eq_c1/2,0))/2))+2*IF(circ_int,0,eq_c1/2))+(PI()*(s_0+2*s_r+IF(circ_int,eq_c1/2,0))/2))+2*IF(circ_int,0,eq_c2/2)))/(s_0+2*s_r+IF(circ_int,eq_c1/2,0))),IF(((10+0.5)*(4*IF(circ_int,0,eq_c1/2)+4*IF(circ_int,0,eq_c2/2)+2*PI()*(s_0+2*s_r+IF(circ_int,eq_c1/2,0)))/INDEX(lk_legs,3))&lt;(((((((2*IF(circ_int,0,eq_c2/2))+(PI()*(s_0+2*s_r+IF(circ_int,eq_c1/2,0))/2))+2*IF(circ_int,0,eq_c1/2))+(PI()*(s_0+2*s_r+IF(circ_int,eq_c1/2,0))/2))+2*IF(circ_int,0,eq_c2/2))+(PI()*(s_0+2*s_r+IF(circ_int,eq_c1/2,0))/2))+2*IF(circ_int,0,eq_c1/2)),-IF(circ_int,0,eq_c1/2)+(((10+0.5)*(4*IF(circ_int,0,eq_c1/2)+4*IF(circ_int,0,eq_c2/2)+2*PI()*(s_0+2*s_r+IF(circ_int,eq_c1/2,0)))/INDEX(lk_legs,3))-((((((2*IF(circ_int,0,eq_c2/2))+(PI()*(s_0+2*s_r+IF(circ_int,eq_c1/2,0))/2))+2*IF(circ_int,0,eq_c1/2))+(PI()*(s_0+2*s_r+IF(circ_int,eq_c1/2,0))/2))+2*IF(circ_int,0,eq_c2/2))+(PI()*(s_0+2*s_r+IF(circ_int,eq_c1/2,0))/2))),IF(circ_int,0,eq_c1/2)+(s_0+2*s_r+IF(circ_int,eq_c1/2,0))*COS(3*PI()/2+(((10+0.5)*(4*IF(circ_int,0,eq_c1/2)+4*IF(circ_int,0,eq_c2/2)+2*PI()*(s_0+2*s_r+IF(circ_int,eq_c1/2,0)))/INDEX(lk_legs,3))-(((((((2*IF(circ_int,0,eq_c2/2))+(PI()*(s_0+2*s_r+IF(circ_int,eq_c1/2,0))/2))+2*IF(circ_int,0,eq_c1/2))+(PI()*(s_0+2*s_r+IF(circ_int,eq_c1/2,0))/2))+2*IF(circ_int,0,eq_c2/2))+(PI()*(s_0+2*s_r+IF(circ_int,eq_c1/2,0))/2))+2*IF(circ_int,0,eq_c1/2)))/(s_0+2*s_r+IF(circ_int,eq_c1/2,0)))))))))),NA())</f>
        <v/>
      </c>
      <c r="BM13">
        <f>IF(AND(AND(links_on,3&lt;=n_per),INDEX(lk_kind,3)=1,10&lt;INDEX(lk_legs,3)),g_oy+IF(((10+0.5)*(4*IF(circ_int,0,eq_c1/2)+4*IF(circ_int,0,eq_c2/2)+2*PI()*(s_0+2*s_r+IF(circ_int,eq_c1/2,0)))/INDEX(lk_legs,3))&lt;(2*IF(circ_int,0,eq_c2/2)),-IF(circ_int,0,eq_c2/2)+((10+0.5)*(4*IF(circ_int,0,eq_c1/2)+4*IF(circ_int,0,eq_c2/2)+2*PI()*(s_0+2*s_r+IF(circ_int,eq_c1/2,0)))/INDEX(lk_legs,3)),IF(((10+0.5)*(4*IF(circ_int,0,eq_c1/2)+4*IF(circ_int,0,eq_c2/2)+2*PI()*(s_0+2*s_r+IF(circ_int,eq_c1/2,0)))/INDEX(lk_legs,3))&lt;((2*IF(circ_int,0,eq_c2/2))+(PI()*(s_0+2*s_r+IF(circ_int,eq_c1/2,0))/2)),IF(circ_int,0,eq_c2/2)+(s_0+2*s_r+IF(circ_int,eq_c1/2,0))*SIN((((10+0.5)*(4*IF(circ_int,0,eq_c1/2)+4*IF(circ_int,0,eq_c2/2)+2*PI()*(s_0+2*s_r+IF(circ_int,eq_c1/2,0)))/INDEX(lk_legs,3))-(2*IF(circ_int,0,eq_c2/2)))/(s_0+2*s_r+IF(circ_int,eq_c1/2,0))),IF(((10+0.5)*(4*IF(circ_int,0,eq_c1/2)+4*IF(circ_int,0,eq_c2/2)+2*PI()*(s_0+2*s_r+IF(circ_int,eq_c1/2,0)))/INDEX(lk_legs,3))&lt;(((2*IF(circ_int,0,eq_c2/2))+(PI()*(s_0+2*s_r+IF(circ_int,eq_c1/2,0))/2))+2*IF(circ_int,0,eq_c1/2)),IF(circ_int,0,eq_c2/2)+(s_0+2*s_r+IF(circ_int,eq_c1/2,0)),IF(((10+0.5)*(4*IF(circ_int,0,eq_c1/2)+4*IF(circ_int,0,eq_c2/2)+2*PI()*(s_0+2*s_r+IF(circ_int,eq_c1/2,0)))/INDEX(lk_legs,3))&lt;((((2*IF(circ_int,0,eq_c2/2))+(PI()*(s_0+2*s_r+IF(circ_int,eq_c1/2,0))/2))+2*IF(circ_int,0,eq_c1/2))+(PI()*(s_0+2*s_r+IF(circ_int,eq_c1/2,0))/2)),IF(circ_int,0,eq_c2/2)+(s_0+2*s_r+IF(circ_int,eq_c1/2,0))*SIN(PI()/2+(((10+0.5)*(4*IF(circ_int,0,eq_c1/2)+4*IF(circ_int,0,eq_c2/2)+2*PI()*(s_0+2*s_r+IF(circ_int,eq_c1/2,0)))/INDEX(lk_legs,3))-(((2*IF(circ_int,0,eq_c2/2))+(PI()*(s_0+2*s_r+IF(circ_int,eq_c1/2,0))/2))+2*IF(circ_int,0,eq_c1/2)))/(s_0+2*s_r+IF(circ_int,eq_c1/2,0))),IF(((10+0.5)*(4*IF(circ_int,0,eq_c1/2)+4*IF(circ_int,0,eq_c2/2)+2*PI()*(s_0+2*s_r+IF(circ_int,eq_c1/2,0)))/INDEX(lk_legs,3))&lt;(((((2*IF(circ_int,0,eq_c2/2))+(PI()*(s_0+2*s_r+IF(circ_int,eq_c1/2,0))/2))+2*IF(circ_int,0,eq_c1/2))+(PI()*(s_0+2*s_r+IF(circ_int,eq_c1/2,0))/2))+2*IF(circ_int,0,eq_c2/2)),IF(circ_int,0,eq_c2/2)-(((10+0.5)*(4*IF(circ_int,0,eq_c1/2)+4*IF(circ_int,0,eq_c2/2)+2*PI()*(s_0+2*s_r+IF(circ_int,eq_c1/2,0)))/INDEX(lk_legs,3))-((((2*IF(circ_int,0,eq_c2/2))+(PI()*(s_0+2*s_r+IF(circ_int,eq_c1/2,0))/2))+2*IF(circ_int,0,eq_c1/2))+(PI()*(s_0+2*s_r+IF(circ_int,eq_c1/2,0))/2))),IF(((10+0.5)*(4*IF(circ_int,0,eq_c1/2)+4*IF(circ_int,0,eq_c2/2)+2*PI()*(s_0+2*s_r+IF(circ_int,eq_c1/2,0)))/INDEX(lk_legs,3))&lt;((((((2*IF(circ_int,0,eq_c2/2))+(PI()*(s_0+2*s_r+IF(circ_int,eq_c1/2,0))/2))+2*IF(circ_int,0,eq_c1/2))+(PI()*(s_0+2*s_r+IF(circ_int,eq_c1/2,0))/2))+2*IF(circ_int,0,eq_c2/2))+(PI()*(s_0+2*s_r+IF(circ_int,eq_c1/2,0))/2)),-IF(circ_int,0,eq_c2/2)+(s_0+2*s_r+IF(circ_int,eq_c1/2,0))*SIN(PI()+(((10+0.5)*(4*IF(circ_int,0,eq_c1/2)+4*IF(circ_int,0,eq_c2/2)+2*PI()*(s_0+2*s_r+IF(circ_int,eq_c1/2,0)))/INDEX(lk_legs,3))-(((((2*IF(circ_int,0,eq_c2/2))+(PI()*(s_0+2*s_r+IF(circ_int,eq_c1/2,0))/2))+2*IF(circ_int,0,eq_c1/2))+(PI()*(s_0+2*s_r+IF(circ_int,eq_c1/2,0))/2))+2*IF(circ_int,0,eq_c2/2)))/(s_0+2*s_r+IF(circ_int,eq_c1/2,0))),IF(((10+0.5)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(10+0.5)*(4*IF(circ_int,0,eq_c1/2)+4*IF(circ_int,0,eq_c2/2)+2*PI()*(s_0+2*s_r+IF(circ_int,eq_c1/2,0)))/INDEX(lk_legs,3))-(((((((2*IF(circ_int,0,eq_c2/2))+(PI()*(s_0+2*s_r+IF(circ_int,eq_c1/2,0))/2))+2*IF(circ_int,0,eq_c1/2))+(PI()*(s_0+2*s_r+IF(circ_int,eq_c1/2,0))/2))+2*IF(circ_int,0,eq_c2/2))+(PI()*(s_0+2*s_r+IF(circ_int,eq_c1/2,0))/2))+2*IF(circ_int,0,eq_c1/2)))/(s_0+2*s_r+IF(circ_int,eq_c1/2,0)))))))))),NA())</f>
        <v/>
      </c>
      <c r="BO13">
        <f>IF(AND(links_on,4&lt;=n_per),IF(circ_int,(g_ox)+(c_1/2+(s_0+3*s_r))*0.354605,CHOOSE(INDEX(lk_kind,4),(g_ox+eq_c1/2)+((s_0+3*s_r))*0.258819,(eq_a1+eq_c1)+((s_0+3*s_r))*0.923880,(eq_a1+eq_c1)+((s_0+3*s_r))*0.923880,(eq_a1)+((s_0+3*s_r))*-0.382683)),NA())</f>
        <v/>
      </c>
      <c r="BP13">
        <f>IF(AND(links_on,4&lt;=n_per),IF(circ_int,(g_oy)+(c_1/2+(s_0+3*s_r))*0.935016,CHOOSE(INDEX(lk_kind,4),(g_oy+eq_c2/2)+((s_0+3*s_r))*0.965926,(g_oy+eq_c2/2)+((s_0+3*s_r))*0.382683,(eq_a2+eq_c2)+((s_0+3*s_r))*0.382683,(eq_a2+eq_c2)+((s_0+3*s_r))*0.923880)),NA())</f>
        <v/>
      </c>
      <c r="BR13">
        <f>IF(AND(AND(links_on,4&lt;=n_per),INDEX(lk_kind,4)=1,10&lt;INDEX(lk_legs,4)),g_ox+IF(((10+0.5)*(4*IF(circ_int,0,eq_c1/2)+4*IF(circ_int,0,eq_c2/2)+2*PI()*(s_0+3*s_r+IF(circ_int,eq_c1/2,0)))/INDEX(lk_legs,4))&lt;(2*IF(circ_int,0,eq_c2/2)),IF(circ_int,0,eq_c1/2)+(s_0+3*s_r+IF(circ_int,eq_c1/2,0)),IF(((10+0.5)*(4*IF(circ_int,0,eq_c1/2)+4*IF(circ_int,0,eq_c2/2)+2*PI()*(s_0+3*s_r+IF(circ_int,eq_c1/2,0)))/INDEX(lk_legs,4))&lt;((2*IF(circ_int,0,eq_c2/2))+(PI()*(s_0+3*s_r+IF(circ_int,eq_c1/2,0))/2)),IF(circ_int,0,eq_c1/2)+(s_0+3*s_r+IF(circ_int,eq_c1/2,0))*COS((((10+0.5)*(4*IF(circ_int,0,eq_c1/2)+4*IF(circ_int,0,eq_c2/2)+2*PI()*(s_0+3*s_r+IF(circ_int,eq_c1/2,0)))/INDEX(lk_legs,4))-(2*IF(circ_int,0,eq_c2/2)))/(s_0+3*s_r+IF(circ_int,eq_c1/2,0))),IF(((10+0.5)*(4*IF(circ_int,0,eq_c1/2)+4*IF(circ_int,0,eq_c2/2)+2*PI()*(s_0+3*s_r+IF(circ_int,eq_c1/2,0)))/INDEX(lk_legs,4))&lt;(((2*IF(circ_int,0,eq_c2/2))+(PI()*(s_0+3*s_r+IF(circ_int,eq_c1/2,0))/2))+2*IF(circ_int,0,eq_c1/2)),IF(circ_int,0,eq_c1/2)-(((10+0.5)*(4*IF(circ_int,0,eq_c1/2)+4*IF(circ_int,0,eq_c2/2)+2*PI()*(s_0+3*s_r+IF(circ_int,eq_c1/2,0)))/INDEX(lk_legs,4))-((2*IF(circ_int,0,eq_c2/2))+(PI()*(s_0+3*s_r+IF(circ_int,eq_c1/2,0))/2))),IF(((10+0.5)*(4*IF(circ_int,0,eq_c1/2)+4*IF(circ_int,0,eq_c2/2)+2*PI()*(s_0+3*s_r+IF(circ_int,eq_c1/2,0)))/INDEX(lk_legs,4))&lt;((((2*IF(circ_int,0,eq_c2/2))+(PI()*(s_0+3*s_r+IF(circ_int,eq_c1/2,0))/2))+2*IF(circ_int,0,eq_c1/2))+(PI()*(s_0+3*s_r+IF(circ_int,eq_c1/2,0))/2)),-IF(circ_int,0,eq_c1/2)+(s_0+3*s_r+IF(circ_int,eq_c1/2,0))*COS(PI()/2+(((10+0.5)*(4*IF(circ_int,0,eq_c1/2)+4*IF(circ_int,0,eq_c2/2)+2*PI()*(s_0+3*s_r+IF(circ_int,eq_c1/2,0)))/INDEX(lk_legs,4))-(((2*IF(circ_int,0,eq_c2/2))+(PI()*(s_0+3*s_r+IF(circ_int,eq_c1/2,0))/2))+2*IF(circ_int,0,eq_c1/2)))/(s_0+3*s_r+IF(circ_int,eq_c1/2,0))),IF(((10+0.5)*(4*IF(circ_int,0,eq_c1/2)+4*IF(circ_int,0,eq_c2/2)+2*PI()*(s_0+3*s_r+IF(circ_int,eq_c1/2,0)))/INDEX(lk_legs,4))&lt;(((((2*IF(circ_int,0,eq_c2/2))+(PI()*(s_0+3*s_r+IF(circ_int,eq_c1/2,0))/2))+2*IF(circ_int,0,eq_c1/2))+(PI()*(s_0+3*s_r+IF(circ_int,eq_c1/2,0))/2))+2*IF(circ_int,0,eq_c2/2)),-IF(circ_int,0,eq_c1/2)-(s_0+3*s_r+IF(circ_int,eq_c1/2,0)),IF(((10+0.5)*(4*IF(circ_int,0,eq_c1/2)+4*IF(circ_int,0,eq_c2/2)+2*PI()*(s_0+3*s_r+IF(circ_int,eq_c1/2,0)))/INDEX(lk_legs,4))&lt;((((((2*IF(circ_int,0,eq_c2/2))+(PI()*(s_0+3*s_r+IF(circ_int,eq_c1/2,0))/2))+2*IF(circ_int,0,eq_c1/2))+(PI()*(s_0+3*s_r+IF(circ_int,eq_c1/2,0))/2))+2*IF(circ_int,0,eq_c2/2))+(PI()*(s_0+3*s_r+IF(circ_int,eq_c1/2,0))/2)),-IF(circ_int,0,eq_c1/2)+(s_0+3*s_r+IF(circ_int,eq_c1/2,0))*COS(PI()+(((10+0.5)*(4*IF(circ_int,0,eq_c1/2)+4*IF(circ_int,0,eq_c2/2)+2*PI()*(s_0+3*s_r+IF(circ_int,eq_c1/2,0)))/INDEX(lk_legs,4))-(((((2*IF(circ_int,0,eq_c2/2))+(PI()*(s_0+3*s_r+IF(circ_int,eq_c1/2,0))/2))+2*IF(circ_int,0,eq_c1/2))+(PI()*(s_0+3*s_r+IF(circ_int,eq_c1/2,0))/2))+2*IF(circ_int,0,eq_c2/2)))/(s_0+3*s_r+IF(circ_int,eq_c1/2,0))),IF(((10+0.5)*(4*IF(circ_int,0,eq_c1/2)+4*IF(circ_int,0,eq_c2/2)+2*PI()*(s_0+3*s_r+IF(circ_int,eq_c1/2,0)))/INDEX(lk_legs,4))&lt;(((((((2*IF(circ_int,0,eq_c2/2))+(PI()*(s_0+3*s_r+IF(circ_int,eq_c1/2,0))/2))+2*IF(circ_int,0,eq_c1/2))+(PI()*(s_0+3*s_r+IF(circ_int,eq_c1/2,0))/2))+2*IF(circ_int,0,eq_c2/2))+(PI()*(s_0+3*s_r+IF(circ_int,eq_c1/2,0))/2))+2*IF(circ_int,0,eq_c1/2)),-IF(circ_int,0,eq_c1/2)+(((10+0.5)*(4*IF(circ_int,0,eq_c1/2)+4*IF(circ_int,0,eq_c2/2)+2*PI()*(s_0+3*s_r+IF(circ_int,eq_c1/2,0)))/INDEX(lk_legs,4))-((((((2*IF(circ_int,0,eq_c2/2))+(PI()*(s_0+3*s_r+IF(circ_int,eq_c1/2,0))/2))+2*IF(circ_int,0,eq_c1/2))+(PI()*(s_0+3*s_r+IF(circ_int,eq_c1/2,0))/2))+2*IF(circ_int,0,eq_c2/2))+(PI()*(s_0+3*s_r+IF(circ_int,eq_c1/2,0))/2))),IF(circ_int,0,eq_c1/2)+(s_0+3*s_r+IF(circ_int,eq_c1/2,0))*COS(3*PI()/2+(((10+0.5)*(4*IF(circ_int,0,eq_c1/2)+4*IF(circ_int,0,eq_c2/2)+2*PI()*(s_0+3*s_r+IF(circ_int,eq_c1/2,0)))/INDEX(lk_legs,4))-(((((((2*IF(circ_int,0,eq_c2/2))+(PI()*(s_0+3*s_r+IF(circ_int,eq_c1/2,0))/2))+2*IF(circ_int,0,eq_c1/2))+(PI()*(s_0+3*s_r+IF(circ_int,eq_c1/2,0))/2))+2*IF(circ_int,0,eq_c2/2))+(PI()*(s_0+3*s_r+IF(circ_int,eq_c1/2,0))/2))+2*IF(circ_int,0,eq_c1/2)))/(s_0+3*s_r+IF(circ_int,eq_c1/2,0)))))))))),NA())</f>
        <v/>
      </c>
      <c r="BS13">
        <f>IF(AND(AND(links_on,4&lt;=n_per),INDEX(lk_kind,4)=1,10&lt;INDEX(lk_legs,4)),g_oy+IF(((10+0.5)*(4*IF(circ_int,0,eq_c1/2)+4*IF(circ_int,0,eq_c2/2)+2*PI()*(s_0+3*s_r+IF(circ_int,eq_c1/2,0)))/INDEX(lk_legs,4))&lt;(2*IF(circ_int,0,eq_c2/2)),-IF(circ_int,0,eq_c2/2)+((10+0.5)*(4*IF(circ_int,0,eq_c1/2)+4*IF(circ_int,0,eq_c2/2)+2*PI()*(s_0+3*s_r+IF(circ_int,eq_c1/2,0)))/INDEX(lk_legs,4)),IF(((10+0.5)*(4*IF(circ_int,0,eq_c1/2)+4*IF(circ_int,0,eq_c2/2)+2*PI()*(s_0+3*s_r+IF(circ_int,eq_c1/2,0)))/INDEX(lk_legs,4))&lt;((2*IF(circ_int,0,eq_c2/2))+(PI()*(s_0+3*s_r+IF(circ_int,eq_c1/2,0))/2)),IF(circ_int,0,eq_c2/2)+(s_0+3*s_r+IF(circ_int,eq_c1/2,0))*SIN((((10+0.5)*(4*IF(circ_int,0,eq_c1/2)+4*IF(circ_int,0,eq_c2/2)+2*PI()*(s_0+3*s_r+IF(circ_int,eq_c1/2,0)))/INDEX(lk_legs,4))-(2*IF(circ_int,0,eq_c2/2)))/(s_0+3*s_r+IF(circ_int,eq_c1/2,0))),IF(((10+0.5)*(4*IF(circ_int,0,eq_c1/2)+4*IF(circ_int,0,eq_c2/2)+2*PI()*(s_0+3*s_r+IF(circ_int,eq_c1/2,0)))/INDEX(lk_legs,4))&lt;(((2*IF(circ_int,0,eq_c2/2))+(PI()*(s_0+3*s_r+IF(circ_int,eq_c1/2,0))/2))+2*IF(circ_int,0,eq_c1/2)),IF(circ_int,0,eq_c2/2)+(s_0+3*s_r+IF(circ_int,eq_c1/2,0)),IF(((10+0.5)*(4*IF(circ_int,0,eq_c1/2)+4*IF(circ_int,0,eq_c2/2)+2*PI()*(s_0+3*s_r+IF(circ_int,eq_c1/2,0)))/INDEX(lk_legs,4))&lt;((((2*IF(circ_int,0,eq_c2/2))+(PI()*(s_0+3*s_r+IF(circ_int,eq_c1/2,0))/2))+2*IF(circ_int,0,eq_c1/2))+(PI()*(s_0+3*s_r+IF(circ_int,eq_c1/2,0))/2)),IF(circ_int,0,eq_c2/2)+(s_0+3*s_r+IF(circ_int,eq_c1/2,0))*SIN(PI()/2+(((10+0.5)*(4*IF(circ_int,0,eq_c1/2)+4*IF(circ_int,0,eq_c2/2)+2*PI()*(s_0+3*s_r+IF(circ_int,eq_c1/2,0)))/INDEX(lk_legs,4))-(((2*IF(circ_int,0,eq_c2/2))+(PI()*(s_0+3*s_r+IF(circ_int,eq_c1/2,0))/2))+2*IF(circ_int,0,eq_c1/2)))/(s_0+3*s_r+IF(circ_int,eq_c1/2,0))),IF(((10+0.5)*(4*IF(circ_int,0,eq_c1/2)+4*IF(circ_int,0,eq_c2/2)+2*PI()*(s_0+3*s_r+IF(circ_int,eq_c1/2,0)))/INDEX(lk_legs,4))&lt;(((((2*IF(circ_int,0,eq_c2/2))+(PI()*(s_0+3*s_r+IF(circ_int,eq_c1/2,0))/2))+2*IF(circ_int,0,eq_c1/2))+(PI()*(s_0+3*s_r+IF(circ_int,eq_c1/2,0))/2))+2*IF(circ_int,0,eq_c2/2)),IF(circ_int,0,eq_c2/2)-(((10+0.5)*(4*IF(circ_int,0,eq_c1/2)+4*IF(circ_int,0,eq_c2/2)+2*PI()*(s_0+3*s_r+IF(circ_int,eq_c1/2,0)))/INDEX(lk_legs,4))-((((2*IF(circ_int,0,eq_c2/2))+(PI()*(s_0+3*s_r+IF(circ_int,eq_c1/2,0))/2))+2*IF(circ_int,0,eq_c1/2))+(PI()*(s_0+3*s_r+IF(circ_int,eq_c1/2,0))/2))),IF(((10+0.5)*(4*IF(circ_int,0,eq_c1/2)+4*IF(circ_int,0,eq_c2/2)+2*PI()*(s_0+3*s_r+IF(circ_int,eq_c1/2,0)))/INDEX(lk_legs,4))&lt;((((((2*IF(circ_int,0,eq_c2/2))+(PI()*(s_0+3*s_r+IF(circ_int,eq_c1/2,0))/2))+2*IF(circ_int,0,eq_c1/2))+(PI()*(s_0+3*s_r+IF(circ_int,eq_c1/2,0))/2))+2*IF(circ_int,0,eq_c2/2))+(PI()*(s_0+3*s_r+IF(circ_int,eq_c1/2,0))/2)),-IF(circ_int,0,eq_c2/2)+(s_0+3*s_r+IF(circ_int,eq_c1/2,0))*SIN(PI()+(((10+0.5)*(4*IF(circ_int,0,eq_c1/2)+4*IF(circ_int,0,eq_c2/2)+2*PI()*(s_0+3*s_r+IF(circ_int,eq_c1/2,0)))/INDEX(lk_legs,4))-(((((2*IF(circ_int,0,eq_c2/2))+(PI()*(s_0+3*s_r+IF(circ_int,eq_c1/2,0))/2))+2*IF(circ_int,0,eq_c1/2))+(PI()*(s_0+3*s_r+IF(circ_int,eq_c1/2,0))/2))+2*IF(circ_int,0,eq_c2/2)))/(s_0+3*s_r+IF(circ_int,eq_c1/2,0))),IF(((10+0.5)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(10+0.5)*(4*IF(circ_int,0,eq_c1/2)+4*IF(circ_int,0,eq_c2/2)+2*PI()*(s_0+3*s_r+IF(circ_int,eq_c1/2,0)))/INDEX(lk_legs,4))-(((((((2*IF(circ_int,0,eq_c2/2))+(PI()*(s_0+3*s_r+IF(circ_int,eq_c1/2,0))/2))+2*IF(circ_int,0,eq_c1/2))+(PI()*(s_0+3*s_r+IF(circ_int,eq_c1/2,0))/2))+2*IF(circ_int,0,eq_c2/2))+(PI()*(s_0+3*s_r+IF(circ_int,eq_c1/2,0))/2))+2*IF(circ_int,0,eq_c1/2)))/(s_0+3*s_r+IF(circ_int,eq_c1/2,0)))))))))),NA())</f>
        <v/>
      </c>
      <c r="BU13">
        <f>IF(AND(links_on,5&lt;=n_per),IF(circ_int,(g_ox)+(c_1/2+(s_0+4*s_r))*0.354605,CHOOSE(INDEX(lk_kind,5),(g_ox+eq_c1/2)+((s_0+4*s_r))*0.258819,(eq_a1+eq_c1)+((s_0+4*s_r))*0.923880,(eq_a1+eq_c1)+((s_0+4*s_r))*0.923880,(eq_a1)+((s_0+4*s_r))*-0.382683)),NA())</f>
        <v/>
      </c>
      <c r="BV13">
        <f>IF(AND(links_on,5&lt;=n_per),IF(circ_int,(g_oy)+(c_1/2+(s_0+4*s_r))*0.935016,CHOOSE(INDEX(lk_kind,5),(g_oy+eq_c2/2)+((s_0+4*s_r))*0.965926,(g_oy+eq_c2/2)+((s_0+4*s_r))*0.382683,(eq_a2+eq_c2)+((s_0+4*s_r))*0.382683,(eq_a2+eq_c2)+((s_0+4*s_r))*0.923880)),NA())</f>
        <v/>
      </c>
      <c r="BX13">
        <f>IF(AND(AND(links_on,5&lt;=n_per),INDEX(lk_kind,5)=1,10&lt;INDEX(lk_legs,5)),g_ox+IF(((10+0.5)*(4*IF(circ_int,0,eq_c1/2)+4*IF(circ_int,0,eq_c2/2)+2*PI()*(s_0+4*s_r+IF(circ_int,eq_c1/2,0)))/INDEX(lk_legs,5))&lt;(2*IF(circ_int,0,eq_c2/2)),IF(circ_int,0,eq_c1/2)+(s_0+4*s_r+IF(circ_int,eq_c1/2,0)),IF(((10+0.5)*(4*IF(circ_int,0,eq_c1/2)+4*IF(circ_int,0,eq_c2/2)+2*PI()*(s_0+4*s_r+IF(circ_int,eq_c1/2,0)))/INDEX(lk_legs,5))&lt;((2*IF(circ_int,0,eq_c2/2))+(PI()*(s_0+4*s_r+IF(circ_int,eq_c1/2,0))/2)),IF(circ_int,0,eq_c1/2)+(s_0+4*s_r+IF(circ_int,eq_c1/2,0))*COS((((10+0.5)*(4*IF(circ_int,0,eq_c1/2)+4*IF(circ_int,0,eq_c2/2)+2*PI()*(s_0+4*s_r+IF(circ_int,eq_c1/2,0)))/INDEX(lk_legs,5))-(2*IF(circ_int,0,eq_c2/2)))/(s_0+4*s_r+IF(circ_int,eq_c1/2,0))),IF(((10+0.5)*(4*IF(circ_int,0,eq_c1/2)+4*IF(circ_int,0,eq_c2/2)+2*PI()*(s_0+4*s_r+IF(circ_int,eq_c1/2,0)))/INDEX(lk_legs,5))&lt;(((2*IF(circ_int,0,eq_c2/2))+(PI()*(s_0+4*s_r+IF(circ_int,eq_c1/2,0))/2))+2*IF(circ_int,0,eq_c1/2)),IF(circ_int,0,eq_c1/2)-(((10+0.5)*(4*IF(circ_int,0,eq_c1/2)+4*IF(circ_int,0,eq_c2/2)+2*PI()*(s_0+4*s_r+IF(circ_int,eq_c1/2,0)))/INDEX(lk_legs,5))-((2*IF(circ_int,0,eq_c2/2))+(PI()*(s_0+4*s_r+IF(circ_int,eq_c1/2,0))/2))),IF(((10+0.5)*(4*IF(circ_int,0,eq_c1/2)+4*IF(circ_int,0,eq_c2/2)+2*PI()*(s_0+4*s_r+IF(circ_int,eq_c1/2,0)))/INDEX(lk_legs,5))&lt;((((2*IF(circ_int,0,eq_c2/2))+(PI()*(s_0+4*s_r+IF(circ_int,eq_c1/2,0))/2))+2*IF(circ_int,0,eq_c1/2))+(PI()*(s_0+4*s_r+IF(circ_int,eq_c1/2,0))/2)),-IF(circ_int,0,eq_c1/2)+(s_0+4*s_r+IF(circ_int,eq_c1/2,0))*COS(PI()/2+(((10+0.5)*(4*IF(circ_int,0,eq_c1/2)+4*IF(circ_int,0,eq_c2/2)+2*PI()*(s_0+4*s_r+IF(circ_int,eq_c1/2,0)))/INDEX(lk_legs,5))-(((2*IF(circ_int,0,eq_c2/2))+(PI()*(s_0+4*s_r+IF(circ_int,eq_c1/2,0))/2))+2*IF(circ_int,0,eq_c1/2)))/(s_0+4*s_r+IF(circ_int,eq_c1/2,0))),IF(((10+0.5)*(4*IF(circ_int,0,eq_c1/2)+4*IF(circ_int,0,eq_c2/2)+2*PI()*(s_0+4*s_r+IF(circ_int,eq_c1/2,0)))/INDEX(lk_legs,5))&lt;(((((2*IF(circ_int,0,eq_c2/2))+(PI()*(s_0+4*s_r+IF(circ_int,eq_c1/2,0))/2))+2*IF(circ_int,0,eq_c1/2))+(PI()*(s_0+4*s_r+IF(circ_int,eq_c1/2,0))/2))+2*IF(circ_int,0,eq_c2/2)),-IF(circ_int,0,eq_c1/2)-(s_0+4*s_r+IF(circ_int,eq_c1/2,0)),IF(((10+0.5)*(4*IF(circ_int,0,eq_c1/2)+4*IF(circ_int,0,eq_c2/2)+2*PI()*(s_0+4*s_r+IF(circ_int,eq_c1/2,0)))/INDEX(lk_legs,5))&lt;((((((2*IF(circ_int,0,eq_c2/2))+(PI()*(s_0+4*s_r+IF(circ_int,eq_c1/2,0))/2))+2*IF(circ_int,0,eq_c1/2))+(PI()*(s_0+4*s_r+IF(circ_int,eq_c1/2,0))/2))+2*IF(circ_int,0,eq_c2/2))+(PI()*(s_0+4*s_r+IF(circ_int,eq_c1/2,0))/2)),-IF(circ_int,0,eq_c1/2)+(s_0+4*s_r+IF(circ_int,eq_c1/2,0))*COS(PI()+(((10+0.5)*(4*IF(circ_int,0,eq_c1/2)+4*IF(circ_int,0,eq_c2/2)+2*PI()*(s_0+4*s_r+IF(circ_int,eq_c1/2,0)))/INDEX(lk_legs,5))-(((((2*IF(circ_int,0,eq_c2/2))+(PI()*(s_0+4*s_r+IF(circ_int,eq_c1/2,0))/2))+2*IF(circ_int,0,eq_c1/2))+(PI()*(s_0+4*s_r+IF(circ_int,eq_c1/2,0))/2))+2*IF(circ_int,0,eq_c2/2)))/(s_0+4*s_r+IF(circ_int,eq_c1/2,0))),IF(((10+0.5)*(4*IF(circ_int,0,eq_c1/2)+4*IF(circ_int,0,eq_c2/2)+2*PI()*(s_0+4*s_r+IF(circ_int,eq_c1/2,0)))/INDEX(lk_legs,5))&lt;(((((((2*IF(circ_int,0,eq_c2/2))+(PI()*(s_0+4*s_r+IF(circ_int,eq_c1/2,0))/2))+2*IF(circ_int,0,eq_c1/2))+(PI()*(s_0+4*s_r+IF(circ_int,eq_c1/2,0))/2))+2*IF(circ_int,0,eq_c2/2))+(PI()*(s_0+4*s_r+IF(circ_int,eq_c1/2,0))/2))+2*IF(circ_int,0,eq_c1/2)),-IF(circ_int,0,eq_c1/2)+(((10+0.5)*(4*IF(circ_int,0,eq_c1/2)+4*IF(circ_int,0,eq_c2/2)+2*PI()*(s_0+4*s_r+IF(circ_int,eq_c1/2,0)))/INDEX(lk_legs,5))-((((((2*IF(circ_int,0,eq_c2/2))+(PI()*(s_0+4*s_r+IF(circ_int,eq_c1/2,0))/2))+2*IF(circ_int,0,eq_c1/2))+(PI()*(s_0+4*s_r+IF(circ_int,eq_c1/2,0))/2))+2*IF(circ_int,0,eq_c2/2))+(PI()*(s_0+4*s_r+IF(circ_int,eq_c1/2,0))/2))),IF(circ_int,0,eq_c1/2)+(s_0+4*s_r+IF(circ_int,eq_c1/2,0))*COS(3*PI()/2+(((10+0.5)*(4*IF(circ_int,0,eq_c1/2)+4*IF(circ_int,0,eq_c2/2)+2*PI()*(s_0+4*s_r+IF(circ_int,eq_c1/2,0)))/INDEX(lk_legs,5))-(((((((2*IF(circ_int,0,eq_c2/2))+(PI()*(s_0+4*s_r+IF(circ_int,eq_c1/2,0))/2))+2*IF(circ_int,0,eq_c1/2))+(PI()*(s_0+4*s_r+IF(circ_int,eq_c1/2,0))/2))+2*IF(circ_int,0,eq_c2/2))+(PI()*(s_0+4*s_r+IF(circ_int,eq_c1/2,0))/2))+2*IF(circ_int,0,eq_c1/2)))/(s_0+4*s_r+IF(circ_int,eq_c1/2,0)))))))))),NA())</f>
        <v/>
      </c>
      <c r="BY13">
        <f>IF(AND(AND(links_on,5&lt;=n_per),INDEX(lk_kind,5)=1,10&lt;INDEX(lk_legs,5)),g_oy+IF(((10+0.5)*(4*IF(circ_int,0,eq_c1/2)+4*IF(circ_int,0,eq_c2/2)+2*PI()*(s_0+4*s_r+IF(circ_int,eq_c1/2,0)))/INDEX(lk_legs,5))&lt;(2*IF(circ_int,0,eq_c2/2)),-IF(circ_int,0,eq_c2/2)+((10+0.5)*(4*IF(circ_int,0,eq_c1/2)+4*IF(circ_int,0,eq_c2/2)+2*PI()*(s_0+4*s_r+IF(circ_int,eq_c1/2,0)))/INDEX(lk_legs,5)),IF(((10+0.5)*(4*IF(circ_int,0,eq_c1/2)+4*IF(circ_int,0,eq_c2/2)+2*PI()*(s_0+4*s_r+IF(circ_int,eq_c1/2,0)))/INDEX(lk_legs,5))&lt;((2*IF(circ_int,0,eq_c2/2))+(PI()*(s_0+4*s_r+IF(circ_int,eq_c1/2,0))/2)),IF(circ_int,0,eq_c2/2)+(s_0+4*s_r+IF(circ_int,eq_c1/2,0))*SIN((((10+0.5)*(4*IF(circ_int,0,eq_c1/2)+4*IF(circ_int,0,eq_c2/2)+2*PI()*(s_0+4*s_r+IF(circ_int,eq_c1/2,0)))/INDEX(lk_legs,5))-(2*IF(circ_int,0,eq_c2/2)))/(s_0+4*s_r+IF(circ_int,eq_c1/2,0))),IF(((10+0.5)*(4*IF(circ_int,0,eq_c1/2)+4*IF(circ_int,0,eq_c2/2)+2*PI()*(s_0+4*s_r+IF(circ_int,eq_c1/2,0)))/INDEX(lk_legs,5))&lt;(((2*IF(circ_int,0,eq_c2/2))+(PI()*(s_0+4*s_r+IF(circ_int,eq_c1/2,0))/2))+2*IF(circ_int,0,eq_c1/2)),IF(circ_int,0,eq_c2/2)+(s_0+4*s_r+IF(circ_int,eq_c1/2,0)),IF(((10+0.5)*(4*IF(circ_int,0,eq_c1/2)+4*IF(circ_int,0,eq_c2/2)+2*PI()*(s_0+4*s_r+IF(circ_int,eq_c1/2,0)))/INDEX(lk_legs,5))&lt;((((2*IF(circ_int,0,eq_c2/2))+(PI()*(s_0+4*s_r+IF(circ_int,eq_c1/2,0))/2))+2*IF(circ_int,0,eq_c1/2))+(PI()*(s_0+4*s_r+IF(circ_int,eq_c1/2,0))/2)),IF(circ_int,0,eq_c2/2)+(s_0+4*s_r+IF(circ_int,eq_c1/2,0))*SIN(PI()/2+(((10+0.5)*(4*IF(circ_int,0,eq_c1/2)+4*IF(circ_int,0,eq_c2/2)+2*PI()*(s_0+4*s_r+IF(circ_int,eq_c1/2,0)))/INDEX(lk_legs,5))-(((2*IF(circ_int,0,eq_c2/2))+(PI()*(s_0+4*s_r+IF(circ_int,eq_c1/2,0))/2))+2*IF(circ_int,0,eq_c1/2)))/(s_0+4*s_r+IF(circ_int,eq_c1/2,0))),IF(((10+0.5)*(4*IF(circ_int,0,eq_c1/2)+4*IF(circ_int,0,eq_c2/2)+2*PI()*(s_0+4*s_r+IF(circ_int,eq_c1/2,0)))/INDEX(lk_legs,5))&lt;(((((2*IF(circ_int,0,eq_c2/2))+(PI()*(s_0+4*s_r+IF(circ_int,eq_c1/2,0))/2))+2*IF(circ_int,0,eq_c1/2))+(PI()*(s_0+4*s_r+IF(circ_int,eq_c1/2,0))/2))+2*IF(circ_int,0,eq_c2/2)),IF(circ_int,0,eq_c2/2)-(((10+0.5)*(4*IF(circ_int,0,eq_c1/2)+4*IF(circ_int,0,eq_c2/2)+2*PI()*(s_0+4*s_r+IF(circ_int,eq_c1/2,0)))/INDEX(lk_legs,5))-((((2*IF(circ_int,0,eq_c2/2))+(PI()*(s_0+4*s_r+IF(circ_int,eq_c1/2,0))/2))+2*IF(circ_int,0,eq_c1/2))+(PI()*(s_0+4*s_r+IF(circ_int,eq_c1/2,0))/2))),IF(((10+0.5)*(4*IF(circ_int,0,eq_c1/2)+4*IF(circ_int,0,eq_c2/2)+2*PI()*(s_0+4*s_r+IF(circ_int,eq_c1/2,0)))/INDEX(lk_legs,5))&lt;((((((2*IF(circ_int,0,eq_c2/2))+(PI()*(s_0+4*s_r+IF(circ_int,eq_c1/2,0))/2))+2*IF(circ_int,0,eq_c1/2))+(PI()*(s_0+4*s_r+IF(circ_int,eq_c1/2,0))/2))+2*IF(circ_int,0,eq_c2/2))+(PI()*(s_0+4*s_r+IF(circ_int,eq_c1/2,0))/2)),-IF(circ_int,0,eq_c2/2)+(s_0+4*s_r+IF(circ_int,eq_c1/2,0))*SIN(PI()+(((10+0.5)*(4*IF(circ_int,0,eq_c1/2)+4*IF(circ_int,0,eq_c2/2)+2*PI()*(s_0+4*s_r+IF(circ_int,eq_c1/2,0)))/INDEX(lk_legs,5))-(((((2*IF(circ_int,0,eq_c2/2))+(PI()*(s_0+4*s_r+IF(circ_int,eq_c1/2,0))/2))+2*IF(circ_int,0,eq_c1/2))+(PI()*(s_0+4*s_r+IF(circ_int,eq_c1/2,0))/2))+2*IF(circ_int,0,eq_c2/2)))/(s_0+4*s_r+IF(circ_int,eq_c1/2,0))),IF(((10+0.5)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(10+0.5)*(4*IF(circ_int,0,eq_c1/2)+4*IF(circ_int,0,eq_c2/2)+2*PI()*(s_0+4*s_r+IF(circ_int,eq_c1/2,0)))/INDEX(lk_legs,5))-(((((((2*IF(circ_int,0,eq_c2/2))+(PI()*(s_0+4*s_r+IF(circ_int,eq_c1/2,0))/2))+2*IF(circ_int,0,eq_c1/2))+(PI()*(s_0+4*s_r+IF(circ_int,eq_c1/2,0))/2))+2*IF(circ_int,0,eq_c2/2))+(PI()*(s_0+4*s_r+IF(circ_int,eq_c1/2,0))/2))+2*IF(circ_int,0,eq_c1/2)))/(s_0+4*s_r+IF(circ_int,eq_c1/2,0)))))))))),NA())</f>
        <v/>
      </c>
      <c r="CA13">
        <f>IF(AND(links_on,6&lt;=n_per),IF(circ_int,(g_ox)+(c_1/2+(s_0+5*s_r))*0.354605,CHOOSE(INDEX(lk_kind,6),(g_ox+eq_c1/2)+((s_0+5*s_r))*0.258819,(eq_a1+eq_c1)+((s_0+5*s_r))*0.923880,(eq_a1+eq_c1)+((s_0+5*s_r))*0.923880,(eq_a1)+((s_0+5*s_r))*-0.382683)),NA())</f>
        <v/>
      </c>
      <c r="CB13">
        <f>IF(AND(links_on,6&lt;=n_per),IF(circ_int,(g_oy)+(c_1/2+(s_0+5*s_r))*0.935016,CHOOSE(INDEX(lk_kind,6),(g_oy+eq_c2/2)+((s_0+5*s_r))*0.965926,(g_oy+eq_c2/2)+((s_0+5*s_r))*0.382683,(eq_a2+eq_c2)+((s_0+5*s_r))*0.382683,(eq_a2+eq_c2)+((s_0+5*s_r))*0.923880)),NA())</f>
        <v/>
      </c>
      <c r="CD13">
        <f>IF(AND(AND(links_on,6&lt;=n_per),INDEX(lk_kind,6)=1,10&lt;INDEX(lk_legs,6)),g_ox+IF(((10+0.5)*(4*IF(circ_int,0,eq_c1/2)+4*IF(circ_int,0,eq_c2/2)+2*PI()*(s_0+5*s_r+IF(circ_int,eq_c1/2,0)))/INDEX(lk_legs,6))&lt;(2*IF(circ_int,0,eq_c2/2)),IF(circ_int,0,eq_c1/2)+(s_0+5*s_r+IF(circ_int,eq_c1/2,0)),IF(((10+0.5)*(4*IF(circ_int,0,eq_c1/2)+4*IF(circ_int,0,eq_c2/2)+2*PI()*(s_0+5*s_r+IF(circ_int,eq_c1/2,0)))/INDEX(lk_legs,6))&lt;((2*IF(circ_int,0,eq_c2/2))+(PI()*(s_0+5*s_r+IF(circ_int,eq_c1/2,0))/2)),IF(circ_int,0,eq_c1/2)+(s_0+5*s_r+IF(circ_int,eq_c1/2,0))*COS((((10+0.5)*(4*IF(circ_int,0,eq_c1/2)+4*IF(circ_int,0,eq_c2/2)+2*PI()*(s_0+5*s_r+IF(circ_int,eq_c1/2,0)))/INDEX(lk_legs,6))-(2*IF(circ_int,0,eq_c2/2)))/(s_0+5*s_r+IF(circ_int,eq_c1/2,0))),IF(((10+0.5)*(4*IF(circ_int,0,eq_c1/2)+4*IF(circ_int,0,eq_c2/2)+2*PI()*(s_0+5*s_r+IF(circ_int,eq_c1/2,0)))/INDEX(lk_legs,6))&lt;(((2*IF(circ_int,0,eq_c2/2))+(PI()*(s_0+5*s_r+IF(circ_int,eq_c1/2,0))/2))+2*IF(circ_int,0,eq_c1/2)),IF(circ_int,0,eq_c1/2)-(((10+0.5)*(4*IF(circ_int,0,eq_c1/2)+4*IF(circ_int,0,eq_c2/2)+2*PI()*(s_0+5*s_r+IF(circ_int,eq_c1/2,0)))/INDEX(lk_legs,6))-((2*IF(circ_int,0,eq_c2/2))+(PI()*(s_0+5*s_r+IF(circ_int,eq_c1/2,0))/2))),IF(((10+0.5)*(4*IF(circ_int,0,eq_c1/2)+4*IF(circ_int,0,eq_c2/2)+2*PI()*(s_0+5*s_r+IF(circ_int,eq_c1/2,0)))/INDEX(lk_legs,6))&lt;((((2*IF(circ_int,0,eq_c2/2))+(PI()*(s_0+5*s_r+IF(circ_int,eq_c1/2,0))/2))+2*IF(circ_int,0,eq_c1/2))+(PI()*(s_0+5*s_r+IF(circ_int,eq_c1/2,0))/2)),-IF(circ_int,0,eq_c1/2)+(s_0+5*s_r+IF(circ_int,eq_c1/2,0))*COS(PI()/2+(((10+0.5)*(4*IF(circ_int,0,eq_c1/2)+4*IF(circ_int,0,eq_c2/2)+2*PI()*(s_0+5*s_r+IF(circ_int,eq_c1/2,0)))/INDEX(lk_legs,6))-(((2*IF(circ_int,0,eq_c2/2))+(PI()*(s_0+5*s_r+IF(circ_int,eq_c1/2,0))/2))+2*IF(circ_int,0,eq_c1/2)))/(s_0+5*s_r+IF(circ_int,eq_c1/2,0))),IF(((10+0.5)*(4*IF(circ_int,0,eq_c1/2)+4*IF(circ_int,0,eq_c2/2)+2*PI()*(s_0+5*s_r+IF(circ_int,eq_c1/2,0)))/INDEX(lk_legs,6))&lt;(((((2*IF(circ_int,0,eq_c2/2))+(PI()*(s_0+5*s_r+IF(circ_int,eq_c1/2,0))/2))+2*IF(circ_int,0,eq_c1/2))+(PI()*(s_0+5*s_r+IF(circ_int,eq_c1/2,0))/2))+2*IF(circ_int,0,eq_c2/2)),-IF(circ_int,0,eq_c1/2)-(s_0+5*s_r+IF(circ_int,eq_c1/2,0)),IF(((10+0.5)*(4*IF(circ_int,0,eq_c1/2)+4*IF(circ_int,0,eq_c2/2)+2*PI()*(s_0+5*s_r+IF(circ_int,eq_c1/2,0)))/INDEX(lk_legs,6))&lt;((((((2*IF(circ_int,0,eq_c2/2))+(PI()*(s_0+5*s_r+IF(circ_int,eq_c1/2,0))/2))+2*IF(circ_int,0,eq_c1/2))+(PI()*(s_0+5*s_r+IF(circ_int,eq_c1/2,0))/2))+2*IF(circ_int,0,eq_c2/2))+(PI()*(s_0+5*s_r+IF(circ_int,eq_c1/2,0))/2)),-IF(circ_int,0,eq_c1/2)+(s_0+5*s_r+IF(circ_int,eq_c1/2,0))*COS(PI()+(((10+0.5)*(4*IF(circ_int,0,eq_c1/2)+4*IF(circ_int,0,eq_c2/2)+2*PI()*(s_0+5*s_r+IF(circ_int,eq_c1/2,0)))/INDEX(lk_legs,6))-(((((2*IF(circ_int,0,eq_c2/2))+(PI()*(s_0+5*s_r+IF(circ_int,eq_c1/2,0))/2))+2*IF(circ_int,0,eq_c1/2))+(PI()*(s_0+5*s_r+IF(circ_int,eq_c1/2,0))/2))+2*IF(circ_int,0,eq_c2/2)))/(s_0+5*s_r+IF(circ_int,eq_c1/2,0))),IF(((10+0.5)*(4*IF(circ_int,0,eq_c1/2)+4*IF(circ_int,0,eq_c2/2)+2*PI()*(s_0+5*s_r+IF(circ_int,eq_c1/2,0)))/INDEX(lk_legs,6))&lt;(((((((2*IF(circ_int,0,eq_c2/2))+(PI()*(s_0+5*s_r+IF(circ_int,eq_c1/2,0))/2))+2*IF(circ_int,0,eq_c1/2))+(PI()*(s_0+5*s_r+IF(circ_int,eq_c1/2,0))/2))+2*IF(circ_int,0,eq_c2/2))+(PI()*(s_0+5*s_r+IF(circ_int,eq_c1/2,0))/2))+2*IF(circ_int,0,eq_c1/2)),-IF(circ_int,0,eq_c1/2)+(((10+0.5)*(4*IF(circ_int,0,eq_c1/2)+4*IF(circ_int,0,eq_c2/2)+2*PI()*(s_0+5*s_r+IF(circ_int,eq_c1/2,0)))/INDEX(lk_legs,6))-((((((2*IF(circ_int,0,eq_c2/2))+(PI()*(s_0+5*s_r+IF(circ_int,eq_c1/2,0))/2))+2*IF(circ_int,0,eq_c1/2))+(PI()*(s_0+5*s_r+IF(circ_int,eq_c1/2,0))/2))+2*IF(circ_int,0,eq_c2/2))+(PI()*(s_0+5*s_r+IF(circ_int,eq_c1/2,0))/2))),IF(circ_int,0,eq_c1/2)+(s_0+5*s_r+IF(circ_int,eq_c1/2,0))*COS(3*PI()/2+(((10+0.5)*(4*IF(circ_int,0,eq_c1/2)+4*IF(circ_int,0,eq_c2/2)+2*PI()*(s_0+5*s_r+IF(circ_int,eq_c1/2,0)))/INDEX(lk_legs,6))-(((((((2*IF(circ_int,0,eq_c2/2))+(PI()*(s_0+5*s_r+IF(circ_int,eq_c1/2,0))/2))+2*IF(circ_int,0,eq_c1/2))+(PI()*(s_0+5*s_r+IF(circ_int,eq_c1/2,0))/2))+2*IF(circ_int,0,eq_c2/2))+(PI()*(s_0+5*s_r+IF(circ_int,eq_c1/2,0))/2))+2*IF(circ_int,0,eq_c1/2)))/(s_0+5*s_r+IF(circ_int,eq_c1/2,0)))))))))),NA())</f>
        <v/>
      </c>
      <c r="CE13">
        <f>IF(AND(AND(links_on,6&lt;=n_per),INDEX(lk_kind,6)=1,10&lt;INDEX(lk_legs,6)),g_oy+IF(((10+0.5)*(4*IF(circ_int,0,eq_c1/2)+4*IF(circ_int,0,eq_c2/2)+2*PI()*(s_0+5*s_r+IF(circ_int,eq_c1/2,0)))/INDEX(lk_legs,6))&lt;(2*IF(circ_int,0,eq_c2/2)),-IF(circ_int,0,eq_c2/2)+((10+0.5)*(4*IF(circ_int,0,eq_c1/2)+4*IF(circ_int,0,eq_c2/2)+2*PI()*(s_0+5*s_r+IF(circ_int,eq_c1/2,0)))/INDEX(lk_legs,6)),IF(((10+0.5)*(4*IF(circ_int,0,eq_c1/2)+4*IF(circ_int,0,eq_c2/2)+2*PI()*(s_0+5*s_r+IF(circ_int,eq_c1/2,0)))/INDEX(lk_legs,6))&lt;((2*IF(circ_int,0,eq_c2/2))+(PI()*(s_0+5*s_r+IF(circ_int,eq_c1/2,0))/2)),IF(circ_int,0,eq_c2/2)+(s_0+5*s_r+IF(circ_int,eq_c1/2,0))*SIN((((10+0.5)*(4*IF(circ_int,0,eq_c1/2)+4*IF(circ_int,0,eq_c2/2)+2*PI()*(s_0+5*s_r+IF(circ_int,eq_c1/2,0)))/INDEX(lk_legs,6))-(2*IF(circ_int,0,eq_c2/2)))/(s_0+5*s_r+IF(circ_int,eq_c1/2,0))),IF(((10+0.5)*(4*IF(circ_int,0,eq_c1/2)+4*IF(circ_int,0,eq_c2/2)+2*PI()*(s_0+5*s_r+IF(circ_int,eq_c1/2,0)))/INDEX(lk_legs,6))&lt;(((2*IF(circ_int,0,eq_c2/2))+(PI()*(s_0+5*s_r+IF(circ_int,eq_c1/2,0))/2))+2*IF(circ_int,0,eq_c1/2)),IF(circ_int,0,eq_c2/2)+(s_0+5*s_r+IF(circ_int,eq_c1/2,0)),IF(((10+0.5)*(4*IF(circ_int,0,eq_c1/2)+4*IF(circ_int,0,eq_c2/2)+2*PI()*(s_0+5*s_r+IF(circ_int,eq_c1/2,0)))/INDEX(lk_legs,6))&lt;((((2*IF(circ_int,0,eq_c2/2))+(PI()*(s_0+5*s_r+IF(circ_int,eq_c1/2,0))/2))+2*IF(circ_int,0,eq_c1/2))+(PI()*(s_0+5*s_r+IF(circ_int,eq_c1/2,0))/2)),IF(circ_int,0,eq_c2/2)+(s_0+5*s_r+IF(circ_int,eq_c1/2,0))*SIN(PI()/2+(((10+0.5)*(4*IF(circ_int,0,eq_c1/2)+4*IF(circ_int,0,eq_c2/2)+2*PI()*(s_0+5*s_r+IF(circ_int,eq_c1/2,0)))/INDEX(lk_legs,6))-(((2*IF(circ_int,0,eq_c2/2))+(PI()*(s_0+5*s_r+IF(circ_int,eq_c1/2,0))/2))+2*IF(circ_int,0,eq_c1/2)))/(s_0+5*s_r+IF(circ_int,eq_c1/2,0))),IF(((10+0.5)*(4*IF(circ_int,0,eq_c1/2)+4*IF(circ_int,0,eq_c2/2)+2*PI()*(s_0+5*s_r+IF(circ_int,eq_c1/2,0)))/INDEX(lk_legs,6))&lt;(((((2*IF(circ_int,0,eq_c2/2))+(PI()*(s_0+5*s_r+IF(circ_int,eq_c1/2,0))/2))+2*IF(circ_int,0,eq_c1/2))+(PI()*(s_0+5*s_r+IF(circ_int,eq_c1/2,0))/2))+2*IF(circ_int,0,eq_c2/2)),IF(circ_int,0,eq_c2/2)-(((10+0.5)*(4*IF(circ_int,0,eq_c1/2)+4*IF(circ_int,0,eq_c2/2)+2*PI()*(s_0+5*s_r+IF(circ_int,eq_c1/2,0)))/INDEX(lk_legs,6))-((((2*IF(circ_int,0,eq_c2/2))+(PI()*(s_0+5*s_r+IF(circ_int,eq_c1/2,0))/2))+2*IF(circ_int,0,eq_c1/2))+(PI()*(s_0+5*s_r+IF(circ_int,eq_c1/2,0))/2))),IF(((10+0.5)*(4*IF(circ_int,0,eq_c1/2)+4*IF(circ_int,0,eq_c2/2)+2*PI()*(s_0+5*s_r+IF(circ_int,eq_c1/2,0)))/INDEX(lk_legs,6))&lt;((((((2*IF(circ_int,0,eq_c2/2))+(PI()*(s_0+5*s_r+IF(circ_int,eq_c1/2,0))/2))+2*IF(circ_int,0,eq_c1/2))+(PI()*(s_0+5*s_r+IF(circ_int,eq_c1/2,0))/2))+2*IF(circ_int,0,eq_c2/2))+(PI()*(s_0+5*s_r+IF(circ_int,eq_c1/2,0))/2)),-IF(circ_int,0,eq_c2/2)+(s_0+5*s_r+IF(circ_int,eq_c1/2,0))*SIN(PI()+(((10+0.5)*(4*IF(circ_int,0,eq_c1/2)+4*IF(circ_int,0,eq_c2/2)+2*PI()*(s_0+5*s_r+IF(circ_int,eq_c1/2,0)))/INDEX(lk_legs,6))-(((((2*IF(circ_int,0,eq_c2/2))+(PI()*(s_0+5*s_r+IF(circ_int,eq_c1/2,0))/2))+2*IF(circ_int,0,eq_c1/2))+(PI()*(s_0+5*s_r+IF(circ_int,eq_c1/2,0))/2))+2*IF(circ_int,0,eq_c2/2)))/(s_0+5*s_r+IF(circ_int,eq_c1/2,0))),IF(((10+0.5)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(10+0.5)*(4*IF(circ_int,0,eq_c1/2)+4*IF(circ_int,0,eq_c2/2)+2*PI()*(s_0+5*s_r+IF(circ_int,eq_c1/2,0)))/INDEX(lk_legs,6))-(((((((2*IF(circ_int,0,eq_c2/2))+(PI()*(s_0+5*s_r+IF(circ_int,eq_c1/2,0))/2))+2*IF(circ_int,0,eq_c1/2))+(PI()*(s_0+5*s_r+IF(circ_int,eq_c1/2,0))/2))+2*IF(circ_int,0,eq_c2/2))+(PI()*(s_0+5*s_r+IF(circ_int,eq_c1/2,0))/2))+2*IF(circ_int,0,eq_c1/2)))/(s_0+5*s_r+IF(circ_int,eq_c1/2,0)))))))))),NA())</f>
        <v/>
      </c>
      <c r="CG13">
        <f>IF(AND(links_on,7&lt;=n_per),IF(circ_int,(g_ox)+(c_1/2+(s_0+6*s_r))*0.354605,CHOOSE(INDEX(lk_kind,7),(g_ox+eq_c1/2)+((s_0+6*s_r))*0.258819,(eq_a1+eq_c1)+((s_0+6*s_r))*0.923880,(eq_a1+eq_c1)+((s_0+6*s_r))*0.923880,(eq_a1)+((s_0+6*s_r))*-0.382683)),NA())</f>
        <v/>
      </c>
      <c r="CH13">
        <f>IF(AND(links_on,7&lt;=n_per),IF(circ_int,(g_oy)+(c_1/2+(s_0+6*s_r))*0.935016,CHOOSE(INDEX(lk_kind,7),(g_oy+eq_c2/2)+((s_0+6*s_r))*0.965926,(g_oy+eq_c2/2)+((s_0+6*s_r))*0.382683,(eq_a2+eq_c2)+((s_0+6*s_r))*0.382683,(eq_a2+eq_c2)+((s_0+6*s_r))*0.923880)),NA())</f>
        <v/>
      </c>
      <c r="CJ13">
        <f>IF(AND(AND(links_on,7&lt;=n_per),INDEX(lk_kind,7)=1,10&lt;INDEX(lk_legs,7)),g_ox+IF(((10+0.5)*(4*IF(circ_int,0,eq_c1/2)+4*IF(circ_int,0,eq_c2/2)+2*PI()*(s_0+6*s_r+IF(circ_int,eq_c1/2,0)))/INDEX(lk_legs,7))&lt;(2*IF(circ_int,0,eq_c2/2)),IF(circ_int,0,eq_c1/2)+(s_0+6*s_r+IF(circ_int,eq_c1/2,0)),IF(((10+0.5)*(4*IF(circ_int,0,eq_c1/2)+4*IF(circ_int,0,eq_c2/2)+2*PI()*(s_0+6*s_r+IF(circ_int,eq_c1/2,0)))/INDEX(lk_legs,7))&lt;((2*IF(circ_int,0,eq_c2/2))+(PI()*(s_0+6*s_r+IF(circ_int,eq_c1/2,0))/2)),IF(circ_int,0,eq_c1/2)+(s_0+6*s_r+IF(circ_int,eq_c1/2,0))*COS((((10+0.5)*(4*IF(circ_int,0,eq_c1/2)+4*IF(circ_int,0,eq_c2/2)+2*PI()*(s_0+6*s_r+IF(circ_int,eq_c1/2,0)))/INDEX(lk_legs,7))-(2*IF(circ_int,0,eq_c2/2)))/(s_0+6*s_r+IF(circ_int,eq_c1/2,0))),IF(((10+0.5)*(4*IF(circ_int,0,eq_c1/2)+4*IF(circ_int,0,eq_c2/2)+2*PI()*(s_0+6*s_r+IF(circ_int,eq_c1/2,0)))/INDEX(lk_legs,7))&lt;(((2*IF(circ_int,0,eq_c2/2))+(PI()*(s_0+6*s_r+IF(circ_int,eq_c1/2,0))/2))+2*IF(circ_int,0,eq_c1/2)),IF(circ_int,0,eq_c1/2)-(((10+0.5)*(4*IF(circ_int,0,eq_c1/2)+4*IF(circ_int,0,eq_c2/2)+2*PI()*(s_0+6*s_r+IF(circ_int,eq_c1/2,0)))/INDEX(lk_legs,7))-((2*IF(circ_int,0,eq_c2/2))+(PI()*(s_0+6*s_r+IF(circ_int,eq_c1/2,0))/2))),IF(((10+0.5)*(4*IF(circ_int,0,eq_c1/2)+4*IF(circ_int,0,eq_c2/2)+2*PI()*(s_0+6*s_r+IF(circ_int,eq_c1/2,0)))/INDEX(lk_legs,7))&lt;((((2*IF(circ_int,0,eq_c2/2))+(PI()*(s_0+6*s_r+IF(circ_int,eq_c1/2,0))/2))+2*IF(circ_int,0,eq_c1/2))+(PI()*(s_0+6*s_r+IF(circ_int,eq_c1/2,0))/2)),-IF(circ_int,0,eq_c1/2)+(s_0+6*s_r+IF(circ_int,eq_c1/2,0))*COS(PI()/2+(((10+0.5)*(4*IF(circ_int,0,eq_c1/2)+4*IF(circ_int,0,eq_c2/2)+2*PI()*(s_0+6*s_r+IF(circ_int,eq_c1/2,0)))/INDEX(lk_legs,7))-(((2*IF(circ_int,0,eq_c2/2))+(PI()*(s_0+6*s_r+IF(circ_int,eq_c1/2,0))/2))+2*IF(circ_int,0,eq_c1/2)))/(s_0+6*s_r+IF(circ_int,eq_c1/2,0))),IF(((10+0.5)*(4*IF(circ_int,0,eq_c1/2)+4*IF(circ_int,0,eq_c2/2)+2*PI()*(s_0+6*s_r+IF(circ_int,eq_c1/2,0)))/INDEX(lk_legs,7))&lt;(((((2*IF(circ_int,0,eq_c2/2))+(PI()*(s_0+6*s_r+IF(circ_int,eq_c1/2,0))/2))+2*IF(circ_int,0,eq_c1/2))+(PI()*(s_0+6*s_r+IF(circ_int,eq_c1/2,0))/2))+2*IF(circ_int,0,eq_c2/2)),-IF(circ_int,0,eq_c1/2)-(s_0+6*s_r+IF(circ_int,eq_c1/2,0)),IF(((10+0.5)*(4*IF(circ_int,0,eq_c1/2)+4*IF(circ_int,0,eq_c2/2)+2*PI()*(s_0+6*s_r+IF(circ_int,eq_c1/2,0)))/INDEX(lk_legs,7))&lt;((((((2*IF(circ_int,0,eq_c2/2))+(PI()*(s_0+6*s_r+IF(circ_int,eq_c1/2,0))/2))+2*IF(circ_int,0,eq_c1/2))+(PI()*(s_0+6*s_r+IF(circ_int,eq_c1/2,0))/2))+2*IF(circ_int,0,eq_c2/2))+(PI()*(s_0+6*s_r+IF(circ_int,eq_c1/2,0))/2)),-IF(circ_int,0,eq_c1/2)+(s_0+6*s_r+IF(circ_int,eq_c1/2,0))*COS(PI()+(((10+0.5)*(4*IF(circ_int,0,eq_c1/2)+4*IF(circ_int,0,eq_c2/2)+2*PI()*(s_0+6*s_r+IF(circ_int,eq_c1/2,0)))/INDEX(lk_legs,7))-(((((2*IF(circ_int,0,eq_c2/2))+(PI()*(s_0+6*s_r+IF(circ_int,eq_c1/2,0))/2))+2*IF(circ_int,0,eq_c1/2))+(PI()*(s_0+6*s_r+IF(circ_int,eq_c1/2,0))/2))+2*IF(circ_int,0,eq_c2/2)))/(s_0+6*s_r+IF(circ_int,eq_c1/2,0))),IF(((10+0.5)*(4*IF(circ_int,0,eq_c1/2)+4*IF(circ_int,0,eq_c2/2)+2*PI()*(s_0+6*s_r+IF(circ_int,eq_c1/2,0)))/INDEX(lk_legs,7))&lt;(((((((2*IF(circ_int,0,eq_c2/2))+(PI()*(s_0+6*s_r+IF(circ_int,eq_c1/2,0))/2))+2*IF(circ_int,0,eq_c1/2))+(PI()*(s_0+6*s_r+IF(circ_int,eq_c1/2,0))/2))+2*IF(circ_int,0,eq_c2/2))+(PI()*(s_0+6*s_r+IF(circ_int,eq_c1/2,0))/2))+2*IF(circ_int,0,eq_c1/2)),-IF(circ_int,0,eq_c1/2)+(((10+0.5)*(4*IF(circ_int,0,eq_c1/2)+4*IF(circ_int,0,eq_c2/2)+2*PI()*(s_0+6*s_r+IF(circ_int,eq_c1/2,0)))/INDEX(lk_legs,7))-((((((2*IF(circ_int,0,eq_c2/2))+(PI()*(s_0+6*s_r+IF(circ_int,eq_c1/2,0))/2))+2*IF(circ_int,0,eq_c1/2))+(PI()*(s_0+6*s_r+IF(circ_int,eq_c1/2,0))/2))+2*IF(circ_int,0,eq_c2/2))+(PI()*(s_0+6*s_r+IF(circ_int,eq_c1/2,0))/2))),IF(circ_int,0,eq_c1/2)+(s_0+6*s_r+IF(circ_int,eq_c1/2,0))*COS(3*PI()/2+(((10+0.5)*(4*IF(circ_int,0,eq_c1/2)+4*IF(circ_int,0,eq_c2/2)+2*PI()*(s_0+6*s_r+IF(circ_int,eq_c1/2,0)))/INDEX(lk_legs,7))-(((((((2*IF(circ_int,0,eq_c2/2))+(PI()*(s_0+6*s_r+IF(circ_int,eq_c1/2,0))/2))+2*IF(circ_int,0,eq_c1/2))+(PI()*(s_0+6*s_r+IF(circ_int,eq_c1/2,0))/2))+2*IF(circ_int,0,eq_c2/2))+(PI()*(s_0+6*s_r+IF(circ_int,eq_c1/2,0))/2))+2*IF(circ_int,0,eq_c1/2)))/(s_0+6*s_r+IF(circ_int,eq_c1/2,0)))))))))),NA())</f>
        <v/>
      </c>
      <c r="CK13">
        <f>IF(AND(AND(links_on,7&lt;=n_per),INDEX(lk_kind,7)=1,10&lt;INDEX(lk_legs,7)),g_oy+IF(((10+0.5)*(4*IF(circ_int,0,eq_c1/2)+4*IF(circ_int,0,eq_c2/2)+2*PI()*(s_0+6*s_r+IF(circ_int,eq_c1/2,0)))/INDEX(lk_legs,7))&lt;(2*IF(circ_int,0,eq_c2/2)),-IF(circ_int,0,eq_c2/2)+((10+0.5)*(4*IF(circ_int,0,eq_c1/2)+4*IF(circ_int,0,eq_c2/2)+2*PI()*(s_0+6*s_r+IF(circ_int,eq_c1/2,0)))/INDEX(lk_legs,7)),IF(((10+0.5)*(4*IF(circ_int,0,eq_c1/2)+4*IF(circ_int,0,eq_c2/2)+2*PI()*(s_0+6*s_r+IF(circ_int,eq_c1/2,0)))/INDEX(lk_legs,7))&lt;((2*IF(circ_int,0,eq_c2/2))+(PI()*(s_0+6*s_r+IF(circ_int,eq_c1/2,0))/2)),IF(circ_int,0,eq_c2/2)+(s_0+6*s_r+IF(circ_int,eq_c1/2,0))*SIN((((10+0.5)*(4*IF(circ_int,0,eq_c1/2)+4*IF(circ_int,0,eq_c2/2)+2*PI()*(s_0+6*s_r+IF(circ_int,eq_c1/2,0)))/INDEX(lk_legs,7))-(2*IF(circ_int,0,eq_c2/2)))/(s_0+6*s_r+IF(circ_int,eq_c1/2,0))),IF(((10+0.5)*(4*IF(circ_int,0,eq_c1/2)+4*IF(circ_int,0,eq_c2/2)+2*PI()*(s_0+6*s_r+IF(circ_int,eq_c1/2,0)))/INDEX(lk_legs,7))&lt;(((2*IF(circ_int,0,eq_c2/2))+(PI()*(s_0+6*s_r+IF(circ_int,eq_c1/2,0))/2))+2*IF(circ_int,0,eq_c1/2)),IF(circ_int,0,eq_c2/2)+(s_0+6*s_r+IF(circ_int,eq_c1/2,0)),IF(((10+0.5)*(4*IF(circ_int,0,eq_c1/2)+4*IF(circ_int,0,eq_c2/2)+2*PI()*(s_0+6*s_r+IF(circ_int,eq_c1/2,0)))/INDEX(lk_legs,7))&lt;((((2*IF(circ_int,0,eq_c2/2))+(PI()*(s_0+6*s_r+IF(circ_int,eq_c1/2,0))/2))+2*IF(circ_int,0,eq_c1/2))+(PI()*(s_0+6*s_r+IF(circ_int,eq_c1/2,0))/2)),IF(circ_int,0,eq_c2/2)+(s_0+6*s_r+IF(circ_int,eq_c1/2,0))*SIN(PI()/2+(((10+0.5)*(4*IF(circ_int,0,eq_c1/2)+4*IF(circ_int,0,eq_c2/2)+2*PI()*(s_0+6*s_r+IF(circ_int,eq_c1/2,0)))/INDEX(lk_legs,7))-(((2*IF(circ_int,0,eq_c2/2))+(PI()*(s_0+6*s_r+IF(circ_int,eq_c1/2,0))/2))+2*IF(circ_int,0,eq_c1/2)))/(s_0+6*s_r+IF(circ_int,eq_c1/2,0))),IF(((10+0.5)*(4*IF(circ_int,0,eq_c1/2)+4*IF(circ_int,0,eq_c2/2)+2*PI()*(s_0+6*s_r+IF(circ_int,eq_c1/2,0)))/INDEX(lk_legs,7))&lt;(((((2*IF(circ_int,0,eq_c2/2))+(PI()*(s_0+6*s_r+IF(circ_int,eq_c1/2,0))/2))+2*IF(circ_int,0,eq_c1/2))+(PI()*(s_0+6*s_r+IF(circ_int,eq_c1/2,0))/2))+2*IF(circ_int,0,eq_c2/2)),IF(circ_int,0,eq_c2/2)-(((10+0.5)*(4*IF(circ_int,0,eq_c1/2)+4*IF(circ_int,0,eq_c2/2)+2*PI()*(s_0+6*s_r+IF(circ_int,eq_c1/2,0)))/INDEX(lk_legs,7))-((((2*IF(circ_int,0,eq_c2/2))+(PI()*(s_0+6*s_r+IF(circ_int,eq_c1/2,0))/2))+2*IF(circ_int,0,eq_c1/2))+(PI()*(s_0+6*s_r+IF(circ_int,eq_c1/2,0))/2))),IF(((10+0.5)*(4*IF(circ_int,0,eq_c1/2)+4*IF(circ_int,0,eq_c2/2)+2*PI()*(s_0+6*s_r+IF(circ_int,eq_c1/2,0)))/INDEX(lk_legs,7))&lt;((((((2*IF(circ_int,0,eq_c2/2))+(PI()*(s_0+6*s_r+IF(circ_int,eq_c1/2,0))/2))+2*IF(circ_int,0,eq_c1/2))+(PI()*(s_0+6*s_r+IF(circ_int,eq_c1/2,0))/2))+2*IF(circ_int,0,eq_c2/2))+(PI()*(s_0+6*s_r+IF(circ_int,eq_c1/2,0))/2)),-IF(circ_int,0,eq_c2/2)+(s_0+6*s_r+IF(circ_int,eq_c1/2,0))*SIN(PI()+(((10+0.5)*(4*IF(circ_int,0,eq_c1/2)+4*IF(circ_int,0,eq_c2/2)+2*PI()*(s_0+6*s_r+IF(circ_int,eq_c1/2,0)))/INDEX(lk_legs,7))-(((((2*IF(circ_int,0,eq_c2/2))+(PI()*(s_0+6*s_r+IF(circ_int,eq_c1/2,0))/2))+2*IF(circ_int,0,eq_c1/2))+(PI()*(s_0+6*s_r+IF(circ_int,eq_c1/2,0))/2))+2*IF(circ_int,0,eq_c2/2)))/(s_0+6*s_r+IF(circ_int,eq_c1/2,0))),IF(((10+0.5)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(10+0.5)*(4*IF(circ_int,0,eq_c1/2)+4*IF(circ_int,0,eq_c2/2)+2*PI()*(s_0+6*s_r+IF(circ_int,eq_c1/2,0)))/INDEX(lk_legs,7))-(((((((2*IF(circ_int,0,eq_c2/2))+(PI()*(s_0+6*s_r+IF(circ_int,eq_c1/2,0))/2))+2*IF(circ_int,0,eq_c1/2))+(PI()*(s_0+6*s_r+IF(circ_int,eq_c1/2,0))/2))+2*IF(circ_int,0,eq_c2/2))+(PI()*(s_0+6*s_r+IF(circ_int,eq_c1/2,0))/2))+2*IF(circ_int,0,eq_c1/2)))/(s_0+6*s_r+IF(circ_int,eq_c1/2,0)))))))))),NA())</f>
        <v/>
      </c>
      <c r="CM13">
        <f>IF(AND(links_on,8&lt;=n_per),IF(circ_int,(g_ox)+(c_1/2+(s_0+7*s_r))*0.354605,CHOOSE(INDEX(lk_kind,8),(g_ox+eq_c1/2)+((s_0+7*s_r))*0.258819,(eq_a1+eq_c1)+((s_0+7*s_r))*0.923880,(eq_a1+eq_c1)+((s_0+7*s_r))*0.923880,(eq_a1)+((s_0+7*s_r))*-0.382683)),NA())</f>
        <v/>
      </c>
      <c r="CN13">
        <f>IF(AND(links_on,8&lt;=n_per),IF(circ_int,(g_oy)+(c_1/2+(s_0+7*s_r))*0.935016,CHOOSE(INDEX(lk_kind,8),(g_oy+eq_c2/2)+((s_0+7*s_r))*0.965926,(g_oy+eq_c2/2)+((s_0+7*s_r))*0.382683,(eq_a2+eq_c2)+((s_0+7*s_r))*0.382683,(eq_a2+eq_c2)+((s_0+7*s_r))*0.923880)),NA())</f>
        <v/>
      </c>
      <c r="CP13">
        <f>IF(AND(AND(links_on,8&lt;=n_per),INDEX(lk_kind,8)=1,10&lt;INDEX(lk_legs,8)),g_ox+IF(((10+0.5)*(4*IF(circ_int,0,eq_c1/2)+4*IF(circ_int,0,eq_c2/2)+2*PI()*(s_0+7*s_r+IF(circ_int,eq_c1/2,0)))/INDEX(lk_legs,8))&lt;(2*IF(circ_int,0,eq_c2/2)),IF(circ_int,0,eq_c1/2)+(s_0+7*s_r+IF(circ_int,eq_c1/2,0)),IF(((10+0.5)*(4*IF(circ_int,0,eq_c1/2)+4*IF(circ_int,0,eq_c2/2)+2*PI()*(s_0+7*s_r+IF(circ_int,eq_c1/2,0)))/INDEX(lk_legs,8))&lt;((2*IF(circ_int,0,eq_c2/2))+(PI()*(s_0+7*s_r+IF(circ_int,eq_c1/2,0))/2)),IF(circ_int,0,eq_c1/2)+(s_0+7*s_r+IF(circ_int,eq_c1/2,0))*COS((((10+0.5)*(4*IF(circ_int,0,eq_c1/2)+4*IF(circ_int,0,eq_c2/2)+2*PI()*(s_0+7*s_r+IF(circ_int,eq_c1/2,0)))/INDEX(lk_legs,8))-(2*IF(circ_int,0,eq_c2/2)))/(s_0+7*s_r+IF(circ_int,eq_c1/2,0))),IF(((10+0.5)*(4*IF(circ_int,0,eq_c1/2)+4*IF(circ_int,0,eq_c2/2)+2*PI()*(s_0+7*s_r+IF(circ_int,eq_c1/2,0)))/INDEX(lk_legs,8))&lt;(((2*IF(circ_int,0,eq_c2/2))+(PI()*(s_0+7*s_r+IF(circ_int,eq_c1/2,0))/2))+2*IF(circ_int,0,eq_c1/2)),IF(circ_int,0,eq_c1/2)-(((10+0.5)*(4*IF(circ_int,0,eq_c1/2)+4*IF(circ_int,0,eq_c2/2)+2*PI()*(s_0+7*s_r+IF(circ_int,eq_c1/2,0)))/INDEX(lk_legs,8))-((2*IF(circ_int,0,eq_c2/2))+(PI()*(s_0+7*s_r+IF(circ_int,eq_c1/2,0))/2))),IF(((10+0.5)*(4*IF(circ_int,0,eq_c1/2)+4*IF(circ_int,0,eq_c2/2)+2*PI()*(s_0+7*s_r+IF(circ_int,eq_c1/2,0)))/INDEX(lk_legs,8))&lt;((((2*IF(circ_int,0,eq_c2/2))+(PI()*(s_0+7*s_r+IF(circ_int,eq_c1/2,0))/2))+2*IF(circ_int,0,eq_c1/2))+(PI()*(s_0+7*s_r+IF(circ_int,eq_c1/2,0))/2)),-IF(circ_int,0,eq_c1/2)+(s_0+7*s_r+IF(circ_int,eq_c1/2,0))*COS(PI()/2+(((10+0.5)*(4*IF(circ_int,0,eq_c1/2)+4*IF(circ_int,0,eq_c2/2)+2*PI()*(s_0+7*s_r+IF(circ_int,eq_c1/2,0)))/INDEX(lk_legs,8))-(((2*IF(circ_int,0,eq_c2/2))+(PI()*(s_0+7*s_r+IF(circ_int,eq_c1/2,0))/2))+2*IF(circ_int,0,eq_c1/2)))/(s_0+7*s_r+IF(circ_int,eq_c1/2,0))),IF(((10+0.5)*(4*IF(circ_int,0,eq_c1/2)+4*IF(circ_int,0,eq_c2/2)+2*PI()*(s_0+7*s_r+IF(circ_int,eq_c1/2,0)))/INDEX(lk_legs,8))&lt;(((((2*IF(circ_int,0,eq_c2/2))+(PI()*(s_0+7*s_r+IF(circ_int,eq_c1/2,0))/2))+2*IF(circ_int,0,eq_c1/2))+(PI()*(s_0+7*s_r+IF(circ_int,eq_c1/2,0))/2))+2*IF(circ_int,0,eq_c2/2)),-IF(circ_int,0,eq_c1/2)-(s_0+7*s_r+IF(circ_int,eq_c1/2,0)),IF(((10+0.5)*(4*IF(circ_int,0,eq_c1/2)+4*IF(circ_int,0,eq_c2/2)+2*PI()*(s_0+7*s_r+IF(circ_int,eq_c1/2,0)))/INDEX(lk_legs,8))&lt;((((((2*IF(circ_int,0,eq_c2/2))+(PI()*(s_0+7*s_r+IF(circ_int,eq_c1/2,0))/2))+2*IF(circ_int,0,eq_c1/2))+(PI()*(s_0+7*s_r+IF(circ_int,eq_c1/2,0))/2))+2*IF(circ_int,0,eq_c2/2))+(PI()*(s_0+7*s_r+IF(circ_int,eq_c1/2,0))/2)),-IF(circ_int,0,eq_c1/2)+(s_0+7*s_r+IF(circ_int,eq_c1/2,0))*COS(PI()+(((10+0.5)*(4*IF(circ_int,0,eq_c1/2)+4*IF(circ_int,0,eq_c2/2)+2*PI()*(s_0+7*s_r+IF(circ_int,eq_c1/2,0)))/INDEX(lk_legs,8))-(((((2*IF(circ_int,0,eq_c2/2))+(PI()*(s_0+7*s_r+IF(circ_int,eq_c1/2,0))/2))+2*IF(circ_int,0,eq_c1/2))+(PI()*(s_0+7*s_r+IF(circ_int,eq_c1/2,0))/2))+2*IF(circ_int,0,eq_c2/2)))/(s_0+7*s_r+IF(circ_int,eq_c1/2,0))),IF(((10+0.5)*(4*IF(circ_int,0,eq_c1/2)+4*IF(circ_int,0,eq_c2/2)+2*PI()*(s_0+7*s_r+IF(circ_int,eq_c1/2,0)))/INDEX(lk_legs,8))&lt;(((((((2*IF(circ_int,0,eq_c2/2))+(PI()*(s_0+7*s_r+IF(circ_int,eq_c1/2,0))/2))+2*IF(circ_int,0,eq_c1/2))+(PI()*(s_0+7*s_r+IF(circ_int,eq_c1/2,0))/2))+2*IF(circ_int,0,eq_c2/2))+(PI()*(s_0+7*s_r+IF(circ_int,eq_c1/2,0))/2))+2*IF(circ_int,0,eq_c1/2)),-IF(circ_int,0,eq_c1/2)+(((10+0.5)*(4*IF(circ_int,0,eq_c1/2)+4*IF(circ_int,0,eq_c2/2)+2*PI()*(s_0+7*s_r+IF(circ_int,eq_c1/2,0)))/INDEX(lk_legs,8))-((((((2*IF(circ_int,0,eq_c2/2))+(PI()*(s_0+7*s_r+IF(circ_int,eq_c1/2,0))/2))+2*IF(circ_int,0,eq_c1/2))+(PI()*(s_0+7*s_r+IF(circ_int,eq_c1/2,0))/2))+2*IF(circ_int,0,eq_c2/2))+(PI()*(s_0+7*s_r+IF(circ_int,eq_c1/2,0))/2))),IF(circ_int,0,eq_c1/2)+(s_0+7*s_r+IF(circ_int,eq_c1/2,0))*COS(3*PI()/2+(((10+0.5)*(4*IF(circ_int,0,eq_c1/2)+4*IF(circ_int,0,eq_c2/2)+2*PI()*(s_0+7*s_r+IF(circ_int,eq_c1/2,0)))/INDEX(lk_legs,8))-(((((((2*IF(circ_int,0,eq_c2/2))+(PI()*(s_0+7*s_r+IF(circ_int,eq_c1/2,0))/2))+2*IF(circ_int,0,eq_c1/2))+(PI()*(s_0+7*s_r+IF(circ_int,eq_c1/2,0))/2))+2*IF(circ_int,0,eq_c2/2))+(PI()*(s_0+7*s_r+IF(circ_int,eq_c1/2,0))/2))+2*IF(circ_int,0,eq_c1/2)))/(s_0+7*s_r+IF(circ_int,eq_c1/2,0)))))))))),NA())</f>
        <v/>
      </c>
      <c r="CQ13">
        <f>IF(AND(AND(links_on,8&lt;=n_per),INDEX(lk_kind,8)=1,10&lt;INDEX(lk_legs,8)),g_oy+IF(((10+0.5)*(4*IF(circ_int,0,eq_c1/2)+4*IF(circ_int,0,eq_c2/2)+2*PI()*(s_0+7*s_r+IF(circ_int,eq_c1/2,0)))/INDEX(lk_legs,8))&lt;(2*IF(circ_int,0,eq_c2/2)),-IF(circ_int,0,eq_c2/2)+((10+0.5)*(4*IF(circ_int,0,eq_c1/2)+4*IF(circ_int,0,eq_c2/2)+2*PI()*(s_0+7*s_r+IF(circ_int,eq_c1/2,0)))/INDEX(lk_legs,8)),IF(((10+0.5)*(4*IF(circ_int,0,eq_c1/2)+4*IF(circ_int,0,eq_c2/2)+2*PI()*(s_0+7*s_r+IF(circ_int,eq_c1/2,0)))/INDEX(lk_legs,8))&lt;((2*IF(circ_int,0,eq_c2/2))+(PI()*(s_0+7*s_r+IF(circ_int,eq_c1/2,0))/2)),IF(circ_int,0,eq_c2/2)+(s_0+7*s_r+IF(circ_int,eq_c1/2,0))*SIN((((10+0.5)*(4*IF(circ_int,0,eq_c1/2)+4*IF(circ_int,0,eq_c2/2)+2*PI()*(s_0+7*s_r+IF(circ_int,eq_c1/2,0)))/INDEX(lk_legs,8))-(2*IF(circ_int,0,eq_c2/2)))/(s_0+7*s_r+IF(circ_int,eq_c1/2,0))),IF(((10+0.5)*(4*IF(circ_int,0,eq_c1/2)+4*IF(circ_int,0,eq_c2/2)+2*PI()*(s_0+7*s_r+IF(circ_int,eq_c1/2,0)))/INDEX(lk_legs,8))&lt;(((2*IF(circ_int,0,eq_c2/2))+(PI()*(s_0+7*s_r+IF(circ_int,eq_c1/2,0))/2))+2*IF(circ_int,0,eq_c1/2)),IF(circ_int,0,eq_c2/2)+(s_0+7*s_r+IF(circ_int,eq_c1/2,0)),IF(((10+0.5)*(4*IF(circ_int,0,eq_c1/2)+4*IF(circ_int,0,eq_c2/2)+2*PI()*(s_0+7*s_r+IF(circ_int,eq_c1/2,0)))/INDEX(lk_legs,8))&lt;((((2*IF(circ_int,0,eq_c2/2))+(PI()*(s_0+7*s_r+IF(circ_int,eq_c1/2,0))/2))+2*IF(circ_int,0,eq_c1/2))+(PI()*(s_0+7*s_r+IF(circ_int,eq_c1/2,0))/2)),IF(circ_int,0,eq_c2/2)+(s_0+7*s_r+IF(circ_int,eq_c1/2,0))*SIN(PI()/2+(((10+0.5)*(4*IF(circ_int,0,eq_c1/2)+4*IF(circ_int,0,eq_c2/2)+2*PI()*(s_0+7*s_r+IF(circ_int,eq_c1/2,0)))/INDEX(lk_legs,8))-(((2*IF(circ_int,0,eq_c2/2))+(PI()*(s_0+7*s_r+IF(circ_int,eq_c1/2,0))/2))+2*IF(circ_int,0,eq_c1/2)))/(s_0+7*s_r+IF(circ_int,eq_c1/2,0))),IF(((10+0.5)*(4*IF(circ_int,0,eq_c1/2)+4*IF(circ_int,0,eq_c2/2)+2*PI()*(s_0+7*s_r+IF(circ_int,eq_c1/2,0)))/INDEX(lk_legs,8))&lt;(((((2*IF(circ_int,0,eq_c2/2))+(PI()*(s_0+7*s_r+IF(circ_int,eq_c1/2,0))/2))+2*IF(circ_int,0,eq_c1/2))+(PI()*(s_0+7*s_r+IF(circ_int,eq_c1/2,0))/2))+2*IF(circ_int,0,eq_c2/2)),IF(circ_int,0,eq_c2/2)-(((10+0.5)*(4*IF(circ_int,0,eq_c1/2)+4*IF(circ_int,0,eq_c2/2)+2*PI()*(s_0+7*s_r+IF(circ_int,eq_c1/2,0)))/INDEX(lk_legs,8))-((((2*IF(circ_int,0,eq_c2/2))+(PI()*(s_0+7*s_r+IF(circ_int,eq_c1/2,0))/2))+2*IF(circ_int,0,eq_c1/2))+(PI()*(s_0+7*s_r+IF(circ_int,eq_c1/2,0))/2))),IF(((10+0.5)*(4*IF(circ_int,0,eq_c1/2)+4*IF(circ_int,0,eq_c2/2)+2*PI()*(s_0+7*s_r+IF(circ_int,eq_c1/2,0)))/INDEX(lk_legs,8))&lt;((((((2*IF(circ_int,0,eq_c2/2))+(PI()*(s_0+7*s_r+IF(circ_int,eq_c1/2,0))/2))+2*IF(circ_int,0,eq_c1/2))+(PI()*(s_0+7*s_r+IF(circ_int,eq_c1/2,0))/2))+2*IF(circ_int,0,eq_c2/2))+(PI()*(s_0+7*s_r+IF(circ_int,eq_c1/2,0))/2)),-IF(circ_int,0,eq_c2/2)+(s_0+7*s_r+IF(circ_int,eq_c1/2,0))*SIN(PI()+(((10+0.5)*(4*IF(circ_int,0,eq_c1/2)+4*IF(circ_int,0,eq_c2/2)+2*PI()*(s_0+7*s_r+IF(circ_int,eq_c1/2,0)))/INDEX(lk_legs,8))-(((((2*IF(circ_int,0,eq_c2/2))+(PI()*(s_0+7*s_r+IF(circ_int,eq_c1/2,0))/2))+2*IF(circ_int,0,eq_c1/2))+(PI()*(s_0+7*s_r+IF(circ_int,eq_c1/2,0))/2))+2*IF(circ_int,0,eq_c2/2)))/(s_0+7*s_r+IF(circ_int,eq_c1/2,0))),IF(((10+0.5)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(10+0.5)*(4*IF(circ_int,0,eq_c1/2)+4*IF(circ_int,0,eq_c2/2)+2*PI()*(s_0+7*s_r+IF(circ_int,eq_c1/2,0)))/INDEX(lk_legs,8))-(((((((2*IF(circ_int,0,eq_c2/2))+(PI()*(s_0+7*s_r+IF(circ_int,eq_c1/2,0))/2))+2*IF(circ_int,0,eq_c1/2))+(PI()*(s_0+7*s_r+IF(circ_int,eq_c1/2,0))/2))+2*IF(circ_int,0,eq_c2/2))+(PI()*(s_0+7*s_r+IF(circ_int,eq_c1/2,0))/2))+2*IF(circ_int,0,eq_c1/2)))/(s_0+7*s_r+IF(circ_int,eq_c1/2,0)))))))))),NA())</f>
        <v/>
      </c>
      <c r="CS13">
        <f>IF(AND(links_on,9&lt;=n_per),IF(circ_int,(g_ox)+(c_1/2+(s_0+8*s_r))*0.354605,CHOOSE(INDEX(lk_kind,9),(g_ox+eq_c1/2)+((s_0+8*s_r))*0.258819,(eq_a1+eq_c1)+((s_0+8*s_r))*0.923880,(eq_a1+eq_c1)+((s_0+8*s_r))*0.923880,(eq_a1)+((s_0+8*s_r))*-0.382683)),NA())</f>
        <v/>
      </c>
      <c r="CT13">
        <f>IF(AND(links_on,9&lt;=n_per),IF(circ_int,(g_oy)+(c_1/2+(s_0+8*s_r))*0.935016,CHOOSE(INDEX(lk_kind,9),(g_oy+eq_c2/2)+((s_0+8*s_r))*0.965926,(g_oy+eq_c2/2)+((s_0+8*s_r))*0.382683,(eq_a2+eq_c2)+((s_0+8*s_r))*0.382683,(eq_a2+eq_c2)+((s_0+8*s_r))*0.923880)),NA())</f>
        <v/>
      </c>
      <c r="CV13">
        <f>IF(AND(AND(links_on,9&lt;=n_per),INDEX(lk_kind,9)=1,10&lt;INDEX(lk_legs,9)),g_ox+IF(((10+0.5)*(4*IF(circ_int,0,eq_c1/2)+4*IF(circ_int,0,eq_c2/2)+2*PI()*(s_0+8*s_r+IF(circ_int,eq_c1/2,0)))/INDEX(lk_legs,9))&lt;(2*IF(circ_int,0,eq_c2/2)),IF(circ_int,0,eq_c1/2)+(s_0+8*s_r+IF(circ_int,eq_c1/2,0)),IF(((10+0.5)*(4*IF(circ_int,0,eq_c1/2)+4*IF(circ_int,0,eq_c2/2)+2*PI()*(s_0+8*s_r+IF(circ_int,eq_c1/2,0)))/INDEX(lk_legs,9))&lt;((2*IF(circ_int,0,eq_c2/2))+(PI()*(s_0+8*s_r+IF(circ_int,eq_c1/2,0))/2)),IF(circ_int,0,eq_c1/2)+(s_0+8*s_r+IF(circ_int,eq_c1/2,0))*COS((((10+0.5)*(4*IF(circ_int,0,eq_c1/2)+4*IF(circ_int,0,eq_c2/2)+2*PI()*(s_0+8*s_r+IF(circ_int,eq_c1/2,0)))/INDEX(lk_legs,9))-(2*IF(circ_int,0,eq_c2/2)))/(s_0+8*s_r+IF(circ_int,eq_c1/2,0))),IF(((10+0.5)*(4*IF(circ_int,0,eq_c1/2)+4*IF(circ_int,0,eq_c2/2)+2*PI()*(s_0+8*s_r+IF(circ_int,eq_c1/2,0)))/INDEX(lk_legs,9))&lt;(((2*IF(circ_int,0,eq_c2/2))+(PI()*(s_0+8*s_r+IF(circ_int,eq_c1/2,0))/2))+2*IF(circ_int,0,eq_c1/2)),IF(circ_int,0,eq_c1/2)-(((10+0.5)*(4*IF(circ_int,0,eq_c1/2)+4*IF(circ_int,0,eq_c2/2)+2*PI()*(s_0+8*s_r+IF(circ_int,eq_c1/2,0)))/INDEX(lk_legs,9))-((2*IF(circ_int,0,eq_c2/2))+(PI()*(s_0+8*s_r+IF(circ_int,eq_c1/2,0))/2))),IF(((10+0.5)*(4*IF(circ_int,0,eq_c1/2)+4*IF(circ_int,0,eq_c2/2)+2*PI()*(s_0+8*s_r+IF(circ_int,eq_c1/2,0)))/INDEX(lk_legs,9))&lt;((((2*IF(circ_int,0,eq_c2/2))+(PI()*(s_0+8*s_r+IF(circ_int,eq_c1/2,0))/2))+2*IF(circ_int,0,eq_c1/2))+(PI()*(s_0+8*s_r+IF(circ_int,eq_c1/2,0))/2)),-IF(circ_int,0,eq_c1/2)+(s_0+8*s_r+IF(circ_int,eq_c1/2,0))*COS(PI()/2+(((10+0.5)*(4*IF(circ_int,0,eq_c1/2)+4*IF(circ_int,0,eq_c2/2)+2*PI()*(s_0+8*s_r+IF(circ_int,eq_c1/2,0)))/INDEX(lk_legs,9))-(((2*IF(circ_int,0,eq_c2/2))+(PI()*(s_0+8*s_r+IF(circ_int,eq_c1/2,0))/2))+2*IF(circ_int,0,eq_c1/2)))/(s_0+8*s_r+IF(circ_int,eq_c1/2,0))),IF(((10+0.5)*(4*IF(circ_int,0,eq_c1/2)+4*IF(circ_int,0,eq_c2/2)+2*PI()*(s_0+8*s_r+IF(circ_int,eq_c1/2,0)))/INDEX(lk_legs,9))&lt;(((((2*IF(circ_int,0,eq_c2/2))+(PI()*(s_0+8*s_r+IF(circ_int,eq_c1/2,0))/2))+2*IF(circ_int,0,eq_c1/2))+(PI()*(s_0+8*s_r+IF(circ_int,eq_c1/2,0))/2))+2*IF(circ_int,0,eq_c2/2)),-IF(circ_int,0,eq_c1/2)-(s_0+8*s_r+IF(circ_int,eq_c1/2,0)),IF(((10+0.5)*(4*IF(circ_int,0,eq_c1/2)+4*IF(circ_int,0,eq_c2/2)+2*PI()*(s_0+8*s_r+IF(circ_int,eq_c1/2,0)))/INDEX(lk_legs,9))&lt;((((((2*IF(circ_int,0,eq_c2/2))+(PI()*(s_0+8*s_r+IF(circ_int,eq_c1/2,0))/2))+2*IF(circ_int,0,eq_c1/2))+(PI()*(s_0+8*s_r+IF(circ_int,eq_c1/2,0))/2))+2*IF(circ_int,0,eq_c2/2))+(PI()*(s_0+8*s_r+IF(circ_int,eq_c1/2,0))/2)),-IF(circ_int,0,eq_c1/2)+(s_0+8*s_r+IF(circ_int,eq_c1/2,0))*COS(PI()+(((10+0.5)*(4*IF(circ_int,0,eq_c1/2)+4*IF(circ_int,0,eq_c2/2)+2*PI()*(s_0+8*s_r+IF(circ_int,eq_c1/2,0)))/INDEX(lk_legs,9))-(((((2*IF(circ_int,0,eq_c2/2))+(PI()*(s_0+8*s_r+IF(circ_int,eq_c1/2,0))/2))+2*IF(circ_int,0,eq_c1/2))+(PI()*(s_0+8*s_r+IF(circ_int,eq_c1/2,0))/2))+2*IF(circ_int,0,eq_c2/2)))/(s_0+8*s_r+IF(circ_int,eq_c1/2,0))),IF(((10+0.5)*(4*IF(circ_int,0,eq_c1/2)+4*IF(circ_int,0,eq_c2/2)+2*PI()*(s_0+8*s_r+IF(circ_int,eq_c1/2,0)))/INDEX(lk_legs,9))&lt;(((((((2*IF(circ_int,0,eq_c2/2))+(PI()*(s_0+8*s_r+IF(circ_int,eq_c1/2,0))/2))+2*IF(circ_int,0,eq_c1/2))+(PI()*(s_0+8*s_r+IF(circ_int,eq_c1/2,0))/2))+2*IF(circ_int,0,eq_c2/2))+(PI()*(s_0+8*s_r+IF(circ_int,eq_c1/2,0))/2))+2*IF(circ_int,0,eq_c1/2)),-IF(circ_int,0,eq_c1/2)+(((10+0.5)*(4*IF(circ_int,0,eq_c1/2)+4*IF(circ_int,0,eq_c2/2)+2*PI()*(s_0+8*s_r+IF(circ_int,eq_c1/2,0)))/INDEX(lk_legs,9))-((((((2*IF(circ_int,0,eq_c2/2))+(PI()*(s_0+8*s_r+IF(circ_int,eq_c1/2,0))/2))+2*IF(circ_int,0,eq_c1/2))+(PI()*(s_0+8*s_r+IF(circ_int,eq_c1/2,0))/2))+2*IF(circ_int,0,eq_c2/2))+(PI()*(s_0+8*s_r+IF(circ_int,eq_c1/2,0))/2))),IF(circ_int,0,eq_c1/2)+(s_0+8*s_r+IF(circ_int,eq_c1/2,0))*COS(3*PI()/2+(((10+0.5)*(4*IF(circ_int,0,eq_c1/2)+4*IF(circ_int,0,eq_c2/2)+2*PI()*(s_0+8*s_r+IF(circ_int,eq_c1/2,0)))/INDEX(lk_legs,9))-(((((((2*IF(circ_int,0,eq_c2/2))+(PI()*(s_0+8*s_r+IF(circ_int,eq_c1/2,0))/2))+2*IF(circ_int,0,eq_c1/2))+(PI()*(s_0+8*s_r+IF(circ_int,eq_c1/2,0))/2))+2*IF(circ_int,0,eq_c2/2))+(PI()*(s_0+8*s_r+IF(circ_int,eq_c1/2,0))/2))+2*IF(circ_int,0,eq_c1/2)))/(s_0+8*s_r+IF(circ_int,eq_c1/2,0)))))))))),NA())</f>
        <v/>
      </c>
      <c r="CW13">
        <f>IF(AND(AND(links_on,9&lt;=n_per),INDEX(lk_kind,9)=1,10&lt;INDEX(lk_legs,9)),g_oy+IF(((10+0.5)*(4*IF(circ_int,0,eq_c1/2)+4*IF(circ_int,0,eq_c2/2)+2*PI()*(s_0+8*s_r+IF(circ_int,eq_c1/2,0)))/INDEX(lk_legs,9))&lt;(2*IF(circ_int,0,eq_c2/2)),-IF(circ_int,0,eq_c2/2)+((10+0.5)*(4*IF(circ_int,0,eq_c1/2)+4*IF(circ_int,0,eq_c2/2)+2*PI()*(s_0+8*s_r+IF(circ_int,eq_c1/2,0)))/INDEX(lk_legs,9)),IF(((10+0.5)*(4*IF(circ_int,0,eq_c1/2)+4*IF(circ_int,0,eq_c2/2)+2*PI()*(s_0+8*s_r+IF(circ_int,eq_c1/2,0)))/INDEX(lk_legs,9))&lt;((2*IF(circ_int,0,eq_c2/2))+(PI()*(s_0+8*s_r+IF(circ_int,eq_c1/2,0))/2)),IF(circ_int,0,eq_c2/2)+(s_0+8*s_r+IF(circ_int,eq_c1/2,0))*SIN((((10+0.5)*(4*IF(circ_int,0,eq_c1/2)+4*IF(circ_int,0,eq_c2/2)+2*PI()*(s_0+8*s_r+IF(circ_int,eq_c1/2,0)))/INDEX(lk_legs,9))-(2*IF(circ_int,0,eq_c2/2)))/(s_0+8*s_r+IF(circ_int,eq_c1/2,0))),IF(((10+0.5)*(4*IF(circ_int,0,eq_c1/2)+4*IF(circ_int,0,eq_c2/2)+2*PI()*(s_0+8*s_r+IF(circ_int,eq_c1/2,0)))/INDEX(lk_legs,9))&lt;(((2*IF(circ_int,0,eq_c2/2))+(PI()*(s_0+8*s_r+IF(circ_int,eq_c1/2,0))/2))+2*IF(circ_int,0,eq_c1/2)),IF(circ_int,0,eq_c2/2)+(s_0+8*s_r+IF(circ_int,eq_c1/2,0)),IF(((10+0.5)*(4*IF(circ_int,0,eq_c1/2)+4*IF(circ_int,0,eq_c2/2)+2*PI()*(s_0+8*s_r+IF(circ_int,eq_c1/2,0)))/INDEX(lk_legs,9))&lt;((((2*IF(circ_int,0,eq_c2/2))+(PI()*(s_0+8*s_r+IF(circ_int,eq_c1/2,0))/2))+2*IF(circ_int,0,eq_c1/2))+(PI()*(s_0+8*s_r+IF(circ_int,eq_c1/2,0))/2)),IF(circ_int,0,eq_c2/2)+(s_0+8*s_r+IF(circ_int,eq_c1/2,0))*SIN(PI()/2+(((10+0.5)*(4*IF(circ_int,0,eq_c1/2)+4*IF(circ_int,0,eq_c2/2)+2*PI()*(s_0+8*s_r+IF(circ_int,eq_c1/2,0)))/INDEX(lk_legs,9))-(((2*IF(circ_int,0,eq_c2/2))+(PI()*(s_0+8*s_r+IF(circ_int,eq_c1/2,0))/2))+2*IF(circ_int,0,eq_c1/2)))/(s_0+8*s_r+IF(circ_int,eq_c1/2,0))),IF(((10+0.5)*(4*IF(circ_int,0,eq_c1/2)+4*IF(circ_int,0,eq_c2/2)+2*PI()*(s_0+8*s_r+IF(circ_int,eq_c1/2,0)))/INDEX(lk_legs,9))&lt;(((((2*IF(circ_int,0,eq_c2/2))+(PI()*(s_0+8*s_r+IF(circ_int,eq_c1/2,0))/2))+2*IF(circ_int,0,eq_c1/2))+(PI()*(s_0+8*s_r+IF(circ_int,eq_c1/2,0))/2))+2*IF(circ_int,0,eq_c2/2)),IF(circ_int,0,eq_c2/2)-(((10+0.5)*(4*IF(circ_int,0,eq_c1/2)+4*IF(circ_int,0,eq_c2/2)+2*PI()*(s_0+8*s_r+IF(circ_int,eq_c1/2,0)))/INDEX(lk_legs,9))-((((2*IF(circ_int,0,eq_c2/2))+(PI()*(s_0+8*s_r+IF(circ_int,eq_c1/2,0))/2))+2*IF(circ_int,0,eq_c1/2))+(PI()*(s_0+8*s_r+IF(circ_int,eq_c1/2,0))/2))),IF(((10+0.5)*(4*IF(circ_int,0,eq_c1/2)+4*IF(circ_int,0,eq_c2/2)+2*PI()*(s_0+8*s_r+IF(circ_int,eq_c1/2,0)))/INDEX(lk_legs,9))&lt;((((((2*IF(circ_int,0,eq_c2/2))+(PI()*(s_0+8*s_r+IF(circ_int,eq_c1/2,0))/2))+2*IF(circ_int,0,eq_c1/2))+(PI()*(s_0+8*s_r+IF(circ_int,eq_c1/2,0))/2))+2*IF(circ_int,0,eq_c2/2))+(PI()*(s_0+8*s_r+IF(circ_int,eq_c1/2,0))/2)),-IF(circ_int,0,eq_c2/2)+(s_0+8*s_r+IF(circ_int,eq_c1/2,0))*SIN(PI()+(((10+0.5)*(4*IF(circ_int,0,eq_c1/2)+4*IF(circ_int,0,eq_c2/2)+2*PI()*(s_0+8*s_r+IF(circ_int,eq_c1/2,0)))/INDEX(lk_legs,9))-(((((2*IF(circ_int,0,eq_c2/2))+(PI()*(s_0+8*s_r+IF(circ_int,eq_c1/2,0))/2))+2*IF(circ_int,0,eq_c1/2))+(PI()*(s_0+8*s_r+IF(circ_int,eq_c1/2,0))/2))+2*IF(circ_int,0,eq_c2/2)))/(s_0+8*s_r+IF(circ_int,eq_c1/2,0))),IF(((10+0.5)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(10+0.5)*(4*IF(circ_int,0,eq_c1/2)+4*IF(circ_int,0,eq_c2/2)+2*PI()*(s_0+8*s_r+IF(circ_int,eq_c1/2,0)))/INDEX(lk_legs,9))-(((((((2*IF(circ_int,0,eq_c2/2))+(PI()*(s_0+8*s_r+IF(circ_int,eq_c1/2,0))/2))+2*IF(circ_int,0,eq_c1/2))+(PI()*(s_0+8*s_r+IF(circ_int,eq_c1/2,0))/2))+2*IF(circ_int,0,eq_c2/2))+(PI()*(s_0+8*s_r+IF(circ_int,eq_c1/2,0))/2))+2*IF(circ_int,0,eq_c1/2)))/(s_0+8*s_r+IF(circ_int,eq_c1/2,0)))))))))),NA())</f>
        <v/>
      </c>
      <c r="CY13">
        <f>IF(AND(links_on,10&lt;=n_per),IF(circ_int,(g_ox)+(c_1/2+(s_0+9*s_r))*0.354605,CHOOSE(INDEX(lk_kind,10),(g_ox+eq_c1/2)+((s_0+9*s_r))*0.258819,(eq_a1+eq_c1)+((s_0+9*s_r))*0.923880,(eq_a1+eq_c1)+((s_0+9*s_r))*0.923880,(eq_a1)+((s_0+9*s_r))*-0.382683)),NA())</f>
        <v/>
      </c>
      <c r="CZ13">
        <f>IF(AND(links_on,10&lt;=n_per),IF(circ_int,(g_oy)+(c_1/2+(s_0+9*s_r))*0.935016,CHOOSE(INDEX(lk_kind,10),(g_oy+eq_c2/2)+((s_0+9*s_r))*0.965926,(g_oy+eq_c2/2)+((s_0+9*s_r))*0.382683,(eq_a2+eq_c2)+((s_0+9*s_r))*0.382683,(eq_a2+eq_c2)+((s_0+9*s_r))*0.923880)),NA())</f>
        <v/>
      </c>
      <c r="DB13">
        <f>IF(AND(AND(links_on,10&lt;=n_per),INDEX(lk_kind,10)=1,10&lt;INDEX(lk_legs,10)),g_ox+IF(((10+0.5)*(4*IF(circ_int,0,eq_c1/2)+4*IF(circ_int,0,eq_c2/2)+2*PI()*(s_0+9*s_r+IF(circ_int,eq_c1/2,0)))/INDEX(lk_legs,10))&lt;(2*IF(circ_int,0,eq_c2/2)),IF(circ_int,0,eq_c1/2)+(s_0+9*s_r+IF(circ_int,eq_c1/2,0)),IF(((10+0.5)*(4*IF(circ_int,0,eq_c1/2)+4*IF(circ_int,0,eq_c2/2)+2*PI()*(s_0+9*s_r+IF(circ_int,eq_c1/2,0)))/INDEX(lk_legs,10))&lt;((2*IF(circ_int,0,eq_c2/2))+(PI()*(s_0+9*s_r+IF(circ_int,eq_c1/2,0))/2)),IF(circ_int,0,eq_c1/2)+(s_0+9*s_r+IF(circ_int,eq_c1/2,0))*COS((((10+0.5)*(4*IF(circ_int,0,eq_c1/2)+4*IF(circ_int,0,eq_c2/2)+2*PI()*(s_0+9*s_r+IF(circ_int,eq_c1/2,0)))/INDEX(lk_legs,10))-(2*IF(circ_int,0,eq_c2/2)))/(s_0+9*s_r+IF(circ_int,eq_c1/2,0))),IF(((10+0.5)*(4*IF(circ_int,0,eq_c1/2)+4*IF(circ_int,0,eq_c2/2)+2*PI()*(s_0+9*s_r+IF(circ_int,eq_c1/2,0)))/INDEX(lk_legs,10))&lt;(((2*IF(circ_int,0,eq_c2/2))+(PI()*(s_0+9*s_r+IF(circ_int,eq_c1/2,0))/2))+2*IF(circ_int,0,eq_c1/2)),IF(circ_int,0,eq_c1/2)-(((10+0.5)*(4*IF(circ_int,0,eq_c1/2)+4*IF(circ_int,0,eq_c2/2)+2*PI()*(s_0+9*s_r+IF(circ_int,eq_c1/2,0)))/INDEX(lk_legs,10))-((2*IF(circ_int,0,eq_c2/2))+(PI()*(s_0+9*s_r+IF(circ_int,eq_c1/2,0))/2))),IF(((10+0.5)*(4*IF(circ_int,0,eq_c1/2)+4*IF(circ_int,0,eq_c2/2)+2*PI()*(s_0+9*s_r+IF(circ_int,eq_c1/2,0)))/INDEX(lk_legs,10))&lt;((((2*IF(circ_int,0,eq_c2/2))+(PI()*(s_0+9*s_r+IF(circ_int,eq_c1/2,0))/2))+2*IF(circ_int,0,eq_c1/2))+(PI()*(s_0+9*s_r+IF(circ_int,eq_c1/2,0))/2)),-IF(circ_int,0,eq_c1/2)+(s_0+9*s_r+IF(circ_int,eq_c1/2,0))*COS(PI()/2+(((10+0.5)*(4*IF(circ_int,0,eq_c1/2)+4*IF(circ_int,0,eq_c2/2)+2*PI()*(s_0+9*s_r+IF(circ_int,eq_c1/2,0)))/INDEX(lk_legs,10))-(((2*IF(circ_int,0,eq_c2/2))+(PI()*(s_0+9*s_r+IF(circ_int,eq_c1/2,0))/2))+2*IF(circ_int,0,eq_c1/2)))/(s_0+9*s_r+IF(circ_int,eq_c1/2,0))),IF(((10+0.5)*(4*IF(circ_int,0,eq_c1/2)+4*IF(circ_int,0,eq_c2/2)+2*PI()*(s_0+9*s_r+IF(circ_int,eq_c1/2,0)))/INDEX(lk_legs,10))&lt;(((((2*IF(circ_int,0,eq_c2/2))+(PI()*(s_0+9*s_r+IF(circ_int,eq_c1/2,0))/2))+2*IF(circ_int,0,eq_c1/2))+(PI()*(s_0+9*s_r+IF(circ_int,eq_c1/2,0))/2))+2*IF(circ_int,0,eq_c2/2)),-IF(circ_int,0,eq_c1/2)-(s_0+9*s_r+IF(circ_int,eq_c1/2,0)),IF(((10+0.5)*(4*IF(circ_int,0,eq_c1/2)+4*IF(circ_int,0,eq_c2/2)+2*PI()*(s_0+9*s_r+IF(circ_int,eq_c1/2,0)))/INDEX(lk_legs,10))&lt;((((((2*IF(circ_int,0,eq_c2/2))+(PI()*(s_0+9*s_r+IF(circ_int,eq_c1/2,0))/2))+2*IF(circ_int,0,eq_c1/2))+(PI()*(s_0+9*s_r+IF(circ_int,eq_c1/2,0))/2))+2*IF(circ_int,0,eq_c2/2))+(PI()*(s_0+9*s_r+IF(circ_int,eq_c1/2,0))/2)),-IF(circ_int,0,eq_c1/2)+(s_0+9*s_r+IF(circ_int,eq_c1/2,0))*COS(PI()+(((10+0.5)*(4*IF(circ_int,0,eq_c1/2)+4*IF(circ_int,0,eq_c2/2)+2*PI()*(s_0+9*s_r+IF(circ_int,eq_c1/2,0)))/INDEX(lk_legs,10))-(((((2*IF(circ_int,0,eq_c2/2))+(PI()*(s_0+9*s_r+IF(circ_int,eq_c1/2,0))/2))+2*IF(circ_int,0,eq_c1/2))+(PI()*(s_0+9*s_r+IF(circ_int,eq_c1/2,0))/2))+2*IF(circ_int,0,eq_c2/2)))/(s_0+9*s_r+IF(circ_int,eq_c1/2,0))),IF(((10+0.5)*(4*IF(circ_int,0,eq_c1/2)+4*IF(circ_int,0,eq_c2/2)+2*PI()*(s_0+9*s_r+IF(circ_int,eq_c1/2,0)))/INDEX(lk_legs,10))&lt;(((((((2*IF(circ_int,0,eq_c2/2))+(PI()*(s_0+9*s_r+IF(circ_int,eq_c1/2,0))/2))+2*IF(circ_int,0,eq_c1/2))+(PI()*(s_0+9*s_r+IF(circ_int,eq_c1/2,0))/2))+2*IF(circ_int,0,eq_c2/2))+(PI()*(s_0+9*s_r+IF(circ_int,eq_c1/2,0))/2))+2*IF(circ_int,0,eq_c1/2)),-IF(circ_int,0,eq_c1/2)+(((10+0.5)*(4*IF(circ_int,0,eq_c1/2)+4*IF(circ_int,0,eq_c2/2)+2*PI()*(s_0+9*s_r+IF(circ_int,eq_c1/2,0)))/INDEX(lk_legs,10))-((((((2*IF(circ_int,0,eq_c2/2))+(PI()*(s_0+9*s_r+IF(circ_int,eq_c1/2,0))/2))+2*IF(circ_int,0,eq_c1/2))+(PI()*(s_0+9*s_r+IF(circ_int,eq_c1/2,0))/2))+2*IF(circ_int,0,eq_c2/2))+(PI()*(s_0+9*s_r+IF(circ_int,eq_c1/2,0))/2))),IF(circ_int,0,eq_c1/2)+(s_0+9*s_r+IF(circ_int,eq_c1/2,0))*COS(3*PI()/2+(((10+0.5)*(4*IF(circ_int,0,eq_c1/2)+4*IF(circ_int,0,eq_c2/2)+2*PI()*(s_0+9*s_r+IF(circ_int,eq_c1/2,0)))/INDEX(lk_legs,10))-(((((((2*IF(circ_int,0,eq_c2/2))+(PI()*(s_0+9*s_r+IF(circ_int,eq_c1/2,0))/2))+2*IF(circ_int,0,eq_c1/2))+(PI()*(s_0+9*s_r+IF(circ_int,eq_c1/2,0))/2))+2*IF(circ_int,0,eq_c2/2))+(PI()*(s_0+9*s_r+IF(circ_int,eq_c1/2,0))/2))+2*IF(circ_int,0,eq_c1/2)))/(s_0+9*s_r+IF(circ_int,eq_c1/2,0)))))))))),NA())</f>
        <v/>
      </c>
      <c r="DC13">
        <f>IF(AND(AND(links_on,10&lt;=n_per),INDEX(lk_kind,10)=1,10&lt;INDEX(lk_legs,10)),g_oy+IF(((10+0.5)*(4*IF(circ_int,0,eq_c1/2)+4*IF(circ_int,0,eq_c2/2)+2*PI()*(s_0+9*s_r+IF(circ_int,eq_c1/2,0)))/INDEX(lk_legs,10))&lt;(2*IF(circ_int,0,eq_c2/2)),-IF(circ_int,0,eq_c2/2)+((10+0.5)*(4*IF(circ_int,0,eq_c1/2)+4*IF(circ_int,0,eq_c2/2)+2*PI()*(s_0+9*s_r+IF(circ_int,eq_c1/2,0)))/INDEX(lk_legs,10)),IF(((10+0.5)*(4*IF(circ_int,0,eq_c1/2)+4*IF(circ_int,0,eq_c2/2)+2*PI()*(s_0+9*s_r+IF(circ_int,eq_c1/2,0)))/INDEX(lk_legs,10))&lt;((2*IF(circ_int,0,eq_c2/2))+(PI()*(s_0+9*s_r+IF(circ_int,eq_c1/2,0))/2)),IF(circ_int,0,eq_c2/2)+(s_0+9*s_r+IF(circ_int,eq_c1/2,0))*SIN((((10+0.5)*(4*IF(circ_int,0,eq_c1/2)+4*IF(circ_int,0,eq_c2/2)+2*PI()*(s_0+9*s_r+IF(circ_int,eq_c1/2,0)))/INDEX(lk_legs,10))-(2*IF(circ_int,0,eq_c2/2)))/(s_0+9*s_r+IF(circ_int,eq_c1/2,0))),IF(((10+0.5)*(4*IF(circ_int,0,eq_c1/2)+4*IF(circ_int,0,eq_c2/2)+2*PI()*(s_0+9*s_r+IF(circ_int,eq_c1/2,0)))/INDEX(lk_legs,10))&lt;(((2*IF(circ_int,0,eq_c2/2))+(PI()*(s_0+9*s_r+IF(circ_int,eq_c1/2,0))/2))+2*IF(circ_int,0,eq_c1/2)),IF(circ_int,0,eq_c2/2)+(s_0+9*s_r+IF(circ_int,eq_c1/2,0)),IF(((10+0.5)*(4*IF(circ_int,0,eq_c1/2)+4*IF(circ_int,0,eq_c2/2)+2*PI()*(s_0+9*s_r+IF(circ_int,eq_c1/2,0)))/INDEX(lk_legs,10))&lt;((((2*IF(circ_int,0,eq_c2/2))+(PI()*(s_0+9*s_r+IF(circ_int,eq_c1/2,0))/2))+2*IF(circ_int,0,eq_c1/2))+(PI()*(s_0+9*s_r+IF(circ_int,eq_c1/2,0))/2)),IF(circ_int,0,eq_c2/2)+(s_0+9*s_r+IF(circ_int,eq_c1/2,0))*SIN(PI()/2+(((10+0.5)*(4*IF(circ_int,0,eq_c1/2)+4*IF(circ_int,0,eq_c2/2)+2*PI()*(s_0+9*s_r+IF(circ_int,eq_c1/2,0)))/INDEX(lk_legs,10))-(((2*IF(circ_int,0,eq_c2/2))+(PI()*(s_0+9*s_r+IF(circ_int,eq_c1/2,0))/2))+2*IF(circ_int,0,eq_c1/2)))/(s_0+9*s_r+IF(circ_int,eq_c1/2,0))),IF(((10+0.5)*(4*IF(circ_int,0,eq_c1/2)+4*IF(circ_int,0,eq_c2/2)+2*PI()*(s_0+9*s_r+IF(circ_int,eq_c1/2,0)))/INDEX(lk_legs,10))&lt;(((((2*IF(circ_int,0,eq_c2/2))+(PI()*(s_0+9*s_r+IF(circ_int,eq_c1/2,0))/2))+2*IF(circ_int,0,eq_c1/2))+(PI()*(s_0+9*s_r+IF(circ_int,eq_c1/2,0))/2))+2*IF(circ_int,0,eq_c2/2)),IF(circ_int,0,eq_c2/2)-(((10+0.5)*(4*IF(circ_int,0,eq_c1/2)+4*IF(circ_int,0,eq_c2/2)+2*PI()*(s_0+9*s_r+IF(circ_int,eq_c1/2,0)))/INDEX(lk_legs,10))-((((2*IF(circ_int,0,eq_c2/2))+(PI()*(s_0+9*s_r+IF(circ_int,eq_c1/2,0))/2))+2*IF(circ_int,0,eq_c1/2))+(PI()*(s_0+9*s_r+IF(circ_int,eq_c1/2,0))/2))),IF(((10+0.5)*(4*IF(circ_int,0,eq_c1/2)+4*IF(circ_int,0,eq_c2/2)+2*PI()*(s_0+9*s_r+IF(circ_int,eq_c1/2,0)))/INDEX(lk_legs,10))&lt;((((((2*IF(circ_int,0,eq_c2/2))+(PI()*(s_0+9*s_r+IF(circ_int,eq_c1/2,0))/2))+2*IF(circ_int,0,eq_c1/2))+(PI()*(s_0+9*s_r+IF(circ_int,eq_c1/2,0))/2))+2*IF(circ_int,0,eq_c2/2))+(PI()*(s_0+9*s_r+IF(circ_int,eq_c1/2,0))/2)),-IF(circ_int,0,eq_c2/2)+(s_0+9*s_r+IF(circ_int,eq_c1/2,0))*SIN(PI()+(((10+0.5)*(4*IF(circ_int,0,eq_c1/2)+4*IF(circ_int,0,eq_c2/2)+2*PI()*(s_0+9*s_r+IF(circ_int,eq_c1/2,0)))/INDEX(lk_legs,10))-(((((2*IF(circ_int,0,eq_c2/2))+(PI()*(s_0+9*s_r+IF(circ_int,eq_c1/2,0))/2))+2*IF(circ_int,0,eq_c1/2))+(PI()*(s_0+9*s_r+IF(circ_int,eq_c1/2,0))/2))+2*IF(circ_int,0,eq_c2/2)))/(s_0+9*s_r+IF(circ_int,eq_c1/2,0))),IF(((10+0.5)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(10+0.5)*(4*IF(circ_int,0,eq_c1/2)+4*IF(circ_int,0,eq_c2/2)+2*PI()*(s_0+9*s_r+IF(circ_int,eq_c1/2,0)))/INDEX(lk_legs,10))-(((((((2*IF(circ_int,0,eq_c2/2))+(PI()*(s_0+9*s_r+IF(circ_int,eq_c1/2,0))/2))+2*IF(circ_int,0,eq_c1/2))+(PI()*(s_0+9*s_r+IF(circ_int,eq_c1/2,0))/2))+2*IF(circ_int,0,eq_c2/2))+(PI()*(s_0+9*s_r+IF(circ_int,eq_c1/2,0))/2))+2*IF(circ_int,0,eq_c1/2)))/(s_0+9*s_r+IF(circ_int,eq_c1/2,0)))))))))),NA())</f>
        <v/>
      </c>
      <c r="DE13">
        <f>IF(AND(links_on,11&lt;=n_per),IF(circ_int,(g_ox)+(c_1/2+(s_0+10*s_r))*0.354605,CHOOSE(INDEX(lk_kind,11),(g_ox+eq_c1/2)+((s_0+10*s_r))*0.258819,(eq_a1+eq_c1)+((s_0+10*s_r))*0.923880,(eq_a1+eq_c1)+((s_0+10*s_r))*0.923880,(eq_a1)+((s_0+10*s_r))*-0.382683)),NA())</f>
        <v/>
      </c>
      <c r="DF13">
        <f>IF(AND(links_on,11&lt;=n_per),IF(circ_int,(g_oy)+(c_1/2+(s_0+10*s_r))*0.935016,CHOOSE(INDEX(lk_kind,11),(g_oy+eq_c2/2)+((s_0+10*s_r))*0.965926,(g_oy+eq_c2/2)+((s_0+10*s_r))*0.382683,(eq_a2+eq_c2)+((s_0+10*s_r))*0.382683,(eq_a2+eq_c2)+((s_0+10*s_r))*0.923880)),NA())</f>
        <v/>
      </c>
      <c r="DH13">
        <f>IF(AND(AND(links_on,11&lt;=n_per),INDEX(lk_kind,11)=1,10&lt;INDEX(lk_legs,11)),g_ox+IF(((10+0.5)*(4*IF(circ_int,0,eq_c1/2)+4*IF(circ_int,0,eq_c2/2)+2*PI()*(s_0+10*s_r+IF(circ_int,eq_c1/2,0)))/INDEX(lk_legs,11))&lt;(2*IF(circ_int,0,eq_c2/2)),IF(circ_int,0,eq_c1/2)+(s_0+10*s_r+IF(circ_int,eq_c1/2,0)),IF(((10+0.5)*(4*IF(circ_int,0,eq_c1/2)+4*IF(circ_int,0,eq_c2/2)+2*PI()*(s_0+10*s_r+IF(circ_int,eq_c1/2,0)))/INDEX(lk_legs,11))&lt;((2*IF(circ_int,0,eq_c2/2))+(PI()*(s_0+10*s_r+IF(circ_int,eq_c1/2,0))/2)),IF(circ_int,0,eq_c1/2)+(s_0+10*s_r+IF(circ_int,eq_c1/2,0))*COS((((10+0.5)*(4*IF(circ_int,0,eq_c1/2)+4*IF(circ_int,0,eq_c2/2)+2*PI()*(s_0+10*s_r+IF(circ_int,eq_c1/2,0)))/INDEX(lk_legs,11))-(2*IF(circ_int,0,eq_c2/2)))/(s_0+10*s_r+IF(circ_int,eq_c1/2,0))),IF(((10+0.5)*(4*IF(circ_int,0,eq_c1/2)+4*IF(circ_int,0,eq_c2/2)+2*PI()*(s_0+10*s_r+IF(circ_int,eq_c1/2,0)))/INDEX(lk_legs,11))&lt;(((2*IF(circ_int,0,eq_c2/2))+(PI()*(s_0+10*s_r+IF(circ_int,eq_c1/2,0))/2))+2*IF(circ_int,0,eq_c1/2)),IF(circ_int,0,eq_c1/2)-(((10+0.5)*(4*IF(circ_int,0,eq_c1/2)+4*IF(circ_int,0,eq_c2/2)+2*PI()*(s_0+10*s_r+IF(circ_int,eq_c1/2,0)))/INDEX(lk_legs,11))-((2*IF(circ_int,0,eq_c2/2))+(PI()*(s_0+10*s_r+IF(circ_int,eq_c1/2,0))/2))),IF(((10+0.5)*(4*IF(circ_int,0,eq_c1/2)+4*IF(circ_int,0,eq_c2/2)+2*PI()*(s_0+10*s_r+IF(circ_int,eq_c1/2,0)))/INDEX(lk_legs,11))&lt;((((2*IF(circ_int,0,eq_c2/2))+(PI()*(s_0+10*s_r+IF(circ_int,eq_c1/2,0))/2))+2*IF(circ_int,0,eq_c1/2))+(PI()*(s_0+10*s_r+IF(circ_int,eq_c1/2,0))/2)),-IF(circ_int,0,eq_c1/2)+(s_0+10*s_r+IF(circ_int,eq_c1/2,0))*COS(PI()/2+(((10+0.5)*(4*IF(circ_int,0,eq_c1/2)+4*IF(circ_int,0,eq_c2/2)+2*PI()*(s_0+10*s_r+IF(circ_int,eq_c1/2,0)))/INDEX(lk_legs,11))-(((2*IF(circ_int,0,eq_c2/2))+(PI()*(s_0+10*s_r+IF(circ_int,eq_c1/2,0))/2))+2*IF(circ_int,0,eq_c1/2)))/(s_0+10*s_r+IF(circ_int,eq_c1/2,0))),IF(((10+0.5)*(4*IF(circ_int,0,eq_c1/2)+4*IF(circ_int,0,eq_c2/2)+2*PI()*(s_0+10*s_r+IF(circ_int,eq_c1/2,0)))/INDEX(lk_legs,11))&lt;(((((2*IF(circ_int,0,eq_c2/2))+(PI()*(s_0+10*s_r+IF(circ_int,eq_c1/2,0))/2))+2*IF(circ_int,0,eq_c1/2))+(PI()*(s_0+10*s_r+IF(circ_int,eq_c1/2,0))/2))+2*IF(circ_int,0,eq_c2/2)),-IF(circ_int,0,eq_c1/2)-(s_0+10*s_r+IF(circ_int,eq_c1/2,0)),IF(((10+0.5)*(4*IF(circ_int,0,eq_c1/2)+4*IF(circ_int,0,eq_c2/2)+2*PI()*(s_0+10*s_r+IF(circ_int,eq_c1/2,0)))/INDEX(lk_legs,11))&lt;((((((2*IF(circ_int,0,eq_c2/2))+(PI()*(s_0+10*s_r+IF(circ_int,eq_c1/2,0))/2))+2*IF(circ_int,0,eq_c1/2))+(PI()*(s_0+10*s_r+IF(circ_int,eq_c1/2,0))/2))+2*IF(circ_int,0,eq_c2/2))+(PI()*(s_0+10*s_r+IF(circ_int,eq_c1/2,0))/2)),-IF(circ_int,0,eq_c1/2)+(s_0+10*s_r+IF(circ_int,eq_c1/2,0))*COS(PI()+(((10+0.5)*(4*IF(circ_int,0,eq_c1/2)+4*IF(circ_int,0,eq_c2/2)+2*PI()*(s_0+10*s_r+IF(circ_int,eq_c1/2,0)))/INDEX(lk_legs,11))-(((((2*IF(circ_int,0,eq_c2/2))+(PI()*(s_0+10*s_r+IF(circ_int,eq_c1/2,0))/2))+2*IF(circ_int,0,eq_c1/2))+(PI()*(s_0+10*s_r+IF(circ_int,eq_c1/2,0))/2))+2*IF(circ_int,0,eq_c2/2)))/(s_0+10*s_r+IF(circ_int,eq_c1/2,0))),IF(((10+0.5)*(4*IF(circ_int,0,eq_c1/2)+4*IF(circ_int,0,eq_c2/2)+2*PI()*(s_0+10*s_r+IF(circ_int,eq_c1/2,0)))/INDEX(lk_legs,11))&lt;(((((((2*IF(circ_int,0,eq_c2/2))+(PI()*(s_0+10*s_r+IF(circ_int,eq_c1/2,0))/2))+2*IF(circ_int,0,eq_c1/2))+(PI()*(s_0+10*s_r+IF(circ_int,eq_c1/2,0))/2))+2*IF(circ_int,0,eq_c2/2))+(PI()*(s_0+10*s_r+IF(circ_int,eq_c1/2,0))/2))+2*IF(circ_int,0,eq_c1/2)),-IF(circ_int,0,eq_c1/2)+(((10+0.5)*(4*IF(circ_int,0,eq_c1/2)+4*IF(circ_int,0,eq_c2/2)+2*PI()*(s_0+10*s_r+IF(circ_int,eq_c1/2,0)))/INDEX(lk_legs,11))-((((((2*IF(circ_int,0,eq_c2/2))+(PI()*(s_0+10*s_r+IF(circ_int,eq_c1/2,0))/2))+2*IF(circ_int,0,eq_c1/2))+(PI()*(s_0+10*s_r+IF(circ_int,eq_c1/2,0))/2))+2*IF(circ_int,0,eq_c2/2))+(PI()*(s_0+10*s_r+IF(circ_int,eq_c1/2,0))/2))),IF(circ_int,0,eq_c1/2)+(s_0+10*s_r+IF(circ_int,eq_c1/2,0))*COS(3*PI()/2+(((10+0.5)*(4*IF(circ_int,0,eq_c1/2)+4*IF(circ_int,0,eq_c2/2)+2*PI()*(s_0+10*s_r+IF(circ_int,eq_c1/2,0)))/INDEX(lk_legs,11))-(((((((2*IF(circ_int,0,eq_c2/2))+(PI()*(s_0+10*s_r+IF(circ_int,eq_c1/2,0))/2))+2*IF(circ_int,0,eq_c1/2))+(PI()*(s_0+10*s_r+IF(circ_int,eq_c1/2,0))/2))+2*IF(circ_int,0,eq_c2/2))+(PI()*(s_0+10*s_r+IF(circ_int,eq_c1/2,0))/2))+2*IF(circ_int,0,eq_c1/2)))/(s_0+10*s_r+IF(circ_int,eq_c1/2,0)))))))))),NA())</f>
        <v/>
      </c>
      <c r="DI13">
        <f>IF(AND(AND(links_on,11&lt;=n_per),INDEX(lk_kind,11)=1,10&lt;INDEX(lk_legs,11)),g_oy+IF(((10+0.5)*(4*IF(circ_int,0,eq_c1/2)+4*IF(circ_int,0,eq_c2/2)+2*PI()*(s_0+10*s_r+IF(circ_int,eq_c1/2,0)))/INDEX(lk_legs,11))&lt;(2*IF(circ_int,0,eq_c2/2)),-IF(circ_int,0,eq_c2/2)+((10+0.5)*(4*IF(circ_int,0,eq_c1/2)+4*IF(circ_int,0,eq_c2/2)+2*PI()*(s_0+10*s_r+IF(circ_int,eq_c1/2,0)))/INDEX(lk_legs,11)),IF(((10+0.5)*(4*IF(circ_int,0,eq_c1/2)+4*IF(circ_int,0,eq_c2/2)+2*PI()*(s_0+10*s_r+IF(circ_int,eq_c1/2,0)))/INDEX(lk_legs,11))&lt;((2*IF(circ_int,0,eq_c2/2))+(PI()*(s_0+10*s_r+IF(circ_int,eq_c1/2,0))/2)),IF(circ_int,0,eq_c2/2)+(s_0+10*s_r+IF(circ_int,eq_c1/2,0))*SIN((((10+0.5)*(4*IF(circ_int,0,eq_c1/2)+4*IF(circ_int,0,eq_c2/2)+2*PI()*(s_0+10*s_r+IF(circ_int,eq_c1/2,0)))/INDEX(lk_legs,11))-(2*IF(circ_int,0,eq_c2/2)))/(s_0+10*s_r+IF(circ_int,eq_c1/2,0))),IF(((10+0.5)*(4*IF(circ_int,0,eq_c1/2)+4*IF(circ_int,0,eq_c2/2)+2*PI()*(s_0+10*s_r+IF(circ_int,eq_c1/2,0)))/INDEX(lk_legs,11))&lt;(((2*IF(circ_int,0,eq_c2/2))+(PI()*(s_0+10*s_r+IF(circ_int,eq_c1/2,0))/2))+2*IF(circ_int,0,eq_c1/2)),IF(circ_int,0,eq_c2/2)+(s_0+10*s_r+IF(circ_int,eq_c1/2,0)),IF(((10+0.5)*(4*IF(circ_int,0,eq_c1/2)+4*IF(circ_int,0,eq_c2/2)+2*PI()*(s_0+10*s_r+IF(circ_int,eq_c1/2,0)))/INDEX(lk_legs,11))&lt;((((2*IF(circ_int,0,eq_c2/2))+(PI()*(s_0+10*s_r+IF(circ_int,eq_c1/2,0))/2))+2*IF(circ_int,0,eq_c1/2))+(PI()*(s_0+10*s_r+IF(circ_int,eq_c1/2,0))/2)),IF(circ_int,0,eq_c2/2)+(s_0+10*s_r+IF(circ_int,eq_c1/2,0))*SIN(PI()/2+(((10+0.5)*(4*IF(circ_int,0,eq_c1/2)+4*IF(circ_int,0,eq_c2/2)+2*PI()*(s_0+10*s_r+IF(circ_int,eq_c1/2,0)))/INDEX(lk_legs,11))-(((2*IF(circ_int,0,eq_c2/2))+(PI()*(s_0+10*s_r+IF(circ_int,eq_c1/2,0))/2))+2*IF(circ_int,0,eq_c1/2)))/(s_0+10*s_r+IF(circ_int,eq_c1/2,0))),IF(((10+0.5)*(4*IF(circ_int,0,eq_c1/2)+4*IF(circ_int,0,eq_c2/2)+2*PI()*(s_0+10*s_r+IF(circ_int,eq_c1/2,0)))/INDEX(lk_legs,11))&lt;(((((2*IF(circ_int,0,eq_c2/2))+(PI()*(s_0+10*s_r+IF(circ_int,eq_c1/2,0))/2))+2*IF(circ_int,0,eq_c1/2))+(PI()*(s_0+10*s_r+IF(circ_int,eq_c1/2,0))/2))+2*IF(circ_int,0,eq_c2/2)),IF(circ_int,0,eq_c2/2)-(((10+0.5)*(4*IF(circ_int,0,eq_c1/2)+4*IF(circ_int,0,eq_c2/2)+2*PI()*(s_0+10*s_r+IF(circ_int,eq_c1/2,0)))/INDEX(lk_legs,11))-((((2*IF(circ_int,0,eq_c2/2))+(PI()*(s_0+10*s_r+IF(circ_int,eq_c1/2,0))/2))+2*IF(circ_int,0,eq_c1/2))+(PI()*(s_0+10*s_r+IF(circ_int,eq_c1/2,0))/2))),IF(((10+0.5)*(4*IF(circ_int,0,eq_c1/2)+4*IF(circ_int,0,eq_c2/2)+2*PI()*(s_0+10*s_r+IF(circ_int,eq_c1/2,0)))/INDEX(lk_legs,11))&lt;((((((2*IF(circ_int,0,eq_c2/2))+(PI()*(s_0+10*s_r+IF(circ_int,eq_c1/2,0))/2))+2*IF(circ_int,0,eq_c1/2))+(PI()*(s_0+10*s_r+IF(circ_int,eq_c1/2,0))/2))+2*IF(circ_int,0,eq_c2/2))+(PI()*(s_0+10*s_r+IF(circ_int,eq_c1/2,0))/2)),-IF(circ_int,0,eq_c2/2)+(s_0+10*s_r+IF(circ_int,eq_c1/2,0))*SIN(PI()+(((10+0.5)*(4*IF(circ_int,0,eq_c1/2)+4*IF(circ_int,0,eq_c2/2)+2*PI()*(s_0+10*s_r+IF(circ_int,eq_c1/2,0)))/INDEX(lk_legs,11))-(((((2*IF(circ_int,0,eq_c2/2))+(PI()*(s_0+10*s_r+IF(circ_int,eq_c1/2,0))/2))+2*IF(circ_int,0,eq_c1/2))+(PI()*(s_0+10*s_r+IF(circ_int,eq_c1/2,0))/2))+2*IF(circ_int,0,eq_c2/2)))/(s_0+10*s_r+IF(circ_int,eq_c1/2,0))),IF(((10+0.5)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(10+0.5)*(4*IF(circ_int,0,eq_c1/2)+4*IF(circ_int,0,eq_c2/2)+2*PI()*(s_0+10*s_r+IF(circ_int,eq_c1/2,0)))/INDEX(lk_legs,11))-(((((((2*IF(circ_int,0,eq_c2/2))+(PI()*(s_0+10*s_r+IF(circ_int,eq_c1/2,0))/2))+2*IF(circ_int,0,eq_c1/2))+(PI()*(s_0+10*s_r+IF(circ_int,eq_c1/2,0))/2))+2*IF(circ_int,0,eq_c2/2))+(PI()*(s_0+10*s_r+IF(circ_int,eq_c1/2,0))/2))+2*IF(circ_int,0,eq_c1/2)))/(s_0+10*s_r+IF(circ_int,eq_c1/2,0)))))))))),NA())</f>
        <v/>
      </c>
      <c r="DK13">
        <f>IF(AND(links_on,12&lt;=n_per),IF(circ_int,(g_ox)+(c_1/2+(s_0+11*s_r))*0.354605,CHOOSE(INDEX(lk_kind,12),(g_ox+eq_c1/2)+((s_0+11*s_r))*0.258819,(eq_a1+eq_c1)+((s_0+11*s_r))*0.923880,(eq_a1+eq_c1)+((s_0+11*s_r))*0.923880,(eq_a1)+((s_0+11*s_r))*-0.382683)),NA())</f>
        <v/>
      </c>
      <c r="DL13">
        <f>IF(AND(links_on,12&lt;=n_per),IF(circ_int,(g_oy)+(c_1/2+(s_0+11*s_r))*0.935016,CHOOSE(INDEX(lk_kind,12),(g_oy+eq_c2/2)+((s_0+11*s_r))*0.965926,(g_oy+eq_c2/2)+((s_0+11*s_r))*0.382683,(eq_a2+eq_c2)+((s_0+11*s_r))*0.382683,(eq_a2+eq_c2)+((s_0+11*s_r))*0.923880)),NA())</f>
        <v/>
      </c>
      <c r="DN13">
        <f>IF(AND(AND(links_on,12&lt;=n_per),INDEX(lk_kind,12)=1,10&lt;INDEX(lk_legs,12)),g_ox+IF(((10+0.5)*(4*IF(circ_int,0,eq_c1/2)+4*IF(circ_int,0,eq_c2/2)+2*PI()*(s_0+11*s_r+IF(circ_int,eq_c1/2,0)))/INDEX(lk_legs,12))&lt;(2*IF(circ_int,0,eq_c2/2)),IF(circ_int,0,eq_c1/2)+(s_0+11*s_r+IF(circ_int,eq_c1/2,0)),IF(((10+0.5)*(4*IF(circ_int,0,eq_c1/2)+4*IF(circ_int,0,eq_c2/2)+2*PI()*(s_0+11*s_r+IF(circ_int,eq_c1/2,0)))/INDEX(lk_legs,12))&lt;((2*IF(circ_int,0,eq_c2/2))+(PI()*(s_0+11*s_r+IF(circ_int,eq_c1/2,0))/2)),IF(circ_int,0,eq_c1/2)+(s_0+11*s_r+IF(circ_int,eq_c1/2,0))*COS((((10+0.5)*(4*IF(circ_int,0,eq_c1/2)+4*IF(circ_int,0,eq_c2/2)+2*PI()*(s_0+11*s_r+IF(circ_int,eq_c1/2,0)))/INDEX(lk_legs,12))-(2*IF(circ_int,0,eq_c2/2)))/(s_0+11*s_r+IF(circ_int,eq_c1/2,0))),IF(((10+0.5)*(4*IF(circ_int,0,eq_c1/2)+4*IF(circ_int,0,eq_c2/2)+2*PI()*(s_0+11*s_r+IF(circ_int,eq_c1/2,0)))/INDEX(lk_legs,12))&lt;(((2*IF(circ_int,0,eq_c2/2))+(PI()*(s_0+11*s_r+IF(circ_int,eq_c1/2,0))/2))+2*IF(circ_int,0,eq_c1/2)),IF(circ_int,0,eq_c1/2)-(((10+0.5)*(4*IF(circ_int,0,eq_c1/2)+4*IF(circ_int,0,eq_c2/2)+2*PI()*(s_0+11*s_r+IF(circ_int,eq_c1/2,0)))/INDEX(lk_legs,12))-((2*IF(circ_int,0,eq_c2/2))+(PI()*(s_0+11*s_r+IF(circ_int,eq_c1/2,0))/2))),IF(((10+0.5)*(4*IF(circ_int,0,eq_c1/2)+4*IF(circ_int,0,eq_c2/2)+2*PI()*(s_0+11*s_r+IF(circ_int,eq_c1/2,0)))/INDEX(lk_legs,12))&lt;((((2*IF(circ_int,0,eq_c2/2))+(PI()*(s_0+11*s_r+IF(circ_int,eq_c1/2,0))/2))+2*IF(circ_int,0,eq_c1/2))+(PI()*(s_0+11*s_r+IF(circ_int,eq_c1/2,0))/2)),-IF(circ_int,0,eq_c1/2)+(s_0+11*s_r+IF(circ_int,eq_c1/2,0))*COS(PI()/2+(((10+0.5)*(4*IF(circ_int,0,eq_c1/2)+4*IF(circ_int,0,eq_c2/2)+2*PI()*(s_0+11*s_r+IF(circ_int,eq_c1/2,0)))/INDEX(lk_legs,12))-(((2*IF(circ_int,0,eq_c2/2))+(PI()*(s_0+11*s_r+IF(circ_int,eq_c1/2,0))/2))+2*IF(circ_int,0,eq_c1/2)))/(s_0+11*s_r+IF(circ_int,eq_c1/2,0))),IF(((10+0.5)*(4*IF(circ_int,0,eq_c1/2)+4*IF(circ_int,0,eq_c2/2)+2*PI()*(s_0+11*s_r+IF(circ_int,eq_c1/2,0)))/INDEX(lk_legs,12))&lt;(((((2*IF(circ_int,0,eq_c2/2))+(PI()*(s_0+11*s_r+IF(circ_int,eq_c1/2,0))/2))+2*IF(circ_int,0,eq_c1/2))+(PI()*(s_0+11*s_r+IF(circ_int,eq_c1/2,0))/2))+2*IF(circ_int,0,eq_c2/2)),-IF(circ_int,0,eq_c1/2)-(s_0+11*s_r+IF(circ_int,eq_c1/2,0)),IF(((10+0.5)*(4*IF(circ_int,0,eq_c1/2)+4*IF(circ_int,0,eq_c2/2)+2*PI()*(s_0+11*s_r+IF(circ_int,eq_c1/2,0)))/INDEX(lk_legs,12))&lt;((((((2*IF(circ_int,0,eq_c2/2))+(PI()*(s_0+11*s_r+IF(circ_int,eq_c1/2,0))/2))+2*IF(circ_int,0,eq_c1/2))+(PI()*(s_0+11*s_r+IF(circ_int,eq_c1/2,0))/2))+2*IF(circ_int,0,eq_c2/2))+(PI()*(s_0+11*s_r+IF(circ_int,eq_c1/2,0))/2)),-IF(circ_int,0,eq_c1/2)+(s_0+11*s_r+IF(circ_int,eq_c1/2,0))*COS(PI()+(((10+0.5)*(4*IF(circ_int,0,eq_c1/2)+4*IF(circ_int,0,eq_c2/2)+2*PI()*(s_0+11*s_r+IF(circ_int,eq_c1/2,0)))/INDEX(lk_legs,12))-(((((2*IF(circ_int,0,eq_c2/2))+(PI()*(s_0+11*s_r+IF(circ_int,eq_c1/2,0))/2))+2*IF(circ_int,0,eq_c1/2))+(PI()*(s_0+11*s_r+IF(circ_int,eq_c1/2,0))/2))+2*IF(circ_int,0,eq_c2/2)))/(s_0+11*s_r+IF(circ_int,eq_c1/2,0))),IF(((10+0.5)*(4*IF(circ_int,0,eq_c1/2)+4*IF(circ_int,0,eq_c2/2)+2*PI()*(s_0+11*s_r+IF(circ_int,eq_c1/2,0)))/INDEX(lk_legs,12))&lt;(((((((2*IF(circ_int,0,eq_c2/2))+(PI()*(s_0+11*s_r+IF(circ_int,eq_c1/2,0))/2))+2*IF(circ_int,0,eq_c1/2))+(PI()*(s_0+11*s_r+IF(circ_int,eq_c1/2,0))/2))+2*IF(circ_int,0,eq_c2/2))+(PI()*(s_0+11*s_r+IF(circ_int,eq_c1/2,0))/2))+2*IF(circ_int,0,eq_c1/2)),-IF(circ_int,0,eq_c1/2)+(((10+0.5)*(4*IF(circ_int,0,eq_c1/2)+4*IF(circ_int,0,eq_c2/2)+2*PI()*(s_0+11*s_r+IF(circ_int,eq_c1/2,0)))/INDEX(lk_legs,12))-((((((2*IF(circ_int,0,eq_c2/2))+(PI()*(s_0+11*s_r+IF(circ_int,eq_c1/2,0))/2))+2*IF(circ_int,0,eq_c1/2))+(PI()*(s_0+11*s_r+IF(circ_int,eq_c1/2,0))/2))+2*IF(circ_int,0,eq_c2/2))+(PI()*(s_0+11*s_r+IF(circ_int,eq_c1/2,0))/2))),IF(circ_int,0,eq_c1/2)+(s_0+11*s_r+IF(circ_int,eq_c1/2,0))*COS(3*PI()/2+(((10+0.5)*(4*IF(circ_int,0,eq_c1/2)+4*IF(circ_int,0,eq_c2/2)+2*PI()*(s_0+11*s_r+IF(circ_int,eq_c1/2,0)))/INDEX(lk_legs,12))-(((((((2*IF(circ_int,0,eq_c2/2))+(PI()*(s_0+11*s_r+IF(circ_int,eq_c1/2,0))/2))+2*IF(circ_int,0,eq_c1/2))+(PI()*(s_0+11*s_r+IF(circ_int,eq_c1/2,0))/2))+2*IF(circ_int,0,eq_c2/2))+(PI()*(s_0+11*s_r+IF(circ_int,eq_c1/2,0))/2))+2*IF(circ_int,0,eq_c1/2)))/(s_0+11*s_r+IF(circ_int,eq_c1/2,0)))))))))),NA())</f>
        <v/>
      </c>
      <c r="DO13">
        <f>IF(AND(AND(links_on,12&lt;=n_per),INDEX(lk_kind,12)=1,10&lt;INDEX(lk_legs,12)),g_oy+IF(((10+0.5)*(4*IF(circ_int,0,eq_c1/2)+4*IF(circ_int,0,eq_c2/2)+2*PI()*(s_0+11*s_r+IF(circ_int,eq_c1/2,0)))/INDEX(lk_legs,12))&lt;(2*IF(circ_int,0,eq_c2/2)),-IF(circ_int,0,eq_c2/2)+((10+0.5)*(4*IF(circ_int,0,eq_c1/2)+4*IF(circ_int,0,eq_c2/2)+2*PI()*(s_0+11*s_r+IF(circ_int,eq_c1/2,0)))/INDEX(lk_legs,12)),IF(((10+0.5)*(4*IF(circ_int,0,eq_c1/2)+4*IF(circ_int,0,eq_c2/2)+2*PI()*(s_0+11*s_r+IF(circ_int,eq_c1/2,0)))/INDEX(lk_legs,12))&lt;((2*IF(circ_int,0,eq_c2/2))+(PI()*(s_0+11*s_r+IF(circ_int,eq_c1/2,0))/2)),IF(circ_int,0,eq_c2/2)+(s_0+11*s_r+IF(circ_int,eq_c1/2,0))*SIN((((10+0.5)*(4*IF(circ_int,0,eq_c1/2)+4*IF(circ_int,0,eq_c2/2)+2*PI()*(s_0+11*s_r+IF(circ_int,eq_c1/2,0)))/INDEX(lk_legs,12))-(2*IF(circ_int,0,eq_c2/2)))/(s_0+11*s_r+IF(circ_int,eq_c1/2,0))),IF(((10+0.5)*(4*IF(circ_int,0,eq_c1/2)+4*IF(circ_int,0,eq_c2/2)+2*PI()*(s_0+11*s_r+IF(circ_int,eq_c1/2,0)))/INDEX(lk_legs,12))&lt;(((2*IF(circ_int,0,eq_c2/2))+(PI()*(s_0+11*s_r+IF(circ_int,eq_c1/2,0))/2))+2*IF(circ_int,0,eq_c1/2)),IF(circ_int,0,eq_c2/2)+(s_0+11*s_r+IF(circ_int,eq_c1/2,0)),IF(((10+0.5)*(4*IF(circ_int,0,eq_c1/2)+4*IF(circ_int,0,eq_c2/2)+2*PI()*(s_0+11*s_r+IF(circ_int,eq_c1/2,0)))/INDEX(lk_legs,12))&lt;((((2*IF(circ_int,0,eq_c2/2))+(PI()*(s_0+11*s_r+IF(circ_int,eq_c1/2,0))/2))+2*IF(circ_int,0,eq_c1/2))+(PI()*(s_0+11*s_r+IF(circ_int,eq_c1/2,0))/2)),IF(circ_int,0,eq_c2/2)+(s_0+11*s_r+IF(circ_int,eq_c1/2,0))*SIN(PI()/2+(((10+0.5)*(4*IF(circ_int,0,eq_c1/2)+4*IF(circ_int,0,eq_c2/2)+2*PI()*(s_0+11*s_r+IF(circ_int,eq_c1/2,0)))/INDEX(lk_legs,12))-(((2*IF(circ_int,0,eq_c2/2))+(PI()*(s_0+11*s_r+IF(circ_int,eq_c1/2,0))/2))+2*IF(circ_int,0,eq_c1/2)))/(s_0+11*s_r+IF(circ_int,eq_c1/2,0))),IF(((10+0.5)*(4*IF(circ_int,0,eq_c1/2)+4*IF(circ_int,0,eq_c2/2)+2*PI()*(s_0+11*s_r+IF(circ_int,eq_c1/2,0)))/INDEX(lk_legs,12))&lt;(((((2*IF(circ_int,0,eq_c2/2))+(PI()*(s_0+11*s_r+IF(circ_int,eq_c1/2,0))/2))+2*IF(circ_int,0,eq_c1/2))+(PI()*(s_0+11*s_r+IF(circ_int,eq_c1/2,0))/2))+2*IF(circ_int,0,eq_c2/2)),IF(circ_int,0,eq_c2/2)-(((10+0.5)*(4*IF(circ_int,0,eq_c1/2)+4*IF(circ_int,0,eq_c2/2)+2*PI()*(s_0+11*s_r+IF(circ_int,eq_c1/2,0)))/INDEX(lk_legs,12))-((((2*IF(circ_int,0,eq_c2/2))+(PI()*(s_0+11*s_r+IF(circ_int,eq_c1/2,0))/2))+2*IF(circ_int,0,eq_c1/2))+(PI()*(s_0+11*s_r+IF(circ_int,eq_c1/2,0))/2))),IF(((10+0.5)*(4*IF(circ_int,0,eq_c1/2)+4*IF(circ_int,0,eq_c2/2)+2*PI()*(s_0+11*s_r+IF(circ_int,eq_c1/2,0)))/INDEX(lk_legs,12))&lt;((((((2*IF(circ_int,0,eq_c2/2))+(PI()*(s_0+11*s_r+IF(circ_int,eq_c1/2,0))/2))+2*IF(circ_int,0,eq_c1/2))+(PI()*(s_0+11*s_r+IF(circ_int,eq_c1/2,0))/2))+2*IF(circ_int,0,eq_c2/2))+(PI()*(s_0+11*s_r+IF(circ_int,eq_c1/2,0))/2)),-IF(circ_int,0,eq_c2/2)+(s_0+11*s_r+IF(circ_int,eq_c1/2,0))*SIN(PI()+(((10+0.5)*(4*IF(circ_int,0,eq_c1/2)+4*IF(circ_int,0,eq_c2/2)+2*PI()*(s_0+11*s_r+IF(circ_int,eq_c1/2,0)))/INDEX(lk_legs,12))-(((((2*IF(circ_int,0,eq_c2/2))+(PI()*(s_0+11*s_r+IF(circ_int,eq_c1/2,0))/2))+2*IF(circ_int,0,eq_c1/2))+(PI()*(s_0+11*s_r+IF(circ_int,eq_c1/2,0))/2))+2*IF(circ_int,0,eq_c2/2)))/(s_0+11*s_r+IF(circ_int,eq_c1/2,0))),IF(((10+0.5)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(10+0.5)*(4*IF(circ_int,0,eq_c1/2)+4*IF(circ_int,0,eq_c2/2)+2*PI()*(s_0+11*s_r+IF(circ_int,eq_c1/2,0)))/INDEX(lk_legs,12))-(((((((2*IF(circ_int,0,eq_c2/2))+(PI()*(s_0+11*s_r+IF(circ_int,eq_c1/2,0))/2))+2*IF(circ_int,0,eq_c1/2))+(PI()*(s_0+11*s_r+IF(circ_int,eq_c1/2,0))/2))+2*IF(circ_int,0,eq_c2/2))+(PI()*(s_0+11*s_r+IF(circ_int,eq_c1/2,0))/2))+2*IF(circ_int,0,eq_c1/2)))/(s_0+11*s_r+IF(circ_int,eq_c1/2,0)))))))))),NA())</f>
        <v/>
      </c>
    </row>
    <row r="14">
      <c r="A14">
        <f>IF(shape="Circular",(g_ox)+(c_1/2+0)*0.239316,CHOOSE(1,(g_ox+eq_c1/2)+(0)*0.130526,(eq_a1+eq_c1)+(0)*0.965926,(eq_a1+eq_c1)+(0)*0.965926,(eq_a1)+(0)*-0.258819))</f>
        <v/>
      </c>
      <c r="B14">
        <f>IF(shape="Circular",(g_oy)+(c_1/2+0)*0.970942,CHOOSE(1,(g_oy+eq_c2/2)+(0)*0.991445,(g_oy+eq_c2/2)+(0)*0.258819,(eq_a2+eq_c2)+(0)*0.258819,(eq_a2+eq_c2)+(0)*0.965926))</f>
        <v/>
      </c>
      <c r="D14">
        <f>IF(circ_int,(g_ox)+(c_1/2+2*d_eff)*0.239316,CHOOSE(geo_idx,(g_ox+eq_c1/2)+(2*d_eff)*0.130526,(eq_a1+eq_c1)+(2*d_eff)*0.965926,(eq_a1+eq_c1)+(2*d_eff)*0.965926,(eq_a1)+(2*d_eff)*-0.258819))</f>
        <v/>
      </c>
      <c r="E14">
        <f>IF(circ_int,(g_oy)+(c_1/2+2*d_eff)*0.970942,CHOOSE(geo_idx,(g_oy+eq_c2/2)+(2*d_eff)*0.991445,(g_oy+eq_c2/2)+(2*d_eff)*0.258819,(eq_a2+eq_c2)+(2*d_eff)*0.258819,(eq_a2+eq_c2)+(2*d_eff)*0.965926))</f>
        <v/>
      </c>
      <c r="G14">
        <f>IF(AND(inputs_ok,punch_ok,A_sw&gt;0),IF(circ_int,(g_ox)+(c_1/2+r_out)*0.239316,CHOOSE(kind_out,(g_ox+eq_c1/2)+(r_out)*0.130526,(eq_a1+eq_c1)+(r_out)*0.965926,(eq_a1+eq_c1)+(r_out)*0.965926,(eq_a1)+(r_out)*-0.258819)),NA())</f>
        <v/>
      </c>
      <c r="H14">
        <f>IF(AND(inputs_ok,punch_ok,A_sw&gt;0),IF(circ_int,(g_oy)+(c_1/2+r_out)*0.970942,CHOOSE(kind_out,(g_oy+eq_c2/2)+(r_out)*0.991445,(g_oy+eq_c2/2)+(r_out)*0.258819,(eq_a2+eq_c2)+(r_out)*0.258819,(eq_a2+eq_c2)+(r_out)*0.965926)),NA())</f>
        <v/>
      </c>
      <c r="AW14">
        <f>IF(AND(links_on,1&lt;=n_per),IF(circ_int,(g_ox)+(c_1/2+(s_0+0*s_r))*0.239316,CHOOSE(INDEX(lk_kind,1),(g_ox+eq_c1/2)+((s_0+0*s_r))*0.130526,(eq_a1+eq_c1)+((s_0+0*s_r))*0.965926,(eq_a1+eq_c1)+((s_0+0*s_r))*0.965926,(eq_a1)+((s_0+0*s_r))*-0.258819)),NA())</f>
        <v/>
      </c>
      <c r="AX14">
        <f>IF(AND(links_on,1&lt;=n_per),IF(circ_int,(g_oy)+(c_1/2+(s_0+0*s_r))*0.970942,CHOOSE(INDEX(lk_kind,1),(g_oy+eq_c2/2)+((s_0+0*s_r))*0.991445,(g_oy+eq_c2/2)+((s_0+0*s_r))*0.258819,(eq_a2+eq_c2)+((s_0+0*s_r))*0.258819,(eq_a2+eq_c2)+((s_0+0*s_r))*0.965926)),NA())</f>
        <v/>
      </c>
      <c r="AZ14">
        <f>IF(AND(AND(links_on,1&lt;=n_per),INDEX(lk_kind,1)=1,11&lt;INDEX(lk_legs,1)),g_ox+IF(((11+0.5)*(4*IF(circ_int,0,eq_c1/2)+4*IF(circ_int,0,eq_c2/2)+2*PI()*(s_0+0*s_r+IF(circ_int,eq_c1/2,0)))/INDEX(lk_legs,1))&lt;(2*IF(circ_int,0,eq_c2/2)),IF(circ_int,0,eq_c1/2)+(s_0+0*s_r+IF(circ_int,eq_c1/2,0)),IF(((11+0.5)*(4*IF(circ_int,0,eq_c1/2)+4*IF(circ_int,0,eq_c2/2)+2*PI()*(s_0+0*s_r+IF(circ_int,eq_c1/2,0)))/INDEX(lk_legs,1))&lt;((2*IF(circ_int,0,eq_c2/2))+(PI()*(s_0+0*s_r+IF(circ_int,eq_c1/2,0))/2)),IF(circ_int,0,eq_c1/2)+(s_0+0*s_r+IF(circ_int,eq_c1/2,0))*COS((((11+0.5)*(4*IF(circ_int,0,eq_c1/2)+4*IF(circ_int,0,eq_c2/2)+2*PI()*(s_0+0*s_r+IF(circ_int,eq_c1/2,0)))/INDEX(lk_legs,1))-(2*IF(circ_int,0,eq_c2/2)))/(s_0+0*s_r+IF(circ_int,eq_c1/2,0))),IF(((11+0.5)*(4*IF(circ_int,0,eq_c1/2)+4*IF(circ_int,0,eq_c2/2)+2*PI()*(s_0+0*s_r+IF(circ_int,eq_c1/2,0)))/INDEX(lk_legs,1))&lt;(((2*IF(circ_int,0,eq_c2/2))+(PI()*(s_0+0*s_r+IF(circ_int,eq_c1/2,0))/2))+2*IF(circ_int,0,eq_c1/2)),IF(circ_int,0,eq_c1/2)-(((11+0.5)*(4*IF(circ_int,0,eq_c1/2)+4*IF(circ_int,0,eq_c2/2)+2*PI()*(s_0+0*s_r+IF(circ_int,eq_c1/2,0)))/INDEX(lk_legs,1))-((2*IF(circ_int,0,eq_c2/2))+(PI()*(s_0+0*s_r+IF(circ_int,eq_c1/2,0))/2))),IF(((11+0.5)*(4*IF(circ_int,0,eq_c1/2)+4*IF(circ_int,0,eq_c2/2)+2*PI()*(s_0+0*s_r+IF(circ_int,eq_c1/2,0)))/INDEX(lk_legs,1))&lt;((((2*IF(circ_int,0,eq_c2/2))+(PI()*(s_0+0*s_r+IF(circ_int,eq_c1/2,0))/2))+2*IF(circ_int,0,eq_c1/2))+(PI()*(s_0+0*s_r+IF(circ_int,eq_c1/2,0))/2)),-IF(circ_int,0,eq_c1/2)+(s_0+0*s_r+IF(circ_int,eq_c1/2,0))*COS(PI()/2+(((11+0.5)*(4*IF(circ_int,0,eq_c1/2)+4*IF(circ_int,0,eq_c2/2)+2*PI()*(s_0+0*s_r+IF(circ_int,eq_c1/2,0)))/INDEX(lk_legs,1))-(((2*IF(circ_int,0,eq_c2/2))+(PI()*(s_0+0*s_r+IF(circ_int,eq_c1/2,0))/2))+2*IF(circ_int,0,eq_c1/2)))/(s_0+0*s_r+IF(circ_int,eq_c1/2,0))),IF(((11+0.5)*(4*IF(circ_int,0,eq_c1/2)+4*IF(circ_int,0,eq_c2/2)+2*PI()*(s_0+0*s_r+IF(circ_int,eq_c1/2,0)))/INDEX(lk_legs,1))&lt;(((((2*IF(circ_int,0,eq_c2/2))+(PI()*(s_0+0*s_r+IF(circ_int,eq_c1/2,0))/2))+2*IF(circ_int,0,eq_c1/2))+(PI()*(s_0+0*s_r+IF(circ_int,eq_c1/2,0))/2))+2*IF(circ_int,0,eq_c2/2)),-IF(circ_int,0,eq_c1/2)-(s_0+0*s_r+IF(circ_int,eq_c1/2,0)),IF(((11+0.5)*(4*IF(circ_int,0,eq_c1/2)+4*IF(circ_int,0,eq_c2/2)+2*PI()*(s_0+0*s_r+IF(circ_int,eq_c1/2,0)))/INDEX(lk_legs,1))&lt;((((((2*IF(circ_int,0,eq_c2/2))+(PI()*(s_0+0*s_r+IF(circ_int,eq_c1/2,0))/2))+2*IF(circ_int,0,eq_c1/2))+(PI()*(s_0+0*s_r+IF(circ_int,eq_c1/2,0))/2))+2*IF(circ_int,0,eq_c2/2))+(PI()*(s_0+0*s_r+IF(circ_int,eq_c1/2,0))/2)),-IF(circ_int,0,eq_c1/2)+(s_0+0*s_r+IF(circ_int,eq_c1/2,0))*COS(PI()+(((11+0.5)*(4*IF(circ_int,0,eq_c1/2)+4*IF(circ_int,0,eq_c2/2)+2*PI()*(s_0+0*s_r+IF(circ_int,eq_c1/2,0)))/INDEX(lk_legs,1))-(((((2*IF(circ_int,0,eq_c2/2))+(PI()*(s_0+0*s_r+IF(circ_int,eq_c1/2,0))/2))+2*IF(circ_int,0,eq_c1/2))+(PI()*(s_0+0*s_r+IF(circ_int,eq_c1/2,0))/2))+2*IF(circ_int,0,eq_c2/2)))/(s_0+0*s_r+IF(circ_int,eq_c1/2,0))),IF(((11+0.5)*(4*IF(circ_int,0,eq_c1/2)+4*IF(circ_int,0,eq_c2/2)+2*PI()*(s_0+0*s_r+IF(circ_int,eq_c1/2,0)))/INDEX(lk_legs,1))&lt;(((((((2*IF(circ_int,0,eq_c2/2))+(PI()*(s_0+0*s_r+IF(circ_int,eq_c1/2,0))/2))+2*IF(circ_int,0,eq_c1/2))+(PI()*(s_0+0*s_r+IF(circ_int,eq_c1/2,0))/2))+2*IF(circ_int,0,eq_c2/2))+(PI()*(s_0+0*s_r+IF(circ_int,eq_c1/2,0))/2))+2*IF(circ_int,0,eq_c1/2)),-IF(circ_int,0,eq_c1/2)+(((11+0.5)*(4*IF(circ_int,0,eq_c1/2)+4*IF(circ_int,0,eq_c2/2)+2*PI()*(s_0+0*s_r+IF(circ_int,eq_c1/2,0)))/INDEX(lk_legs,1))-((((((2*IF(circ_int,0,eq_c2/2))+(PI()*(s_0+0*s_r+IF(circ_int,eq_c1/2,0))/2))+2*IF(circ_int,0,eq_c1/2))+(PI()*(s_0+0*s_r+IF(circ_int,eq_c1/2,0))/2))+2*IF(circ_int,0,eq_c2/2))+(PI()*(s_0+0*s_r+IF(circ_int,eq_c1/2,0))/2))),IF(circ_int,0,eq_c1/2)+(s_0+0*s_r+IF(circ_int,eq_c1/2,0))*COS(3*PI()/2+(((11+0.5)*(4*IF(circ_int,0,eq_c1/2)+4*IF(circ_int,0,eq_c2/2)+2*PI()*(s_0+0*s_r+IF(circ_int,eq_c1/2,0)))/INDEX(lk_legs,1))-(((((((2*IF(circ_int,0,eq_c2/2))+(PI()*(s_0+0*s_r+IF(circ_int,eq_c1/2,0))/2))+2*IF(circ_int,0,eq_c1/2))+(PI()*(s_0+0*s_r+IF(circ_int,eq_c1/2,0))/2))+2*IF(circ_int,0,eq_c2/2))+(PI()*(s_0+0*s_r+IF(circ_int,eq_c1/2,0))/2))+2*IF(circ_int,0,eq_c1/2)))/(s_0+0*s_r+IF(circ_int,eq_c1/2,0)))))))))),NA())</f>
        <v/>
      </c>
      <c r="BA14">
        <f>IF(AND(AND(links_on,1&lt;=n_per),INDEX(lk_kind,1)=1,11&lt;INDEX(lk_legs,1)),g_oy+IF(((11+0.5)*(4*IF(circ_int,0,eq_c1/2)+4*IF(circ_int,0,eq_c2/2)+2*PI()*(s_0+0*s_r+IF(circ_int,eq_c1/2,0)))/INDEX(lk_legs,1))&lt;(2*IF(circ_int,0,eq_c2/2)),-IF(circ_int,0,eq_c2/2)+((11+0.5)*(4*IF(circ_int,0,eq_c1/2)+4*IF(circ_int,0,eq_c2/2)+2*PI()*(s_0+0*s_r+IF(circ_int,eq_c1/2,0)))/INDEX(lk_legs,1)),IF(((11+0.5)*(4*IF(circ_int,0,eq_c1/2)+4*IF(circ_int,0,eq_c2/2)+2*PI()*(s_0+0*s_r+IF(circ_int,eq_c1/2,0)))/INDEX(lk_legs,1))&lt;((2*IF(circ_int,0,eq_c2/2))+(PI()*(s_0+0*s_r+IF(circ_int,eq_c1/2,0))/2)),IF(circ_int,0,eq_c2/2)+(s_0+0*s_r+IF(circ_int,eq_c1/2,0))*SIN((((11+0.5)*(4*IF(circ_int,0,eq_c1/2)+4*IF(circ_int,0,eq_c2/2)+2*PI()*(s_0+0*s_r+IF(circ_int,eq_c1/2,0)))/INDEX(lk_legs,1))-(2*IF(circ_int,0,eq_c2/2)))/(s_0+0*s_r+IF(circ_int,eq_c1/2,0))),IF(((11+0.5)*(4*IF(circ_int,0,eq_c1/2)+4*IF(circ_int,0,eq_c2/2)+2*PI()*(s_0+0*s_r+IF(circ_int,eq_c1/2,0)))/INDEX(lk_legs,1))&lt;(((2*IF(circ_int,0,eq_c2/2))+(PI()*(s_0+0*s_r+IF(circ_int,eq_c1/2,0))/2))+2*IF(circ_int,0,eq_c1/2)),IF(circ_int,0,eq_c2/2)+(s_0+0*s_r+IF(circ_int,eq_c1/2,0)),IF(((11+0.5)*(4*IF(circ_int,0,eq_c1/2)+4*IF(circ_int,0,eq_c2/2)+2*PI()*(s_0+0*s_r+IF(circ_int,eq_c1/2,0)))/INDEX(lk_legs,1))&lt;((((2*IF(circ_int,0,eq_c2/2))+(PI()*(s_0+0*s_r+IF(circ_int,eq_c1/2,0))/2))+2*IF(circ_int,0,eq_c1/2))+(PI()*(s_0+0*s_r+IF(circ_int,eq_c1/2,0))/2)),IF(circ_int,0,eq_c2/2)+(s_0+0*s_r+IF(circ_int,eq_c1/2,0))*SIN(PI()/2+(((11+0.5)*(4*IF(circ_int,0,eq_c1/2)+4*IF(circ_int,0,eq_c2/2)+2*PI()*(s_0+0*s_r+IF(circ_int,eq_c1/2,0)))/INDEX(lk_legs,1))-(((2*IF(circ_int,0,eq_c2/2))+(PI()*(s_0+0*s_r+IF(circ_int,eq_c1/2,0))/2))+2*IF(circ_int,0,eq_c1/2)))/(s_0+0*s_r+IF(circ_int,eq_c1/2,0))),IF(((11+0.5)*(4*IF(circ_int,0,eq_c1/2)+4*IF(circ_int,0,eq_c2/2)+2*PI()*(s_0+0*s_r+IF(circ_int,eq_c1/2,0)))/INDEX(lk_legs,1))&lt;(((((2*IF(circ_int,0,eq_c2/2))+(PI()*(s_0+0*s_r+IF(circ_int,eq_c1/2,0))/2))+2*IF(circ_int,0,eq_c1/2))+(PI()*(s_0+0*s_r+IF(circ_int,eq_c1/2,0))/2))+2*IF(circ_int,0,eq_c2/2)),IF(circ_int,0,eq_c2/2)-(((11+0.5)*(4*IF(circ_int,0,eq_c1/2)+4*IF(circ_int,0,eq_c2/2)+2*PI()*(s_0+0*s_r+IF(circ_int,eq_c1/2,0)))/INDEX(lk_legs,1))-((((2*IF(circ_int,0,eq_c2/2))+(PI()*(s_0+0*s_r+IF(circ_int,eq_c1/2,0))/2))+2*IF(circ_int,0,eq_c1/2))+(PI()*(s_0+0*s_r+IF(circ_int,eq_c1/2,0))/2))),IF(((11+0.5)*(4*IF(circ_int,0,eq_c1/2)+4*IF(circ_int,0,eq_c2/2)+2*PI()*(s_0+0*s_r+IF(circ_int,eq_c1/2,0)))/INDEX(lk_legs,1))&lt;((((((2*IF(circ_int,0,eq_c2/2))+(PI()*(s_0+0*s_r+IF(circ_int,eq_c1/2,0))/2))+2*IF(circ_int,0,eq_c1/2))+(PI()*(s_0+0*s_r+IF(circ_int,eq_c1/2,0))/2))+2*IF(circ_int,0,eq_c2/2))+(PI()*(s_0+0*s_r+IF(circ_int,eq_c1/2,0))/2)),-IF(circ_int,0,eq_c2/2)+(s_0+0*s_r+IF(circ_int,eq_c1/2,0))*SIN(PI()+(((11+0.5)*(4*IF(circ_int,0,eq_c1/2)+4*IF(circ_int,0,eq_c2/2)+2*PI()*(s_0+0*s_r+IF(circ_int,eq_c1/2,0)))/INDEX(lk_legs,1))-(((((2*IF(circ_int,0,eq_c2/2))+(PI()*(s_0+0*s_r+IF(circ_int,eq_c1/2,0))/2))+2*IF(circ_int,0,eq_c1/2))+(PI()*(s_0+0*s_r+IF(circ_int,eq_c1/2,0))/2))+2*IF(circ_int,0,eq_c2/2)))/(s_0+0*s_r+IF(circ_int,eq_c1/2,0))),IF(((11+0.5)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(11+0.5)*(4*IF(circ_int,0,eq_c1/2)+4*IF(circ_int,0,eq_c2/2)+2*PI()*(s_0+0*s_r+IF(circ_int,eq_c1/2,0)))/INDEX(lk_legs,1))-(((((((2*IF(circ_int,0,eq_c2/2))+(PI()*(s_0+0*s_r+IF(circ_int,eq_c1/2,0))/2))+2*IF(circ_int,0,eq_c1/2))+(PI()*(s_0+0*s_r+IF(circ_int,eq_c1/2,0))/2))+2*IF(circ_int,0,eq_c2/2))+(PI()*(s_0+0*s_r+IF(circ_int,eq_c1/2,0))/2))+2*IF(circ_int,0,eq_c1/2)))/(s_0+0*s_r+IF(circ_int,eq_c1/2,0)))))))))),NA())</f>
        <v/>
      </c>
      <c r="BC14">
        <f>IF(AND(links_on,2&lt;=n_per),IF(circ_int,(g_ox)+(c_1/2+(s_0+1*s_r))*0.239316,CHOOSE(INDEX(lk_kind,2),(g_ox+eq_c1/2)+((s_0+1*s_r))*0.130526,(eq_a1+eq_c1)+((s_0+1*s_r))*0.965926,(eq_a1+eq_c1)+((s_0+1*s_r))*0.965926,(eq_a1)+((s_0+1*s_r))*-0.258819)),NA())</f>
        <v/>
      </c>
      <c r="BD14">
        <f>IF(AND(links_on,2&lt;=n_per),IF(circ_int,(g_oy)+(c_1/2+(s_0+1*s_r))*0.970942,CHOOSE(INDEX(lk_kind,2),(g_oy+eq_c2/2)+((s_0+1*s_r))*0.991445,(g_oy+eq_c2/2)+((s_0+1*s_r))*0.258819,(eq_a2+eq_c2)+((s_0+1*s_r))*0.258819,(eq_a2+eq_c2)+((s_0+1*s_r))*0.965926)),NA())</f>
        <v/>
      </c>
      <c r="BF14">
        <f>IF(AND(AND(links_on,2&lt;=n_per),INDEX(lk_kind,2)=1,11&lt;INDEX(lk_legs,2)),g_ox+IF(((11+0.5)*(4*IF(circ_int,0,eq_c1/2)+4*IF(circ_int,0,eq_c2/2)+2*PI()*(s_0+1*s_r+IF(circ_int,eq_c1/2,0)))/INDEX(lk_legs,2))&lt;(2*IF(circ_int,0,eq_c2/2)),IF(circ_int,0,eq_c1/2)+(s_0+1*s_r+IF(circ_int,eq_c1/2,0)),IF(((11+0.5)*(4*IF(circ_int,0,eq_c1/2)+4*IF(circ_int,0,eq_c2/2)+2*PI()*(s_0+1*s_r+IF(circ_int,eq_c1/2,0)))/INDEX(lk_legs,2))&lt;((2*IF(circ_int,0,eq_c2/2))+(PI()*(s_0+1*s_r+IF(circ_int,eq_c1/2,0))/2)),IF(circ_int,0,eq_c1/2)+(s_0+1*s_r+IF(circ_int,eq_c1/2,0))*COS((((11+0.5)*(4*IF(circ_int,0,eq_c1/2)+4*IF(circ_int,0,eq_c2/2)+2*PI()*(s_0+1*s_r+IF(circ_int,eq_c1/2,0)))/INDEX(lk_legs,2))-(2*IF(circ_int,0,eq_c2/2)))/(s_0+1*s_r+IF(circ_int,eq_c1/2,0))),IF(((11+0.5)*(4*IF(circ_int,0,eq_c1/2)+4*IF(circ_int,0,eq_c2/2)+2*PI()*(s_0+1*s_r+IF(circ_int,eq_c1/2,0)))/INDEX(lk_legs,2))&lt;(((2*IF(circ_int,0,eq_c2/2))+(PI()*(s_0+1*s_r+IF(circ_int,eq_c1/2,0))/2))+2*IF(circ_int,0,eq_c1/2)),IF(circ_int,0,eq_c1/2)-(((11+0.5)*(4*IF(circ_int,0,eq_c1/2)+4*IF(circ_int,0,eq_c2/2)+2*PI()*(s_0+1*s_r+IF(circ_int,eq_c1/2,0)))/INDEX(lk_legs,2))-((2*IF(circ_int,0,eq_c2/2))+(PI()*(s_0+1*s_r+IF(circ_int,eq_c1/2,0))/2))),IF(((11+0.5)*(4*IF(circ_int,0,eq_c1/2)+4*IF(circ_int,0,eq_c2/2)+2*PI()*(s_0+1*s_r+IF(circ_int,eq_c1/2,0)))/INDEX(lk_legs,2))&lt;((((2*IF(circ_int,0,eq_c2/2))+(PI()*(s_0+1*s_r+IF(circ_int,eq_c1/2,0))/2))+2*IF(circ_int,0,eq_c1/2))+(PI()*(s_0+1*s_r+IF(circ_int,eq_c1/2,0))/2)),-IF(circ_int,0,eq_c1/2)+(s_0+1*s_r+IF(circ_int,eq_c1/2,0))*COS(PI()/2+(((11+0.5)*(4*IF(circ_int,0,eq_c1/2)+4*IF(circ_int,0,eq_c2/2)+2*PI()*(s_0+1*s_r+IF(circ_int,eq_c1/2,0)))/INDEX(lk_legs,2))-(((2*IF(circ_int,0,eq_c2/2))+(PI()*(s_0+1*s_r+IF(circ_int,eq_c1/2,0))/2))+2*IF(circ_int,0,eq_c1/2)))/(s_0+1*s_r+IF(circ_int,eq_c1/2,0))),IF(((11+0.5)*(4*IF(circ_int,0,eq_c1/2)+4*IF(circ_int,0,eq_c2/2)+2*PI()*(s_0+1*s_r+IF(circ_int,eq_c1/2,0)))/INDEX(lk_legs,2))&lt;(((((2*IF(circ_int,0,eq_c2/2))+(PI()*(s_0+1*s_r+IF(circ_int,eq_c1/2,0))/2))+2*IF(circ_int,0,eq_c1/2))+(PI()*(s_0+1*s_r+IF(circ_int,eq_c1/2,0))/2))+2*IF(circ_int,0,eq_c2/2)),-IF(circ_int,0,eq_c1/2)-(s_0+1*s_r+IF(circ_int,eq_c1/2,0)),IF(((11+0.5)*(4*IF(circ_int,0,eq_c1/2)+4*IF(circ_int,0,eq_c2/2)+2*PI()*(s_0+1*s_r+IF(circ_int,eq_c1/2,0)))/INDEX(lk_legs,2))&lt;((((((2*IF(circ_int,0,eq_c2/2))+(PI()*(s_0+1*s_r+IF(circ_int,eq_c1/2,0))/2))+2*IF(circ_int,0,eq_c1/2))+(PI()*(s_0+1*s_r+IF(circ_int,eq_c1/2,0))/2))+2*IF(circ_int,0,eq_c2/2))+(PI()*(s_0+1*s_r+IF(circ_int,eq_c1/2,0))/2)),-IF(circ_int,0,eq_c1/2)+(s_0+1*s_r+IF(circ_int,eq_c1/2,0))*COS(PI()+(((11+0.5)*(4*IF(circ_int,0,eq_c1/2)+4*IF(circ_int,0,eq_c2/2)+2*PI()*(s_0+1*s_r+IF(circ_int,eq_c1/2,0)))/INDEX(lk_legs,2))-(((((2*IF(circ_int,0,eq_c2/2))+(PI()*(s_0+1*s_r+IF(circ_int,eq_c1/2,0))/2))+2*IF(circ_int,0,eq_c1/2))+(PI()*(s_0+1*s_r+IF(circ_int,eq_c1/2,0))/2))+2*IF(circ_int,0,eq_c2/2)))/(s_0+1*s_r+IF(circ_int,eq_c1/2,0))),IF(((11+0.5)*(4*IF(circ_int,0,eq_c1/2)+4*IF(circ_int,0,eq_c2/2)+2*PI()*(s_0+1*s_r+IF(circ_int,eq_c1/2,0)))/INDEX(lk_legs,2))&lt;(((((((2*IF(circ_int,0,eq_c2/2))+(PI()*(s_0+1*s_r+IF(circ_int,eq_c1/2,0))/2))+2*IF(circ_int,0,eq_c1/2))+(PI()*(s_0+1*s_r+IF(circ_int,eq_c1/2,0))/2))+2*IF(circ_int,0,eq_c2/2))+(PI()*(s_0+1*s_r+IF(circ_int,eq_c1/2,0))/2))+2*IF(circ_int,0,eq_c1/2)),-IF(circ_int,0,eq_c1/2)+(((11+0.5)*(4*IF(circ_int,0,eq_c1/2)+4*IF(circ_int,0,eq_c2/2)+2*PI()*(s_0+1*s_r+IF(circ_int,eq_c1/2,0)))/INDEX(lk_legs,2))-((((((2*IF(circ_int,0,eq_c2/2))+(PI()*(s_0+1*s_r+IF(circ_int,eq_c1/2,0))/2))+2*IF(circ_int,0,eq_c1/2))+(PI()*(s_0+1*s_r+IF(circ_int,eq_c1/2,0))/2))+2*IF(circ_int,0,eq_c2/2))+(PI()*(s_0+1*s_r+IF(circ_int,eq_c1/2,0))/2))),IF(circ_int,0,eq_c1/2)+(s_0+1*s_r+IF(circ_int,eq_c1/2,0))*COS(3*PI()/2+(((11+0.5)*(4*IF(circ_int,0,eq_c1/2)+4*IF(circ_int,0,eq_c2/2)+2*PI()*(s_0+1*s_r+IF(circ_int,eq_c1/2,0)))/INDEX(lk_legs,2))-(((((((2*IF(circ_int,0,eq_c2/2))+(PI()*(s_0+1*s_r+IF(circ_int,eq_c1/2,0))/2))+2*IF(circ_int,0,eq_c1/2))+(PI()*(s_0+1*s_r+IF(circ_int,eq_c1/2,0))/2))+2*IF(circ_int,0,eq_c2/2))+(PI()*(s_0+1*s_r+IF(circ_int,eq_c1/2,0))/2))+2*IF(circ_int,0,eq_c1/2)))/(s_0+1*s_r+IF(circ_int,eq_c1/2,0)))))))))),NA())</f>
        <v/>
      </c>
      <c r="BG14">
        <f>IF(AND(AND(links_on,2&lt;=n_per),INDEX(lk_kind,2)=1,11&lt;INDEX(lk_legs,2)),g_oy+IF(((11+0.5)*(4*IF(circ_int,0,eq_c1/2)+4*IF(circ_int,0,eq_c2/2)+2*PI()*(s_0+1*s_r+IF(circ_int,eq_c1/2,0)))/INDEX(lk_legs,2))&lt;(2*IF(circ_int,0,eq_c2/2)),-IF(circ_int,0,eq_c2/2)+((11+0.5)*(4*IF(circ_int,0,eq_c1/2)+4*IF(circ_int,0,eq_c2/2)+2*PI()*(s_0+1*s_r+IF(circ_int,eq_c1/2,0)))/INDEX(lk_legs,2)),IF(((11+0.5)*(4*IF(circ_int,0,eq_c1/2)+4*IF(circ_int,0,eq_c2/2)+2*PI()*(s_0+1*s_r+IF(circ_int,eq_c1/2,0)))/INDEX(lk_legs,2))&lt;((2*IF(circ_int,0,eq_c2/2))+(PI()*(s_0+1*s_r+IF(circ_int,eq_c1/2,0))/2)),IF(circ_int,0,eq_c2/2)+(s_0+1*s_r+IF(circ_int,eq_c1/2,0))*SIN((((11+0.5)*(4*IF(circ_int,0,eq_c1/2)+4*IF(circ_int,0,eq_c2/2)+2*PI()*(s_0+1*s_r+IF(circ_int,eq_c1/2,0)))/INDEX(lk_legs,2))-(2*IF(circ_int,0,eq_c2/2)))/(s_0+1*s_r+IF(circ_int,eq_c1/2,0))),IF(((11+0.5)*(4*IF(circ_int,0,eq_c1/2)+4*IF(circ_int,0,eq_c2/2)+2*PI()*(s_0+1*s_r+IF(circ_int,eq_c1/2,0)))/INDEX(lk_legs,2))&lt;(((2*IF(circ_int,0,eq_c2/2))+(PI()*(s_0+1*s_r+IF(circ_int,eq_c1/2,0))/2))+2*IF(circ_int,0,eq_c1/2)),IF(circ_int,0,eq_c2/2)+(s_0+1*s_r+IF(circ_int,eq_c1/2,0)),IF(((11+0.5)*(4*IF(circ_int,0,eq_c1/2)+4*IF(circ_int,0,eq_c2/2)+2*PI()*(s_0+1*s_r+IF(circ_int,eq_c1/2,0)))/INDEX(lk_legs,2))&lt;((((2*IF(circ_int,0,eq_c2/2))+(PI()*(s_0+1*s_r+IF(circ_int,eq_c1/2,0))/2))+2*IF(circ_int,0,eq_c1/2))+(PI()*(s_0+1*s_r+IF(circ_int,eq_c1/2,0))/2)),IF(circ_int,0,eq_c2/2)+(s_0+1*s_r+IF(circ_int,eq_c1/2,0))*SIN(PI()/2+(((11+0.5)*(4*IF(circ_int,0,eq_c1/2)+4*IF(circ_int,0,eq_c2/2)+2*PI()*(s_0+1*s_r+IF(circ_int,eq_c1/2,0)))/INDEX(lk_legs,2))-(((2*IF(circ_int,0,eq_c2/2))+(PI()*(s_0+1*s_r+IF(circ_int,eq_c1/2,0))/2))+2*IF(circ_int,0,eq_c1/2)))/(s_0+1*s_r+IF(circ_int,eq_c1/2,0))),IF(((11+0.5)*(4*IF(circ_int,0,eq_c1/2)+4*IF(circ_int,0,eq_c2/2)+2*PI()*(s_0+1*s_r+IF(circ_int,eq_c1/2,0)))/INDEX(lk_legs,2))&lt;(((((2*IF(circ_int,0,eq_c2/2))+(PI()*(s_0+1*s_r+IF(circ_int,eq_c1/2,0))/2))+2*IF(circ_int,0,eq_c1/2))+(PI()*(s_0+1*s_r+IF(circ_int,eq_c1/2,0))/2))+2*IF(circ_int,0,eq_c2/2)),IF(circ_int,0,eq_c2/2)-(((11+0.5)*(4*IF(circ_int,0,eq_c1/2)+4*IF(circ_int,0,eq_c2/2)+2*PI()*(s_0+1*s_r+IF(circ_int,eq_c1/2,0)))/INDEX(lk_legs,2))-((((2*IF(circ_int,0,eq_c2/2))+(PI()*(s_0+1*s_r+IF(circ_int,eq_c1/2,0))/2))+2*IF(circ_int,0,eq_c1/2))+(PI()*(s_0+1*s_r+IF(circ_int,eq_c1/2,0))/2))),IF(((11+0.5)*(4*IF(circ_int,0,eq_c1/2)+4*IF(circ_int,0,eq_c2/2)+2*PI()*(s_0+1*s_r+IF(circ_int,eq_c1/2,0)))/INDEX(lk_legs,2))&lt;((((((2*IF(circ_int,0,eq_c2/2))+(PI()*(s_0+1*s_r+IF(circ_int,eq_c1/2,0))/2))+2*IF(circ_int,0,eq_c1/2))+(PI()*(s_0+1*s_r+IF(circ_int,eq_c1/2,0))/2))+2*IF(circ_int,0,eq_c2/2))+(PI()*(s_0+1*s_r+IF(circ_int,eq_c1/2,0))/2)),-IF(circ_int,0,eq_c2/2)+(s_0+1*s_r+IF(circ_int,eq_c1/2,0))*SIN(PI()+(((11+0.5)*(4*IF(circ_int,0,eq_c1/2)+4*IF(circ_int,0,eq_c2/2)+2*PI()*(s_0+1*s_r+IF(circ_int,eq_c1/2,0)))/INDEX(lk_legs,2))-(((((2*IF(circ_int,0,eq_c2/2))+(PI()*(s_0+1*s_r+IF(circ_int,eq_c1/2,0))/2))+2*IF(circ_int,0,eq_c1/2))+(PI()*(s_0+1*s_r+IF(circ_int,eq_c1/2,0))/2))+2*IF(circ_int,0,eq_c2/2)))/(s_0+1*s_r+IF(circ_int,eq_c1/2,0))),IF(((11+0.5)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(11+0.5)*(4*IF(circ_int,0,eq_c1/2)+4*IF(circ_int,0,eq_c2/2)+2*PI()*(s_0+1*s_r+IF(circ_int,eq_c1/2,0)))/INDEX(lk_legs,2))-(((((((2*IF(circ_int,0,eq_c2/2))+(PI()*(s_0+1*s_r+IF(circ_int,eq_c1/2,0))/2))+2*IF(circ_int,0,eq_c1/2))+(PI()*(s_0+1*s_r+IF(circ_int,eq_c1/2,0))/2))+2*IF(circ_int,0,eq_c2/2))+(PI()*(s_0+1*s_r+IF(circ_int,eq_c1/2,0))/2))+2*IF(circ_int,0,eq_c1/2)))/(s_0+1*s_r+IF(circ_int,eq_c1/2,0)))))))))),NA())</f>
        <v/>
      </c>
      <c r="BI14">
        <f>IF(AND(links_on,3&lt;=n_per),IF(circ_int,(g_ox)+(c_1/2+(s_0+2*s_r))*0.239316,CHOOSE(INDEX(lk_kind,3),(g_ox+eq_c1/2)+((s_0+2*s_r))*0.130526,(eq_a1+eq_c1)+((s_0+2*s_r))*0.965926,(eq_a1+eq_c1)+((s_0+2*s_r))*0.965926,(eq_a1)+((s_0+2*s_r))*-0.258819)),NA())</f>
        <v/>
      </c>
      <c r="BJ14">
        <f>IF(AND(links_on,3&lt;=n_per),IF(circ_int,(g_oy)+(c_1/2+(s_0+2*s_r))*0.970942,CHOOSE(INDEX(lk_kind,3),(g_oy+eq_c2/2)+((s_0+2*s_r))*0.991445,(g_oy+eq_c2/2)+((s_0+2*s_r))*0.258819,(eq_a2+eq_c2)+((s_0+2*s_r))*0.258819,(eq_a2+eq_c2)+((s_0+2*s_r))*0.965926)),NA())</f>
        <v/>
      </c>
      <c r="BL14">
        <f>IF(AND(AND(links_on,3&lt;=n_per),INDEX(lk_kind,3)=1,11&lt;INDEX(lk_legs,3)),g_ox+IF(((11+0.5)*(4*IF(circ_int,0,eq_c1/2)+4*IF(circ_int,0,eq_c2/2)+2*PI()*(s_0+2*s_r+IF(circ_int,eq_c1/2,0)))/INDEX(lk_legs,3))&lt;(2*IF(circ_int,0,eq_c2/2)),IF(circ_int,0,eq_c1/2)+(s_0+2*s_r+IF(circ_int,eq_c1/2,0)),IF(((11+0.5)*(4*IF(circ_int,0,eq_c1/2)+4*IF(circ_int,0,eq_c2/2)+2*PI()*(s_0+2*s_r+IF(circ_int,eq_c1/2,0)))/INDEX(lk_legs,3))&lt;((2*IF(circ_int,0,eq_c2/2))+(PI()*(s_0+2*s_r+IF(circ_int,eq_c1/2,0))/2)),IF(circ_int,0,eq_c1/2)+(s_0+2*s_r+IF(circ_int,eq_c1/2,0))*COS((((11+0.5)*(4*IF(circ_int,0,eq_c1/2)+4*IF(circ_int,0,eq_c2/2)+2*PI()*(s_0+2*s_r+IF(circ_int,eq_c1/2,0)))/INDEX(lk_legs,3))-(2*IF(circ_int,0,eq_c2/2)))/(s_0+2*s_r+IF(circ_int,eq_c1/2,0))),IF(((11+0.5)*(4*IF(circ_int,0,eq_c1/2)+4*IF(circ_int,0,eq_c2/2)+2*PI()*(s_0+2*s_r+IF(circ_int,eq_c1/2,0)))/INDEX(lk_legs,3))&lt;(((2*IF(circ_int,0,eq_c2/2))+(PI()*(s_0+2*s_r+IF(circ_int,eq_c1/2,0))/2))+2*IF(circ_int,0,eq_c1/2)),IF(circ_int,0,eq_c1/2)-(((11+0.5)*(4*IF(circ_int,0,eq_c1/2)+4*IF(circ_int,0,eq_c2/2)+2*PI()*(s_0+2*s_r+IF(circ_int,eq_c1/2,0)))/INDEX(lk_legs,3))-((2*IF(circ_int,0,eq_c2/2))+(PI()*(s_0+2*s_r+IF(circ_int,eq_c1/2,0))/2))),IF(((11+0.5)*(4*IF(circ_int,0,eq_c1/2)+4*IF(circ_int,0,eq_c2/2)+2*PI()*(s_0+2*s_r+IF(circ_int,eq_c1/2,0)))/INDEX(lk_legs,3))&lt;((((2*IF(circ_int,0,eq_c2/2))+(PI()*(s_0+2*s_r+IF(circ_int,eq_c1/2,0))/2))+2*IF(circ_int,0,eq_c1/2))+(PI()*(s_0+2*s_r+IF(circ_int,eq_c1/2,0))/2)),-IF(circ_int,0,eq_c1/2)+(s_0+2*s_r+IF(circ_int,eq_c1/2,0))*COS(PI()/2+(((11+0.5)*(4*IF(circ_int,0,eq_c1/2)+4*IF(circ_int,0,eq_c2/2)+2*PI()*(s_0+2*s_r+IF(circ_int,eq_c1/2,0)))/INDEX(lk_legs,3))-(((2*IF(circ_int,0,eq_c2/2))+(PI()*(s_0+2*s_r+IF(circ_int,eq_c1/2,0))/2))+2*IF(circ_int,0,eq_c1/2)))/(s_0+2*s_r+IF(circ_int,eq_c1/2,0))),IF(((11+0.5)*(4*IF(circ_int,0,eq_c1/2)+4*IF(circ_int,0,eq_c2/2)+2*PI()*(s_0+2*s_r+IF(circ_int,eq_c1/2,0)))/INDEX(lk_legs,3))&lt;(((((2*IF(circ_int,0,eq_c2/2))+(PI()*(s_0+2*s_r+IF(circ_int,eq_c1/2,0))/2))+2*IF(circ_int,0,eq_c1/2))+(PI()*(s_0+2*s_r+IF(circ_int,eq_c1/2,0))/2))+2*IF(circ_int,0,eq_c2/2)),-IF(circ_int,0,eq_c1/2)-(s_0+2*s_r+IF(circ_int,eq_c1/2,0)),IF(((11+0.5)*(4*IF(circ_int,0,eq_c1/2)+4*IF(circ_int,0,eq_c2/2)+2*PI()*(s_0+2*s_r+IF(circ_int,eq_c1/2,0)))/INDEX(lk_legs,3))&lt;((((((2*IF(circ_int,0,eq_c2/2))+(PI()*(s_0+2*s_r+IF(circ_int,eq_c1/2,0))/2))+2*IF(circ_int,0,eq_c1/2))+(PI()*(s_0+2*s_r+IF(circ_int,eq_c1/2,0))/2))+2*IF(circ_int,0,eq_c2/2))+(PI()*(s_0+2*s_r+IF(circ_int,eq_c1/2,0))/2)),-IF(circ_int,0,eq_c1/2)+(s_0+2*s_r+IF(circ_int,eq_c1/2,0))*COS(PI()+(((11+0.5)*(4*IF(circ_int,0,eq_c1/2)+4*IF(circ_int,0,eq_c2/2)+2*PI()*(s_0+2*s_r+IF(circ_int,eq_c1/2,0)))/INDEX(lk_legs,3))-(((((2*IF(circ_int,0,eq_c2/2))+(PI()*(s_0+2*s_r+IF(circ_int,eq_c1/2,0))/2))+2*IF(circ_int,0,eq_c1/2))+(PI()*(s_0+2*s_r+IF(circ_int,eq_c1/2,0))/2))+2*IF(circ_int,0,eq_c2/2)))/(s_0+2*s_r+IF(circ_int,eq_c1/2,0))),IF(((11+0.5)*(4*IF(circ_int,0,eq_c1/2)+4*IF(circ_int,0,eq_c2/2)+2*PI()*(s_0+2*s_r+IF(circ_int,eq_c1/2,0)))/INDEX(lk_legs,3))&lt;(((((((2*IF(circ_int,0,eq_c2/2))+(PI()*(s_0+2*s_r+IF(circ_int,eq_c1/2,0))/2))+2*IF(circ_int,0,eq_c1/2))+(PI()*(s_0+2*s_r+IF(circ_int,eq_c1/2,0))/2))+2*IF(circ_int,0,eq_c2/2))+(PI()*(s_0+2*s_r+IF(circ_int,eq_c1/2,0))/2))+2*IF(circ_int,0,eq_c1/2)),-IF(circ_int,0,eq_c1/2)+(((11+0.5)*(4*IF(circ_int,0,eq_c1/2)+4*IF(circ_int,0,eq_c2/2)+2*PI()*(s_0+2*s_r+IF(circ_int,eq_c1/2,0)))/INDEX(lk_legs,3))-((((((2*IF(circ_int,0,eq_c2/2))+(PI()*(s_0+2*s_r+IF(circ_int,eq_c1/2,0))/2))+2*IF(circ_int,0,eq_c1/2))+(PI()*(s_0+2*s_r+IF(circ_int,eq_c1/2,0))/2))+2*IF(circ_int,0,eq_c2/2))+(PI()*(s_0+2*s_r+IF(circ_int,eq_c1/2,0))/2))),IF(circ_int,0,eq_c1/2)+(s_0+2*s_r+IF(circ_int,eq_c1/2,0))*COS(3*PI()/2+(((11+0.5)*(4*IF(circ_int,0,eq_c1/2)+4*IF(circ_int,0,eq_c2/2)+2*PI()*(s_0+2*s_r+IF(circ_int,eq_c1/2,0)))/INDEX(lk_legs,3))-(((((((2*IF(circ_int,0,eq_c2/2))+(PI()*(s_0+2*s_r+IF(circ_int,eq_c1/2,0))/2))+2*IF(circ_int,0,eq_c1/2))+(PI()*(s_0+2*s_r+IF(circ_int,eq_c1/2,0))/2))+2*IF(circ_int,0,eq_c2/2))+(PI()*(s_0+2*s_r+IF(circ_int,eq_c1/2,0))/2))+2*IF(circ_int,0,eq_c1/2)))/(s_0+2*s_r+IF(circ_int,eq_c1/2,0)))))))))),NA())</f>
        <v/>
      </c>
      <c r="BM14">
        <f>IF(AND(AND(links_on,3&lt;=n_per),INDEX(lk_kind,3)=1,11&lt;INDEX(lk_legs,3)),g_oy+IF(((11+0.5)*(4*IF(circ_int,0,eq_c1/2)+4*IF(circ_int,0,eq_c2/2)+2*PI()*(s_0+2*s_r+IF(circ_int,eq_c1/2,0)))/INDEX(lk_legs,3))&lt;(2*IF(circ_int,0,eq_c2/2)),-IF(circ_int,0,eq_c2/2)+((11+0.5)*(4*IF(circ_int,0,eq_c1/2)+4*IF(circ_int,0,eq_c2/2)+2*PI()*(s_0+2*s_r+IF(circ_int,eq_c1/2,0)))/INDEX(lk_legs,3)),IF(((11+0.5)*(4*IF(circ_int,0,eq_c1/2)+4*IF(circ_int,0,eq_c2/2)+2*PI()*(s_0+2*s_r+IF(circ_int,eq_c1/2,0)))/INDEX(lk_legs,3))&lt;((2*IF(circ_int,0,eq_c2/2))+(PI()*(s_0+2*s_r+IF(circ_int,eq_c1/2,0))/2)),IF(circ_int,0,eq_c2/2)+(s_0+2*s_r+IF(circ_int,eq_c1/2,0))*SIN((((11+0.5)*(4*IF(circ_int,0,eq_c1/2)+4*IF(circ_int,0,eq_c2/2)+2*PI()*(s_0+2*s_r+IF(circ_int,eq_c1/2,0)))/INDEX(lk_legs,3))-(2*IF(circ_int,0,eq_c2/2)))/(s_0+2*s_r+IF(circ_int,eq_c1/2,0))),IF(((11+0.5)*(4*IF(circ_int,0,eq_c1/2)+4*IF(circ_int,0,eq_c2/2)+2*PI()*(s_0+2*s_r+IF(circ_int,eq_c1/2,0)))/INDEX(lk_legs,3))&lt;(((2*IF(circ_int,0,eq_c2/2))+(PI()*(s_0+2*s_r+IF(circ_int,eq_c1/2,0))/2))+2*IF(circ_int,0,eq_c1/2)),IF(circ_int,0,eq_c2/2)+(s_0+2*s_r+IF(circ_int,eq_c1/2,0)),IF(((11+0.5)*(4*IF(circ_int,0,eq_c1/2)+4*IF(circ_int,0,eq_c2/2)+2*PI()*(s_0+2*s_r+IF(circ_int,eq_c1/2,0)))/INDEX(lk_legs,3))&lt;((((2*IF(circ_int,0,eq_c2/2))+(PI()*(s_0+2*s_r+IF(circ_int,eq_c1/2,0))/2))+2*IF(circ_int,0,eq_c1/2))+(PI()*(s_0+2*s_r+IF(circ_int,eq_c1/2,0))/2)),IF(circ_int,0,eq_c2/2)+(s_0+2*s_r+IF(circ_int,eq_c1/2,0))*SIN(PI()/2+(((11+0.5)*(4*IF(circ_int,0,eq_c1/2)+4*IF(circ_int,0,eq_c2/2)+2*PI()*(s_0+2*s_r+IF(circ_int,eq_c1/2,0)))/INDEX(lk_legs,3))-(((2*IF(circ_int,0,eq_c2/2))+(PI()*(s_0+2*s_r+IF(circ_int,eq_c1/2,0))/2))+2*IF(circ_int,0,eq_c1/2)))/(s_0+2*s_r+IF(circ_int,eq_c1/2,0))),IF(((11+0.5)*(4*IF(circ_int,0,eq_c1/2)+4*IF(circ_int,0,eq_c2/2)+2*PI()*(s_0+2*s_r+IF(circ_int,eq_c1/2,0)))/INDEX(lk_legs,3))&lt;(((((2*IF(circ_int,0,eq_c2/2))+(PI()*(s_0+2*s_r+IF(circ_int,eq_c1/2,0))/2))+2*IF(circ_int,0,eq_c1/2))+(PI()*(s_0+2*s_r+IF(circ_int,eq_c1/2,0))/2))+2*IF(circ_int,0,eq_c2/2)),IF(circ_int,0,eq_c2/2)-(((11+0.5)*(4*IF(circ_int,0,eq_c1/2)+4*IF(circ_int,0,eq_c2/2)+2*PI()*(s_0+2*s_r+IF(circ_int,eq_c1/2,0)))/INDEX(lk_legs,3))-((((2*IF(circ_int,0,eq_c2/2))+(PI()*(s_0+2*s_r+IF(circ_int,eq_c1/2,0))/2))+2*IF(circ_int,0,eq_c1/2))+(PI()*(s_0+2*s_r+IF(circ_int,eq_c1/2,0))/2))),IF(((11+0.5)*(4*IF(circ_int,0,eq_c1/2)+4*IF(circ_int,0,eq_c2/2)+2*PI()*(s_0+2*s_r+IF(circ_int,eq_c1/2,0)))/INDEX(lk_legs,3))&lt;((((((2*IF(circ_int,0,eq_c2/2))+(PI()*(s_0+2*s_r+IF(circ_int,eq_c1/2,0))/2))+2*IF(circ_int,0,eq_c1/2))+(PI()*(s_0+2*s_r+IF(circ_int,eq_c1/2,0))/2))+2*IF(circ_int,0,eq_c2/2))+(PI()*(s_0+2*s_r+IF(circ_int,eq_c1/2,0))/2)),-IF(circ_int,0,eq_c2/2)+(s_0+2*s_r+IF(circ_int,eq_c1/2,0))*SIN(PI()+(((11+0.5)*(4*IF(circ_int,0,eq_c1/2)+4*IF(circ_int,0,eq_c2/2)+2*PI()*(s_0+2*s_r+IF(circ_int,eq_c1/2,0)))/INDEX(lk_legs,3))-(((((2*IF(circ_int,0,eq_c2/2))+(PI()*(s_0+2*s_r+IF(circ_int,eq_c1/2,0))/2))+2*IF(circ_int,0,eq_c1/2))+(PI()*(s_0+2*s_r+IF(circ_int,eq_c1/2,0))/2))+2*IF(circ_int,0,eq_c2/2)))/(s_0+2*s_r+IF(circ_int,eq_c1/2,0))),IF(((11+0.5)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(11+0.5)*(4*IF(circ_int,0,eq_c1/2)+4*IF(circ_int,0,eq_c2/2)+2*PI()*(s_0+2*s_r+IF(circ_int,eq_c1/2,0)))/INDEX(lk_legs,3))-(((((((2*IF(circ_int,0,eq_c2/2))+(PI()*(s_0+2*s_r+IF(circ_int,eq_c1/2,0))/2))+2*IF(circ_int,0,eq_c1/2))+(PI()*(s_0+2*s_r+IF(circ_int,eq_c1/2,0))/2))+2*IF(circ_int,0,eq_c2/2))+(PI()*(s_0+2*s_r+IF(circ_int,eq_c1/2,0))/2))+2*IF(circ_int,0,eq_c1/2)))/(s_0+2*s_r+IF(circ_int,eq_c1/2,0)))))))))),NA())</f>
        <v/>
      </c>
      <c r="BO14">
        <f>IF(AND(links_on,4&lt;=n_per),IF(circ_int,(g_ox)+(c_1/2+(s_0+3*s_r))*0.239316,CHOOSE(INDEX(lk_kind,4),(g_ox+eq_c1/2)+((s_0+3*s_r))*0.130526,(eq_a1+eq_c1)+((s_0+3*s_r))*0.965926,(eq_a1+eq_c1)+((s_0+3*s_r))*0.965926,(eq_a1)+((s_0+3*s_r))*-0.258819)),NA())</f>
        <v/>
      </c>
      <c r="BP14">
        <f>IF(AND(links_on,4&lt;=n_per),IF(circ_int,(g_oy)+(c_1/2+(s_0+3*s_r))*0.970942,CHOOSE(INDEX(lk_kind,4),(g_oy+eq_c2/2)+((s_0+3*s_r))*0.991445,(g_oy+eq_c2/2)+((s_0+3*s_r))*0.258819,(eq_a2+eq_c2)+((s_0+3*s_r))*0.258819,(eq_a2+eq_c2)+((s_0+3*s_r))*0.965926)),NA())</f>
        <v/>
      </c>
      <c r="BR14">
        <f>IF(AND(AND(links_on,4&lt;=n_per),INDEX(lk_kind,4)=1,11&lt;INDEX(lk_legs,4)),g_ox+IF(((11+0.5)*(4*IF(circ_int,0,eq_c1/2)+4*IF(circ_int,0,eq_c2/2)+2*PI()*(s_0+3*s_r+IF(circ_int,eq_c1/2,0)))/INDEX(lk_legs,4))&lt;(2*IF(circ_int,0,eq_c2/2)),IF(circ_int,0,eq_c1/2)+(s_0+3*s_r+IF(circ_int,eq_c1/2,0)),IF(((11+0.5)*(4*IF(circ_int,0,eq_c1/2)+4*IF(circ_int,0,eq_c2/2)+2*PI()*(s_0+3*s_r+IF(circ_int,eq_c1/2,0)))/INDEX(lk_legs,4))&lt;((2*IF(circ_int,0,eq_c2/2))+(PI()*(s_0+3*s_r+IF(circ_int,eq_c1/2,0))/2)),IF(circ_int,0,eq_c1/2)+(s_0+3*s_r+IF(circ_int,eq_c1/2,0))*COS((((11+0.5)*(4*IF(circ_int,0,eq_c1/2)+4*IF(circ_int,0,eq_c2/2)+2*PI()*(s_0+3*s_r+IF(circ_int,eq_c1/2,0)))/INDEX(lk_legs,4))-(2*IF(circ_int,0,eq_c2/2)))/(s_0+3*s_r+IF(circ_int,eq_c1/2,0))),IF(((11+0.5)*(4*IF(circ_int,0,eq_c1/2)+4*IF(circ_int,0,eq_c2/2)+2*PI()*(s_0+3*s_r+IF(circ_int,eq_c1/2,0)))/INDEX(lk_legs,4))&lt;(((2*IF(circ_int,0,eq_c2/2))+(PI()*(s_0+3*s_r+IF(circ_int,eq_c1/2,0))/2))+2*IF(circ_int,0,eq_c1/2)),IF(circ_int,0,eq_c1/2)-(((11+0.5)*(4*IF(circ_int,0,eq_c1/2)+4*IF(circ_int,0,eq_c2/2)+2*PI()*(s_0+3*s_r+IF(circ_int,eq_c1/2,0)))/INDEX(lk_legs,4))-((2*IF(circ_int,0,eq_c2/2))+(PI()*(s_0+3*s_r+IF(circ_int,eq_c1/2,0))/2))),IF(((11+0.5)*(4*IF(circ_int,0,eq_c1/2)+4*IF(circ_int,0,eq_c2/2)+2*PI()*(s_0+3*s_r+IF(circ_int,eq_c1/2,0)))/INDEX(lk_legs,4))&lt;((((2*IF(circ_int,0,eq_c2/2))+(PI()*(s_0+3*s_r+IF(circ_int,eq_c1/2,0))/2))+2*IF(circ_int,0,eq_c1/2))+(PI()*(s_0+3*s_r+IF(circ_int,eq_c1/2,0))/2)),-IF(circ_int,0,eq_c1/2)+(s_0+3*s_r+IF(circ_int,eq_c1/2,0))*COS(PI()/2+(((11+0.5)*(4*IF(circ_int,0,eq_c1/2)+4*IF(circ_int,0,eq_c2/2)+2*PI()*(s_0+3*s_r+IF(circ_int,eq_c1/2,0)))/INDEX(lk_legs,4))-(((2*IF(circ_int,0,eq_c2/2))+(PI()*(s_0+3*s_r+IF(circ_int,eq_c1/2,0))/2))+2*IF(circ_int,0,eq_c1/2)))/(s_0+3*s_r+IF(circ_int,eq_c1/2,0))),IF(((11+0.5)*(4*IF(circ_int,0,eq_c1/2)+4*IF(circ_int,0,eq_c2/2)+2*PI()*(s_0+3*s_r+IF(circ_int,eq_c1/2,0)))/INDEX(lk_legs,4))&lt;(((((2*IF(circ_int,0,eq_c2/2))+(PI()*(s_0+3*s_r+IF(circ_int,eq_c1/2,0))/2))+2*IF(circ_int,0,eq_c1/2))+(PI()*(s_0+3*s_r+IF(circ_int,eq_c1/2,0))/2))+2*IF(circ_int,0,eq_c2/2)),-IF(circ_int,0,eq_c1/2)-(s_0+3*s_r+IF(circ_int,eq_c1/2,0)),IF(((11+0.5)*(4*IF(circ_int,0,eq_c1/2)+4*IF(circ_int,0,eq_c2/2)+2*PI()*(s_0+3*s_r+IF(circ_int,eq_c1/2,0)))/INDEX(lk_legs,4))&lt;((((((2*IF(circ_int,0,eq_c2/2))+(PI()*(s_0+3*s_r+IF(circ_int,eq_c1/2,0))/2))+2*IF(circ_int,0,eq_c1/2))+(PI()*(s_0+3*s_r+IF(circ_int,eq_c1/2,0))/2))+2*IF(circ_int,0,eq_c2/2))+(PI()*(s_0+3*s_r+IF(circ_int,eq_c1/2,0))/2)),-IF(circ_int,0,eq_c1/2)+(s_0+3*s_r+IF(circ_int,eq_c1/2,0))*COS(PI()+(((11+0.5)*(4*IF(circ_int,0,eq_c1/2)+4*IF(circ_int,0,eq_c2/2)+2*PI()*(s_0+3*s_r+IF(circ_int,eq_c1/2,0)))/INDEX(lk_legs,4))-(((((2*IF(circ_int,0,eq_c2/2))+(PI()*(s_0+3*s_r+IF(circ_int,eq_c1/2,0))/2))+2*IF(circ_int,0,eq_c1/2))+(PI()*(s_0+3*s_r+IF(circ_int,eq_c1/2,0))/2))+2*IF(circ_int,0,eq_c2/2)))/(s_0+3*s_r+IF(circ_int,eq_c1/2,0))),IF(((11+0.5)*(4*IF(circ_int,0,eq_c1/2)+4*IF(circ_int,0,eq_c2/2)+2*PI()*(s_0+3*s_r+IF(circ_int,eq_c1/2,0)))/INDEX(lk_legs,4))&lt;(((((((2*IF(circ_int,0,eq_c2/2))+(PI()*(s_0+3*s_r+IF(circ_int,eq_c1/2,0))/2))+2*IF(circ_int,0,eq_c1/2))+(PI()*(s_0+3*s_r+IF(circ_int,eq_c1/2,0))/2))+2*IF(circ_int,0,eq_c2/2))+(PI()*(s_0+3*s_r+IF(circ_int,eq_c1/2,0))/2))+2*IF(circ_int,0,eq_c1/2)),-IF(circ_int,0,eq_c1/2)+(((11+0.5)*(4*IF(circ_int,0,eq_c1/2)+4*IF(circ_int,0,eq_c2/2)+2*PI()*(s_0+3*s_r+IF(circ_int,eq_c1/2,0)))/INDEX(lk_legs,4))-((((((2*IF(circ_int,0,eq_c2/2))+(PI()*(s_0+3*s_r+IF(circ_int,eq_c1/2,0))/2))+2*IF(circ_int,0,eq_c1/2))+(PI()*(s_0+3*s_r+IF(circ_int,eq_c1/2,0))/2))+2*IF(circ_int,0,eq_c2/2))+(PI()*(s_0+3*s_r+IF(circ_int,eq_c1/2,0))/2))),IF(circ_int,0,eq_c1/2)+(s_0+3*s_r+IF(circ_int,eq_c1/2,0))*COS(3*PI()/2+(((11+0.5)*(4*IF(circ_int,0,eq_c1/2)+4*IF(circ_int,0,eq_c2/2)+2*PI()*(s_0+3*s_r+IF(circ_int,eq_c1/2,0)))/INDEX(lk_legs,4))-(((((((2*IF(circ_int,0,eq_c2/2))+(PI()*(s_0+3*s_r+IF(circ_int,eq_c1/2,0))/2))+2*IF(circ_int,0,eq_c1/2))+(PI()*(s_0+3*s_r+IF(circ_int,eq_c1/2,0))/2))+2*IF(circ_int,0,eq_c2/2))+(PI()*(s_0+3*s_r+IF(circ_int,eq_c1/2,0))/2))+2*IF(circ_int,0,eq_c1/2)))/(s_0+3*s_r+IF(circ_int,eq_c1/2,0)))))))))),NA())</f>
        <v/>
      </c>
      <c r="BS14">
        <f>IF(AND(AND(links_on,4&lt;=n_per),INDEX(lk_kind,4)=1,11&lt;INDEX(lk_legs,4)),g_oy+IF(((11+0.5)*(4*IF(circ_int,0,eq_c1/2)+4*IF(circ_int,0,eq_c2/2)+2*PI()*(s_0+3*s_r+IF(circ_int,eq_c1/2,0)))/INDEX(lk_legs,4))&lt;(2*IF(circ_int,0,eq_c2/2)),-IF(circ_int,0,eq_c2/2)+((11+0.5)*(4*IF(circ_int,0,eq_c1/2)+4*IF(circ_int,0,eq_c2/2)+2*PI()*(s_0+3*s_r+IF(circ_int,eq_c1/2,0)))/INDEX(lk_legs,4)),IF(((11+0.5)*(4*IF(circ_int,0,eq_c1/2)+4*IF(circ_int,0,eq_c2/2)+2*PI()*(s_0+3*s_r+IF(circ_int,eq_c1/2,0)))/INDEX(lk_legs,4))&lt;((2*IF(circ_int,0,eq_c2/2))+(PI()*(s_0+3*s_r+IF(circ_int,eq_c1/2,0))/2)),IF(circ_int,0,eq_c2/2)+(s_0+3*s_r+IF(circ_int,eq_c1/2,0))*SIN((((11+0.5)*(4*IF(circ_int,0,eq_c1/2)+4*IF(circ_int,0,eq_c2/2)+2*PI()*(s_0+3*s_r+IF(circ_int,eq_c1/2,0)))/INDEX(lk_legs,4))-(2*IF(circ_int,0,eq_c2/2)))/(s_0+3*s_r+IF(circ_int,eq_c1/2,0))),IF(((11+0.5)*(4*IF(circ_int,0,eq_c1/2)+4*IF(circ_int,0,eq_c2/2)+2*PI()*(s_0+3*s_r+IF(circ_int,eq_c1/2,0)))/INDEX(lk_legs,4))&lt;(((2*IF(circ_int,0,eq_c2/2))+(PI()*(s_0+3*s_r+IF(circ_int,eq_c1/2,0))/2))+2*IF(circ_int,0,eq_c1/2)),IF(circ_int,0,eq_c2/2)+(s_0+3*s_r+IF(circ_int,eq_c1/2,0)),IF(((11+0.5)*(4*IF(circ_int,0,eq_c1/2)+4*IF(circ_int,0,eq_c2/2)+2*PI()*(s_0+3*s_r+IF(circ_int,eq_c1/2,0)))/INDEX(lk_legs,4))&lt;((((2*IF(circ_int,0,eq_c2/2))+(PI()*(s_0+3*s_r+IF(circ_int,eq_c1/2,0))/2))+2*IF(circ_int,0,eq_c1/2))+(PI()*(s_0+3*s_r+IF(circ_int,eq_c1/2,0))/2)),IF(circ_int,0,eq_c2/2)+(s_0+3*s_r+IF(circ_int,eq_c1/2,0))*SIN(PI()/2+(((11+0.5)*(4*IF(circ_int,0,eq_c1/2)+4*IF(circ_int,0,eq_c2/2)+2*PI()*(s_0+3*s_r+IF(circ_int,eq_c1/2,0)))/INDEX(lk_legs,4))-(((2*IF(circ_int,0,eq_c2/2))+(PI()*(s_0+3*s_r+IF(circ_int,eq_c1/2,0))/2))+2*IF(circ_int,0,eq_c1/2)))/(s_0+3*s_r+IF(circ_int,eq_c1/2,0))),IF(((11+0.5)*(4*IF(circ_int,0,eq_c1/2)+4*IF(circ_int,0,eq_c2/2)+2*PI()*(s_0+3*s_r+IF(circ_int,eq_c1/2,0)))/INDEX(lk_legs,4))&lt;(((((2*IF(circ_int,0,eq_c2/2))+(PI()*(s_0+3*s_r+IF(circ_int,eq_c1/2,0))/2))+2*IF(circ_int,0,eq_c1/2))+(PI()*(s_0+3*s_r+IF(circ_int,eq_c1/2,0))/2))+2*IF(circ_int,0,eq_c2/2)),IF(circ_int,0,eq_c2/2)-(((11+0.5)*(4*IF(circ_int,0,eq_c1/2)+4*IF(circ_int,0,eq_c2/2)+2*PI()*(s_0+3*s_r+IF(circ_int,eq_c1/2,0)))/INDEX(lk_legs,4))-((((2*IF(circ_int,0,eq_c2/2))+(PI()*(s_0+3*s_r+IF(circ_int,eq_c1/2,0))/2))+2*IF(circ_int,0,eq_c1/2))+(PI()*(s_0+3*s_r+IF(circ_int,eq_c1/2,0))/2))),IF(((11+0.5)*(4*IF(circ_int,0,eq_c1/2)+4*IF(circ_int,0,eq_c2/2)+2*PI()*(s_0+3*s_r+IF(circ_int,eq_c1/2,0)))/INDEX(lk_legs,4))&lt;((((((2*IF(circ_int,0,eq_c2/2))+(PI()*(s_0+3*s_r+IF(circ_int,eq_c1/2,0))/2))+2*IF(circ_int,0,eq_c1/2))+(PI()*(s_0+3*s_r+IF(circ_int,eq_c1/2,0))/2))+2*IF(circ_int,0,eq_c2/2))+(PI()*(s_0+3*s_r+IF(circ_int,eq_c1/2,0))/2)),-IF(circ_int,0,eq_c2/2)+(s_0+3*s_r+IF(circ_int,eq_c1/2,0))*SIN(PI()+(((11+0.5)*(4*IF(circ_int,0,eq_c1/2)+4*IF(circ_int,0,eq_c2/2)+2*PI()*(s_0+3*s_r+IF(circ_int,eq_c1/2,0)))/INDEX(lk_legs,4))-(((((2*IF(circ_int,0,eq_c2/2))+(PI()*(s_0+3*s_r+IF(circ_int,eq_c1/2,0))/2))+2*IF(circ_int,0,eq_c1/2))+(PI()*(s_0+3*s_r+IF(circ_int,eq_c1/2,0))/2))+2*IF(circ_int,0,eq_c2/2)))/(s_0+3*s_r+IF(circ_int,eq_c1/2,0))),IF(((11+0.5)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(11+0.5)*(4*IF(circ_int,0,eq_c1/2)+4*IF(circ_int,0,eq_c2/2)+2*PI()*(s_0+3*s_r+IF(circ_int,eq_c1/2,0)))/INDEX(lk_legs,4))-(((((((2*IF(circ_int,0,eq_c2/2))+(PI()*(s_0+3*s_r+IF(circ_int,eq_c1/2,0))/2))+2*IF(circ_int,0,eq_c1/2))+(PI()*(s_0+3*s_r+IF(circ_int,eq_c1/2,0))/2))+2*IF(circ_int,0,eq_c2/2))+(PI()*(s_0+3*s_r+IF(circ_int,eq_c1/2,0))/2))+2*IF(circ_int,0,eq_c1/2)))/(s_0+3*s_r+IF(circ_int,eq_c1/2,0)))))))))),NA())</f>
        <v/>
      </c>
      <c r="BU14">
        <f>IF(AND(links_on,5&lt;=n_per),IF(circ_int,(g_ox)+(c_1/2+(s_0+4*s_r))*0.239316,CHOOSE(INDEX(lk_kind,5),(g_ox+eq_c1/2)+((s_0+4*s_r))*0.130526,(eq_a1+eq_c1)+((s_0+4*s_r))*0.965926,(eq_a1+eq_c1)+((s_0+4*s_r))*0.965926,(eq_a1)+((s_0+4*s_r))*-0.258819)),NA())</f>
        <v/>
      </c>
      <c r="BV14">
        <f>IF(AND(links_on,5&lt;=n_per),IF(circ_int,(g_oy)+(c_1/2+(s_0+4*s_r))*0.970942,CHOOSE(INDEX(lk_kind,5),(g_oy+eq_c2/2)+((s_0+4*s_r))*0.991445,(g_oy+eq_c2/2)+((s_0+4*s_r))*0.258819,(eq_a2+eq_c2)+((s_0+4*s_r))*0.258819,(eq_a2+eq_c2)+((s_0+4*s_r))*0.965926)),NA())</f>
        <v/>
      </c>
      <c r="BX14">
        <f>IF(AND(AND(links_on,5&lt;=n_per),INDEX(lk_kind,5)=1,11&lt;INDEX(lk_legs,5)),g_ox+IF(((11+0.5)*(4*IF(circ_int,0,eq_c1/2)+4*IF(circ_int,0,eq_c2/2)+2*PI()*(s_0+4*s_r+IF(circ_int,eq_c1/2,0)))/INDEX(lk_legs,5))&lt;(2*IF(circ_int,0,eq_c2/2)),IF(circ_int,0,eq_c1/2)+(s_0+4*s_r+IF(circ_int,eq_c1/2,0)),IF(((11+0.5)*(4*IF(circ_int,0,eq_c1/2)+4*IF(circ_int,0,eq_c2/2)+2*PI()*(s_0+4*s_r+IF(circ_int,eq_c1/2,0)))/INDEX(lk_legs,5))&lt;((2*IF(circ_int,0,eq_c2/2))+(PI()*(s_0+4*s_r+IF(circ_int,eq_c1/2,0))/2)),IF(circ_int,0,eq_c1/2)+(s_0+4*s_r+IF(circ_int,eq_c1/2,0))*COS((((11+0.5)*(4*IF(circ_int,0,eq_c1/2)+4*IF(circ_int,0,eq_c2/2)+2*PI()*(s_0+4*s_r+IF(circ_int,eq_c1/2,0)))/INDEX(lk_legs,5))-(2*IF(circ_int,0,eq_c2/2)))/(s_0+4*s_r+IF(circ_int,eq_c1/2,0))),IF(((11+0.5)*(4*IF(circ_int,0,eq_c1/2)+4*IF(circ_int,0,eq_c2/2)+2*PI()*(s_0+4*s_r+IF(circ_int,eq_c1/2,0)))/INDEX(lk_legs,5))&lt;(((2*IF(circ_int,0,eq_c2/2))+(PI()*(s_0+4*s_r+IF(circ_int,eq_c1/2,0))/2))+2*IF(circ_int,0,eq_c1/2)),IF(circ_int,0,eq_c1/2)-(((11+0.5)*(4*IF(circ_int,0,eq_c1/2)+4*IF(circ_int,0,eq_c2/2)+2*PI()*(s_0+4*s_r+IF(circ_int,eq_c1/2,0)))/INDEX(lk_legs,5))-((2*IF(circ_int,0,eq_c2/2))+(PI()*(s_0+4*s_r+IF(circ_int,eq_c1/2,0))/2))),IF(((11+0.5)*(4*IF(circ_int,0,eq_c1/2)+4*IF(circ_int,0,eq_c2/2)+2*PI()*(s_0+4*s_r+IF(circ_int,eq_c1/2,0)))/INDEX(lk_legs,5))&lt;((((2*IF(circ_int,0,eq_c2/2))+(PI()*(s_0+4*s_r+IF(circ_int,eq_c1/2,0))/2))+2*IF(circ_int,0,eq_c1/2))+(PI()*(s_0+4*s_r+IF(circ_int,eq_c1/2,0))/2)),-IF(circ_int,0,eq_c1/2)+(s_0+4*s_r+IF(circ_int,eq_c1/2,0))*COS(PI()/2+(((11+0.5)*(4*IF(circ_int,0,eq_c1/2)+4*IF(circ_int,0,eq_c2/2)+2*PI()*(s_0+4*s_r+IF(circ_int,eq_c1/2,0)))/INDEX(lk_legs,5))-(((2*IF(circ_int,0,eq_c2/2))+(PI()*(s_0+4*s_r+IF(circ_int,eq_c1/2,0))/2))+2*IF(circ_int,0,eq_c1/2)))/(s_0+4*s_r+IF(circ_int,eq_c1/2,0))),IF(((11+0.5)*(4*IF(circ_int,0,eq_c1/2)+4*IF(circ_int,0,eq_c2/2)+2*PI()*(s_0+4*s_r+IF(circ_int,eq_c1/2,0)))/INDEX(lk_legs,5))&lt;(((((2*IF(circ_int,0,eq_c2/2))+(PI()*(s_0+4*s_r+IF(circ_int,eq_c1/2,0))/2))+2*IF(circ_int,0,eq_c1/2))+(PI()*(s_0+4*s_r+IF(circ_int,eq_c1/2,0))/2))+2*IF(circ_int,0,eq_c2/2)),-IF(circ_int,0,eq_c1/2)-(s_0+4*s_r+IF(circ_int,eq_c1/2,0)),IF(((11+0.5)*(4*IF(circ_int,0,eq_c1/2)+4*IF(circ_int,0,eq_c2/2)+2*PI()*(s_0+4*s_r+IF(circ_int,eq_c1/2,0)))/INDEX(lk_legs,5))&lt;((((((2*IF(circ_int,0,eq_c2/2))+(PI()*(s_0+4*s_r+IF(circ_int,eq_c1/2,0))/2))+2*IF(circ_int,0,eq_c1/2))+(PI()*(s_0+4*s_r+IF(circ_int,eq_c1/2,0))/2))+2*IF(circ_int,0,eq_c2/2))+(PI()*(s_0+4*s_r+IF(circ_int,eq_c1/2,0))/2)),-IF(circ_int,0,eq_c1/2)+(s_0+4*s_r+IF(circ_int,eq_c1/2,0))*COS(PI()+(((11+0.5)*(4*IF(circ_int,0,eq_c1/2)+4*IF(circ_int,0,eq_c2/2)+2*PI()*(s_0+4*s_r+IF(circ_int,eq_c1/2,0)))/INDEX(lk_legs,5))-(((((2*IF(circ_int,0,eq_c2/2))+(PI()*(s_0+4*s_r+IF(circ_int,eq_c1/2,0))/2))+2*IF(circ_int,0,eq_c1/2))+(PI()*(s_0+4*s_r+IF(circ_int,eq_c1/2,0))/2))+2*IF(circ_int,0,eq_c2/2)))/(s_0+4*s_r+IF(circ_int,eq_c1/2,0))),IF(((11+0.5)*(4*IF(circ_int,0,eq_c1/2)+4*IF(circ_int,0,eq_c2/2)+2*PI()*(s_0+4*s_r+IF(circ_int,eq_c1/2,0)))/INDEX(lk_legs,5))&lt;(((((((2*IF(circ_int,0,eq_c2/2))+(PI()*(s_0+4*s_r+IF(circ_int,eq_c1/2,0))/2))+2*IF(circ_int,0,eq_c1/2))+(PI()*(s_0+4*s_r+IF(circ_int,eq_c1/2,0))/2))+2*IF(circ_int,0,eq_c2/2))+(PI()*(s_0+4*s_r+IF(circ_int,eq_c1/2,0))/2))+2*IF(circ_int,0,eq_c1/2)),-IF(circ_int,0,eq_c1/2)+(((11+0.5)*(4*IF(circ_int,0,eq_c1/2)+4*IF(circ_int,0,eq_c2/2)+2*PI()*(s_0+4*s_r+IF(circ_int,eq_c1/2,0)))/INDEX(lk_legs,5))-((((((2*IF(circ_int,0,eq_c2/2))+(PI()*(s_0+4*s_r+IF(circ_int,eq_c1/2,0))/2))+2*IF(circ_int,0,eq_c1/2))+(PI()*(s_0+4*s_r+IF(circ_int,eq_c1/2,0))/2))+2*IF(circ_int,0,eq_c2/2))+(PI()*(s_0+4*s_r+IF(circ_int,eq_c1/2,0))/2))),IF(circ_int,0,eq_c1/2)+(s_0+4*s_r+IF(circ_int,eq_c1/2,0))*COS(3*PI()/2+(((11+0.5)*(4*IF(circ_int,0,eq_c1/2)+4*IF(circ_int,0,eq_c2/2)+2*PI()*(s_0+4*s_r+IF(circ_int,eq_c1/2,0)))/INDEX(lk_legs,5))-(((((((2*IF(circ_int,0,eq_c2/2))+(PI()*(s_0+4*s_r+IF(circ_int,eq_c1/2,0))/2))+2*IF(circ_int,0,eq_c1/2))+(PI()*(s_0+4*s_r+IF(circ_int,eq_c1/2,0))/2))+2*IF(circ_int,0,eq_c2/2))+(PI()*(s_0+4*s_r+IF(circ_int,eq_c1/2,0))/2))+2*IF(circ_int,0,eq_c1/2)))/(s_0+4*s_r+IF(circ_int,eq_c1/2,0)))))))))),NA())</f>
        <v/>
      </c>
      <c r="BY14">
        <f>IF(AND(AND(links_on,5&lt;=n_per),INDEX(lk_kind,5)=1,11&lt;INDEX(lk_legs,5)),g_oy+IF(((11+0.5)*(4*IF(circ_int,0,eq_c1/2)+4*IF(circ_int,0,eq_c2/2)+2*PI()*(s_0+4*s_r+IF(circ_int,eq_c1/2,0)))/INDEX(lk_legs,5))&lt;(2*IF(circ_int,0,eq_c2/2)),-IF(circ_int,0,eq_c2/2)+((11+0.5)*(4*IF(circ_int,0,eq_c1/2)+4*IF(circ_int,0,eq_c2/2)+2*PI()*(s_0+4*s_r+IF(circ_int,eq_c1/2,0)))/INDEX(lk_legs,5)),IF(((11+0.5)*(4*IF(circ_int,0,eq_c1/2)+4*IF(circ_int,0,eq_c2/2)+2*PI()*(s_0+4*s_r+IF(circ_int,eq_c1/2,0)))/INDEX(lk_legs,5))&lt;((2*IF(circ_int,0,eq_c2/2))+(PI()*(s_0+4*s_r+IF(circ_int,eq_c1/2,0))/2)),IF(circ_int,0,eq_c2/2)+(s_0+4*s_r+IF(circ_int,eq_c1/2,0))*SIN((((11+0.5)*(4*IF(circ_int,0,eq_c1/2)+4*IF(circ_int,0,eq_c2/2)+2*PI()*(s_0+4*s_r+IF(circ_int,eq_c1/2,0)))/INDEX(lk_legs,5))-(2*IF(circ_int,0,eq_c2/2)))/(s_0+4*s_r+IF(circ_int,eq_c1/2,0))),IF(((11+0.5)*(4*IF(circ_int,0,eq_c1/2)+4*IF(circ_int,0,eq_c2/2)+2*PI()*(s_0+4*s_r+IF(circ_int,eq_c1/2,0)))/INDEX(lk_legs,5))&lt;(((2*IF(circ_int,0,eq_c2/2))+(PI()*(s_0+4*s_r+IF(circ_int,eq_c1/2,0))/2))+2*IF(circ_int,0,eq_c1/2)),IF(circ_int,0,eq_c2/2)+(s_0+4*s_r+IF(circ_int,eq_c1/2,0)),IF(((11+0.5)*(4*IF(circ_int,0,eq_c1/2)+4*IF(circ_int,0,eq_c2/2)+2*PI()*(s_0+4*s_r+IF(circ_int,eq_c1/2,0)))/INDEX(lk_legs,5))&lt;((((2*IF(circ_int,0,eq_c2/2))+(PI()*(s_0+4*s_r+IF(circ_int,eq_c1/2,0))/2))+2*IF(circ_int,0,eq_c1/2))+(PI()*(s_0+4*s_r+IF(circ_int,eq_c1/2,0))/2)),IF(circ_int,0,eq_c2/2)+(s_0+4*s_r+IF(circ_int,eq_c1/2,0))*SIN(PI()/2+(((11+0.5)*(4*IF(circ_int,0,eq_c1/2)+4*IF(circ_int,0,eq_c2/2)+2*PI()*(s_0+4*s_r+IF(circ_int,eq_c1/2,0)))/INDEX(lk_legs,5))-(((2*IF(circ_int,0,eq_c2/2))+(PI()*(s_0+4*s_r+IF(circ_int,eq_c1/2,0))/2))+2*IF(circ_int,0,eq_c1/2)))/(s_0+4*s_r+IF(circ_int,eq_c1/2,0))),IF(((11+0.5)*(4*IF(circ_int,0,eq_c1/2)+4*IF(circ_int,0,eq_c2/2)+2*PI()*(s_0+4*s_r+IF(circ_int,eq_c1/2,0)))/INDEX(lk_legs,5))&lt;(((((2*IF(circ_int,0,eq_c2/2))+(PI()*(s_0+4*s_r+IF(circ_int,eq_c1/2,0))/2))+2*IF(circ_int,0,eq_c1/2))+(PI()*(s_0+4*s_r+IF(circ_int,eq_c1/2,0))/2))+2*IF(circ_int,0,eq_c2/2)),IF(circ_int,0,eq_c2/2)-(((11+0.5)*(4*IF(circ_int,0,eq_c1/2)+4*IF(circ_int,0,eq_c2/2)+2*PI()*(s_0+4*s_r+IF(circ_int,eq_c1/2,0)))/INDEX(lk_legs,5))-((((2*IF(circ_int,0,eq_c2/2))+(PI()*(s_0+4*s_r+IF(circ_int,eq_c1/2,0))/2))+2*IF(circ_int,0,eq_c1/2))+(PI()*(s_0+4*s_r+IF(circ_int,eq_c1/2,0))/2))),IF(((11+0.5)*(4*IF(circ_int,0,eq_c1/2)+4*IF(circ_int,0,eq_c2/2)+2*PI()*(s_0+4*s_r+IF(circ_int,eq_c1/2,0)))/INDEX(lk_legs,5))&lt;((((((2*IF(circ_int,0,eq_c2/2))+(PI()*(s_0+4*s_r+IF(circ_int,eq_c1/2,0))/2))+2*IF(circ_int,0,eq_c1/2))+(PI()*(s_0+4*s_r+IF(circ_int,eq_c1/2,0))/2))+2*IF(circ_int,0,eq_c2/2))+(PI()*(s_0+4*s_r+IF(circ_int,eq_c1/2,0))/2)),-IF(circ_int,0,eq_c2/2)+(s_0+4*s_r+IF(circ_int,eq_c1/2,0))*SIN(PI()+(((11+0.5)*(4*IF(circ_int,0,eq_c1/2)+4*IF(circ_int,0,eq_c2/2)+2*PI()*(s_0+4*s_r+IF(circ_int,eq_c1/2,0)))/INDEX(lk_legs,5))-(((((2*IF(circ_int,0,eq_c2/2))+(PI()*(s_0+4*s_r+IF(circ_int,eq_c1/2,0))/2))+2*IF(circ_int,0,eq_c1/2))+(PI()*(s_0+4*s_r+IF(circ_int,eq_c1/2,0))/2))+2*IF(circ_int,0,eq_c2/2)))/(s_0+4*s_r+IF(circ_int,eq_c1/2,0))),IF(((11+0.5)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(11+0.5)*(4*IF(circ_int,0,eq_c1/2)+4*IF(circ_int,0,eq_c2/2)+2*PI()*(s_0+4*s_r+IF(circ_int,eq_c1/2,0)))/INDEX(lk_legs,5))-(((((((2*IF(circ_int,0,eq_c2/2))+(PI()*(s_0+4*s_r+IF(circ_int,eq_c1/2,0))/2))+2*IF(circ_int,0,eq_c1/2))+(PI()*(s_0+4*s_r+IF(circ_int,eq_c1/2,0))/2))+2*IF(circ_int,0,eq_c2/2))+(PI()*(s_0+4*s_r+IF(circ_int,eq_c1/2,0))/2))+2*IF(circ_int,0,eq_c1/2)))/(s_0+4*s_r+IF(circ_int,eq_c1/2,0)))))))))),NA())</f>
        <v/>
      </c>
      <c r="CA14">
        <f>IF(AND(links_on,6&lt;=n_per),IF(circ_int,(g_ox)+(c_1/2+(s_0+5*s_r))*0.239316,CHOOSE(INDEX(lk_kind,6),(g_ox+eq_c1/2)+((s_0+5*s_r))*0.130526,(eq_a1+eq_c1)+((s_0+5*s_r))*0.965926,(eq_a1+eq_c1)+((s_0+5*s_r))*0.965926,(eq_a1)+((s_0+5*s_r))*-0.258819)),NA())</f>
        <v/>
      </c>
      <c r="CB14">
        <f>IF(AND(links_on,6&lt;=n_per),IF(circ_int,(g_oy)+(c_1/2+(s_0+5*s_r))*0.970942,CHOOSE(INDEX(lk_kind,6),(g_oy+eq_c2/2)+((s_0+5*s_r))*0.991445,(g_oy+eq_c2/2)+((s_0+5*s_r))*0.258819,(eq_a2+eq_c2)+((s_0+5*s_r))*0.258819,(eq_a2+eq_c2)+((s_0+5*s_r))*0.965926)),NA())</f>
        <v/>
      </c>
      <c r="CD14">
        <f>IF(AND(AND(links_on,6&lt;=n_per),INDEX(lk_kind,6)=1,11&lt;INDEX(lk_legs,6)),g_ox+IF(((11+0.5)*(4*IF(circ_int,0,eq_c1/2)+4*IF(circ_int,0,eq_c2/2)+2*PI()*(s_0+5*s_r+IF(circ_int,eq_c1/2,0)))/INDEX(lk_legs,6))&lt;(2*IF(circ_int,0,eq_c2/2)),IF(circ_int,0,eq_c1/2)+(s_0+5*s_r+IF(circ_int,eq_c1/2,0)),IF(((11+0.5)*(4*IF(circ_int,0,eq_c1/2)+4*IF(circ_int,0,eq_c2/2)+2*PI()*(s_0+5*s_r+IF(circ_int,eq_c1/2,0)))/INDEX(lk_legs,6))&lt;((2*IF(circ_int,0,eq_c2/2))+(PI()*(s_0+5*s_r+IF(circ_int,eq_c1/2,0))/2)),IF(circ_int,0,eq_c1/2)+(s_0+5*s_r+IF(circ_int,eq_c1/2,0))*COS((((11+0.5)*(4*IF(circ_int,0,eq_c1/2)+4*IF(circ_int,0,eq_c2/2)+2*PI()*(s_0+5*s_r+IF(circ_int,eq_c1/2,0)))/INDEX(lk_legs,6))-(2*IF(circ_int,0,eq_c2/2)))/(s_0+5*s_r+IF(circ_int,eq_c1/2,0))),IF(((11+0.5)*(4*IF(circ_int,0,eq_c1/2)+4*IF(circ_int,0,eq_c2/2)+2*PI()*(s_0+5*s_r+IF(circ_int,eq_c1/2,0)))/INDEX(lk_legs,6))&lt;(((2*IF(circ_int,0,eq_c2/2))+(PI()*(s_0+5*s_r+IF(circ_int,eq_c1/2,0))/2))+2*IF(circ_int,0,eq_c1/2)),IF(circ_int,0,eq_c1/2)-(((11+0.5)*(4*IF(circ_int,0,eq_c1/2)+4*IF(circ_int,0,eq_c2/2)+2*PI()*(s_0+5*s_r+IF(circ_int,eq_c1/2,0)))/INDEX(lk_legs,6))-((2*IF(circ_int,0,eq_c2/2))+(PI()*(s_0+5*s_r+IF(circ_int,eq_c1/2,0))/2))),IF(((11+0.5)*(4*IF(circ_int,0,eq_c1/2)+4*IF(circ_int,0,eq_c2/2)+2*PI()*(s_0+5*s_r+IF(circ_int,eq_c1/2,0)))/INDEX(lk_legs,6))&lt;((((2*IF(circ_int,0,eq_c2/2))+(PI()*(s_0+5*s_r+IF(circ_int,eq_c1/2,0))/2))+2*IF(circ_int,0,eq_c1/2))+(PI()*(s_0+5*s_r+IF(circ_int,eq_c1/2,0))/2)),-IF(circ_int,0,eq_c1/2)+(s_0+5*s_r+IF(circ_int,eq_c1/2,0))*COS(PI()/2+(((11+0.5)*(4*IF(circ_int,0,eq_c1/2)+4*IF(circ_int,0,eq_c2/2)+2*PI()*(s_0+5*s_r+IF(circ_int,eq_c1/2,0)))/INDEX(lk_legs,6))-(((2*IF(circ_int,0,eq_c2/2))+(PI()*(s_0+5*s_r+IF(circ_int,eq_c1/2,0))/2))+2*IF(circ_int,0,eq_c1/2)))/(s_0+5*s_r+IF(circ_int,eq_c1/2,0))),IF(((11+0.5)*(4*IF(circ_int,0,eq_c1/2)+4*IF(circ_int,0,eq_c2/2)+2*PI()*(s_0+5*s_r+IF(circ_int,eq_c1/2,0)))/INDEX(lk_legs,6))&lt;(((((2*IF(circ_int,0,eq_c2/2))+(PI()*(s_0+5*s_r+IF(circ_int,eq_c1/2,0))/2))+2*IF(circ_int,0,eq_c1/2))+(PI()*(s_0+5*s_r+IF(circ_int,eq_c1/2,0))/2))+2*IF(circ_int,0,eq_c2/2)),-IF(circ_int,0,eq_c1/2)-(s_0+5*s_r+IF(circ_int,eq_c1/2,0)),IF(((11+0.5)*(4*IF(circ_int,0,eq_c1/2)+4*IF(circ_int,0,eq_c2/2)+2*PI()*(s_0+5*s_r+IF(circ_int,eq_c1/2,0)))/INDEX(lk_legs,6))&lt;((((((2*IF(circ_int,0,eq_c2/2))+(PI()*(s_0+5*s_r+IF(circ_int,eq_c1/2,0))/2))+2*IF(circ_int,0,eq_c1/2))+(PI()*(s_0+5*s_r+IF(circ_int,eq_c1/2,0))/2))+2*IF(circ_int,0,eq_c2/2))+(PI()*(s_0+5*s_r+IF(circ_int,eq_c1/2,0))/2)),-IF(circ_int,0,eq_c1/2)+(s_0+5*s_r+IF(circ_int,eq_c1/2,0))*COS(PI()+(((11+0.5)*(4*IF(circ_int,0,eq_c1/2)+4*IF(circ_int,0,eq_c2/2)+2*PI()*(s_0+5*s_r+IF(circ_int,eq_c1/2,0)))/INDEX(lk_legs,6))-(((((2*IF(circ_int,0,eq_c2/2))+(PI()*(s_0+5*s_r+IF(circ_int,eq_c1/2,0))/2))+2*IF(circ_int,0,eq_c1/2))+(PI()*(s_0+5*s_r+IF(circ_int,eq_c1/2,0))/2))+2*IF(circ_int,0,eq_c2/2)))/(s_0+5*s_r+IF(circ_int,eq_c1/2,0))),IF(((11+0.5)*(4*IF(circ_int,0,eq_c1/2)+4*IF(circ_int,0,eq_c2/2)+2*PI()*(s_0+5*s_r+IF(circ_int,eq_c1/2,0)))/INDEX(lk_legs,6))&lt;(((((((2*IF(circ_int,0,eq_c2/2))+(PI()*(s_0+5*s_r+IF(circ_int,eq_c1/2,0))/2))+2*IF(circ_int,0,eq_c1/2))+(PI()*(s_0+5*s_r+IF(circ_int,eq_c1/2,0))/2))+2*IF(circ_int,0,eq_c2/2))+(PI()*(s_0+5*s_r+IF(circ_int,eq_c1/2,0))/2))+2*IF(circ_int,0,eq_c1/2)),-IF(circ_int,0,eq_c1/2)+(((11+0.5)*(4*IF(circ_int,0,eq_c1/2)+4*IF(circ_int,0,eq_c2/2)+2*PI()*(s_0+5*s_r+IF(circ_int,eq_c1/2,0)))/INDEX(lk_legs,6))-((((((2*IF(circ_int,0,eq_c2/2))+(PI()*(s_0+5*s_r+IF(circ_int,eq_c1/2,0))/2))+2*IF(circ_int,0,eq_c1/2))+(PI()*(s_0+5*s_r+IF(circ_int,eq_c1/2,0))/2))+2*IF(circ_int,0,eq_c2/2))+(PI()*(s_0+5*s_r+IF(circ_int,eq_c1/2,0))/2))),IF(circ_int,0,eq_c1/2)+(s_0+5*s_r+IF(circ_int,eq_c1/2,0))*COS(3*PI()/2+(((11+0.5)*(4*IF(circ_int,0,eq_c1/2)+4*IF(circ_int,0,eq_c2/2)+2*PI()*(s_0+5*s_r+IF(circ_int,eq_c1/2,0)))/INDEX(lk_legs,6))-(((((((2*IF(circ_int,0,eq_c2/2))+(PI()*(s_0+5*s_r+IF(circ_int,eq_c1/2,0))/2))+2*IF(circ_int,0,eq_c1/2))+(PI()*(s_0+5*s_r+IF(circ_int,eq_c1/2,0))/2))+2*IF(circ_int,0,eq_c2/2))+(PI()*(s_0+5*s_r+IF(circ_int,eq_c1/2,0))/2))+2*IF(circ_int,0,eq_c1/2)))/(s_0+5*s_r+IF(circ_int,eq_c1/2,0)))))))))),NA())</f>
        <v/>
      </c>
      <c r="CE14">
        <f>IF(AND(AND(links_on,6&lt;=n_per),INDEX(lk_kind,6)=1,11&lt;INDEX(lk_legs,6)),g_oy+IF(((11+0.5)*(4*IF(circ_int,0,eq_c1/2)+4*IF(circ_int,0,eq_c2/2)+2*PI()*(s_0+5*s_r+IF(circ_int,eq_c1/2,0)))/INDEX(lk_legs,6))&lt;(2*IF(circ_int,0,eq_c2/2)),-IF(circ_int,0,eq_c2/2)+((11+0.5)*(4*IF(circ_int,0,eq_c1/2)+4*IF(circ_int,0,eq_c2/2)+2*PI()*(s_0+5*s_r+IF(circ_int,eq_c1/2,0)))/INDEX(lk_legs,6)),IF(((11+0.5)*(4*IF(circ_int,0,eq_c1/2)+4*IF(circ_int,0,eq_c2/2)+2*PI()*(s_0+5*s_r+IF(circ_int,eq_c1/2,0)))/INDEX(lk_legs,6))&lt;((2*IF(circ_int,0,eq_c2/2))+(PI()*(s_0+5*s_r+IF(circ_int,eq_c1/2,0))/2)),IF(circ_int,0,eq_c2/2)+(s_0+5*s_r+IF(circ_int,eq_c1/2,0))*SIN((((11+0.5)*(4*IF(circ_int,0,eq_c1/2)+4*IF(circ_int,0,eq_c2/2)+2*PI()*(s_0+5*s_r+IF(circ_int,eq_c1/2,0)))/INDEX(lk_legs,6))-(2*IF(circ_int,0,eq_c2/2)))/(s_0+5*s_r+IF(circ_int,eq_c1/2,0))),IF(((11+0.5)*(4*IF(circ_int,0,eq_c1/2)+4*IF(circ_int,0,eq_c2/2)+2*PI()*(s_0+5*s_r+IF(circ_int,eq_c1/2,0)))/INDEX(lk_legs,6))&lt;(((2*IF(circ_int,0,eq_c2/2))+(PI()*(s_0+5*s_r+IF(circ_int,eq_c1/2,0))/2))+2*IF(circ_int,0,eq_c1/2)),IF(circ_int,0,eq_c2/2)+(s_0+5*s_r+IF(circ_int,eq_c1/2,0)),IF(((11+0.5)*(4*IF(circ_int,0,eq_c1/2)+4*IF(circ_int,0,eq_c2/2)+2*PI()*(s_0+5*s_r+IF(circ_int,eq_c1/2,0)))/INDEX(lk_legs,6))&lt;((((2*IF(circ_int,0,eq_c2/2))+(PI()*(s_0+5*s_r+IF(circ_int,eq_c1/2,0))/2))+2*IF(circ_int,0,eq_c1/2))+(PI()*(s_0+5*s_r+IF(circ_int,eq_c1/2,0))/2)),IF(circ_int,0,eq_c2/2)+(s_0+5*s_r+IF(circ_int,eq_c1/2,0))*SIN(PI()/2+(((11+0.5)*(4*IF(circ_int,0,eq_c1/2)+4*IF(circ_int,0,eq_c2/2)+2*PI()*(s_0+5*s_r+IF(circ_int,eq_c1/2,0)))/INDEX(lk_legs,6))-(((2*IF(circ_int,0,eq_c2/2))+(PI()*(s_0+5*s_r+IF(circ_int,eq_c1/2,0))/2))+2*IF(circ_int,0,eq_c1/2)))/(s_0+5*s_r+IF(circ_int,eq_c1/2,0))),IF(((11+0.5)*(4*IF(circ_int,0,eq_c1/2)+4*IF(circ_int,0,eq_c2/2)+2*PI()*(s_0+5*s_r+IF(circ_int,eq_c1/2,0)))/INDEX(lk_legs,6))&lt;(((((2*IF(circ_int,0,eq_c2/2))+(PI()*(s_0+5*s_r+IF(circ_int,eq_c1/2,0))/2))+2*IF(circ_int,0,eq_c1/2))+(PI()*(s_0+5*s_r+IF(circ_int,eq_c1/2,0))/2))+2*IF(circ_int,0,eq_c2/2)),IF(circ_int,0,eq_c2/2)-(((11+0.5)*(4*IF(circ_int,0,eq_c1/2)+4*IF(circ_int,0,eq_c2/2)+2*PI()*(s_0+5*s_r+IF(circ_int,eq_c1/2,0)))/INDEX(lk_legs,6))-((((2*IF(circ_int,0,eq_c2/2))+(PI()*(s_0+5*s_r+IF(circ_int,eq_c1/2,0))/2))+2*IF(circ_int,0,eq_c1/2))+(PI()*(s_0+5*s_r+IF(circ_int,eq_c1/2,0))/2))),IF(((11+0.5)*(4*IF(circ_int,0,eq_c1/2)+4*IF(circ_int,0,eq_c2/2)+2*PI()*(s_0+5*s_r+IF(circ_int,eq_c1/2,0)))/INDEX(lk_legs,6))&lt;((((((2*IF(circ_int,0,eq_c2/2))+(PI()*(s_0+5*s_r+IF(circ_int,eq_c1/2,0))/2))+2*IF(circ_int,0,eq_c1/2))+(PI()*(s_0+5*s_r+IF(circ_int,eq_c1/2,0))/2))+2*IF(circ_int,0,eq_c2/2))+(PI()*(s_0+5*s_r+IF(circ_int,eq_c1/2,0))/2)),-IF(circ_int,0,eq_c2/2)+(s_0+5*s_r+IF(circ_int,eq_c1/2,0))*SIN(PI()+(((11+0.5)*(4*IF(circ_int,0,eq_c1/2)+4*IF(circ_int,0,eq_c2/2)+2*PI()*(s_0+5*s_r+IF(circ_int,eq_c1/2,0)))/INDEX(lk_legs,6))-(((((2*IF(circ_int,0,eq_c2/2))+(PI()*(s_0+5*s_r+IF(circ_int,eq_c1/2,0))/2))+2*IF(circ_int,0,eq_c1/2))+(PI()*(s_0+5*s_r+IF(circ_int,eq_c1/2,0))/2))+2*IF(circ_int,0,eq_c2/2)))/(s_0+5*s_r+IF(circ_int,eq_c1/2,0))),IF(((11+0.5)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(11+0.5)*(4*IF(circ_int,0,eq_c1/2)+4*IF(circ_int,0,eq_c2/2)+2*PI()*(s_0+5*s_r+IF(circ_int,eq_c1/2,0)))/INDEX(lk_legs,6))-(((((((2*IF(circ_int,0,eq_c2/2))+(PI()*(s_0+5*s_r+IF(circ_int,eq_c1/2,0))/2))+2*IF(circ_int,0,eq_c1/2))+(PI()*(s_0+5*s_r+IF(circ_int,eq_c1/2,0))/2))+2*IF(circ_int,0,eq_c2/2))+(PI()*(s_0+5*s_r+IF(circ_int,eq_c1/2,0))/2))+2*IF(circ_int,0,eq_c1/2)))/(s_0+5*s_r+IF(circ_int,eq_c1/2,0)))))))))),NA())</f>
        <v/>
      </c>
      <c r="CG14">
        <f>IF(AND(links_on,7&lt;=n_per),IF(circ_int,(g_ox)+(c_1/2+(s_0+6*s_r))*0.239316,CHOOSE(INDEX(lk_kind,7),(g_ox+eq_c1/2)+((s_0+6*s_r))*0.130526,(eq_a1+eq_c1)+((s_0+6*s_r))*0.965926,(eq_a1+eq_c1)+((s_0+6*s_r))*0.965926,(eq_a1)+((s_0+6*s_r))*-0.258819)),NA())</f>
        <v/>
      </c>
      <c r="CH14">
        <f>IF(AND(links_on,7&lt;=n_per),IF(circ_int,(g_oy)+(c_1/2+(s_0+6*s_r))*0.970942,CHOOSE(INDEX(lk_kind,7),(g_oy+eq_c2/2)+((s_0+6*s_r))*0.991445,(g_oy+eq_c2/2)+((s_0+6*s_r))*0.258819,(eq_a2+eq_c2)+((s_0+6*s_r))*0.258819,(eq_a2+eq_c2)+((s_0+6*s_r))*0.965926)),NA())</f>
        <v/>
      </c>
      <c r="CJ14">
        <f>IF(AND(AND(links_on,7&lt;=n_per),INDEX(lk_kind,7)=1,11&lt;INDEX(lk_legs,7)),g_ox+IF(((11+0.5)*(4*IF(circ_int,0,eq_c1/2)+4*IF(circ_int,0,eq_c2/2)+2*PI()*(s_0+6*s_r+IF(circ_int,eq_c1/2,0)))/INDEX(lk_legs,7))&lt;(2*IF(circ_int,0,eq_c2/2)),IF(circ_int,0,eq_c1/2)+(s_0+6*s_r+IF(circ_int,eq_c1/2,0)),IF(((11+0.5)*(4*IF(circ_int,0,eq_c1/2)+4*IF(circ_int,0,eq_c2/2)+2*PI()*(s_0+6*s_r+IF(circ_int,eq_c1/2,0)))/INDEX(lk_legs,7))&lt;((2*IF(circ_int,0,eq_c2/2))+(PI()*(s_0+6*s_r+IF(circ_int,eq_c1/2,0))/2)),IF(circ_int,0,eq_c1/2)+(s_0+6*s_r+IF(circ_int,eq_c1/2,0))*COS((((11+0.5)*(4*IF(circ_int,0,eq_c1/2)+4*IF(circ_int,0,eq_c2/2)+2*PI()*(s_0+6*s_r+IF(circ_int,eq_c1/2,0)))/INDEX(lk_legs,7))-(2*IF(circ_int,0,eq_c2/2)))/(s_0+6*s_r+IF(circ_int,eq_c1/2,0))),IF(((11+0.5)*(4*IF(circ_int,0,eq_c1/2)+4*IF(circ_int,0,eq_c2/2)+2*PI()*(s_0+6*s_r+IF(circ_int,eq_c1/2,0)))/INDEX(lk_legs,7))&lt;(((2*IF(circ_int,0,eq_c2/2))+(PI()*(s_0+6*s_r+IF(circ_int,eq_c1/2,0))/2))+2*IF(circ_int,0,eq_c1/2)),IF(circ_int,0,eq_c1/2)-(((11+0.5)*(4*IF(circ_int,0,eq_c1/2)+4*IF(circ_int,0,eq_c2/2)+2*PI()*(s_0+6*s_r+IF(circ_int,eq_c1/2,0)))/INDEX(lk_legs,7))-((2*IF(circ_int,0,eq_c2/2))+(PI()*(s_0+6*s_r+IF(circ_int,eq_c1/2,0))/2))),IF(((11+0.5)*(4*IF(circ_int,0,eq_c1/2)+4*IF(circ_int,0,eq_c2/2)+2*PI()*(s_0+6*s_r+IF(circ_int,eq_c1/2,0)))/INDEX(lk_legs,7))&lt;((((2*IF(circ_int,0,eq_c2/2))+(PI()*(s_0+6*s_r+IF(circ_int,eq_c1/2,0))/2))+2*IF(circ_int,0,eq_c1/2))+(PI()*(s_0+6*s_r+IF(circ_int,eq_c1/2,0))/2)),-IF(circ_int,0,eq_c1/2)+(s_0+6*s_r+IF(circ_int,eq_c1/2,0))*COS(PI()/2+(((11+0.5)*(4*IF(circ_int,0,eq_c1/2)+4*IF(circ_int,0,eq_c2/2)+2*PI()*(s_0+6*s_r+IF(circ_int,eq_c1/2,0)))/INDEX(lk_legs,7))-(((2*IF(circ_int,0,eq_c2/2))+(PI()*(s_0+6*s_r+IF(circ_int,eq_c1/2,0))/2))+2*IF(circ_int,0,eq_c1/2)))/(s_0+6*s_r+IF(circ_int,eq_c1/2,0))),IF(((11+0.5)*(4*IF(circ_int,0,eq_c1/2)+4*IF(circ_int,0,eq_c2/2)+2*PI()*(s_0+6*s_r+IF(circ_int,eq_c1/2,0)))/INDEX(lk_legs,7))&lt;(((((2*IF(circ_int,0,eq_c2/2))+(PI()*(s_0+6*s_r+IF(circ_int,eq_c1/2,0))/2))+2*IF(circ_int,0,eq_c1/2))+(PI()*(s_0+6*s_r+IF(circ_int,eq_c1/2,0))/2))+2*IF(circ_int,0,eq_c2/2)),-IF(circ_int,0,eq_c1/2)-(s_0+6*s_r+IF(circ_int,eq_c1/2,0)),IF(((11+0.5)*(4*IF(circ_int,0,eq_c1/2)+4*IF(circ_int,0,eq_c2/2)+2*PI()*(s_0+6*s_r+IF(circ_int,eq_c1/2,0)))/INDEX(lk_legs,7))&lt;((((((2*IF(circ_int,0,eq_c2/2))+(PI()*(s_0+6*s_r+IF(circ_int,eq_c1/2,0))/2))+2*IF(circ_int,0,eq_c1/2))+(PI()*(s_0+6*s_r+IF(circ_int,eq_c1/2,0))/2))+2*IF(circ_int,0,eq_c2/2))+(PI()*(s_0+6*s_r+IF(circ_int,eq_c1/2,0))/2)),-IF(circ_int,0,eq_c1/2)+(s_0+6*s_r+IF(circ_int,eq_c1/2,0))*COS(PI()+(((11+0.5)*(4*IF(circ_int,0,eq_c1/2)+4*IF(circ_int,0,eq_c2/2)+2*PI()*(s_0+6*s_r+IF(circ_int,eq_c1/2,0)))/INDEX(lk_legs,7))-(((((2*IF(circ_int,0,eq_c2/2))+(PI()*(s_0+6*s_r+IF(circ_int,eq_c1/2,0))/2))+2*IF(circ_int,0,eq_c1/2))+(PI()*(s_0+6*s_r+IF(circ_int,eq_c1/2,0))/2))+2*IF(circ_int,0,eq_c2/2)))/(s_0+6*s_r+IF(circ_int,eq_c1/2,0))),IF(((11+0.5)*(4*IF(circ_int,0,eq_c1/2)+4*IF(circ_int,0,eq_c2/2)+2*PI()*(s_0+6*s_r+IF(circ_int,eq_c1/2,0)))/INDEX(lk_legs,7))&lt;(((((((2*IF(circ_int,0,eq_c2/2))+(PI()*(s_0+6*s_r+IF(circ_int,eq_c1/2,0))/2))+2*IF(circ_int,0,eq_c1/2))+(PI()*(s_0+6*s_r+IF(circ_int,eq_c1/2,0))/2))+2*IF(circ_int,0,eq_c2/2))+(PI()*(s_0+6*s_r+IF(circ_int,eq_c1/2,0))/2))+2*IF(circ_int,0,eq_c1/2)),-IF(circ_int,0,eq_c1/2)+(((11+0.5)*(4*IF(circ_int,0,eq_c1/2)+4*IF(circ_int,0,eq_c2/2)+2*PI()*(s_0+6*s_r+IF(circ_int,eq_c1/2,0)))/INDEX(lk_legs,7))-((((((2*IF(circ_int,0,eq_c2/2))+(PI()*(s_0+6*s_r+IF(circ_int,eq_c1/2,0))/2))+2*IF(circ_int,0,eq_c1/2))+(PI()*(s_0+6*s_r+IF(circ_int,eq_c1/2,0))/2))+2*IF(circ_int,0,eq_c2/2))+(PI()*(s_0+6*s_r+IF(circ_int,eq_c1/2,0))/2))),IF(circ_int,0,eq_c1/2)+(s_0+6*s_r+IF(circ_int,eq_c1/2,0))*COS(3*PI()/2+(((11+0.5)*(4*IF(circ_int,0,eq_c1/2)+4*IF(circ_int,0,eq_c2/2)+2*PI()*(s_0+6*s_r+IF(circ_int,eq_c1/2,0)))/INDEX(lk_legs,7))-(((((((2*IF(circ_int,0,eq_c2/2))+(PI()*(s_0+6*s_r+IF(circ_int,eq_c1/2,0))/2))+2*IF(circ_int,0,eq_c1/2))+(PI()*(s_0+6*s_r+IF(circ_int,eq_c1/2,0))/2))+2*IF(circ_int,0,eq_c2/2))+(PI()*(s_0+6*s_r+IF(circ_int,eq_c1/2,0))/2))+2*IF(circ_int,0,eq_c1/2)))/(s_0+6*s_r+IF(circ_int,eq_c1/2,0)))))))))),NA())</f>
        <v/>
      </c>
      <c r="CK14">
        <f>IF(AND(AND(links_on,7&lt;=n_per),INDEX(lk_kind,7)=1,11&lt;INDEX(lk_legs,7)),g_oy+IF(((11+0.5)*(4*IF(circ_int,0,eq_c1/2)+4*IF(circ_int,0,eq_c2/2)+2*PI()*(s_0+6*s_r+IF(circ_int,eq_c1/2,0)))/INDEX(lk_legs,7))&lt;(2*IF(circ_int,0,eq_c2/2)),-IF(circ_int,0,eq_c2/2)+((11+0.5)*(4*IF(circ_int,0,eq_c1/2)+4*IF(circ_int,0,eq_c2/2)+2*PI()*(s_0+6*s_r+IF(circ_int,eq_c1/2,0)))/INDEX(lk_legs,7)),IF(((11+0.5)*(4*IF(circ_int,0,eq_c1/2)+4*IF(circ_int,0,eq_c2/2)+2*PI()*(s_0+6*s_r+IF(circ_int,eq_c1/2,0)))/INDEX(lk_legs,7))&lt;((2*IF(circ_int,0,eq_c2/2))+(PI()*(s_0+6*s_r+IF(circ_int,eq_c1/2,0))/2)),IF(circ_int,0,eq_c2/2)+(s_0+6*s_r+IF(circ_int,eq_c1/2,0))*SIN((((11+0.5)*(4*IF(circ_int,0,eq_c1/2)+4*IF(circ_int,0,eq_c2/2)+2*PI()*(s_0+6*s_r+IF(circ_int,eq_c1/2,0)))/INDEX(lk_legs,7))-(2*IF(circ_int,0,eq_c2/2)))/(s_0+6*s_r+IF(circ_int,eq_c1/2,0))),IF(((11+0.5)*(4*IF(circ_int,0,eq_c1/2)+4*IF(circ_int,0,eq_c2/2)+2*PI()*(s_0+6*s_r+IF(circ_int,eq_c1/2,0)))/INDEX(lk_legs,7))&lt;(((2*IF(circ_int,0,eq_c2/2))+(PI()*(s_0+6*s_r+IF(circ_int,eq_c1/2,0))/2))+2*IF(circ_int,0,eq_c1/2)),IF(circ_int,0,eq_c2/2)+(s_0+6*s_r+IF(circ_int,eq_c1/2,0)),IF(((11+0.5)*(4*IF(circ_int,0,eq_c1/2)+4*IF(circ_int,0,eq_c2/2)+2*PI()*(s_0+6*s_r+IF(circ_int,eq_c1/2,0)))/INDEX(lk_legs,7))&lt;((((2*IF(circ_int,0,eq_c2/2))+(PI()*(s_0+6*s_r+IF(circ_int,eq_c1/2,0))/2))+2*IF(circ_int,0,eq_c1/2))+(PI()*(s_0+6*s_r+IF(circ_int,eq_c1/2,0))/2)),IF(circ_int,0,eq_c2/2)+(s_0+6*s_r+IF(circ_int,eq_c1/2,0))*SIN(PI()/2+(((11+0.5)*(4*IF(circ_int,0,eq_c1/2)+4*IF(circ_int,0,eq_c2/2)+2*PI()*(s_0+6*s_r+IF(circ_int,eq_c1/2,0)))/INDEX(lk_legs,7))-(((2*IF(circ_int,0,eq_c2/2))+(PI()*(s_0+6*s_r+IF(circ_int,eq_c1/2,0))/2))+2*IF(circ_int,0,eq_c1/2)))/(s_0+6*s_r+IF(circ_int,eq_c1/2,0))),IF(((11+0.5)*(4*IF(circ_int,0,eq_c1/2)+4*IF(circ_int,0,eq_c2/2)+2*PI()*(s_0+6*s_r+IF(circ_int,eq_c1/2,0)))/INDEX(lk_legs,7))&lt;(((((2*IF(circ_int,0,eq_c2/2))+(PI()*(s_0+6*s_r+IF(circ_int,eq_c1/2,0))/2))+2*IF(circ_int,0,eq_c1/2))+(PI()*(s_0+6*s_r+IF(circ_int,eq_c1/2,0))/2))+2*IF(circ_int,0,eq_c2/2)),IF(circ_int,0,eq_c2/2)-(((11+0.5)*(4*IF(circ_int,0,eq_c1/2)+4*IF(circ_int,0,eq_c2/2)+2*PI()*(s_0+6*s_r+IF(circ_int,eq_c1/2,0)))/INDEX(lk_legs,7))-((((2*IF(circ_int,0,eq_c2/2))+(PI()*(s_0+6*s_r+IF(circ_int,eq_c1/2,0))/2))+2*IF(circ_int,0,eq_c1/2))+(PI()*(s_0+6*s_r+IF(circ_int,eq_c1/2,0))/2))),IF(((11+0.5)*(4*IF(circ_int,0,eq_c1/2)+4*IF(circ_int,0,eq_c2/2)+2*PI()*(s_0+6*s_r+IF(circ_int,eq_c1/2,0)))/INDEX(lk_legs,7))&lt;((((((2*IF(circ_int,0,eq_c2/2))+(PI()*(s_0+6*s_r+IF(circ_int,eq_c1/2,0))/2))+2*IF(circ_int,0,eq_c1/2))+(PI()*(s_0+6*s_r+IF(circ_int,eq_c1/2,0))/2))+2*IF(circ_int,0,eq_c2/2))+(PI()*(s_0+6*s_r+IF(circ_int,eq_c1/2,0))/2)),-IF(circ_int,0,eq_c2/2)+(s_0+6*s_r+IF(circ_int,eq_c1/2,0))*SIN(PI()+(((11+0.5)*(4*IF(circ_int,0,eq_c1/2)+4*IF(circ_int,0,eq_c2/2)+2*PI()*(s_0+6*s_r+IF(circ_int,eq_c1/2,0)))/INDEX(lk_legs,7))-(((((2*IF(circ_int,0,eq_c2/2))+(PI()*(s_0+6*s_r+IF(circ_int,eq_c1/2,0))/2))+2*IF(circ_int,0,eq_c1/2))+(PI()*(s_0+6*s_r+IF(circ_int,eq_c1/2,0))/2))+2*IF(circ_int,0,eq_c2/2)))/(s_0+6*s_r+IF(circ_int,eq_c1/2,0))),IF(((11+0.5)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(11+0.5)*(4*IF(circ_int,0,eq_c1/2)+4*IF(circ_int,0,eq_c2/2)+2*PI()*(s_0+6*s_r+IF(circ_int,eq_c1/2,0)))/INDEX(lk_legs,7))-(((((((2*IF(circ_int,0,eq_c2/2))+(PI()*(s_0+6*s_r+IF(circ_int,eq_c1/2,0))/2))+2*IF(circ_int,0,eq_c1/2))+(PI()*(s_0+6*s_r+IF(circ_int,eq_c1/2,0))/2))+2*IF(circ_int,0,eq_c2/2))+(PI()*(s_0+6*s_r+IF(circ_int,eq_c1/2,0))/2))+2*IF(circ_int,0,eq_c1/2)))/(s_0+6*s_r+IF(circ_int,eq_c1/2,0)))))))))),NA())</f>
        <v/>
      </c>
      <c r="CM14">
        <f>IF(AND(links_on,8&lt;=n_per),IF(circ_int,(g_ox)+(c_1/2+(s_0+7*s_r))*0.239316,CHOOSE(INDEX(lk_kind,8),(g_ox+eq_c1/2)+((s_0+7*s_r))*0.130526,(eq_a1+eq_c1)+((s_0+7*s_r))*0.965926,(eq_a1+eq_c1)+((s_0+7*s_r))*0.965926,(eq_a1)+((s_0+7*s_r))*-0.258819)),NA())</f>
        <v/>
      </c>
      <c r="CN14">
        <f>IF(AND(links_on,8&lt;=n_per),IF(circ_int,(g_oy)+(c_1/2+(s_0+7*s_r))*0.970942,CHOOSE(INDEX(lk_kind,8),(g_oy+eq_c2/2)+((s_0+7*s_r))*0.991445,(g_oy+eq_c2/2)+((s_0+7*s_r))*0.258819,(eq_a2+eq_c2)+((s_0+7*s_r))*0.258819,(eq_a2+eq_c2)+((s_0+7*s_r))*0.965926)),NA())</f>
        <v/>
      </c>
      <c r="CP14">
        <f>IF(AND(AND(links_on,8&lt;=n_per),INDEX(lk_kind,8)=1,11&lt;INDEX(lk_legs,8)),g_ox+IF(((11+0.5)*(4*IF(circ_int,0,eq_c1/2)+4*IF(circ_int,0,eq_c2/2)+2*PI()*(s_0+7*s_r+IF(circ_int,eq_c1/2,0)))/INDEX(lk_legs,8))&lt;(2*IF(circ_int,0,eq_c2/2)),IF(circ_int,0,eq_c1/2)+(s_0+7*s_r+IF(circ_int,eq_c1/2,0)),IF(((11+0.5)*(4*IF(circ_int,0,eq_c1/2)+4*IF(circ_int,0,eq_c2/2)+2*PI()*(s_0+7*s_r+IF(circ_int,eq_c1/2,0)))/INDEX(lk_legs,8))&lt;((2*IF(circ_int,0,eq_c2/2))+(PI()*(s_0+7*s_r+IF(circ_int,eq_c1/2,0))/2)),IF(circ_int,0,eq_c1/2)+(s_0+7*s_r+IF(circ_int,eq_c1/2,0))*COS((((11+0.5)*(4*IF(circ_int,0,eq_c1/2)+4*IF(circ_int,0,eq_c2/2)+2*PI()*(s_0+7*s_r+IF(circ_int,eq_c1/2,0)))/INDEX(lk_legs,8))-(2*IF(circ_int,0,eq_c2/2)))/(s_0+7*s_r+IF(circ_int,eq_c1/2,0))),IF(((11+0.5)*(4*IF(circ_int,0,eq_c1/2)+4*IF(circ_int,0,eq_c2/2)+2*PI()*(s_0+7*s_r+IF(circ_int,eq_c1/2,0)))/INDEX(lk_legs,8))&lt;(((2*IF(circ_int,0,eq_c2/2))+(PI()*(s_0+7*s_r+IF(circ_int,eq_c1/2,0))/2))+2*IF(circ_int,0,eq_c1/2)),IF(circ_int,0,eq_c1/2)-(((11+0.5)*(4*IF(circ_int,0,eq_c1/2)+4*IF(circ_int,0,eq_c2/2)+2*PI()*(s_0+7*s_r+IF(circ_int,eq_c1/2,0)))/INDEX(lk_legs,8))-((2*IF(circ_int,0,eq_c2/2))+(PI()*(s_0+7*s_r+IF(circ_int,eq_c1/2,0))/2))),IF(((11+0.5)*(4*IF(circ_int,0,eq_c1/2)+4*IF(circ_int,0,eq_c2/2)+2*PI()*(s_0+7*s_r+IF(circ_int,eq_c1/2,0)))/INDEX(lk_legs,8))&lt;((((2*IF(circ_int,0,eq_c2/2))+(PI()*(s_0+7*s_r+IF(circ_int,eq_c1/2,0))/2))+2*IF(circ_int,0,eq_c1/2))+(PI()*(s_0+7*s_r+IF(circ_int,eq_c1/2,0))/2)),-IF(circ_int,0,eq_c1/2)+(s_0+7*s_r+IF(circ_int,eq_c1/2,0))*COS(PI()/2+(((11+0.5)*(4*IF(circ_int,0,eq_c1/2)+4*IF(circ_int,0,eq_c2/2)+2*PI()*(s_0+7*s_r+IF(circ_int,eq_c1/2,0)))/INDEX(lk_legs,8))-(((2*IF(circ_int,0,eq_c2/2))+(PI()*(s_0+7*s_r+IF(circ_int,eq_c1/2,0))/2))+2*IF(circ_int,0,eq_c1/2)))/(s_0+7*s_r+IF(circ_int,eq_c1/2,0))),IF(((11+0.5)*(4*IF(circ_int,0,eq_c1/2)+4*IF(circ_int,0,eq_c2/2)+2*PI()*(s_0+7*s_r+IF(circ_int,eq_c1/2,0)))/INDEX(lk_legs,8))&lt;(((((2*IF(circ_int,0,eq_c2/2))+(PI()*(s_0+7*s_r+IF(circ_int,eq_c1/2,0))/2))+2*IF(circ_int,0,eq_c1/2))+(PI()*(s_0+7*s_r+IF(circ_int,eq_c1/2,0))/2))+2*IF(circ_int,0,eq_c2/2)),-IF(circ_int,0,eq_c1/2)-(s_0+7*s_r+IF(circ_int,eq_c1/2,0)),IF(((11+0.5)*(4*IF(circ_int,0,eq_c1/2)+4*IF(circ_int,0,eq_c2/2)+2*PI()*(s_0+7*s_r+IF(circ_int,eq_c1/2,0)))/INDEX(lk_legs,8))&lt;((((((2*IF(circ_int,0,eq_c2/2))+(PI()*(s_0+7*s_r+IF(circ_int,eq_c1/2,0))/2))+2*IF(circ_int,0,eq_c1/2))+(PI()*(s_0+7*s_r+IF(circ_int,eq_c1/2,0))/2))+2*IF(circ_int,0,eq_c2/2))+(PI()*(s_0+7*s_r+IF(circ_int,eq_c1/2,0))/2)),-IF(circ_int,0,eq_c1/2)+(s_0+7*s_r+IF(circ_int,eq_c1/2,0))*COS(PI()+(((11+0.5)*(4*IF(circ_int,0,eq_c1/2)+4*IF(circ_int,0,eq_c2/2)+2*PI()*(s_0+7*s_r+IF(circ_int,eq_c1/2,0)))/INDEX(lk_legs,8))-(((((2*IF(circ_int,0,eq_c2/2))+(PI()*(s_0+7*s_r+IF(circ_int,eq_c1/2,0))/2))+2*IF(circ_int,0,eq_c1/2))+(PI()*(s_0+7*s_r+IF(circ_int,eq_c1/2,0))/2))+2*IF(circ_int,0,eq_c2/2)))/(s_0+7*s_r+IF(circ_int,eq_c1/2,0))),IF(((11+0.5)*(4*IF(circ_int,0,eq_c1/2)+4*IF(circ_int,0,eq_c2/2)+2*PI()*(s_0+7*s_r+IF(circ_int,eq_c1/2,0)))/INDEX(lk_legs,8))&lt;(((((((2*IF(circ_int,0,eq_c2/2))+(PI()*(s_0+7*s_r+IF(circ_int,eq_c1/2,0))/2))+2*IF(circ_int,0,eq_c1/2))+(PI()*(s_0+7*s_r+IF(circ_int,eq_c1/2,0))/2))+2*IF(circ_int,0,eq_c2/2))+(PI()*(s_0+7*s_r+IF(circ_int,eq_c1/2,0))/2))+2*IF(circ_int,0,eq_c1/2)),-IF(circ_int,0,eq_c1/2)+(((11+0.5)*(4*IF(circ_int,0,eq_c1/2)+4*IF(circ_int,0,eq_c2/2)+2*PI()*(s_0+7*s_r+IF(circ_int,eq_c1/2,0)))/INDEX(lk_legs,8))-((((((2*IF(circ_int,0,eq_c2/2))+(PI()*(s_0+7*s_r+IF(circ_int,eq_c1/2,0))/2))+2*IF(circ_int,0,eq_c1/2))+(PI()*(s_0+7*s_r+IF(circ_int,eq_c1/2,0))/2))+2*IF(circ_int,0,eq_c2/2))+(PI()*(s_0+7*s_r+IF(circ_int,eq_c1/2,0))/2))),IF(circ_int,0,eq_c1/2)+(s_0+7*s_r+IF(circ_int,eq_c1/2,0))*COS(3*PI()/2+(((11+0.5)*(4*IF(circ_int,0,eq_c1/2)+4*IF(circ_int,0,eq_c2/2)+2*PI()*(s_0+7*s_r+IF(circ_int,eq_c1/2,0)))/INDEX(lk_legs,8))-(((((((2*IF(circ_int,0,eq_c2/2))+(PI()*(s_0+7*s_r+IF(circ_int,eq_c1/2,0))/2))+2*IF(circ_int,0,eq_c1/2))+(PI()*(s_0+7*s_r+IF(circ_int,eq_c1/2,0))/2))+2*IF(circ_int,0,eq_c2/2))+(PI()*(s_0+7*s_r+IF(circ_int,eq_c1/2,0))/2))+2*IF(circ_int,0,eq_c1/2)))/(s_0+7*s_r+IF(circ_int,eq_c1/2,0)))))))))),NA())</f>
        <v/>
      </c>
      <c r="CQ14">
        <f>IF(AND(AND(links_on,8&lt;=n_per),INDEX(lk_kind,8)=1,11&lt;INDEX(lk_legs,8)),g_oy+IF(((11+0.5)*(4*IF(circ_int,0,eq_c1/2)+4*IF(circ_int,0,eq_c2/2)+2*PI()*(s_0+7*s_r+IF(circ_int,eq_c1/2,0)))/INDEX(lk_legs,8))&lt;(2*IF(circ_int,0,eq_c2/2)),-IF(circ_int,0,eq_c2/2)+((11+0.5)*(4*IF(circ_int,0,eq_c1/2)+4*IF(circ_int,0,eq_c2/2)+2*PI()*(s_0+7*s_r+IF(circ_int,eq_c1/2,0)))/INDEX(lk_legs,8)),IF(((11+0.5)*(4*IF(circ_int,0,eq_c1/2)+4*IF(circ_int,0,eq_c2/2)+2*PI()*(s_0+7*s_r+IF(circ_int,eq_c1/2,0)))/INDEX(lk_legs,8))&lt;((2*IF(circ_int,0,eq_c2/2))+(PI()*(s_0+7*s_r+IF(circ_int,eq_c1/2,0))/2)),IF(circ_int,0,eq_c2/2)+(s_0+7*s_r+IF(circ_int,eq_c1/2,0))*SIN((((11+0.5)*(4*IF(circ_int,0,eq_c1/2)+4*IF(circ_int,0,eq_c2/2)+2*PI()*(s_0+7*s_r+IF(circ_int,eq_c1/2,0)))/INDEX(lk_legs,8))-(2*IF(circ_int,0,eq_c2/2)))/(s_0+7*s_r+IF(circ_int,eq_c1/2,0))),IF(((11+0.5)*(4*IF(circ_int,0,eq_c1/2)+4*IF(circ_int,0,eq_c2/2)+2*PI()*(s_0+7*s_r+IF(circ_int,eq_c1/2,0)))/INDEX(lk_legs,8))&lt;(((2*IF(circ_int,0,eq_c2/2))+(PI()*(s_0+7*s_r+IF(circ_int,eq_c1/2,0))/2))+2*IF(circ_int,0,eq_c1/2)),IF(circ_int,0,eq_c2/2)+(s_0+7*s_r+IF(circ_int,eq_c1/2,0)),IF(((11+0.5)*(4*IF(circ_int,0,eq_c1/2)+4*IF(circ_int,0,eq_c2/2)+2*PI()*(s_0+7*s_r+IF(circ_int,eq_c1/2,0)))/INDEX(lk_legs,8))&lt;((((2*IF(circ_int,0,eq_c2/2))+(PI()*(s_0+7*s_r+IF(circ_int,eq_c1/2,0))/2))+2*IF(circ_int,0,eq_c1/2))+(PI()*(s_0+7*s_r+IF(circ_int,eq_c1/2,0))/2)),IF(circ_int,0,eq_c2/2)+(s_0+7*s_r+IF(circ_int,eq_c1/2,0))*SIN(PI()/2+(((11+0.5)*(4*IF(circ_int,0,eq_c1/2)+4*IF(circ_int,0,eq_c2/2)+2*PI()*(s_0+7*s_r+IF(circ_int,eq_c1/2,0)))/INDEX(lk_legs,8))-(((2*IF(circ_int,0,eq_c2/2))+(PI()*(s_0+7*s_r+IF(circ_int,eq_c1/2,0))/2))+2*IF(circ_int,0,eq_c1/2)))/(s_0+7*s_r+IF(circ_int,eq_c1/2,0))),IF(((11+0.5)*(4*IF(circ_int,0,eq_c1/2)+4*IF(circ_int,0,eq_c2/2)+2*PI()*(s_0+7*s_r+IF(circ_int,eq_c1/2,0)))/INDEX(lk_legs,8))&lt;(((((2*IF(circ_int,0,eq_c2/2))+(PI()*(s_0+7*s_r+IF(circ_int,eq_c1/2,0))/2))+2*IF(circ_int,0,eq_c1/2))+(PI()*(s_0+7*s_r+IF(circ_int,eq_c1/2,0))/2))+2*IF(circ_int,0,eq_c2/2)),IF(circ_int,0,eq_c2/2)-(((11+0.5)*(4*IF(circ_int,0,eq_c1/2)+4*IF(circ_int,0,eq_c2/2)+2*PI()*(s_0+7*s_r+IF(circ_int,eq_c1/2,0)))/INDEX(lk_legs,8))-((((2*IF(circ_int,0,eq_c2/2))+(PI()*(s_0+7*s_r+IF(circ_int,eq_c1/2,0))/2))+2*IF(circ_int,0,eq_c1/2))+(PI()*(s_0+7*s_r+IF(circ_int,eq_c1/2,0))/2))),IF(((11+0.5)*(4*IF(circ_int,0,eq_c1/2)+4*IF(circ_int,0,eq_c2/2)+2*PI()*(s_0+7*s_r+IF(circ_int,eq_c1/2,0)))/INDEX(lk_legs,8))&lt;((((((2*IF(circ_int,0,eq_c2/2))+(PI()*(s_0+7*s_r+IF(circ_int,eq_c1/2,0))/2))+2*IF(circ_int,0,eq_c1/2))+(PI()*(s_0+7*s_r+IF(circ_int,eq_c1/2,0))/2))+2*IF(circ_int,0,eq_c2/2))+(PI()*(s_0+7*s_r+IF(circ_int,eq_c1/2,0))/2)),-IF(circ_int,0,eq_c2/2)+(s_0+7*s_r+IF(circ_int,eq_c1/2,0))*SIN(PI()+(((11+0.5)*(4*IF(circ_int,0,eq_c1/2)+4*IF(circ_int,0,eq_c2/2)+2*PI()*(s_0+7*s_r+IF(circ_int,eq_c1/2,0)))/INDEX(lk_legs,8))-(((((2*IF(circ_int,0,eq_c2/2))+(PI()*(s_0+7*s_r+IF(circ_int,eq_c1/2,0))/2))+2*IF(circ_int,0,eq_c1/2))+(PI()*(s_0+7*s_r+IF(circ_int,eq_c1/2,0))/2))+2*IF(circ_int,0,eq_c2/2)))/(s_0+7*s_r+IF(circ_int,eq_c1/2,0))),IF(((11+0.5)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(11+0.5)*(4*IF(circ_int,0,eq_c1/2)+4*IF(circ_int,0,eq_c2/2)+2*PI()*(s_0+7*s_r+IF(circ_int,eq_c1/2,0)))/INDEX(lk_legs,8))-(((((((2*IF(circ_int,0,eq_c2/2))+(PI()*(s_0+7*s_r+IF(circ_int,eq_c1/2,0))/2))+2*IF(circ_int,0,eq_c1/2))+(PI()*(s_0+7*s_r+IF(circ_int,eq_c1/2,0))/2))+2*IF(circ_int,0,eq_c2/2))+(PI()*(s_0+7*s_r+IF(circ_int,eq_c1/2,0))/2))+2*IF(circ_int,0,eq_c1/2)))/(s_0+7*s_r+IF(circ_int,eq_c1/2,0)))))))))),NA())</f>
        <v/>
      </c>
      <c r="CS14">
        <f>IF(AND(links_on,9&lt;=n_per),IF(circ_int,(g_ox)+(c_1/2+(s_0+8*s_r))*0.239316,CHOOSE(INDEX(lk_kind,9),(g_ox+eq_c1/2)+((s_0+8*s_r))*0.130526,(eq_a1+eq_c1)+((s_0+8*s_r))*0.965926,(eq_a1+eq_c1)+((s_0+8*s_r))*0.965926,(eq_a1)+((s_0+8*s_r))*-0.258819)),NA())</f>
        <v/>
      </c>
      <c r="CT14">
        <f>IF(AND(links_on,9&lt;=n_per),IF(circ_int,(g_oy)+(c_1/2+(s_0+8*s_r))*0.970942,CHOOSE(INDEX(lk_kind,9),(g_oy+eq_c2/2)+((s_0+8*s_r))*0.991445,(g_oy+eq_c2/2)+((s_0+8*s_r))*0.258819,(eq_a2+eq_c2)+((s_0+8*s_r))*0.258819,(eq_a2+eq_c2)+((s_0+8*s_r))*0.965926)),NA())</f>
        <v/>
      </c>
      <c r="CV14">
        <f>IF(AND(AND(links_on,9&lt;=n_per),INDEX(lk_kind,9)=1,11&lt;INDEX(lk_legs,9)),g_ox+IF(((11+0.5)*(4*IF(circ_int,0,eq_c1/2)+4*IF(circ_int,0,eq_c2/2)+2*PI()*(s_0+8*s_r+IF(circ_int,eq_c1/2,0)))/INDEX(lk_legs,9))&lt;(2*IF(circ_int,0,eq_c2/2)),IF(circ_int,0,eq_c1/2)+(s_0+8*s_r+IF(circ_int,eq_c1/2,0)),IF(((11+0.5)*(4*IF(circ_int,0,eq_c1/2)+4*IF(circ_int,0,eq_c2/2)+2*PI()*(s_0+8*s_r+IF(circ_int,eq_c1/2,0)))/INDEX(lk_legs,9))&lt;((2*IF(circ_int,0,eq_c2/2))+(PI()*(s_0+8*s_r+IF(circ_int,eq_c1/2,0))/2)),IF(circ_int,0,eq_c1/2)+(s_0+8*s_r+IF(circ_int,eq_c1/2,0))*COS((((11+0.5)*(4*IF(circ_int,0,eq_c1/2)+4*IF(circ_int,0,eq_c2/2)+2*PI()*(s_0+8*s_r+IF(circ_int,eq_c1/2,0)))/INDEX(lk_legs,9))-(2*IF(circ_int,0,eq_c2/2)))/(s_0+8*s_r+IF(circ_int,eq_c1/2,0))),IF(((11+0.5)*(4*IF(circ_int,0,eq_c1/2)+4*IF(circ_int,0,eq_c2/2)+2*PI()*(s_0+8*s_r+IF(circ_int,eq_c1/2,0)))/INDEX(lk_legs,9))&lt;(((2*IF(circ_int,0,eq_c2/2))+(PI()*(s_0+8*s_r+IF(circ_int,eq_c1/2,0))/2))+2*IF(circ_int,0,eq_c1/2)),IF(circ_int,0,eq_c1/2)-(((11+0.5)*(4*IF(circ_int,0,eq_c1/2)+4*IF(circ_int,0,eq_c2/2)+2*PI()*(s_0+8*s_r+IF(circ_int,eq_c1/2,0)))/INDEX(lk_legs,9))-((2*IF(circ_int,0,eq_c2/2))+(PI()*(s_0+8*s_r+IF(circ_int,eq_c1/2,0))/2))),IF(((11+0.5)*(4*IF(circ_int,0,eq_c1/2)+4*IF(circ_int,0,eq_c2/2)+2*PI()*(s_0+8*s_r+IF(circ_int,eq_c1/2,0)))/INDEX(lk_legs,9))&lt;((((2*IF(circ_int,0,eq_c2/2))+(PI()*(s_0+8*s_r+IF(circ_int,eq_c1/2,0))/2))+2*IF(circ_int,0,eq_c1/2))+(PI()*(s_0+8*s_r+IF(circ_int,eq_c1/2,0))/2)),-IF(circ_int,0,eq_c1/2)+(s_0+8*s_r+IF(circ_int,eq_c1/2,0))*COS(PI()/2+(((11+0.5)*(4*IF(circ_int,0,eq_c1/2)+4*IF(circ_int,0,eq_c2/2)+2*PI()*(s_0+8*s_r+IF(circ_int,eq_c1/2,0)))/INDEX(lk_legs,9))-(((2*IF(circ_int,0,eq_c2/2))+(PI()*(s_0+8*s_r+IF(circ_int,eq_c1/2,0))/2))+2*IF(circ_int,0,eq_c1/2)))/(s_0+8*s_r+IF(circ_int,eq_c1/2,0))),IF(((11+0.5)*(4*IF(circ_int,0,eq_c1/2)+4*IF(circ_int,0,eq_c2/2)+2*PI()*(s_0+8*s_r+IF(circ_int,eq_c1/2,0)))/INDEX(lk_legs,9))&lt;(((((2*IF(circ_int,0,eq_c2/2))+(PI()*(s_0+8*s_r+IF(circ_int,eq_c1/2,0))/2))+2*IF(circ_int,0,eq_c1/2))+(PI()*(s_0+8*s_r+IF(circ_int,eq_c1/2,0))/2))+2*IF(circ_int,0,eq_c2/2)),-IF(circ_int,0,eq_c1/2)-(s_0+8*s_r+IF(circ_int,eq_c1/2,0)),IF(((11+0.5)*(4*IF(circ_int,0,eq_c1/2)+4*IF(circ_int,0,eq_c2/2)+2*PI()*(s_0+8*s_r+IF(circ_int,eq_c1/2,0)))/INDEX(lk_legs,9))&lt;((((((2*IF(circ_int,0,eq_c2/2))+(PI()*(s_0+8*s_r+IF(circ_int,eq_c1/2,0))/2))+2*IF(circ_int,0,eq_c1/2))+(PI()*(s_0+8*s_r+IF(circ_int,eq_c1/2,0))/2))+2*IF(circ_int,0,eq_c2/2))+(PI()*(s_0+8*s_r+IF(circ_int,eq_c1/2,0))/2)),-IF(circ_int,0,eq_c1/2)+(s_0+8*s_r+IF(circ_int,eq_c1/2,0))*COS(PI()+(((11+0.5)*(4*IF(circ_int,0,eq_c1/2)+4*IF(circ_int,0,eq_c2/2)+2*PI()*(s_0+8*s_r+IF(circ_int,eq_c1/2,0)))/INDEX(lk_legs,9))-(((((2*IF(circ_int,0,eq_c2/2))+(PI()*(s_0+8*s_r+IF(circ_int,eq_c1/2,0))/2))+2*IF(circ_int,0,eq_c1/2))+(PI()*(s_0+8*s_r+IF(circ_int,eq_c1/2,0))/2))+2*IF(circ_int,0,eq_c2/2)))/(s_0+8*s_r+IF(circ_int,eq_c1/2,0))),IF(((11+0.5)*(4*IF(circ_int,0,eq_c1/2)+4*IF(circ_int,0,eq_c2/2)+2*PI()*(s_0+8*s_r+IF(circ_int,eq_c1/2,0)))/INDEX(lk_legs,9))&lt;(((((((2*IF(circ_int,0,eq_c2/2))+(PI()*(s_0+8*s_r+IF(circ_int,eq_c1/2,0))/2))+2*IF(circ_int,0,eq_c1/2))+(PI()*(s_0+8*s_r+IF(circ_int,eq_c1/2,0))/2))+2*IF(circ_int,0,eq_c2/2))+(PI()*(s_0+8*s_r+IF(circ_int,eq_c1/2,0))/2))+2*IF(circ_int,0,eq_c1/2)),-IF(circ_int,0,eq_c1/2)+(((11+0.5)*(4*IF(circ_int,0,eq_c1/2)+4*IF(circ_int,0,eq_c2/2)+2*PI()*(s_0+8*s_r+IF(circ_int,eq_c1/2,0)))/INDEX(lk_legs,9))-((((((2*IF(circ_int,0,eq_c2/2))+(PI()*(s_0+8*s_r+IF(circ_int,eq_c1/2,0))/2))+2*IF(circ_int,0,eq_c1/2))+(PI()*(s_0+8*s_r+IF(circ_int,eq_c1/2,0))/2))+2*IF(circ_int,0,eq_c2/2))+(PI()*(s_0+8*s_r+IF(circ_int,eq_c1/2,0))/2))),IF(circ_int,0,eq_c1/2)+(s_0+8*s_r+IF(circ_int,eq_c1/2,0))*COS(3*PI()/2+(((11+0.5)*(4*IF(circ_int,0,eq_c1/2)+4*IF(circ_int,0,eq_c2/2)+2*PI()*(s_0+8*s_r+IF(circ_int,eq_c1/2,0)))/INDEX(lk_legs,9))-(((((((2*IF(circ_int,0,eq_c2/2))+(PI()*(s_0+8*s_r+IF(circ_int,eq_c1/2,0))/2))+2*IF(circ_int,0,eq_c1/2))+(PI()*(s_0+8*s_r+IF(circ_int,eq_c1/2,0))/2))+2*IF(circ_int,0,eq_c2/2))+(PI()*(s_0+8*s_r+IF(circ_int,eq_c1/2,0))/2))+2*IF(circ_int,0,eq_c1/2)))/(s_0+8*s_r+IF(circ_int,eq_c1/2,0)))))))))),NA())</f>
        <v/>
      </c>
      <c r="CW14">
        <f>IF(AND(AND(links_on,9&lt;=n_per),INDEX(lk_kind,9)=1,11&lt;INDEX(lk_legs,9)),g_oy+IF(((11+0.5)*(4*IF(circ_int,0,eq_c1/2)+4*IF(circ_int,0,eq_c2/2)+2*PI()*(s_0+8*s_r+IF(circ_int,eq_c1/2,0)))/INDEX(lk_legs,9))&lt;(2*IF(circ_int,0,eq_c2/2)),-IF(circ_int,0,eq_c2/2)+((11+0.5)*(4*IF(circ_int,0,eq_c1/2)+4*IF(circ_int,0,eq_c2/2)+2*PI()*(s_0+8*s_r+IF(circ_int,eq_c1/2,0)))/INDEX(lk_legs,9)),IF(((11+0.5)*(4*IF(circ_int,0,eq_c1/2)+4*IF(circ_int,0,eq_c2/2)+2*PI()*(s_0+8*s_r+IF(circ_int,eq_c1/2,0)))/INDEX(lk_legs,9))&lt;((2*IF(circ_int,0,eq_c2/2))+(PI()*(s_0+8*s_r+IF(circ_int,eq_c1/2,0))/2)),IF(circ_int,0,eq_c2/2)+(s_0+8*s_r+IF(circ_int,eq_c1/2,0))*SIN((((11+0.5)*(4*IF(circ_int,0,eq_c1/2)+4*IF(circ_int,0,eq_c2/2)+2*PI()*(s_0+8*s_r+IF(circ_int,eq_c1/2,0)))/INDEX(lk_legs,9))-(2*IF(circ_int,0,eq_c2/2)))/(s_0+8*s_r+IF(circ_int,eq_c1/2,0))),IF(((11+0.5)*(4*IF(circ_int,0,eq_c1/2)+4*IF(circ_int,0,eq_c2/2)+2*PI()*(s_0+8*s_r+IF(circ_int,eq_c1/2,0)))/INDEX(lk_legs,9))&lt;(((2*IF(circ_int,0,eq_c2/2))+(PI()*(s_0+8*s_r+IF(circ_int,eq_c1/2,0))/2))+2*IF(circ_int,0,eq_c1/2)),IF(circ_int,0,eq_c2/2)+(s_0+8*s_r+IF(circ_int,eq_c1/2,0)),IF(((11+0.5)*(4*IF(circ_int,0,eq_c1/2)+4*IF(circ_int,0,eq_c2/2)+2*PI()*(s_0+8*s_r+IF(circ_int,eq_c1/2,0)))/INDEX(lk_legs,9))&lt;((((2*IF(circ_int,0,eq_c2/2))+(PI()*(s_0+8*s_r+IF(circ_int,eq_c1/2,0))/2))+2*IF(circ_int,0,eq_c1/2))+(PI()*(s_0+8*s_r+IF(circ_int,eq_c1/2,0))/2)),IF(circ_int,0,eq_c2/2)+(s_0+8*s_r+IF(circ_int,eq_c1/2,0))*SIN(PI()/2+(((11+0.5)*(4*IF(circ_int,0,eq_c1/2)+4*IF(circ_int,0,eq_c2/2)+2*PI()*(s_0+8*s_r+IF(circ_int,eq_c1/2,0)))/INDEX(lk_legs,9))-(((2*IF(circ_int,0,eq_c2/2))+(PI()*(s_0+8*s_r+IF(circ_int,eq_c1/2,0))/2))+2*IF(circ_int,0,eq_c1/2)))/(s_0+8*s_r+IF(circ_int,eq_c1/2,0))),IF(((11+0.5)*(4*IF(circ_int,0,eq_c1/2)+4*IF(circ_int,0,eq_c2/2)+2*PI()*(s_0+8*s_r+IF(circ_int,eq_c1/2,0)))/INDEX(lk_legs,9))&lt;(((((2*IF(circ_int,0,eq_c2/2))+(PI()*(s_0+8*s_r+IF(circ_int,eq_c1/2,0))/2))+2*IF(circ_int,0,eq_c1/2))+(PI()*(s_0+8*s_r+IF(circ_int,eq_c1/2,0))/2))+2*IF(circ_int,0,eq_c2/2)),IF(circ_int,0,eq_c2/2)-(((11+0.5)*(4*IF(circ_int,0,eq_c1/2)+4*IF(circ_int,0,eq_c2/2)+2*PI()*(s_0+8*s_r+IF(circ_int,eq_c1/2,0)))/INDEX(lk_legs,9))-((((2*IF(circ_int,0,eq_c2/2))+(PI()*(s_0+8*s_r+IF(circ_int,eq_c1/2,0))/2))+2*IF(circ_int,0,eq_c1/2))+(PI()*(s_0+8*s_r+IF(circ_int,eq_c1/2,0))/2))),IF(((11+0.5)*(4*IF(circ_int,0,eq_c1/2)+4*IF(circ_int,0,eq_c2/2)+2*PI()*(s_0+8*s_r+IF(circ_int,eq_c1/2,0)))/INDEX(lk_legs,9))&lt;((((((2*IF(circ_int,0,eq_c2/2))+(PI()*(s_0+8*s_r+IF(circ_int,eq_c1/2,0))/2))+2*IF(circ_int,0,eq_c1/2))+(PI()*(s_0+8*s_r+IF(circ_int,eq_c1/2,0))/2))+2*IF(circ_int,0,eq_c2/2))+(PI()*(s_0+8*s_r+IF(circ_int,eq_c1/2,0))/2)),-IF(circ_int,0,eq_c2/2)+(s_0+8*s_r+IF(circ_int,eq_c1/2,0))*SIN(PI()+(((11+0.5)*(4*IF(circ_int,0,eq_c1/2)+4*IF(circ_int,0,eq_c2/2)+2*PI()*(s_0+8*s_r+IF(circ_int,eq_c1/2,0)))/INDEX(lk_legs,9))-(((((2*IF(circ_int,0,eq_c2/2))+(PI()*(s_0+8*s_r+IF(circ_int,eq_c1/2,0))/2))+2*IF(circ_int,0,eq_c1/2))+(PI()*(s_0+8*s_r+IF(circ_int,eq_c1/2,0))/2))+2*IF(circ_int,0,eq_c2/2)))/(s_0+8*s_r+IF(circ_int,eq_c1/2,0))),IF(((11+0.5)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(11+0.5)*(4*IF(circ_int,0,eq_c1/2)+4*IF(circ_int,0,eq_c2/2)+2*PI()*(s_0+8*s_r+IF(circ_int,eq_c1/2,0)))/INDEX(lk_legs,9))-(((((((2*IF(circ_int,0,eq_c2/2))+(PI()*(s_0+8*s_r+IF(circ_int,eq_c1/2,0))/2))+2*IF(circ_int,0,eq_c1/2))+(PI()*(s_0+8*s_r+IF(circ_int,eq_c1/2,0))/2))+2*IF(circ_int,0,eq_c2/2))+(PI()*(s_0+8*s_r+IF(circ_int,eq_c1/2,0))/2))+2*IF(circ_int,0,eq_c1/2)))/(s_0+8*s_r+IF(circ_int,eq_c1/2,0)))))))))),NA())</f>
        <v/>
      </c>
      <c r="CY14">
        <f>IF(AND(links_on,10&lt;=n_per),IF(circ_int,(g_ox)+(c_1/2+(s_0+9*s_r))*0.239316,CHOOSE(INDEX(lk_kind,10),(g_ox+eq_c1/2)+((s_0+9*s_r))*0.130526,(eq_a1+eq_c1)+((s_0+9*s_r))*0.965926,(eq_a1+eq_c1)+((s_0+9*s_r))*0.965926,(eq_a1)+((s_0+9*s_r))*-0.258819)),NA())</f>
        <v/>
      </c>
      <c r="CZ14">
        <f>IF(AND(links_on,10&lt;=n_per),IF(circ_int,(g_oy)+(c_1/2+(s_0+9*s_r))*0.970942,CHOOSE(INDEX(lk_kind,10),(g_oy+eq_c2/2)+((s_0+9*s_r))*0.991445,(g_oy+eq_c2/2)+((s_0+9*s_r))*0.258819,(eq_a2+eq_c2)+((s_0+9*s_r))*0.258819,(eq_a2+eq_c2)+((s_0+9*s_r))*0.965926)),NA())</f>
        <v/>
      </c>
      <c r="DB14">
        <f>IF(AND(AND(links_on,10&lt;=n_per),INDEX(lk_kind,10)=1,11&lt;INDEX(lk_legs,10)),g_ox+IF(((11+0.5)*(4*IF(circ_int,0,eq_c1/2)+4*IF(circ_int,0,eq_c2/2)+2*PI()*(s_0+9*s_r+IF(circ_int,eq_c1/2,0)))/INDEX(lk_legs,10))&lt;(2*IF(circ_int,0,eq_c2/2)),IF(circ_int,0,eq_c1/2)+(s_0+9*s_r+IF(circ_int,eq_c1/2,0)),IF(((11+0.5)*(4*IF(circ_int,0,eq_c1/2)+4*IF(circ_int,0,eq_c2/2)+2*PI()*(s_0+9*s_r+IF(circ_int,eq_c1/2,0)))/INDEX(lk_legs,10))&lt;((2*IF(circ_int,0,eq_c2/2))+(PI()*(s_0+9*s_r+IF(circ_int,eq_c1/2,0))/2)),IF(circ_int,0,eq_c1/2)+(s_0+9*s_r+IF(circ_int,eq_c1/2,0))*COS((((11+0.5)*(4*IF(circ_int,0,eq_c1/2)+4*IF(circ_int,0,eq_c2/2)+2*PI()*(s_0+9*s_r+IF(circ_int,eq_c1/2,0)))/INDEX(lk_legs,10))-(2*IF(circ_int,0,eq_c2/2)))/(s_0+9*s_r+IF(circ_int,eq_c1/2,0))),IF(((11+0.5)*(4*IF(circ_int,0,eq_c1/2)+4*IF(circ_int,0,eq_c2/2)+2*PI()*(s_0+9*s_r+IF(circ_int,eq_c1/2,0)))/INDEX(lk_legs,10))&lt;(((2*IF(circ_int,0,eq_c2/2))+(PI()*(s_0+9*s_r+IF(circ_int,eq_c1/2,0))/2))+2*IF(circ_int,0,eq_c1/2)),IF(circ_int,0,eq_c1/2)-(((11+0.5)*(4*IF(circ_int,0,eq_c1/2)+4*IF(circ_int,0,eq_c2/2)+2*PI()*(s_0+9*s_r+IF(circ_int,eq_c1/2,0)))/INDEX(lk_legs,10))-((2*IF(circ_int,0,eq_c2/2))+(PI()*(s_0+9*s_r+IF(circ_int,eq_c1/2,0))/2))),IF(((11+0.5)*(4*IF(circ_int,0,eq_c1/2)+4*IF(circ_int,0,eq_c2/2)+2*PI()*(s_0+9*s_r+IF(circ_int,eq_c1/2,0)))/INDEX(lk_legs,10))&lt;((((2*IF(circ_int,0,eq_c2/2))+(PI()*(s_0+9*s_r+IF(circ_int,eq_c1/2,0))/2))+2*IF(circ_int,0,eq_c1/2))+(PI()*(s_0+9*s_r+IF(circ_int,eq_c1/2,0))/2)),-IF(circ_int,0,eq_c1/2)+(s_0+9*s_r+IF(circ_int,eq_c1/2,0))*COS(PI()/2+(((11+0.5)*(4*IF(circ_int,0,eq_c1/2)+4*IF(circ_int,0,eq_c2/2)+2*PI()*(s_0+9*s_r+IF(circ_int,eq_c1/2,0)))/INDEX(lk_legs,10))-(((2*IF(circ_int,0,eq_c2/2))+(PI()*(s_0+9*s_r+IF(circ_int,eq_c1/2,0))/2))+2*IF(circ_int,0,eq_c1/2)))/(s_0+9*s_r+IF(circ_int,eq_c1/2,0))),IF(((11+0.5)*(4*IF(circ_int,0,eq_c1/2)+4*IF(circ_int,0,eq_c2/2)+2*PI()*(s_0+9*s_r+IF(circ_int,eq_c1/2,0)))/INDEX(lk_legs,10))&lt;(((((2*IF(circ_int,0,eq_c2/2))+(PI()*(s_0+9*s_r+IF(circ_int,eq_c1/2,0))/2))+2*IF(circ_int,0,eq_c1/2))+(PI()*(s_0+9*s_r+IF(circ_int,eq_c1/2,0))/2))+2*IF(circ_int,0,eq_c2/2)),-IF(circ_int,0,eq_c1/2)-(s_0+9*s_r+IF(circ_int,eq_c1/2,0)),IF(((11+0.5)*(4*IF(circ_int,0,eq_c1/2)+4*IF(circ_int,0,eq_c2/2)+2*PI()*(s_0+9*s_r+IF(circ_int,eq_c1/2,0)))/INDEX(lk_legs,10))&lt;((((((2*IF(circ_int,0,eq_c2/2))+(PI()*(s_0+9*s_r+IF(circ_int,eq_c1/2,0))/2))+2*IF(circ_int,0,eq_c1/2))+(PI()*(s_0+9*s_r+IF(circ_int,eq_c1/2,0))/2))+2*IF(circ_int,0,eq_c2/2))+(PI()*(s_0+9*s_r+IF(circ_int,eq_c1/2,0))/2)),-IF(circ_int,0,eq_c1/2)+(s_0+9*s_r+IF(circ_int,eq_c1/2,0))*COS(PI()+(((11+0.5)*(4*IF(circ_int,0,eq_c1/2)+4*IF(circ_int,0,eq_c2/2)+2*PI()*(s_0+9*s_r+IF(circ_int,eq_c1/2,0)))/INDEX(lk_legs,10))-(((((2*IF(circ_int,0,eq_c2/2))+(PI()*(s_0+9*s_r+IF(circ_int,eq_c1/2,0))/2))+2*IF(circ_int,0,eq_c1/2))+(PI()*(s_0+9*s_r+IF(circ_int,eq_c1/2,0))/2))+2*IF(circ_int,0,eq_c2/2)))/(s_0+9*s_r+IF(circ_int,eq_c1/2,0))),IF(((11+0.5)*(4*IF(circ_int,0,eq_c1/2)+4*IF(circ_int,0,eq_c2/2)+2*PI()*(s_0+9*s_r+IF(circ_int,eq_c1/2,0)))/INDEX(lk_legs,10))&lt;(((((((2*IF(circ_int,0,eq_c2/2))+(PI()*(s_0+9*s_r+IF(circ_int,eq_c1/2,0))/2))+2*IF(circ_int,0,eq_c1/2))+(PI()*(s_0+9*s_r+IF(circ_int,eq_c1/2,0))/2))+2*IF(circ_int,0,eq_c2/2))+(PI()*(s_0+9*s_r+IF(circ_int,eq_c1/2,0))/2))+2*IF(circ_int,0,eq_c1/2)),-IF(circ_int,0,eq_c1/2)+(((11+0.5)*(4*IF(circ_int,0,eq_c1/2)+4*IF(circ_int,0,eq_c2/2)+2*PI()*(s_0+9*s_r+IF(circ_int,eq_c1/2,0)))/INDEX(lk_legs,10))-((((((2*IF(circ_int,0,eq_c2/2))+(PI()*(s_0+9*s_r+IF(circ_int,eq_c1/2,0))/2))+2*IF(circ_int,0,eq_c1/2))+(PI()*(s_0+9*s_r+IF(circ_int,eq_c1/2,0))/2))+2*IF(circ_int,0,eq_c2/2))+(PI()*(s_0+9*s_r+IF(circ_int,eq_c1/2,0))/2))),IF(circ_int,0,eq_c1/2)+(s_0+9*s_r+IF(circ_int,eq_c1/2,0))*COS(3*PI()/2+(((11+0.5)*(4*IF(circ_int,0,eq_c1/2)+4*IF(circ_int,0,eq_c2/2)+2*PI()*(s_0+9*s_r+IF(circ_int,eq_c1/2,0)))/INDEX(lk_legs,10))-(((((((2*IF(circ_int,0,eq_c2/2))+(PI()*(s_0+9*s_r+IF(circ_int,eq_c1/2,0))/2))+2*IF(circ_int,0,eq_c1/2))+(PI()*(s_0+9*s_r+IF(circ_int,eq_c1/2,0))/2))+2*IF(circ_int,0,eq_c2/2))+(PI()*(s_0+9*s_r+IF(circ_int,eq_c1/2,0))/2))+2*IF(circ_int,0,eq_c1/2)))/(s_0+9*s_r+IF(circ_int,eq_c1/2,0)))))))))),NA())</f>
        <v/>
      </c>
      <c r="DC14">
        <f>IF(AND(AND(links_on,10&lt;=n_per),INDEX(lk_kind,10)=1,11&lt;INDEX(lk_legs,10)),g_oy+IF(((11+0.5)*(4*IF(circ_int,0,eq_c1/2)+4*IF(circ_int,0,eq_c2/2)+2*PI()*(s_0+9*s_r+IF(circ_int,eq_c1/2,0)))/INDEX(lk_legs,10))&lt;(2*IF(circ_int,0,eq_c2/2)),-IF(circ_int,0,eq_c2/2)+((11+0.5)*(4*IF(circ_int,0,eq_c1/2)+4*IF(circ_int,0,eq_c2/2)+2*PI()*(s_0+9*s_r+IF(circ_int,eq_c1/2,0)))/INDEX(lk_legs,10)),IF(((11+0.5)*(4*IF(circ_int,0,eq_c1/2)+4*IF(circ_int,0,eq_c2/2)+2*PI()*(s_0+9*s_r+IF(circ_int,eq_c1/2,0)))/INDEX(lk_legs,10))&lt;((2*IF(circ_int,0,eq_c2/2))+(PI()*(s_0+9*s_r+IF(circ_int,eq_c1/2,0))/2)),IF(circ_int,0,eq_c2/2)+(s_0+9*s_r+IF(circ_int,eq_c1/2,0))*SIN((((11+0.5)*(4*IF(circ_int,0,eq_c1/2)+4*IF(circ_int,0,eq_c2/2)+2*PI()*(s_0+9*s_r+IF(circ_int,eq_c1/2,0)))/INDEX(lk_legs,10))-(2*IF(circ_int,0,eq_c2/2)))/(s_0+9*s_r+IF(circ_int,eq_c1/2,0))),IF(((11+0.5)*(4*IF(circ_int,0,eq_c1/2)+4*IF(circ_int,0,eq_c2/2)+2*PI()*(s_0+9*s_r+IF(circ_int,eq_c1/2,0)))/INDEX(lk_legs,10))&lt;(((2*IF(circ_int,0,eq_c2/2))+(PI()*(s_0+9*s_r+IF(circ_int,eq_c1/2,0))/2))+2*IF(circ_int,0,eq_c1/2)),IF(circ_int,0,eq_c2/2)+(s_0+9*s_r+IF(circ_int,eq_c1/2,0)),IF(((11+0.5)*(4*IF(circ_int,0,eq_c1/2)+4*IF(circ_int,0,eq_c2/2)+2*PI()*(s_0+9*s_r+IF(circ_int,eq_c1/2,0)))/INDEX(lk_legs,10))&lt;((((2*IF(circ_int,0,eq_c2/2))+(PI()*(s_0+9*s_r+IF(circ_int,eq_c1/2,0))/2))+2*IF(circ_int,0,eq_c1/2))+(PI()*(s_0+9*s_r+IF(circ_int,eq_c1/2,0))/2)),IF(circ_int,0,eq_c2/2)+(s_0+9*s_r+IF(circ_int,eq_c1/2,0))*SIN(PI()/2+(((11+0.5)*(4*IF(circ_int,0,eq_c1/2)+4*IF(circ_int,0,eq_c2/2)+2*PI()*(s_0+9*s_r+IF(circ_int,eq_c1/2,0)))/INDEX(lk_legs,10))-(((2*IF(circ_int,0,eq_c2/2))+(PI()*(s_0+9*s_r+IF(circ_int,eq_c1/2,0))/2))+2*IF(circ_int,0,eq_c1/2)))/(s_0+9*s_r+IF(circ_int,eq_c1/2,0))),IF(((11+0.5)*(4*IF(circ_int,0,eq_c1/2)+4*IF(circ_int,0,eq_c2/2)+2*PI()*(s_0+9*s_r+IF(circ_int,eq_c1/2,0)))/INDEX(lk_legs,10))&lt;(((((2*IF(circ_int,0,eq_c2/2))+(PI()*(s_0+9*s_r+IF(circ_int,eq_c1/2,0))/2))+2*IF(circ_int,0,eq_c1/2))+(PI()*(s_0+9*s_r+IF(circ_int,eq_c1/2,0))/2))+2*IF(circ_int,0,eq_c2/2)),IF(circ_int,0,eq_c2/2)-(((11+0.5)*(4*IF(circ_int,0,eq_c1/2)+4*IF(circ_int,0,eq_c2/2)+2*PI()*(s_0+9*s_r+IF(circ_int,eq_c1/2,0)))/INDEX(lk_legs,10))-((((2*IF(circ_int,0,eq_c2/2))+(PI()*(s_0+9*s_r+IF(circ_int,eq_c1/2,0))/2))+2*IF(circ_int,0,eq_c1/2))+(PI()*(s_0+9*s_r+IF(circ_int,eq_c1/2,0))/2))),IF(((11+0.5)*(4*IF(circ_int,0,eq_c1/2)+4*IF(circ_int,0,eq_c2/2)+2*PI()*(s_0+9*s_r+IF(circ_int,eq_c1/2,0)))/INDEX(lk_legs,10))&lt;((((((2*IF(circ_int,0,eq_c2/2))+(PI()*(s_0+9*s_r+IF(circ_int,eq_c1/2,0))/2))+2*IF(circ_int,0,eq_c1/2))+(PI()*(s_0+9*s_r+IF(circ_int,eq_c1/2,0))/2))+2*IF(circ_int,0,eq_c2/2))+(PI()*(s_0+9*s_r+IF(circ_int,eq_c1/2,0))/2)),-IF(circ_int,0,eq_c2/2)+(s_0+9*s_r+IF(circ_int,eq_c1/2,0))*SIN(PI()+(((11+0.5)*(4*IF(circ_int,0,eq_c1/2)+4*IF(circ_int,0,eq_c2/2)+2*PI()*(s_0+9*s_r+IF(circ_int,eq_c1/2,0)))/INDEX(lk_legs,10))-(((((2*IF(circ_int,0,eq_c2/2))+(PI()*(s_0+9*s_r+IF(circ_int,eq_c1/2,0))/2))+2*IF(circ_int,0,eq_c1/2))+(PI()*(s_0+9*s_r+IF(circ_int,eq_c1/2,0))/2))+2*IF(circ_int,0,eq_c2/2)))/(s_0+9*s_r+IF(circ_int,eq_c1/2,0))),IF(((11+0.5)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(11+0.5)*(4*IF(circ_int,0,eq_c1/2)+4*IF(circ_int,0,eq_c2/2)+2*PI()*(s_0+9*s_r+IF(circ_int,eq_c1/2,0)))/INDEX(lk_legs,10))-(((((((2*IF(circ_int,0,eq_c2/2))+(PI()*(s_0+9*s_r+IF(circ_int,eq_c1/2,0))/2))+2*IF(circ_int,0,eq_c1/2))+(PI()*(s_0+9*s_r+IF(circ_int,eq_c1/2,0))/2))+2*IF(circ_int,0,eq_c2/2))+(PI()*(s_0+9*s_r+IF(circ_int,eq_c1/2,0))/2))+2*IF(circ_int,0,eq_c1/2)))/(s_0+9*s_r+IF(circ_int,eq_c1/2,0)))))))))),NA())</f>
        <v/>
      </c>
      <c r="DE14">
        <f>IF(AND(links_on,11&lt;=n_per),IF(circ_int,(g_ox)+(c_1/2+(s_0+10*s_r))*0.239316,CHOOSE(INDEX(lk_kind,11),(g_ox+eq_c1/2)+((s_0+10*s_r))*0.130526,(eq_a1+eq_c1)+((s_0+10*s_r))*0.965926,(eq_a1+eq_c1)+((s_0+10*s_r))*0.965926,(eq_a1)+((s_0+10*s_r))*-0.258819)),NA())</f>
        <v/>
      </c>
      <c r="DF14">
        <f>IF(AND(links_on,11&lt;=n_per),IF(circ_int,(g_oy)+(c_1/2+(s_0+10*s_r))*0.970942,CHOOSE(INDEX(lk_kind,11),(g_oy+eq_c2/2)+((s_0+10*s_r))*0.991445,(g_oy+eq_c2/2)+((s_0+10*s_r))*0.258819,(eq_a2+eq_c2)+((s_0+10*s_r))*0.258819,(eq_a2+eq_c2)+((s_0+10*s_r))*0.965926)),NA())</f>
        <v/>
      </c>
      <c r="DH14">
        <f>IF(AND(AND(links_on,11&lt;=n_per),INDEX(lk_kind,11)=1,11&lt;INDEX(lk_legs,11)),g_ox+IF(((11+0.5)*(4*IF(circ_int,0,eq_c1/2)+4*IF(circ_int,0,eq_c2/2)+2*PI()*(s_0+10*s_r+IF(circ_int,eq_c1/2,0)))/INDEX(lk_legs,11))&lt;(2*IF(circ_int,0,eq_c2/2)),IF(circ_int,0,eq_c1/2)+(s_0+10*s_r+IF(circ_int,eq_c1/2,0)),IF(((11+0.5)*(4*IF(circ_int,0,eq_c1/2)+4*IF(circ_int,0,eq_c2/2)+2*PI()*(s_0+10*s_r+IF(circ_int,eq_c1/2,0)))/INDEX(lk_legs,11))&lt;((2*IF(circ_int,0,eq_c2/2))+(PI()*(s_0+10*s_r+IF(circ_int,eq_c1/2,0))/2)),IF(circ_int,0,eq_c1/2)+(s_0+10*s_r+IF(circ_int,eq_c1/2,0))*COS((((11+0.5)*(4*IF(circ_int,0,eq_c1/2)+4*IF(circ_int,0,eq_c2/2)+2*PI()*(s_0+10*s_r+IF(circ_int,eq_c1/2,0)))/INDEX(lk_legs,11))-(2*IF(circ_int,0,eq_c2/2)))/(s_0+10*s_r+IF(circ_int,eq_c1/2,0))),IF(((11+0.5)*(4*IF(circ_int,0,eq_c1/2)+4*IF(circ_int,0,eq_c2/2)+2*PI()*(s_0+10*s_r+IF(circ_int,eq_c1/2,0)))/INDEX(lk_legs,11))&lt;(((2*IF(circ_int,0,eq_c2/2))+(PI()*(s_0+10*s_r+IF(circ_int,eq_c1/2,0))/2))+2*IF(circ_int,0,eq_c1/2)),IF(circ_int,0,eq_c1/2)-(((11+0.5)*(4*IF(circ_int,0,eq_c1/2)+4*IF(circ_int,0,eq_c2/2)+2*PI()*(s_0+10*s_r+IF(circ_int,eq_c1/2,0)))/INDEX(lk_legs,11))-((2*IF(circ_int,0,eq_c2/2))+(PI()*(s_0+10*s_r+IF(circ_int,eq_c1/2,0))/2))),IF(((11+0.5)*(4*IF(circ_int,0,eq_c1/2)+4*IF(circ_int,0,eq_c2/2)+2*PI()*(s_0+10*s_r+IF(circ_int,eq_c1/2,0)))/INDEX(lk_legs,11))&lt;((((2*IF(circ_int,0,eq_c2/2))+(PI()*(s_0+10*s_r+IF(circ_int,eq_c1/2,0))/2))+2*IF(circ_int,0,eq_c1/2))+(PI()*(s_0+10*s_r+IF(circ_int,eq_c1/2,0))/2)),-IF(circ_int,0,eq_c1/2)+(s_0+10*s_r+IF(circ_int,eq_c1/2,0))*COS(PI()/2+(((11+0.5)*(4*IF(circ_int,0,eq_c1/2)+4*IF(circ_int,0,eq_c2/2)+2*PI()*(s_0+10*s_r+IF(circ_int,eq_c1/2,0)))/INDEX(lk_legs,11))-(((2*IF(circ_int,0,eq_c2/2))+(PI()*(s_0+10*s_r+IF(circ_int,eq_c1/2,0))/2))+2*IF(circ_int,0,eq_c1/2)))/(s_0+10*s_r+IF(circ_int,eq_c1/2,0))),IF(((11+0.5)*(4*IF(circ_int,0,eq_c1/2)+4*IF(circ_int,0,eq_c2/2)+2*PI()*(s_0+10*s_r+IF(circ_int,eq_c1/2,0)))/INDEX(lk_legs,11))&lt;(((((2*IF(circ_int,0,eq_c2/2))+(PI()*(s_0+10*s_r+IF(circ_int,eq_c1/2,0))/2))+2*IF(circ_int,0,eq_c1/2))+(PI()*(s_0+10*s_r+IF(circ_int,eq_c1/2,0))/2))+2*IF(circ_int,0,eq_c2/2)),-IF(circ_int,0,eq_c1/2)-(s_0+10*s_r+IF(circ_int,eq_c1/2,0)),IF(((11+0.5)*(4*IF(circ_int,0,eq_c1/2)+4*IF(circ_int,0,eq_c2/2)+2*PI()*(s_0+10*s_r+IF(circ_int,eq_c1/2,0)))/INDEX(lk_legs,11))&lt;((((((2*IF(circ_int,0,eq_c2/2))+(PI()*(s_0+10*s_r+IF(circ_int,eq_c1/2,0))/2))+2*IF(circ_int,0,eq_c1/2))+(PI()*(s_0+10*s_r+IF(circ_int,eq_c1/2,0))/2))+2*IF(circ_int,0,eq_c2/2))+(PI()*(s_0+10*s_r+IF(circ_int,eq_c1/2,0))/2)),-IF(circ_int,0,eq_c1/2)+(s_0+10*s_r+IF(circ_int,eq_c1/2,0))*COS(PI()+(((11+0.5)*(4*IF(circ_int,0,eq_c1/2)+4*IF(circ_int,0,eq_c2/2)+2*PI()*(s_0+10*s_r+IF(circ_int,eq_c1/2,0)))/INDEX(lk_legs,11))-(((((2*IF(circ_int,0,eq_c2/2))+(PI()*(s_0+10*s_r+IF(circ_int,eq_c1/2,0))/2))+2*IF(circ_int,0,eq_c1/2))+(PI()*(s_0+10*s_r+IF(circ_int,eq_c1/2,0))/2))+2*IF(circ_int,0,eq_c2/2)))/(s_0+10*s_r+IF(circ_int,eq_c1/2,0))),IF(((11+0.5)*(4*IF(circ_int,0,eq_c1/2)+4*IF(circ_int,0,eq_c2/2)+2*PI()*(s_0+10*s_r+IF(circ_int,eq_c1/2,0)))/INDEX(lk_legs,11))&lt;(((((((2*IF(circ_int,0,eq_c2/2))+(PI()*(s_0+10*s_r+IF(circ_int,eq_c1/2,0))/2))+2*IF(circ_int,0,eq_c1/2))+(PI()*(s_0+10*s_r+IF(circ_int,eq_c1/2,0))/2))+2*IF(circ_int,0,eq_c2/2))+(PI()*(s_0+10*s_r+IF(circ_int,eq_c1/2,0))/2))+2*IF(circ_int,0,eq_c1/2)),-IF(circ_int,0,eq_c1/2)+(((11+0.5)*(4*IF(circ_int,0,eq_c1/2)+4*IF(circ_int,0,eq_c2/2)+2*PI()*(s_0+10*s_r+IF(circ_int,eq_c1/2,0)))/INDEX(lk_legs,11))-((((((2*IF(circ_int,0,eq_c2/2))+(PI()*(s_0+10*s_r+IF(circ_int,eq_c1/2,0))/2))+2*IF(circ_int,0,eq_c1/2))+(PI()*(s_0+10*s_r+IF(circ_int,eq_c1/2,0))/2))+2*IF(circ_int,0,eq_c2/2))+(PI()*(s_0+10*s_r+IF(circ_int,eq_c1/2,0))/2))),IF(circ_int,0,eq_c1/2)+(s_0+10*s_r+IF(circ_int,eq_c1/2,0))*COS(3*PI()/2+(((11+0.5)*(4*IF(circ_int,0,eq_c1/2)+4*IF(circ_int,0,eq_c2/2)+2*PI()*(s_0+10*s_r+IF(circ_int,eq_c1/2,0)))/INDEX(lk_legs,11))-(((((((2*IF(circ_int,0,eq_c2/2))+(PI()*(s_0+10*s_r+IF(circ_int,eq_c1/2,0))/2))+2*IF(circ_int,0,eq_c1/2))+(PI()*(s_0+10*s_r+IF(circ_int,eq_c1/2,0))/2))+2*IF(circ_int,0,eq_c2/2))+(PI()*(s_0+10*s_r+IF(circ_int,eq_c1/2,0))/2))+2*IF(circ_int,0,eq_c1/2)))/(s_0+10*s_r+IF(circ_int,eq_c1/2,0)))))))))),NA())</f>
        <v/>
      </c>
      <c r="DI14">
        <f>IF(AND(AND(links_on,11&lt;=n_per),INDEX(lk_kind,11)=1,11&lt;INDEX(lk_legs,11)),g_oy+IF(((11+0.5)*(4*IF(circ_int,0,eq_c1/2)+4*IF(circ_int,0,eq_c2/2)+2*PI()*(s_0+10*s_r+IF(circ_int,eq_c1/2,0)))/INDEX(lk_legs,11))&lt;(2*IF(circ_int,0,eq_c2/2)),-IF(circ_int,0,eq_c2/2)+((11+0.5)*(4*IF(circ_int,0,eq_c1/2)+4*IF(circ_int,0,eq_c2/2)+2*PI()*(s_0+10*s_r+IF(circ_int,eq_c1/2,0)))/INDEX(lk_legs,11)),IF(((11+0.5)*(4*IF(circ_int,0,eq_c1/2)+4*IF(circ_int,0,eq_c2/2)+2*PI()*(s_0+10*s_r+IF(circ_int,eq_c1/2,0)))/INDEX(lk_legs,11))&lt;((2*IF(circ_int,0,eq_c2/2))+(PI()*(s_0+10*s_r+IF(circ_int,eq_c1/2,0))/2)),IF(circ_int,0,eq_c2/2)+(s_0+10*s_r+IF(circ_int,eq_c1/2,0))*SIN((((11+0.5)*(4*IF(circ_int,0,eq_c1/2)+4*IF(circ_int,0,eq_c2/2)+2*PI()*(s_0+10*s_r+IF(circ_int,eq_c1/2,0)))/INDEX(lk_legs,11))-(2*IF(circ_int,0,eq_c2/2)))/(s_0+10*s_r+IF(circ_int,eq_c1/2,0))),IF(((11+0.5)*(4*IF(circ_int,0,eq_c1/2)+4*IF(circ_int,0,eq_c2/2)+2*PI()*(s_0+10*s_r+IF(circ_int,eq_c1/2,0)))/INDEX(lk_legs,11))&lt;(((2*IF(circ_int,0,eq_c2/2))+(PI()*(s_0+10*s_r+IF(circ_int,eq_c1/2,0))/2))+2*IF(circ_int,0,eq_c1/2)),IF(circ_int,0,eq_c2/2)+(s_0+10*s_r+IF(circ_int,eq_c1/2,0)),IF(((11+0.5)*(4*IF(circ_int,0,eq_c1/2)+4*IF(circ_int,0,eq_c2/2)+2*PI()*(s_0+10*s_r+IF(circ_int,eq_c1/2,0)))/INDEX(lk_legs,11))&lt;((((2*IF(circ_int,0,eq_c2/2))+(PI()*(s_0+10*s_r+IF(circ_int,eq_c1/2,0))/2))+2*IF(circ_int,0,eq_c1/2))+(PI()*(s_0+10*s_r+IF(circ_int,eq_c1/2,0))/2)),IF(circ_int,0,eq_c2/2)+(s_0+10*s_r+IF(circ_int,eq_c1/2,0))*SIN(PI()/2+(((11+0.5)*(4*IF(circ_int,0,eq_c1/2)+4*IF(circ_int,0,eq_c2/2)+2*PI()*(s_0+10*s_r+IF(circ_int,eq_c1/2,0)))/INDEX(lk_legs,11))-(((2*IF(circ_int,0,eq_c2/2))+(PI()*(s_0+10*s_r+IF(circ_int,eq_c1/2,0))/2))+2*IF(circ_int,0,eq_c1/2)))/(s_0+10*s_r+IF(circ_int,eq_c1/2,0))),IF(((11+0.5)*(4*IF(circ_int,0,eq_c1/2)+4*IF(circ_int,0,eq_c2/2)+2*PI()*(s_0+10*s_r+IF(circ_int,eq_c1/2,0)))/INDEX(lk_legs,11))&lt;(((((2*IF(circ_int,0,eq_c2/2))+(PI()*(s_0+10*s_r+IF(circ_int,eq_c1/2,0))/2))+2*IF(circ_int,0,eq_c1/2))+(PI()*(s_0+10*s_r+IF(circ_int,eq_c1/2,0))/2))+2*IF(circ_int,0,eq_c2/2)),IF(circ_int,0,eq_c2/2)-(((11+0.5)*(4*IF(circ_int,0,eq_c1/2)+4*IF(circ_int,0,eq_c2/2)+2*PI()*(s_0+10*s_r+IF(circ_int,eq_c1/2,0)))/INDEX(lk_legs,11))-((((2*IF(circ_int,0,eq_c2/2))+(PI()*(s_0+10*s_r+IF(circ_int,eq_c1/2,0))/2))+2*IF(circ_int,0,eq_c1/2))+(PI()*(s_0+10*s_r+IF(circ_int,eq_c1/2,0))/2))),IF(((11+0.5)*(4*IF(circ_int,0,eq_c1/2)+4*IF(circ_int,0,eq_c2/2)+2*PI()*(s_0+10*s_r+IF(circ_int,eq_c1/2,0)))/INDEX(lk_legs,11))&lt;((((((2*IF(circ_int,0,eq_c2/2))+(PI()*(s_0+10*s_r+IF(circ_int,eq_c1/2,0))/2))+2*IF(circ_int,0,eq_c1/2))+(PI()*(s_0+10*s_r+IF(circ_int,eq_c1/2,0))/2))+2*IF(circ_int,0,eq_c2/2))+(PI()*(s_0+10*s_r+IF(circ_int,eq_c1/2,0))/2)),-IF(circ_int,0,eq_c2/2)+(s_0+10*s_r+IF(circ_int,eq_c1/2,0))*SIN(PI()+(((11+0.5)*(4*IF(circ_int,0,eq_c1/2)+4*IF(circ_int,0,eq_c2/2)+2*PI()*(s_0+10*s_r+IF(circ_int,eq_c1/2,0)))/INDEX(lk_legs,11))-(((((2*IF(circ_int,0,eq_c2/2))+(PI()*(s_0+10*s_r+IF(circ_int,eq_c1/2,0))/2))+2*IF(circ_int,0,eq_c1/2))+(PI()*(s_0+10*s_r+IF(circ_int,eq_c1/2,0))/2))+2*IF(circ_int,0,eq_c2/2)))/(s_0+10*s_r+IF(circ_int,eq_c1/2,0))),IF(((11+0.5)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(11+0.5)*(4*IF(circ_int,0,eq_c1/2)+4*IF(circ_int,0,eq_c2/2)+2*PI()*(s_0+10*s_r+IF(circ_int,eq_c1/2,0)))/INDEX(lk_legs,11))-(((((((2*IF(circ_int,0,eq_c2/2))+(PI()*(s_0+10*s_r+IF(circ_int,eq_c1/2,0))/2))+2*IF(circ_int,0,eq_c1/2))+(PI()*(s_0+10*s_r+IF(circ_int,eq_c1/2,0))/2))+2*IF(circ_int,0,eq_c2/2))+(PI()*(s_0+10*s_r+IF(circ_int,eq_c1/2,0))/2))+2*IF(circ_int,0,eq_c1/2)))/(s_0+10*s_r+IF(circ_int,eq_c1/2,0)))))))))),NA())</f>
        <v/>
      </c>
      <c r="DK14">
        <f>IF(AND(links_on,12&lt;=n_per),IF(circ_int,(g_ox)+(c_1/2+(s_0+11*s_r))*0.239316,CHOOSE(INDEX(lk_kind,12),(g_ox+eq_c1/2)+((s_0+11*s_r))*0.130526,(eq_a1+eq_c1)+((s_0+11*s_r))*0.965926,(eq_a1+eq_c1)+((s_0+11*s_r))*0.965926,(eq_a1)+((s_0+11*s_r))*-0.258819)),NA())</f>
        <v/>
      </c>
      <c r="DL14">
        <f>IF(AND(links_on,12&lt;=n_per),IF(circ_int,(g_oy)+(c_1/2+(s_0+11*s_r))*0.970942,CHOOSE(INDEX(lk_kind,12),(g_oy+eq_c2/2)+((s_0+11*s_r))*0.991445,(g_oy+eq_c2/2)+((s_0+11*s_r))*0.258819,(eq_a2+eq_c2)+((s_0+11*s_r))*0.258819,(eq_a2+eq_c2)+((s_0+11*s_r))*0.965926)),NA())</f>
        <v/>
      </c>
      <c r="DN14">
        <f>IF(AND(AND(links_on,12&lt;=n_per),INDEX(lk_kind,12)=1,11&lt;INDEX(lk_legs,12)),g_ox+IF(((11+0.5)*(4*IF(circ_int,0,eq_c1/2)+4*IF(circ_int,0,eq_c2/2)+2*PI()*(s_0+11*s_r+IF(circ_int,eq_c1/2,0)))/INDEX(lk_legs,12))&lt;(2*IF(circ_int,0,eq_c2/2)),IF(circ_int,0,eq_c1/2)+(s_0+11*s_r+IF(circ_int,eq_c1/2,0)),IF(((11+0.5)*(4*IF(circ_int,0,eq_c1/2)+4*IF(circ_int,0,eq_c2/2)+2*PI()*(s_0+11*s_r+IF(circ_int,eq_c1/2,0)))/INDEX(lk_legs,12))&lt;((2*IF(circ_int,0,eq_c2/2))+(PI()*(s_0+11*s_r+IF(circ_int,eq_c1/2,0))/2)),IF(circ_int,0,eq_c1/2)+(s_0+11*s_r+IF(circ_int,eq_c1/2,0))*COS((((11+0.5)*(4*IF(circ_int,0,eq_c1/2)+4*IF(circ_int,0,eq_c2/2)+2*PI()*(s_0+11*s_r+IF(circ_int,eq_c1/2,0)))/INDEX(lk_legs,12))-(2*IF(circ_int,0,eq_c2/2)))/(s_0+11*s_r+IF(circ_int,eq_c1/2,0))),IF(((11+0.5)*(4*IF(circ_int,0,eq_c1/2)+4*IF(circ_int,0,eq_c2/2)+2*PI()*(s_0+11*s_r+IF(circ_int,eq_c1/2,0)))/INDEX(lk_legs,12))&lt;(((2*IF(circ_int,0,eq_c2/2))+(PI()*(s_0+11*s_r+IF(circ_int,eq_c1/2,0))/2))+2*IF(circ_int,0,eq_c1/2)),IF(circ_int,0,eq_c1/2)-(((11+0.5)*(4*IF(circ_int,0,eq_c1/2)+4*IF(circ_int,0,eq_c2/2)+2*PI()*(s_0+11*s_r+IF(circ_int,eq_c1/2,0)))/INDEX(lk_legs,12))-((2*IF(circ_int,0,eq_c2/2))+(PI()*(s_0+11*s_r+IF(circ_int,eq_c1/2,0))/2))),IF(((11+0.5)*(4*IF(circ_int,0,eq_c1/2)+4*IF(circ_int,0,eq_c2/2)+2*PI()*(s_0+11*s_r+IF(circ_int,eq_c1/2,0)))/INDEX(lk_legs,12))&lt;((((2*IF(circ_int,0,eq_c2/2))+(PI()*(s_0+11*s_r+IF(circ_int,eq_c1/2,0))/2))+2*IF(circ_int,0,eq_c1/2))+(PI()*(s_0+11*s_r+IF(circ_int,eq_c1/2,0))/2)),-IF(circ_int,0,eq_c1/2)+(s_0+11*s_r+IF(circ_int,eq_c1/2,0))*COS(PI()/2+(((11+0.5)*(4*IF(circ_int,0,eq_c1/2)+4*IF(circ_int,0,eq_c2/2)+2*PI()*(s_0+11*s_r+IF(circ_int,eq_c1/2,0)))/INDEX(lk_legs,12))-(((2*IF(circ_int,0,eq_c2/2))+(PI()*(s_0+11*s_r+IF(circ_int,eq_c1/2,0))/2))+2*IF(circ_int,0,eq_c1/2)))/(s_0+11*s_r+IF(circ_int,eq_c1/2,0))),IF(((11+0.5)*(4*IF(circ_int,0,eq_c1/2)+4*IF(circ_int,0,eq_c2/2)+2*PI()*(s_0+11*s_r+IF(circ_int,eq_c1/2,0)))/INDEX(lk_legs,12))&lt;(((((2*IF(circ_int,0,eq_c2/2))+(PI()*(s_0+11*s_r+IF(circ_int,eq_c1/2,0))/2))+2*IF(circ_int,0,eq_c1/2))+(PI()*(s_0+11*s_r+IF(circ_int,eq_c1/2,0))/2))+2*IF(circ_int,0,eq_c2/2)),-IF(circ_int,0,eq_c1/2)-(s_0+11*s_r+IF(circ_int,eq_c1/2,0)),IF(((11+0.5)*(4*IF(circ_int,0,eq_c1/2)+4*IF(circ_int,0,eq_c2/2)+2*PI()*(s_0+11*s_r+IF(circ_int,eq_c1/2,0)))/INDEX(lk_legs,12))&lt;((((((2*IF(circ_int,0,eq_c2/2))+(PI()*(s_0+11*s_r+IF(circ_int,eq_c1/2,0))/2))+2*IF(circ_int,0,eq_c1/2))+(PI()*(s_0+11*s_r+IF(circ_int,eq_c1/2,0))/2))+2*IF(circ_int,0,eq_c2/2))+(PI()*(s_0+11*s_r+IF(circ_int,eq_c1/2,0))/2)),-IF(circ_int,0,eq_c1/2)+(s_0+11*s_r+IF(circ_int,eq_c1/2,0))*COS(PI()+(((11+0.5)*(4*IF(circ_int,0,eq_c1/2)+4*IF(circ_int,0,eq_c2/2)+2*PI()*(s_0+11*s_r+IF(circ_int,eq_c1/2,0)))/INDEX(lk_legs,12))-(((((2*IF(circ_int,0,eq_c2/2))+(PI()*(s_0+11*s_r+IF(circ_int,eq_c1/2,0))/2))+2*IF(circ_int,0,eq_c1/2))+(PI()*(s_0+11*s_r+IF(circ_int,eq_c1/2,0))/2))+2*IF(circ_int,0,eq_c2/2)))/(s_0+11*s_r+IF(circ_int,eq_c1/2,0))),IF(((11+0.5)*(4*IF(circ_int,0,eq_c1/2)+4*IF(circ_int,0,eq_c2/2)+2*PI()*(s_0+11*s_r+IF(circ_int,eq_c1/2,0)))/INDEX(lk_legs,12))&lt;(((((((2*IF(circ_int,0,eq_c2/2))+(PI()*(s_0+11*s_r+IF(circ_int,eq_c1/2,0))/2))+2*IF(circ_int,0,eq_c1/2))+(PI()*(s_0+11*s_r+IF(circ_int,eq_c1/2,0))/2))+2*IF(circ_int,0,eq_c2/2))+(PI()*(s_0+11*s_r+IF(circ_int,eq_c1/2,0))/2))+2*IF(circ_int,0,eq_c1/2)),-IF(circ_int,0,eq_c1/2)+(((11+0.5)*(4*IF(circ_int,0,eq_c1/2)+4*IF(circ_int,0,eq_c2/2)+2*PI()*(s_0+11*s_r+IF(circ_int,eq_c1/2,0)))/INDEX(lk_legs,12))-((((((2*IF(circ_int,0,eq_c2/2))+(PI()*(s_0+11*s_r+IF(circ_int,eq_c1/2,0))/2))+2*IF(circ_int,0,eq_c1/2))+(PI()*(s_0+11*s_r+IF(circ_int,eq_c1/2,0))/2))+2*IF(circ_int,0,eq_c2/2))+(PI()*(s_0+11*s_r+IF(circ_int,eq_c1/2,0))/2))),IF(circ_int,0,eq_c1/2)+(s_0+11*s_r+IF(circ_int,eq_c1/2,0))*COS(3*PI()/2+(((11+0.5)*(4*IF(circ_int,0,eq_c1/2)+4*IF(circ_int,0,eq_c2/2)+2*PI()*(s_0+11*s_r+IF(circ_int,eq_c1/2,0)))/INDEX(lk_legs,12))-(((((((2*IF(circ_int,0,eq_c2/2))+(PI()*(s_0+11*s_r+IF(circ_int,eq_c1/2,0))/2))+2*IF(circ_int,0,eq_c1/2))+(PI()*(s_0+11*s_r+IF(circ_int,eq_c1/2,0))/2))+2*IF(circ_int,0,eq_c2/2))+(PI()*(s_0+11*s_r+IF(circ_int,eq_c1/2,0))/2))+2*IF(circ_int,0,eq_c1/2)))/(s_0+11*s_r+IF(circ_int,eq_c1/2,0)))))))))),NA())</f>
        <v/>
      </c>
      <c r="DO14">
        <f>IF(AND(AND(links_on,12&lt;=n_per),INDEX(lk_kind,12)=1,11&lt;INDEX(lk_legs,12)),g_oy+IF(((11+0.5)*(4*IF(circ_int,0,eq_c1/2)+4*IF(circ_int,0,eq_c2/2)+2*PI()*(s_0+11*s_r+IF(circ_int,eq_c1/2,0)))/INDEX(lk_legs,12))&lt;(2*IF(circ_int,0,eq_c2/2)),-IF(circ_int,0,eq_c2/2)+((11+0.5)*(4*IF(circ_int,0,eq_c1/2)+4*IF(circ_int,0,eq_c2/2)+2*PI()*(s_0+11*s_r+IF(circ_int,eq_c1/2,0)))/INDEX(lk_legs,12)),IF(((11+0.5)*(4*IF(circ_int,0,eq_c1/2)+4*IF(circ_int,0,eq_c2/2)+2*PI()*(s_0+11*s_r+IF(circ_int,eq_c1/2,0)))/INDEX(lk_legs,12))&lt;((2*IF(circ_int,0,eq_c2/2))+(PI()*(s_0+11*s_r+IF(circ_int,eq_c1/2,0))/2)),IF(circ_int,0,eq_c2/2)+(s_0+11*s_r+IF(circ_int,eq_c1/2,0))*SIN((((11+0.5)*(4*IF(circ_int,0,eq_c1/2)+4*IF(circ_int,0,eq_c2/2)+2*PI()*(s_0+11*s_r+IF(circ_int,eq_c1/2,0)))/INDEX(lk_legs,12))-(2*IF(circ_int,0,eq_c2/2)))/(s_0+11*s_r+IF(circ_int,eq_c1/2,0))),IF(((11+0.5)*(4*IF(circ_int,0,eq_c1/2)+4*IF(circ_int,0,eq_c2/2)+2*PI()*(s_0+11*s_r+IF(circ_int,eq_c1/2,0)))/INDEX(lk_legs,12))&lt;(((2*IF(circ_int,0,eq_c2/2))+(PI()*(s_0+11*s_r+IF(circ_int,eq_c1/2,0))/2))+2*IF(circ_int,0,eq_c1/2)),IF(circ_int,0,eq_c2/2)+(s_0+11*s_r+IF(circ_int,eq_c1/2,0)),IF(((11+0.5)*(4*IF(circ_int,0,eq_c1/2)+4*IF(circ_int,0,eq_c2/2)+2*PI()*(s_0+11*s_r+IF(circ_int,eq_c1/2,0)))/INDEX(lk_legs,12))&lt;((((2*IF(circ_int,0,eq_c2/2))+(PI()*(s_0+11*s_r+IF(circ_int,eq_c1/2,0))/2))+2*IF(circ_int,0,eq_c1/2))+(PI()*(s_0+11*s_r+IF(circ_int,eq_c1/2,0))/2)),IF(circ_int,0,eq_c2/2)+(s_0+11*s_r+IF(circ_int,eq_c1/2,0))*SIN(PI()/2+(((11+0.5)*(4*IF(circ_int,0,eq_c1/2)+4*IF(circ_int,0,eq_c2/2)+2*PI()*(s_0+11*s_r+IF(circ_int,eq_c1/2,0)))/INDEX(lk_legs,12))-(((2*IF(circ_int,0,eq_c2/2))+(PI()*(s_0+11*s_r+IF(circ_int,eq_c1/2,0))/2))+2*IF(circ_int,0,eq_c1/2)))/(s_0+11*s_r+IF(circ_int,eq_c1/2,0))),IF(((11+0.5)*(4*IF(circ_int,0,eq_c1/2)+4*IF(circ_int,0,eq_c2/2)+2*PI()*(s_0+11*s_r+IF(circ_int,eq_c1/2,0)))/INDEX(lk_legs,12))&lt;(((((2*IF(circ_int,0,eq_c2/2))+(PI()*(s_0+11*s_r+IF(circ_int,eq_c1/2,0))/2))+2*IF(circ_int,0,eq_c1/2))+(PI()*(s_0+11*s_r+IF(circ_int,eq_c1/2,0))/2))+2*IF(circ_int,0,eq_c2/2)),IF(circ_int,0,eq_c2/2)-(((11+0.5)*(4*IF(circ_int,0,eq_c1/2)+4*IF(circ_int,0,eq_c2/2)+2*PI()*(s_0+11*s_r+IF(circ_int,eq_c1/2,0)))/INDEX(lk_legs,12))-((((2*IF(circ_int,0,eq_c2/2))+(PI()*(s_0+11*s_r+IF(circ_int,eq_c1/2,0))/2))+2*IF(circ_int,0,eq_c1/2))+(PI()*(s_0+11*s_r+IF(circ_int,eq_c1/2,0))/2))),IF(((11+0.5)*(4*IF(circ_int,0,eq_c1/2)+4*IF(circ_int,0,eq_c2/2)+2*PI()*(s_0+11*s_r+IF(circ_int,eq_c1/2,0)))/INDEX(lk_legs,12))&lt;((((((2*IF(circ_int,0,eq_c2/2))+(PI()*(s_0+11*s_r+IF(circ_int,eq_c1/2,0))/2))+2*IF(circ_int,0,eq_c1/2))+(PI()*(s_0+11*s_r+IF(circ_int,eq_c1/2,0))/2))+2*IF(circ_int,0,eq_c2/2))+(PI()*(s_0+11*s_r+IF(circ_int,eq_c1/2,0))/2)),-IF(circ_int,0,eq_c2/2)+(s_0+11*s_r+IF(circ_int,eq_c1/2,0))*SIN(PI()+(((11+0.5)*(4*IF(circ_int,0,eq_c1/2)+4*IF(circ_int,0,eq_c2/2)+2*PI()*(s_0+11*s_r+IF(circ_int,eq_c1/2,0)))/INDEX(lk_legs,12))-(((((2*IF(circ_int,0,eq_c2/2))+(PI()*(s_0+11*s_r+IF(circ_int,eq_c1/2,0))/2))+2*IF(circ_int,0,eq_c1/2))+(PI()*(s_0+11*s_r+IF(circ_int,eq_c1/2,0))/2))+2*IF(circ_int,0,eq_c2/2)))/(s_0+11*s_r+IF(circ_int,eq_c1/2,0))),IF(((11+0.5)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(11+0.5)*(4*IF(circ_int,0,eq_c1/2)+4*IF(circ_int,0,eq_c2/2)+2*PI()*(s_0+11*s_r+IF(circ_int,eq_c1/2,0)))/INDEX(lk_legs,12))-(((((((2*IF(circ_int,0,eq_c2/2))+(PI()*(s_0+11*s_r+IF(circ_int,eq_c1/2,0))/2))+2*IF(circ_int,0,eq_c1/2))+(PI()*(s_0+11*s_r+IF(circ_int,eq_c1/2,0))/2))+2*IF(circ_int,0,eq_c2/2))+(PI()*(s_0+11*s_r+IF(circ_int,eq_c1/2,0))/2))+2*IF(circ_int,0,eq_c1/2)))/(s_0+11*s_r+IF(circ_int,eq_c1/2,0)))))))))),NA())</f>
        <v/>
      </c>
    </row>
    <row r="15">
      <c r="A15">
        <f>IF(shape="Circular",(g_ox)+(c_1/2+0)*0.120537,CHOOSE(1,(g_ox+eq_c1/2)+(0)*0.000000,(eq_a1+eq_c1)+(0)*0.991445,(eq_a1+eq_c1)+(0)*0.991445,(eq_a1)+(0)*-0.130526))</f>
        <v/>
      </c>
      <c r="B15">
        <f>IF(shape="Circular",(g_oy)+(c_1/2+0)*0.992709,CHOOSE(1,(g_oy+eq_c2/2)+(0)*1.000000,(g_oy+eq_c2/2)+(0)*0.130526,(eq_a2+eq_c2)+(0)*0.130526,(eq_a2+eq_c2)+(0)*0.991445))</f>
        <v/>
      </c>
      <c r="D15">
        <f>IF(circ_int,(g_ox)+(c_1/2+2*d_eff)*0.120537,CHOOSE(geo_idx,(g_ox+eq_c1/2)+(2*d_eff)*0.000000,(eq_a1+eq_c1)+(2*d_eff)*0.991445,(eq_a1+eq_c1)+(2*d_eff)*0.991445,(eq_a1)+(2*d_eff)*-0.130526))</f>
        <v/>
      </c>
      <c r="E15">
        <f>IF(circ_int,(g_oy)+(c_1/2+2*d_eff)*0.992709,CHOOSE(geo_idx,(g_oy+eq_c2/2)+(2*d_eff)*1.000000,(g_oy+eq_c2/2)+(2*d_eff)*0.130526,(eq_a2+eq_c2)+(2*d_eff)*0.130526,(eq_a2+eq_c2)+(2*d_eff)*0.991445))</f>
        <v/>
      </c>
      <c r="G15">
        <f>IF(AND(inputs_ok,punch_ok,A_sw&gt;0),IF(circ_int,(g_ox)+(c_1/2+r_out)*0.120537,CHOOSE(kind_out,(g_ox+eq_c1/2)+(r_out)*0.000000,(eq_a1+eq_c1)+(r_out)*0.991445,(eq_a1+eq_c1)+(r_out)*0.991445,(eq_a1)+(r_out)*-0.130526)),NA())</f>
        <v/>
      </c>
      <c r="H15">
        <f>IF(AND(inputs_ok,punch_ok,A_sw&gt;0),IF(circ_int,(g_oy)+(c_1/2+r_out)*0.992709,CHOOSE(kind_out,(g_oy+eq_c2/2)+(r_out)*1.000000,(g_oy+eq_c2/2)+(r_out)*0.130526,(eq_a2+eq_c2)+(r_out)*0.130526,(eq_a2+eq_c2)+(r_out)*0.991445)),NA())</f>
        <v/>
      </c>
      <c r="AW15">
        <f>IF(AND(links_on,1&lt;=n_per),IF(circ_int,(g_ox)+(c_1/2+(s_0+0*s_r))*0.120537,CHOOSE(INDEX(lk_kind,1),(g_ox+eq_c1/2)+((s_0+0*s_r))*0.000000,(eq_a1+eq_c1)+((s_0+0*s_r))*0.991445,(eq_a1+eq_c1)+((s_0+0*s_r))*0.991445,(eq_a1)+((s_0+0*s_r))*-0.130526)),NA())</f>
        <v/>
      </c>
      <c r="AX15">
        <f>IF(AND(links_on,1&lt;=n_per),IF(circ_int,(g_oy)+(c_1/2+(s_0+0*s_r))*0.992709,CHOOSE(INDEX(lk_kind,1),(g_oy+eq_c2/2)+((s_0+0*s_r))*1.000000,(g_oy+eq_c2/2)+((s_0+0*s_r))*0.130526,(eq_a2+eq_c2)+((s_0+0*s_r))*0.130526,(eq_a2+eq_c2)+((s_0+0*s_r))*0.991445)),NA())</f>
        <v/>
      </c>
      <c r="AZ15">
        <f>IF(AND(AND(links_on,1&lt;=n_per),INDEX(lk_kind,1)=1,12&lt;INDEX(lk_legs,1)),g_ox+IF(((12+0.5)*(4*IF(circ_int,0,eq_c1/2)+4*IF(circ_int,0,eq_c2/2)+2*PI()*(s_0+0*s_r+IF(circ_int,eq_c1/2,0)))/INDEX(lk_legs,1))&lt;(2*IF(circ_int,0,eq_c2/2)),IF(circ_int,0,eq_c1/2)+(s_0+0*s_r+IF(circ_int,eq_c1/2,0)),IF(((12+0.5)*(4*IF(circ_int,0,eq_c1/2)+4*IF(circ_int,0,eq_c2/2)+2*PI()*(s_0+0*s_r+IF(circ_int,eq_c1/2,0)))/INDEX(lk_legs,1))&lt;((2*IF(circ_int,0,eq_c2/2))+(PI()*(s_0+0*s_r+IF(circ_int,eq_c1/2,0))/2)),IF(circ_int,0,eq_c1/2)+(s_0+0*s_r+IF(circ_int,eq_c1/2,0))*COS((((12+0.5)*(4*IF(circ_int,0,eq_c1/2)+4*IF(circ_int,0,eq_c2/2)+2*PI()*(s_0+0*s_r+IF(circ_int,eq_c1/2,0)))/INDEX(lk_legs,1))-(2*IF(circ_int,0,eq_c2/2)))/(s_0+0*s_r+IF(circ_int,eq_c1/2,0))),IF(((12+0.5)*(4*IF(circ_int,0,eq_c1/2)+4*IF(circ_int,0,eq_c2/2)+2*PI()*(s_0+0*s_r+IF(circ_int,eq_c1/2,0)))/INDEX(lk_legs,1))&lt;(((2*IF(circ_int,0,eq_c2/2))+(PI()*(s_0+0*s_r+IF(circ_int,eq_c1/2,0))/2))+2*IF(circ_int,0,eq_c1/2)),IF(circ_int,0,eq_c1/2)-(((12+0.5)*(4*IF(circ_int,0,eq_c1/2)+4*IF(circ_int,0,eq_c2/2)+2*PI()*(s_0+0*s_r+IF(circ_int,eq_c1/2,0)))/INDEX(lk_legs,1))-((2*IF(circ_int,0,eq_c2/2))+(PI()*(s_0+0*s_r+IF(circ_int,eq_c1/2,0))/2))),IF(((12+0.5)*(4*IF(circ_int,0,eq_c1/2)+4*IF(circ_int,0,eq_c2/2)+2*PI()*(s_0+0*s_r+IF(circ_int,eq_c1/2,0)))/INDEX(lk_legs,1))&lt;((((2*IF(circ_int,0,eq_c2/2))+(PI()*(s_0+0*s_r+IF(circ_int,eq_c1/2,0))/2))+2*IF(circ_int,0,eq_c1/2))+(PI()*(s_0+0*s_r+IF(circ_int,eq_c1/2,0))/2)),-IF(circ_int,0,eq_c1/2)+(s_0+0*s_r+IF(circ_int,eq_c1/2,0))*COS(PI()/2+(((12+0.5)*(4*IF(circ_int,0,eq_c1/2)+4*IF(circ_int,0,eq_c2/2)+2*PI()*(s_0+0*s_r+IF(circ_int,eq_c1/2,0)))/INDEX(lk_legs,1))-(((2*IF(circ_int,0,eq_c2/2))+(PI()*(s_0+0*s_r+IF(circ_int,eq_c1/2,0))/2))+2*IF(circ_int,0,eq_c1/2)))/(s_0+0*s_r+IF(circ_int,eq_c1/2,0))),IF(((12+0.5)*(4*IF(circ_int,0,eq_c1/2)+4*IF(circ_int,0,eq_c2/2)+2*PI()*(s_0+0*s_r+IF(circ_int,eq_c1/2,0)))/INDEX(lk_legs,1))&lt;(((((2*IF(circ_int,0,eq_c2/2))+(PI()*(s_0+0*s_r+IF(circ_int,eq_c1/2,0))/2))+2*IF(circ_int,0,eq_c1/2))+(PI()*(s_0+0*s_r+IF(circ_int,eq_c1/2,0))/2))+2*IF(circ_int,0,eq_c2/2)),-IF(circ_int,0,eq_c1/2)-(s_0+0*s_r+IF(circ_int,eq_c1/2,0)),IF(((12+0.5)*(4*IF(circ_int,0,eq_c1/2)+4*IF(circ_int,0,eq_c2/2)+2*PI()*(s_0+0*s_r+IF(circ_int,eq_c1/2,0)))/INDEX(lk_legs,1))&lt;((((((2*IF(circ_int,0,eq_c2/2))+(PI()*(s_0+0*s_r+IF(circ_int,eq_c1/2,0))/2))+2*IF(circ_int,0,eq_c1/2))+(PI()*(s_0+0*s_r+IF(circ_int,eq_c1/2,0))/2))+2*IF(circ_int,0,eq_c2/2))+(PI()*(s_0+0*s_r+IF(circ_int,eq_c1/2,0))/2)),-IF(circ_int,0,eq_c1/2)+(s_0+0*s_r+IF(circ_int,eq_c1/2,0))*COS(PI()+(((12+0.5)*(4*IF(circ_int,0,eq_c1/2)+4*IF(circ_int,0,eq_c2/2)+2*PI()*(s_0+0*s_r+IF(circ_int,eq_c1/2,0)))/INDEX(lk_legs,1))-(((((2*IF(circ_int,0,eq_c2/2))+(PI()*(s_0+0*s_r+IF(circ_int,eq_c1/2,0))/2))+2*IF(circ_int,0,eq_c1/2))+(PI()*(s_0+0*s_r+IF(circ_int,eq_c1/2,0))/2))+2*IF(circ_int,0,eq_c2/2)))/(s_0+0*s_r+IF(circ_int,eq_c1/2,0))),IF(((12+0.5)*(4*IF(circ_int,0,eq_c1/2)+4*IF(circ_int,0,eq_c2/2)+2*PI()*(s_0+0*s_r+IF(circ_int,eq_c1/2,0)))/INDEX(lk_legs,1))&lt;(((((((2*IF(circ_int,0,eq_c2/2))+(PI()*(s_0+0*s_r+IF(circ_int,eq_c1/2,0))/2))+2*IF(circ_int,0,eq_c1/2))+(PI()*(s_0+0*s_r+IF(circ_int,eq_c1/2,0))/2))+2*IF(circ_int,0,eq_c2/2))+(PI()*(s_0+0*s_r+IF(circ_int,eq_c1/2,0))/2))+2*IF(circ_int,0,eq_c1/2)),-IF(circ_int,0,eq_c1/2)+(((12+0.5)*(4*IF(circ_int,0,eq_c1/2)+4*IF(circ_int,0,eq_c2/2)+2*PI()*(s_0+0*s_r+IF(circ_int,eq_c1/2,0)))/INDEX(lk_legs,1))-((((((2*IF(circ_int,0,eq_c2/2))+(PI()*(s_0+0*s_r+IF(circ_int,eq_c1/2,0))/2))+2*IF(circ_int,0,eq_c1/2))+(PI()*(s_0+0*s_r+IF(circ_int,eq_c1/2,0))/2))+2*IF(circ_int,0,eq_c2/2))+(PI()*(s_0+0*s_r+IF(circ_int,eq_c1/2,0))/2))),IF(circ_int,0,eq_c1/2)+(s_0+0*s_r+IF(circ_int,eq_c1/2,0))*COS(3*PI()/2+(((12+0.5)*(4*IF(circ_int,0,eq_c1/2)+4*IF(circ_int,0,eq_c2/2)+2*PI()*(s_0+0*s_r+IF(circ_int,eq_c1/2,0)))/INDEX(lk_legs,1))-(((((((2*IF(circ_int,0,eq_c2/2))+(PI()*(s_0+0*s_r+IF(circ_int,eq_c1/2,0))/2))+2*IF(circ_int,0,eq_c1/2))+(PI()*(s_0+0*s_r+IF(circ_int,eq_c1/2,0))/2))+2*IF(circ_int,0,eq_c2/2))+(PI()*(s_0+0*s_r+IF(circ_int,eq_c1/2,0))/2))+2*IF(circ_int,0,eq_c1/2)))/(s_0+0*s_r+IF(circ_int,eq_c1/2,0)))))))))),NA())</f>
        <v/>
      </c>
      <c r="BA15">
        <f>IF(AND(AND(links_on,1&lt;=n_per),INDEX(lk_kind,1)=1,12&lt;INDEX(lk_legs,1)),g_oy+IF(((12+0.5)*(4*IF(circ_int,0,eq_c1/2)+4*IF(circ_int,0,eq_c2/2)+2*PI()*(s_0+0*s_r+IF(circ_int,eq_c1/2,0)))/INDEX(lk_legs,1))&lt;(2*IF(circ_int,0,eq_c2/2)),-IF(circ_int,0,eq_c2/2)+((12+0.5)*(4*IF(circ_int,0,eq_c1/2)+4*IF(circ_int,0,eq_c2/2)+2*PI()*(s_0+0*s_r+IF(circ_int,eq_c1/2,0)))/INDEX(lk_legs,1)),IF(((12+0.5)*(4*IF(circ_int,0,eq_c1/2)+4*IF(circ_int,0,eq_c2/2)+2*PI()*(s_0+0*s_r+IF(circ_int,eq_c1/2,0)))/INDEX(lk_legs,1))&lt;((2*IF(circ_int,0,eq_c2/2))+(PI()*(s_0+0*s_r+IF(circ_int,eq_c1/2,0))/2)),IF(circ_int,0,eq_c2/2)+(s_0+0*s_r+IF(circ_int,eq_c1/2,0))*SIN((((12+0.5)*(4*IF(circ_int,0,eq_c1/2)+4*IF(circ_int,0,eq_c2/2)+2*PI()*(s_0+0*s_r+IF(circ_int,eq_c1/2,0)))/INDEX(lk_legs,1))-(2*IF(circ_int,0,eq_c2/2)))/(s_0+0*s_r+IF(circ_int,eq_c1/2,0))),IF(((12+0.5)*(4*IF(circ_int,0,eq_c1/2)+4*IF(circ_int,0,eq_c2/2)+2*PI()*(s_0+0*s_r+IF(circ_int,eq_c1/2,0)))/INDEX(lk_legs,1))&lt;(((2*IF(circ_int,0,eq_c2/2))+(PI()*(s_0+0*s_r+IF(circ_int,eq_c1/2,0))/2))+2*IF(circ_int,0,eq_c1/2)),IF(circ_int,0,eq_c2/2)+(s_0+0*s_r+IF(circ_int,eq_c1/2,0)),IF(((12+0.5)*(4*IF(circ_int,0,eq_c1/2)+4*IF(circ_int,0,eq_c2/2)+2*PI()*(s_0+0*s_r+IF(circ_int,eq_c1/2,0)))/INDEX(lk_legs,1))&lt;((((2*IF(circ_int,0,eq_c2/2))+(PI()*(s_0+0*s_r+IF(circ_int,eq_c1/2,0))/2))+2*IF(circ_int,0,eq_c1/2))+(PI()*(s_0+0*s_r+IF(circ_int,eq_c1/2,0))/2)),IF(circ_int,0,eq_c2/2)+(s_0+0*s_r+IF(circ_int,eq_c1/2,0))*SIN(PI()/2+(((12+0.5)*(4*IF(circ_int,0,eq_c1/2)+4*IF(circ_int,0,eq_c2/2)+2*PI()*(s_0+0*s_r+IF(circ_int,eq_c1/2,0)))/INDEX(lk_legs,1))-(((2*IF(circ_int,0,eq_c2/2))+(PI()*(s_0+0*s_r+IF(circ_int,eq_c1/2,0))/2))+2*IF(circ_int,0,eq_c1/2)))/(s_0+0*s_r+IF(circ_int,eq_c1/2,0))),IF(((12+0.5)*(4*IF(circ_int,0,eq_c1/2)+4*IF(circ_int,0,eq_c2/2)+2*PI()*(s_0+0*s_r+IF(circ_int,eq_c1/2,0)))/INDEX(lk_legs,1))&lt;(((((2*IF(circ_int,0,eq_c2/2))+(PI()*(s_0+0*s_r+IF(circ_int,eq_c1/2,0))/2))+2*IF(circ_int,0,eq_c1/2))+(PI()*(s_0+0*s_r+IF(circ_int,eq_c1/2,0))/2))+2*IF(circ_int,0,eq_c2/2)),IF(circ_int,0,eq_c2/2)-(((12+0.5)*(4*IF(circ_int,0,eq_c1/2)+4*IF(circ_int,0,eq_c2/2)+2*PI()*(s_0+0*s_r+IF(circ_int,eq_c1/2,0)))/INDEX(lk_legs,1))-((((2*IF(circ_int,0,eq_c2/2))+(PI()*(s_0+0*s_r+IF(circ_int,eq_c1/2,0))/2))+2*IF(circ_int,0,eq_c1/2))+(PI()*(s_0+0*s_r+IF(circ_int,eq_c1/2,0))/2))),IF(((12+0.5)*(4*IF(circ_int,0,eq_c1/2)+4*IF(circ_int,0,eq_c2/2)+2*PI()*(s_0+0*s_r+IF(circ_int,eq_c1/2,0)))/INDEX(lk_legs,1))&lt;((((((2*IF(circ_int,0,eq_c2/2))+(PI()*(s_0+0*s_r+IF(circ_int,eq_c1/2,0))/2))+2*IF(circ_int,0,eq_c1/2))+(PI()*(s_0+0*s_r+IF(circ_int,eq_c1/2,0))/2))+2*IF(circ_int,0,eq_c2/2))+(PI()*(s_0+0*s_r+IF(circ_int,eq_c1/2,0))/2)),-IF(circ_int,0,eq_c2/2)+(s_0+0*s_r+IF(circ_int,eq_c1/2,0))*SIN(PI()+(((12+0.5)*(4*IF(circ_int,0,eq_c1/2)+4*IF(circ_int,0,eq_c2/2)+2*PI()*(s_0+0*s_r+IF(circ_int,eq_c1/2,0)))/INDEX(lk_legs,1))-(((((2*IF(circ_int,0,eq_c2/2))+(PI()*(s_0+0*s_r+IF(circ_int,eq_c1/2,0))/2))+2*IF(circ_int,0,eq_c1/2))+(PI()*(s_0+0*s_r+IF(circ_int,eq_c1/2,0))/2))+2*IF(circ_int,0,eq_c2/2)))/(s_0+0*s_r+IF(circ_int,eq_c1/2,0))),IF(((12+0.5)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(12+0.5)*(4*IF(circ_int,0,eq_c1/2)+4*IF(circ_int,0,eq_c2/2)+2*PI()*(s_0+0*s_r+IF(circ_int,eq_c1/2,0)))/INDEX(lk_legs,1))-(((((((2*IF(circ_int,0,eq_c2/2))+(PI()*(s_0+0*s_r+IF(circ_int,eq_c1/2,0))/2))+2*IF(circ_int,0,eq_c1/2))+(PI()*(s_0+0*s_r+IF(circ_int,eq_c1/2,0))/2))+2*IF(circ_int,0,eq_c2/2))+(PI()*(s_0+0*s_r+IF(circ_int,eq_c1/2,0))/2))+2*IF(circ_int,0,eq_c1/2)))/(s_0+0*s_r+IF(circ_int,eq_c1/2,0)))))))))),NA())</f>
        <v/>
      </c>
      <c r="BC15">
        <f>IF(AND(links_on,2&lt;=n_per),IF(circ_int,(g_ox)+(c_1/2+(s_0+1*s_r))*0.120537,CHOOSE(INDEX(lk_kind,2),(g_ox+eq_c1/2)+((s_0+1*s_r))*0.000000,(eq_a1+eq_c1)+((s_0+1*s_r))*0.991445,(eq_a1+eq_c1)+((s_0+1*s_r))*0.991445,(eq_a1)+((s_0+1*s_r))*-0.130526)),NA())</f>
        <v/>
      </c>
      <c r="BD15">
        <f>IF(AND(links_on,2&lt;=n_per),IF(circ_int,(g_oy)+(c_1/2+(s_0+1*s_r))*0.992709,CHOOSE(INDEX(lk_kind,2),(g_oy+eq_c2/2)+((s_0+1*s_r))*1.000000,(g_oy+eq_c2/2)+((s_0+1*s_r))*0.130526,(eq_a2+eq_c2)+((s_0+1*s_r))*0.130526,(eq_a2+eq_c2)+((s_0+1*s_r))*0.991445)),NA())</f>
        <v/>
      </c>
      <c r="BF15">
        <f>IF(AND(AND(links_on,2&lt;=n_per),INDEX(lk_kind,2)=1,12&lt;INDEX(lk_legs,2)),g_ox+IF(((12+0.5)*(4*IF(circ_int,0,eq_c1/2)+4*IF(circ_int,0,eq_c2/2)+2*PI()*(s_0+1*s_r+IF(circ_int,eq_c1/2,0)))/INDEX(lk_legs,2))&lt;(2*IF(circ_int,0,eq_c2/2)),IF(circ_int,0,eq_c1/2)+(s_0+1*s_r+IF(circ_int,eq_c1/2,0)),IF(((12+0.5)*(4*IF(circ_int,0,eq_c1/2)+4*IF(circ_int,0,eq_c2/2)+2*PI()*(s_0+1*s_r+IF(circ_int,eq_c1/2,0)))/INDEX(lk_legs,2))&lt;((2*IF(circ_int,0,eq_c2/2))+(PI()*(s_0+1*s_r+IF(circ_int,eq_c1/2,0))/2)),IF(circ_int,0,eq_c1/2)+(s_0+1*s_r+IF(circ_int,eq_c1/2,0))*COS((((12+0.5)*(4*IF(circ_int,0,eq_c1/2)+4*IF(circ_int,0,eq_c2/2)+2*PI()*(s_0+1*s_r+IF(circ_int,eq_c1/2,0)))/INDEX(lk_legs,2))-(2*IF(circ_int,0,eq_c2/2)))/(s_0+1*s_r+IF(circ_int,eq_c1/2,0))),IF(((12+0.5)*(4*IF(circ_int,0,eq_c1/2)+4*IF(circ_int,0,eq_c2/2)+2*PI()*(s_0+1*s_r+IF(circ_int,eq_c1/2,0)))/INDEX(lk_legs,2))&lt;(((2*IF(circ_int,0,eq_c2/2))+(PI()*(s_0+1*s_r+IF(circ_int,eq_c1/2,0))/2))+2*IF(circ_int,0,eq_c1/2)),IF(circ_int,0,eq_c1/2)-(((12+0.5)*(4*IF(circ_int,0,eq_c1/2)+4*IF(circ_int,0,eq_c2/2)+2*PI()*(s_0+1*s_r+IF(circ_int,eq_c1/2,0)))/INDEX(lk_legs,2))-((2*IF(circ_int,0,eq_c2/2))+(PI()*(s_0+1*s_r+IF(circ_int,eq_c1/2,0))/2))),IF(((12+0.5)*(4*IF(circ_int,0,eq_c1/2)+4*IF(circ_int,0,eq_c2/2)+2*PI()*(s_0+1*s_r+IF(circ_int,eq_c1/2,0)))/INDEX(lk_legs,2))&lt;((((2*IF(circ_int,0,eq_c2/2))+(PI()*(s_0+1*s_r+IF(circ_int,eq_c1/2,0))/2))+2*IF(circ_int,0,eq_c1/2))+(PI()*(s_0+1*s_r+IF(circ_int,eq_c1/2,0))/2)),-IF(circ_int,0,eq_c1/2)+(s_0+1*s_r+IF(circ_int,eq_c1/2,0))*COS(PI()/2+(((12+0.5)*(4*IF(circ_int,0,eq_c1/2)+4*IF(circ_int,0,eq_c2/2)+2*PI()*(s_0+1*s_r+IF(circ_int,eq_c1/2,0)))/INDEX(lk_legs,2))-(((2*IF(circ_int,0,eq_c2/2))+(PI()*(s_0+1*s_r+IF(circ_int,eq_c1/2,0))/2))+2*IF(circ_int,0,eq_c1/2)))/(s_0+1*s_r+IF(circ_int,eq_c1/2,0))),IF(((12+0.5)*(4*IF(circ_int,0,eq_c1/2)+4*IF(circ_int,0,eq_c2/2)+2*PI()*(s_0+1*s_r+IF(circ_int,eq_c1/2,0)))/INDEX(lk_legs,2))&lt;(((((2*IF(circ_int,0,eq_c2/2))+(PI()*(s_0+1*s_r+IF(circ_int,eq_c1/2,0))/2))+2*IF(circ_int,0,eq_c1/2))+(PI()*(s_0+1*s_r+IF(circ_int,eq_c1/2,0))/2))+2*IF(circ_int,0,eq_c2/2)),-IF(circ_int,0,eq_c1/2)-(s_0+1*s_r+IF(circ_int,eq_c1/2,0)),IF(((12+0.5)*(4*IF(circ_int,0,eq_c1/2)+4*IF(circ_int,0,eq_c2/2)+2*PI()*(s_0+1*s_r+IF(circ_int,eq_c1/2,0)))/INDEX(lk_legs,2))&lt;((((((2*IF(circ_int,0,eq_c2/2))+(PI()*(s_0+1*s_r+IF(circ_int,eq_c1/2,0))/2))+2*IF(circ_int,0,eq_c1/2))+(PI()*(s_0+1*s_r+IF(circ_int,eq_c1/2,0))/2))+2*IF(circ_int,0,eq_c2/2))+(PI()*(s_0+1*s_r+IF(circ_int,eq_c1/2,0))/2)),-IF(circ_int,0,eq_c1/2)+(s_0+1*s_r+IF(circ_int,eq_c1/2,0))*COS(PI()+(((12+0.5)*(4*IF(circ_int,0,eq_c1/2)+4*IF(circ_int,0,eq_c2/2)+2*PI()*(s_0+1*s_r+IF(circ_int,eq_c1/2,0)))/INDEX(lk_legs,2))-(((((2*IF(circ_int,0,eq_c2/2))+(PI()*(s_0+1*s_r+IF(circ_int,eq_c1/2,0))/2))+2*IF(circ_int,0,eq_c1/2))+(PI()*(s_0+1*s_r+IF(circ_int,eq_c1/2,0))/2))+2*IF(circ_int,0,eq_c2/2)))/(s_0+1*s_r+IF(circ_int,eq_c1/2,0))),IF(((12+0.5)*(4*IF(circ_int,0,eq_c1/2)+4*IF(circ_int,0,eq_c2/2)+2*PI()*(s_0+1*s_r+IF(circ_int,eq_c1/2,0)))/INDEX(lk_legs,2))&lt;(((((((2*IF(circ_int,0,eq_c2/2))+(PI()*(s_0+1*s_r+IF(circ_int,eq_c1/2,0))/2))+2*IF(circ_int,0,eq_c1/2))+(PI()*(s_0+1*s_r+IF(circ_int,eq_c1/2,0))/2))+2*IF(circ_int,0,eq_c2/2))+(PI()*(s_0+1*s_r+IF(circ_int,eq_c1/2,0))/2))+2*IF(circ_int,0,eq_c1/2)),-IF(circ_int,0,eq_c1/2)+(((12+0.5)*(4*IF(circ_int,0,eq_c1/2)+4*IF(circ_int,0,eq_c2/2)+2*PI()*(s_0+1*s_r+IF(circ_int,eq_c1/2,0)))/INDEX(lk_legs,2))-((((((2*IF(circ_int,0,eq_c2/2))+(PI()*(s_0+1*s_r+IF(circ_int,eq_c1/2,0))/2))+2*IF(circ_int,0,eq_c1/2))+(PI()*(s_0+1*s_r+IF(circ_int,eq_c1/2,0))/2))+2*IF(circ_int,0,eq_c2/2))+(PI()*(s_0+1*s_r+IF(circ_int,eq_c1/2,0))/2))),IF(circ_int,0,eq_c1/2)+(s_0+1*s_r+IF(circ_int,eq_c1/2,0))*COS(3*PI()/2+(((12+0.5)*(4*IF(circ_int,0,eq_c1/2)+4*IF(circ_int,0,eq_c2/2)+2*PI()*(s_0+1*s_r+IF(circ_int,eq_c1/2,0)))/INDEX(lk_legs,2))-(((((((2*IF(circ_int,0,eq_c2/2))+(PI()*(s_0+1*s_r+IF(circ_int,eq_c1/2,0))/2))+2*IF(circ_int,0,eq_c1/2))+(PI()*(s_0+1*s_r+IF(circ_int,eq_c1/2,0))/2))+2*IF(circ_int,0,eq_c2/2))+(PI()*(s_0+1*s_r+IF(circ_int,eq_c1/2,0))/2))+2*IF(circ_int,0,eq_c1/2)))/(s_0+1*s_r+IF(circ_int,eq_c1/2,0)))))))))),NA())</f>
        <v/>
      </c>
      <c r="BG15">
        <f>IF(AND(AND(links_on,2&lt;=n_per),INDEX(lk_kind,2)=1,12&lt;INDEX(lk_legs,2)),g_oy+IF(((12+0.5)*(4*IF(circ_int,0,eq_c1/2)+4*IF(circ_int,0,eq_c2/2)+2*PI()*(s_0+1*s_r+IF(circ_int,eq_c1/2,0)))/INDEX(lk_legs,2))&lt;(2*IF(circ_int,0,eq_c2/2)),-IF(circ_int,0,eq_c2/2)+((12+0.5)*(4*IF(circ_int,0,eq_c1/2)+4*IF(circ_int,0,eq_c2/2)+2*PI()*(s_0+1*s_r+IF(circ_int,eq_c1/2,0)))/INDEX(lk_legs,2)),IF(((12+0.5)*(4*IF(circ_int,0,eq_c1/2)+4*IF(circ_int,0,eq_c2/2)+2*PI()*(s_0+1*s_r+IF(circ_int,eq_c1/2,0)))/INDEX(lk_legs,2))&lt;((2*IF(circ_int,0,eq_c2/2))+(PI()*(s_0+1*s_r+IF(circ_int,eq_c1/2,0))/2)),IF(circ_int,0,eq_c2/2)+(s_0+1*s_r+IF(circ_int,eq_c1/2,0))*SIN((((12+0.5)*(4*IF(circ_int,0,eq_c1/2)+4*IF(circ_int,0,eq_c2/2)+2*PI()*(s_0+1*s_r+IF(circ_int,eq_c1/2,0)))/INDEX(lk_legs,2))-(2*IF(circ_int,0,eq_c2/2)))/(s_0+1*s_r+IF(circ_int,eq_c1/2,0))),IF(((12+0.5)*(4*IF(circ_int,0,eq_c1/2)+4*IF(circ_int,0,eq_c2/2)+2*PI()*(s_0+1*s_r+IF(circ_int,eq_c1/2,0)))/INDEX(lk_legs,2))&lt;(((2*IF(circ_int,0,eq_c2/2))+(PI()*(s_0+1*s_r+IF(circ_int,eq_c1/2,0))/2))+2*IF(circ_int,0,eq_c1/2)),IF(circ_int,0,eq_c2/2)+(s_0+1*s_r+IF(circ_int,eq_c1/2,0)),IF(((12+0.5)*(4*IF(circ_int,0,eq_c1/2)+4*IF(circ_int,0,eq_c2/2)+2*PI()*(s_0+1*s_r+IF(circ_int,eq_c1/2,0)))/INDEX(lk_legs,2))&lt;((((2*IF(circ_int,0,eq_c2/2))+(PI()*(s_0+1*s_r+IF(circ_int,eq_c1/2,0))/2))+2*IF(circ_int,0,eq_c1/2))+(PI()*(s_0+1*s_r+IF(circ_int,eq_c1/2,0))/2)),IF(circ_int,0,eq_c2/2)+(s_0+1*s_r+IF(circ_int,eq_c1/2,0))*SIN(PI()/2+(((12+0.5)*(4*IF(circ_int,0,eq_c1/2)+4*IF(circ_int,0,eq_c2/2)+2*PI()*(s_0+1*s_r+IF(circ_int,eq_c1/2,0)))/INDEX(lk_legs,2))-(((2*IF(circ_int,0,eq_c2/2))+(PI()*(s_0+1*s_r+IF(circ_int,eq_c1/2,0))/2))+2*IF(circ_int,0,eq_c1/2)))/(s_0+1*s_r+IF(circ_int,eq_c1/2,0))),IF(((12+0.5)*(4*IF(circ_int,0,eq_c1/2)+4*IF(circ_int,0,eq_c2/2)+2*PI()*(s_0+1*s_r+IF(circ_int,eq_c1/2,0)))/INDEX(lk_legs,2))&lt;(((((2*IF(circ_int,0,eq_c2/2))+(PI()*(s_0+1*s_r+IF(circ_int,eq_c1/2,0))/2))+2*IF(circ_int,0,eq_c1/2))+(PI()*(s_0+1*s_r+IF(circ_int,eq_c1/2,0))/2))+2*IF(circ_int,0,eq_c2/2)),IF(circ_int,0,eq_c2/2)-(((12+0.5)*(4*IF(circ_int,0,eq_c1/2)+4*IF(circ_int,0,eq_c2/2)+2*PI()*(s_0+1*s_r+IF(circ_int,eq_c1/2,0)))/INDEX(lk_legs,2))-((((2*IF(circ_int,0,eq_c2/2))+(PI()*(s_0+1*s_r+IF(circ_int,eq_c1/2,0))/2))+2*IF(circ_int,0,eq_c1/2))+(PI()*(s_0+1*s_r+IF(circ_int,eq_c1/2,0))/2))),IF(((12+0.5)*(4*IF(circ_int,0,eq_c1/2)+4*IF(circ_int,0,eq_c2/2)+2*PI()*(s_0+1*s_r+IF(circ_int,eq_c1/2,0)))/INDEX(lk_legs,2))&lt;((((((2*IF(circ_int,0,eq_c2/2))+(PI()*(s_0+1*s_r+IF(circ_int,eq_c1/2,0))/2))+2*IF(circ_int,0,eq_c1/2))+(PI()*(s_0+1*s_r+IF(circ_int,eq_c1/2,0))/2))+2*IF(circ_int,0,eq_c2/2))+(PI()*(s_0+1*s_r+IF(circ_int,eq_c1/2,0))/2)),-IF(circ_int,0,eq_c2/2)+(s_0+1*s_r+IF(circ_int,eq_c1/2,0))*SIN(PI()+(((12+0.5)*(4*IF(circ_int,0,eq_c1/2)+4*IF(circ_int,0,eq_c2/2)+2*PI()*(s_0+1*s_r+IF(circ_int,eq_c1/2,0)))/INDEX(lk_legs,2))-(((((2*IF(circ_int,0,eq_c2/2))+(PI()*(s_0+1*s_r+IF(circ_int,eq_c1/2,0))/2))+2*IF(circ_int,0,eq_c1/2))+(PI()*(s_0+1*s_r+IF(circ_int,eq_c1/2,0))/2))+2*IF(circ_int,0,eq_c2/2)))/(s_0+1*s_r+IF(circ_int,eq_c1/2,0))),IF(((12+0.5)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(12+0.5)*(4*IF(circ_int,0,eq_c1/2)+4*IF(circ_int,0,eq_c2/2)+2*PI()*(s_0+1*s_r+IF(circ_int,eq_c1/2,0)))/INDEX(lk_legs,2))-(((((((2*IF(circ_int,0,eq_c2/2))+(PI()*(s_0+1*s_r+IF(circ_int,eq_c1/2,0))/2))+2*IF(circ_int,0,eq_c1/2))+(PI()*(s_0+1*s_r+IF(circ_int,eq_c1/2,0))/2))+2*IF(circ_int,0,eq_c2/2))+(PI()*(s_0+1*s_r+IF(circ_int,eq_c1/2,0))/2))+2*IF(circ_int,0,eq_c1/2)))/(s_0+1*s_r+IF(circ_int,eq_c1/2,0)))))))))),NA())</f>
        <v/>
      </c>
      <c r="BI15">
        <f>IF(AND(links_on,3&lt;=n_per),IF(circ_int,(g_ox)+(c_1/2+(s_0+2*s_r))*0.120537,CHOOSE(INDEX(lk_kind,3),(g_ox+eq_c1/2)+((s_0+2*s_r))*0.000000,(eq_a1+eq_c1)+((s_0+2*s_r))*0.991445,(eq_a1+eq_c1)+((s_0+2*s_r))*0.991445,(eq_a1)+((s_0+2*s_r))*-0.130526)),NA())</f>
        <v/>
      </c>
      <c r="BJ15">
        <f>IF(AND(links_on,3&lt;=n_per),IF(circ_int,(g_oy)+(c_1/2+(s_0+2*s_r))*0.992709,CHOOSE(INDEX(lk_kind,3),(g_oy+eq_c2/2)+((s_0+2*s_r))*1.000000,(g_oy+eq_c2/2)+((s_0+2*s_r))*0.130526,(eq_a2+eq_c2)+((s_0+2*s_r))*0.130526,(eq_a2+eq_c2)+((s_0+2*s_r))*0.991445)),NA())</f>
        <v/>
      </c>
      <c r="BL15">
        <f>IF(AND(AND(links_on,3&lt;=n_per),INDEX(lk_kind,3)=1,12&lt;INDEX(lk_legs,3)),g_ox+IF(((12+0.5)*(4*IF(circ_int,0,eq_c1/2)+4*IF(circ_int,0,eq_c2/2)+2*PI()*(s_0+2*s_r+IF(circ_int,eq_c1/2,0)))/INDEX(lk_legs,3))&lt;(2*IF(circ_int,0,eq_c2/2)),IF(circ_int,0,eq_c1/2)+(s_0+2*s_r+IF(circ_int,eq_c1/2,0)),IF(((12+0.5)*(4*IF(circ_int,0,eq_c1/2)+4*IF(circ_int,0,eq_c2/2)+2*PI()*(s_0+2*s_r+IF(circ_int,eq_c1/2,0)))/INDEX(lk_legs,3))&lt;((2*IF(circ_int,0,eq_c2/2))+(PI()*(s_0+2*s_r+IF(circ_int,eq_c1/2,0))/2)),IF(circ_int,0,eq_c1/2)+(s_0+2*s_r+IF(circ_int,eq_c1/2,0))*COS((((12+0.5)*(4*IF(circ_int,0,eq_c1/2)+4*IF(circ_int,0,eq_c2/2)+2*PI()*(s_0+2*s_r+IF(circ_int,eq_c1/2,0)))/INDEX(lk_legs,3))-(2*IF(circ_int,0,eq_c2/2)))/(s_0+2*s_r+IF(circ_int,eq_c1/2,0))),IF(((12+0.5)*(4*IF(circ_int,0,eq_c1/2)+4*IF(circ_int,0,eq_c2/2)+2*PI()*(s_0+2*s_r+IF(circ_int,eq_c1/2,0)))/INDEX(lk_legs,3))&lt;(((2*IF(circ_int,0,eq_c2/2))+(PI()*(s_0+2*s_r+IF(circ_int,eq_c1/2,0))/2))+2*IF(circ_int,0,eq_c1/2)),IF(circ_int,0,eq_c1/2)-(((12+0.5)*(4*IF(circ_int,0,eq_c1/2)+4*IF(circ_int,0,eq_c2/2)+2*PI()*(s_0+2*s_r+IF(circ_int,eq_c1/2,0)))/INDEX(lk_legs,3))-((2*IF(circ_int,0,eq_c2/2))+(PI()*(s_0+2*s_r+IF(circ_int,eq_c1/2,0))/2))),IF(((12+0.5)*(4*IF(circ_int,0,eq_c1/2)+4*IF(circ_int,0,eq_c2/2)+2*PI()*(s_0+2*s_r+IF(circ_int,eq_c1/2,0)))/INDEX(lk_legs,3))&lt;((((2*IF(circ_int,0,eq_c2/2))+(PI()*(s_0+2*s_r+IF(circ_int,eq_c1/2,0))/2))+2*IF(circ_int,0,eq_c1/2))+(PI()*(s_0+2*s_r+IF(circ_int,eq_c1/2,0))/2)),-IF(circ_int,0,eq_c1/2)+(s_0+2*s_r+IF(circ_int,eq_c1/2,0))*COS(PI()/2+(((12+0.5)*(4*IF(circ_int,0,eq_c1/2)+4*IF(circ_int,0,eq_c2/2)+2*PI()*(s_0+2*s_r+IF(circ_int,eq_c1/2,0)))/INDEX(lk_legs,3))-(((2*IF(circ_int,0,eq_c2/2))+(PI()*(s_0+2*s_r+IF(circ_int,eq_c1/2,0))/2))+2*IF(circ_int,0,eq_c1/2)))/(s_0+2*s_r+IF(circ_int,eq_c1/2,0))),IF(((12+0.5)*(4*IF(circ_int,0,eq_c1/2)+4*IF(circ_int,0,eq_c2/2)+2*PI()*(s_0+2*s_r+IF(circ_int,eq_c1/2,0)))/INDEX(lk_legs,3))&lt;(((((2*IF(circ_int,0,eq_c2/2))+(PI()*(s_0+2*s_r+IF(circ_int,eq_c1/2,0))/2))+2*IF(circ_int,0,eq_c1/2))+(PI()*(s_0+2*s_r+IF(circ_int,eq_c1/2,0))/2))+2*IF(circ_int,0,eq_c2/2)),-IF(circ_int,0,eq_c1/2)-(s_0+2*s_r+IF(circ_int,eq_c1/2,0)),IF(((12+0.5)*(4*IF(circ_int,0,eq_c1/2)+4*IF(circ_int,0,eq_c2/2)+2*PI()*(s_0+2*s_r+IF(circ_int,eq_c1/2,0)))/INDEX(lk_legs,3))&lt;((((((2*IF(circ_int,0,eq_c2/2))+(PI()*(s_0+2*s_r+IF(circ_int,eq_c1/2,0))/2))+2*IF(circ_int,0,eq_c1/2))+(PI()*(s_0+2*s_r+IF(circ_int,eq_c1/2,0))/2))+2*IF(circ_int,0,eq_c2/2))+(PI()*(s_0+2*s_r+IF(circ_int,eq_c1/2,0))/2)),-IF(circ_int,0,eq_c1/2)+(s_0+2*s_r+IF(circ_int,eq_c1/2,0))*COS(PI()+(((12+0.5)*(4*IF(circ_int,0,eq_c1/2)+4*IF(circ_int,0,eq_c2/2)+2*PI()*(s_0+2*s_r+IF(circ_int,eq_c1/2,0)))/INDEX(lk_legs,3))-(((((2*IF(circ_int,0,eq_c2/2))+(PI()*(s_0+2*s_r+IF(circ_int,eq_c1/2,0))/2))+2*IF(circ_int,0,eq_c1/2))+(PI()*(s_0+2*s_r+IF(circ_int,eq_c1/2,0))/2))+2*IF(circ_int,0,eq_c2/2)))/(s_0+2*s_r+IF(circ_int,eq_c1/2,0))),IF(((12+0.5)*(4*IF(circ_int,0,eq_c1/2)+4*IF(circ_int,0,eq_c2/2)+2*PI()*(s_0+2*s_r+IF(circ_int,eq_c1/2,0)))/INDEX(lk_legs,3))&lt;(((((((2*IF(circ_int,0,eq_c2/2))+(PI()*(s_0+2*s_r+IF(circ_int,eq_c1/2,0))/2))+2*IF(circ_int,0,eq_c1/2))+(PI()*(s_0+2*s_r+IF(circ_int,eq_c1/2,0))/2))+2*IF(circ_int,0,eq_c2/2))+(PI()*(s_0+2*s_r+IF(circ_int,eq_c1/2,0))/2))+2*IF(circ_int,0,eq_c1/2)),-IF(circ_int,0,eq_c1/2)+(((12+0.5)*(4*IF(circ_int,0,eq_c1/2)+4*IF(circ_int,0,eq_c2/2)+2*PI()*(s_0+2*s_r+IF(circ_int,eq_c1/2,0)))/INDEX(lk_legs,3))-((((((2*IF(circ_int,0,eq_c2/2))+(PI()*(s_0+2*s_r+IF(circ_int,eq_c1/2,0))/2))+2*IF(circ_int,0,eq_c1/2))+(PI()*(s_0+2*s_r+IF(circ_int,eq_c1/2,0))/2))+2*IF(circ_int,0,eq_c2/2))+(PI()*(s_0+2*s_r+IF(circ_int,eq_c1/2,0))/2))),IF(circ_int,0,eq_c1/2)+(s_0+2*s_r+IF(circ_int,eq_c1/2,0))*COS(3*PI()/2+(((12+0.5)*(4*IF(circ_int,0,eq_c1/2)+4*IF(circ_int,0,eq_c2/2)+2*PI()*(s_0+2*s_r+IF(circ_int,eq_c1/2,0)))/INDEX(lk_legs,3))-(((((((2*IF(circ_int,0,eq_c2/2))+(PI()*(s_0+2*s_r+IF(circ_int,eq_c1/2,0))/2))+2*IF(circ_int,0,eq_c1/2))+(PI()*(s_0+2*s_r+IF(circ_int,eq_c1/2,0))/2))+2*IF(circ_int,0,eq_c2/2))+(PI()*(s_0+2*s_r+IF(circ_int,eq_c1/2,0))/2))+2*IF(circ_int,0,eq_c1/2)))/(s_0+2*s_r+IF(circ_int,eq_c1/2,0)))))))))),NA())</f>
        <v/>
      </c>
      <c r="BM15">
        <f>IF(AND(AND(links_on,3&lt;=n_per),INDEX(lk_kind,3)=1,12&lt;INDEX(lk_legs,3)),g_oy+IF(((12+0.5)*(4*IF(circ_int,0,eq_c1/2)+4*IF(circ_int,0,eq_c2/2)+2*PI()*(s_0+2*s_r+IF(circ_int,eq_c1/2,0)))/INDEX(lk_legs,3))&lt;(2*IF(circ_int,0,eq_c2/2)),-IF(circ_int,0,eq_c2/2)+((12+0.5)*(4*IF(circ_int,0,eq_c1/2)+4*IF(circ_int,0,eq_c2/2)+2*PI()*(s_0+2*s_r+IF(circ_int,eq_c1/2,0)))/INDEX(lk_legs,3)),IF(((12+0.5)*(4*IF(circ_int,0,eq_c1/2)+4*IF(circ_int,0,eq_c2/2)+2*PI()*(s_0+2*s_r+IF(circ_int,eq_c1/2,0)))/INDEX(lk_legs,3))&lt;((2*IF(circ_int,0,eq_c2/2))+(PI()*(s_0+2*s_r+IF(circ_int,eq_c1/2,0))/2)),IF(circ_int,0,eq_c2/2)+(s_0+2*s_r+IF(circ_int,eq_c1/2,0))*SIN((((12+0.5)*(4*IF(circ_int,0,eq_c1/2)+4*IF(circ_int,0,eq_c2/2)+2*PI()*(s_0+2*s_r+IF(circ_int,eq_c1/2,0)))/INDEX(lk_legs,3))-(2*IF(circ_int,0,eq_c2/2)))/(s_0+2*s_r+IF(circ_int,eq_c1/2,0))),IF(((12+0.5)*(4*IF(circ_int,0,eq_c1/2)+4*IF(circ_int,0,eq_c2/2)+2*PI()*(s_0+2*s_r+IF(circ_int,eq_c1/2,0)))/INDEX(lk_legs,3))&lt;(((2*IF(circ_int,0,eq_c2/2))+(PI()*(s_0+2*s_r+IF(circ_int,eq_c1/2,0))/2))+2*IF(circ_int,0,eq_c1/2)),IF(circ_int,0,eq_c2/2)+(s_0+2*s_r+IF(circ_int,eq_c1/2,0)),IF(((12+0.5)*(4*IF(circ_int,0,eq_c1/2)+4*IF(circ_int,0,eq_c2/2)+2*PI()*(s_0+2*s_r+IF(circ_int,eq_c1/2,0)))/INDEX(lk_legs,3))&lt;((((2*IF(circ_int,0,eq_c2/2))+(PI()*(s_0+2*s_r+IF(circ_int,eq_c1/2,0))/2))+2*IF(circ_int,0,eq_c1/2))+(PI()*(s_0+2*s_r+IF(circ_int,eq_c1/2,0))/2)),IF(circ_int,0,eq_c2/2)+(s_0+2*s_r+IF(circ_int,eq_c1/2,0))*SIN(PI()/2+(((12+0.5)*(4*IF(circ_int,0,eq_c1/2)+4*IF(circ_int,0,eq_c2/2)+2*PI()*(s_0+2*s_r+IF(circ_int,eq_c1/2,0)))/INDEX(lk_legs,3))-(((2*IF(circ_int,0,eq_c2/2))+(PI()*(s_0+2*s_r+IF(circ_int,eq_c1/2,0))/2))+2*IF(circ_int,0,eq_c1/2)))/(s_0+2*s_r+IF(circ_int,eq_c1/2,0))),IF(((12+0.5)*(4*IF(circ_int,0,eq_c1/2)+4*IF(circ_int,0,eq_c2/2)+2*PI()*(s_0+2*s_r+IF(circ_int,eq_c1/2,0)))/INDEX(lk_legs,3))&lt;(((((2*IF(circ_int,0,eq_c2/2))+(PI()*(s_0+2*s_r+IF(circ_int,eq_c1/2,0))/2))+2*IF(circ_int,0,eq_c1/2))+(PI()*(s_0+2*s_r+IF(circ_int,eq_c1/2,0))/2))+2*IF(circ_int,0,eq_c2/2)),IF(circ_int,0,eq_c2/2)-(((12+0.5)*(4*IF(circ_int,0,eq_c1/2)+4*IF(circ_int,0,eq_c2/2)+2*PI()*(s_0+2*s_r+IF(circ_int,eq_c1/2,0)))/INDEX(lk_legs,3))-((((2*IF(circ_int,0,eq_c2/2))+(PI()*(s_0+2*s_r+IF(circ_int,eq_c1/2,0))/2))+2*IF(circ_int,0,eq_c1/2))+(PI()*(s_0+2*s_r+IF(circ_int,eq_c1/2,0))/2))),IF(((12+0.5)*(4*IF(circ_int,0,eq_c1/2)+4*IF(circ_int,0,eq_c2/2)+2*PI()*(s_0+2*s_r+IF(circ_int,eq_c1/2,0)))/INDEX(lk_legs,3))&lt;((((((2*IF(circ_int,0,eq_c2/2))+(PI()*(s_0+2*s_r+IF(circ_int,eq_c1/2,0))/2))+2*IF(circ_int,0,eq_c1/2))+(PI()*(s_0+2*s_r+IF(circ_int,eq_c1/2,0))/2))+2*IF(circ_int,0,eq_c2/2))+(PI()*(s_0+2*s_r+IF(circ_int,eq_c1/2,0))/2)),-IF(circ_int,0,eq_c2/2)+(s_0+2*s_r+IF(circ_int,eq_c1/2,0))*SIN(PI()+(((12+0.5)*(4*IF(circ_int,0,eq_c1/2)+4*IF(circ_int,0,eq_c2/2)+2*PI()*(s_0+2*s_r+IF(circ_int,eq_c1/2,0)))/INDEX(lk_legs,3))-(((((2*IF(circ_int,0,eq_c2/2))+(PI()*(s_0+2*s_r+IF(circ_int,eq_c1/2,0))/2))+2*IF(circ_int,0,eq_c1/2))+(PI()*(s_0+2*s_r+IF(circ_int,eq_c1/2,0))/2))+2*IF(circ_int,0,eq_c2/2)))/(s_0+2*s_r+IF(circ_int,eq_c1/2,0))),IF(((12+0.5)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(12+0.5)*(4*IF(circ_int,0,eq_c1/2)+4*IF(circ_int,0,eq_c2/2)+2*PI()*(s_0+2*s_r+IF(circ_int,eq_c1/2,0)))/INDEX(lk_legs,3))-(((((((2*IF(circ_int,0,eq_c2/2))+(PI()*(s_0+2*s_r+IF(circ_int,eq_c1/2,0))/2))+2*IF(circ_int,0,eq_c1/2))+(PI()*(s_0+2*s_r+IF(circ_int,eq_c1/2,0))/2))+2*IF(circ_int,0,eq_c2/2))+(PI()*(s_0+2*s_r+IF(circ_int,eq_c1/2,0))/2))+2*IF(circ_int,0,eq_c1/2)))/(s_0+2*s_r+IF(circ_int,eq_c1/2,0)))))))))),NA())</f>
        <v/>
      </c>
      <c r="BO15">
        <f>IF(AND(links_on,4&lt;=n_per),IF(circ_int,(g_ox)+(c_1/2+(s_0+3*s_r))*0.120537,CHOOSE(INDEX(lk_kind,4),(g_ox+eq_c1/2)+((s_0+3*s_r))*0.000000,(eq_a1+eq_c1)+((s_0+3*s_r))*0.991445,(eq_a1+eq_c1)+((s_0+3*s_r))*0.991445,(eq_a1)+((s_0+3*s_r))*-0.130526)),NA())</f>
        <v/>
      </c>
      <c r="BP15">
        <f>IF(AND(links_on,4&lt;=n_per),IF(circ_int,(g_oy)+(c_1/2+(s_0+3*s_r))*0.992709,CHOOSE(INDEX(lk_kind,4),(g_oy+eq_c2/2)+((s_0+3*s_r))*1.000000,(g_oy+eq_c2/2)+((s_0+3*s_r))*0.130526,(eq_a2+eq_c2)+((s_0+3*s_r))*0.130526,(eq_a2+eq_c2)+((s_0+3*s_r))*0.991445)),NA())</f>
        <v/>
      </c>
      <c r="BR15">
        <f>IF(AND(AND(links_on,4&lt;=n_per),INDEX(lk_kind,4)=1,12&lt;INDEX(lk_legs,4)),g_ox+IF(((12+0.5)*(4*IF(circ_int,0,eq_c1/2)+4*IF(circ_int,0,eq_c2/2)+2*PI()*(s_0+3*s_r+IF(circ_int,eq_c1/2,0)))/INDEX(lk_legs,4))&lt;(2*IF(circ_int,0,eq_c2/2)),IF(circ_int,0,eq_c1/2)+(s_0+3*s_r+IF(circ_int,eq_c1/2,0)),IF(((12+0.5)*(4*IF(circ_int,0,eq_c1/2)+4*IF(circ_int,0,eq_c2/2)+2*PI()*(s_0+3*s_r+IF(circ_int,eq_c1/2,0)))/INDEX(lk_legs,4))&lt;((2*IF(circ_int,0,eq_c2/2))+(PI()*(s_0+3*s_r+IF(circ_int,eq_c1/2,0))/2)),IF(circ_int,0,eq_c1/2)+(s_0+3*s_r+IF(circ_int,eq_c1/2,0))*COS((((12+0.5)*(4*IF(circ_int,0,eq_c1/2)+4*IF(circ_int,0,eq_c2/2)+2*PI()*(s_0+3*s_r+IF(circ_int,eq_c1/2,0)))/INDEX(lk_legs,4))-(2*IF(circ_int,0,eq_c2/2)))/(s_0+3*s_r+IF(circ_int,eq_c1/2,0))),IF(((12+0.5)*(4*IF(circ_int,0,eq_c1/2)+4*IF(circ_int,0,eq_c2/2)+2*PI()*(s_0+3*s_r+IF(circ_int,eq_c1/2,0)))/INDEX(lk_legs,4))&lt;(((2*IF(circ_int,0,eq_c2/2))+(PI()*(s_0+3*s_r+IF(circ_int,eq_c1/2,0))/2))+2*IF(circ_int,0,eq_c1/2)),IF(circ_int,0,eq_c1/2)-(((12+0.5)*(4*IF(circ_int,0,eq_c1/2)+4*IF(circ_int,0,eq_c2/2)+2*PI()*(s_0+3*s_r+IF(circ_int,eq_c1/2,0)))/INDEX(lk_legs,4))-((2*IF(circ_int,0,eq_c2/2))+(PI()*(s_0+3*s_r+IF(circ_int,eq_c1/2,0))/2))),IF(((12+0.5)*(4*IF(circ_int,0,eq_c1/2)+4*IF(circ_int,0,eq_c2/2)+2*PI()*(s_0+3*s_r+IF(circ_int,eq_c1/2,0)))/INDEX(lk_legs,4))&lt;((((2*IF(circ_int,0,eq_c2/2))+(PI()*(s_0+3*s_r+IF(circ_int,eq_c1/2,0))/2))+2*IF(circ_int,0,eq_c1/2))+(PI()*(s_0+3*s_r+IF(circ_int,eq_c1/2,0))/2)),-IF(circ_int,0,eq_c1/2)+(s_0+3*s_r+IF(circ_int,eq_c1/2,0))*COS(PI()/2+(((12+0.5)*(4*IF(circ_int,0,eq_c1/2)+4*IF(circ_int,0,eq_c2/2)+2*PI()*(s_0+3*s_r+IF(circ_int,eq_c1/2,0)))/INDEX(lk_legs,4))-(((2*IF(circ_int,0,eq_c2/2))+(PI()*(s_0+3*s_r+IF(circ_int,eq_c1/2,0))/2))+2*IF(circ_int,0,eq_c1/2)))/(s_0+3*s_r+IF(circ_int,eq_c1/2,0))),IF(((12+0.5)*(4*IF(circ_int,0,eq_c1/2)+4*IF(circ_int,0,eq_c2/2)+2*PI()*(s_0+3*s_r+IF(circ_int,eq_c1/2,0)))/INDEX(lk_legs,4))&lt;(((((2*IF(circ_int,0,eq_c2/2))+(PI()*(s_0+3*s_r+IF(circ_int,eq_c1/2,0))/2))+2*IF(circ_int,0,eq_c1/2))+(PI()*(s_0+3*s_r+IF(circ_int,eq_c1/2,0))/2))+2*IF(circ_int,0,eq_c2/2)),-IF(circ_int,0,eq_c1/2)-(s_0+3*s_r+IF(circ_int,eq_c1/2,0)),IF(((12+0.5)*(4*IF(circ_int,0,eq_c1/2)+4*IF(circ_int,0,eq_c2/2)+2*PI()*(s_0+3*s_r+IF(circ_int,eq_c1/2,0)))/INDEX(lk_legs,4))&lt;((((((2*IF(circ_int,0,eq_c2/2))+(PI()*(s_0+3*s_r+IF(circ_int,eq_c1/2,0))/2))+2*IF(circ_int,0,eq_c1/2))+(PI()*(s_0+3*s_r+IF(circ_int,eq_c1/2,0))/2))+2*IF(circ_int,0,eq_c2/2))+(PI()*(s_0+3*s_r+IF(circ_int,eq_c1/2,0))/2)),-IF(circ_int,0,eq_c1/2)+(s_0+3*s_r+IF(circ_int,eq_c1/2,0))*COS(PI()+(((12+0.5)*(4*IF(circ_int,0,eq_c1/2)+4*IF(circ_int,0,eq_c2/2)+2*PI()*(s_0+3*s_r+IF(circ_int,eq_c1/2,0)))/INDEX(lk_legs,4))-(((((2*IF(circ_int,0,eq_c2/2))+(PI()*(s_0+3*s_r+IF(circ_int,eq_c1/2,0))/2))+2*IF(circ_int,0,eq_c1/2))+(PI()*(s_0+3*s_r+IF(circ_int,eq_c1/2,0))/2))+2*IF(circ_int,0,eq_c2/2)))/(s_0+3*s_r+IF(circ_int,eq_c1/2,0))),IF(((12+0.5)*(4*IF(circ_int,0,eq_c1/2)+4*IF(circ_int,0,eq_c2/2)+2*PI()*(s_0+3*s_r+IF(circ_int,eq_c1/2,0)))/INDEX(lk_legs,4))&lt;(((((((2*IF(circ_int,0,eq_c2/2))+(PI()*(s_0+3*s_r+IF(circ_int,eq_c1/2,0))/2))+2*IF(circ_int,0,eq_c1/2))+(PI()*(s_0+3*s_r+IF(circ_int,eq_c1/2,0))/2))+2*IF(circ_int,0,eq_c2/2))+(PI()*(s_0+3*s_r+IF(circ_int,eq_c1/2,0))/2))+2*IF(circ_int,0,eq_c1/2)),-IF(circ_int,0,eq_c1/2)+(((12+0.5)*(4*IF(circ_int,0,eq_c1/2)+4*IF(circ_int,0,eq_c2/2)+2*PI()*(s_0+3*s_r+IF(circ_int,eq_c1/2,0)))/INDEX(lk_legs,4))-((((((2*IF(circ_int,0,eq_c2/2))+(PI()*(s_0+3*s_r+IF(circ_int,eq_c1/2,0))/2))+2*IF(circ_int,0,eq_c1/2))+(PI()*(s_0+3*s_r+IF(circ_int,eq_c1/2,0))/2))+2*IF(circ_int,0,eq_c2/2))+(PI()*(s_0+3*s_r+IF(circ_int,eq_c1/2,0))/2))),IF(circ_int,0,eq_c1/2)+(s_0+3*s_r+IF(circ_int,eq_c1/2,0))*COS(3*PI()/2+(((12+0.5)*(4*IF(circ_int,0,eq_c1/2)+4*IF(circ_int,0,eq_c2/2)+2*PI()*(s_0+3*s_r+IF(circ_int,eq_c1/2,0)))/INDEX(lk_legs,4))-(((((((2*IF(circ_int,0,eq_c2/2))+(PI()*(s_0+3*s_r+IF(circ_int,eq_c1/2,0))/2))+2*IF(circ_int,0,eq_c1/2))+(PI()*(s_0+3*s_r+IF(circ_int,eq_c1/2,0))/2))+2*IF(circ_int,0,eq_c2/2))+(PI()*(s_0+3*s_r+IF(circ_int,eq_c1/2,0))/2))+2*IF(circ_int,0,eq_c1/2)))/(s_0+3*s_r+IF(circ_int,eq_c1/2,0)))))))))),NA())</f>
        <v/>
      </c>
      <c r="BS15">
        <f>IF(AND(AND(links_on,4&lt;=n_per),INDEX(lk_kind,4)=1,12&lt;INDEX(lk_legs,4)),g_oy+IF(((12+0.5)*(4*IF(circ_int,0,eq_c1/2)+4*IF(circ_int,0,eq_c2/2)+2*PI()*(s_0+3*s_r+IF(circ_int,eq_c1/2,0)))/INDEX(lk_legs,4))&lt;(2*IF(circ_int,0,eq_c2/2)),-IF(circ_int,0,eq_c2/2)+((12+0.5)*(4*IF(circ_int,0,eq_c1/2)+4*IF(circ_int,0,eq_c2/2)+2*PI()*(s_0+3*s_r+IF(circ_int,eq_c1/2,0)))/INDEX(lk_legs,4)),IF(((12+0.5)*(4*IF(circ_int,0,eq_c1/2)+4*IF(circ_int,0,eq_c2/2)+2*PI()*(s_0+3*s_r+IF(circ_int,eq_c1/2,0)))/INDEX(lk_legs,4))&lt;((2*IF(circ_int,0,eq_c2/2))+(PI()*(s_0+3*s_r+IF(circ_int,eq_c1/2,0))/2)),IF(circ_int,0,eq_c2/2)+(s_0+3*s_r+IF(circ_int,eq_c1/2,0))*SIN((((12+0.5)*(4*IF(circ_int,0,eq_c1/2)+4*IF(circ_int,0,eq_c2/2)+2*PI()*(s_0+3*s_r+IF(circ_int,eq_c1/2,0)))/INDEX(lk_legs,4))-(2*IF(circ_int,0,eq_c2/2)))/(s_0+3*s_r+IF(circ_int,eq_c1/2,0))),IF(((12+0.5)*(4*IF(circ_int,0,eq_c1/2)+4*IF(circ_int,0,eq_c2/2)+2*PI()*(s_0+3*s_r+IF(circ_int,eq_c1/2,0)))/INDEX(lk_legs,4))&lt;(((2*IF(circ_int,0,eq_c2/2))+(PI()*(s_0+3*s_r+IF(circ_int,eq_c1/2,0))/2))+2*IF(circ_int,0,eq_c1/2)),IF(circ_int,0,eq_c2/2)+(s_0+3*s_r+IF(circ_int,eq_c1/2,0)),IF(((12+0.5)*(4*IF(circ_int,0,eq_c1/2)+4*IF(circ_int,0,eq_c2/2)+2*PI()*(s_0+3*s_r+IF(circ_int,eq_c1/2,0)))/INDEX(lk_legs,4))&lt;((((2*IF(circ_int,0,eq_c2/2))+(PI()*(s_0+3*s_r+IF(circ_int,eq_c1/2,0))/2))+2*IF(circ_int,0,eq_c1/2))+(PI()*(s_0+3*s_r+IF(circ_int,eq_c1/2,0))/2)),IF(circ_int,0,eq_c2/2)+(s_0+3*s_r+IF(circ_int,eq_c1/2,0))*SIN(PI()/2+(((12+0.5)*(4*IF(circ_int,0,eq_c1/2)+4*IF(circ_int,0,eq_c2/2)+2*PI()*(s_0+3*s_r+IF(circ_int,eq_c1/2,0)))/INDEX(lk_legs,4))-(((2*IF(circ_int,0,eq_c2/2))+(PI()*(s_0+3*s_r+IF(circ_int,eq_c1/2,0))/2))+2*IF(circ_int,0,eq_c1/2)))/(s_0+3*s_r+IF(circ_int,eq_c1/2,0))),IF(((12+0.5)*(4*IF(circ_int,0,eq_c1/2)+4*IF(circ_int,0,eq_c2/2)+2*PI()*(s_0+3*s_r+IF(circ_int,eq_c1/2,0)))/INDEX(lk_legs,4))&lt;(((((2*IF(circ_int,0,eq_c2/2))+(PI()*(s_0+3*s_r+IF(circ_int,eq_c1/2,0))/2))+2*IF(circ_int,0,eq_c1/2))+(PI()*(s_0+3*s_r+IF(circ_int,eq_c1/2,0))/2))+2*IF(circ_int,0,eq_c2/2)),IF(circ_int,0,eq_c2/2)-(((12+0.5)*(4*IF(circ_int,0,eq_c1/2)+4*IF(circ_int,0,eq_c2/2)+2*PI()*(s_0+3*s_r+IF(circ_int,eq_c1/2,0)))/INDEX(lk_legs,4))-((((2*IF(circ_int,0,eq_c2/2))+(PI()*(s_0+3*s_r+IF(circ_int,eq_c1/2,0))/2))+2*IF(circ_int,0,eq_c1/2))+(PI()*(s_0+3*s_r+IF(circ_int,eq_c1/2,0))/2))),IF(((12+0.5)*(4*IF(circ_int,0,eq_c1/2)+4*IF(circ_int,0,eq_c2/2)+2*PI()*(s_0+3*s_r+IF(circ_int,eq_c1/2,0)))/INDEX(lk_legs,4))&lt;((((((2*IF(circ_int,0,eq_c2/2))+(PI()*(s_0+3*s_r+IF(circ_int,eq_c1/2,0))/2))+2*IF(circ_int,0,eq_c1/2))+(PI()*(s_0+3*s_r+IF(circ_int,eq_c1/2,0))/2))+2*IF(circ_int,0,eq_c2/2))+(PI()*(s_0+3*s_r+IF(circ_int,eq_c1/2,0))/2)),-IF(circ_int,0,eq_c2/2)+(s_0+3*s_r+IF(circ_int,eq_c1/2,0))*SIN(PI()+(((12+0.5)*(4*IF(circ_int,0,eq_c1/2)+4*IF(circ_int,0,eq_c2/2)+2*PI()*(s_0+3*s_r+IF(circ_int,eq_c1/2,0)))/INDEX(lk_legs,4))-(((((2*IF(circ_int,0,eq_c2/2))+(PI()*(s_0+3*s_r+IF(circ_int,eq_c1/2,0))/2))+2*IF(circ_int,0,eq_c1/2))+(PI()*(s_0+3*s_r+IF(circ_int,eq_c1/2,0))/2))+2*IF(circ_int,0,eq_c2/2)))/(s_0+3*s_r+IF(circ_int,eq_c1/2,0))),IF(((12+0.5)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(12+0.5)*(4*IF(circ_int,0,eq_c1/2)+4*IF(circ_int,0,eq_c2/2)+2*PI()*(s_0+3*s_r+IF(circ_int,eq_c1/2,0)))/INDEX(lk_legs,4))-(((((((2*IF(circ_int,0,eq_c2/2))+(PI()*(s_0+3*s_r+IF(circ_int,eq_c1/2,0))/2))+2*IF(circ_int,0,eq_c1/2))+(PI()*(s_0+3*s_r+IF(circ_int,eq_c1/2,0))/2))+2*IF(circ_int,0,eq_c2/2))+(PI()*(s_0+3*s_r+IF(circ_int,eq_c1/2,0))/2))+2*IF(circ_int,0,eq_c1/2)))/(s_0+3*s_r+IF(circ_int,eq_c1/2,0)))))))))),NA())</f>
        <v/>
      </c>
      <c r="BU15">
        <f>IF(AND(links_on,5&lt;=n_per),IF(circ_int,(g_ox)+(c_1/2+(s_0+4*s_r))*0.120537,CHOOSE(INDEX(lk_kind,5),(g_ox+eq_c1/2)+((s_0+4*s_r))*0.000000,(eq_a1+eq_c1)+((s_0+4*s_r))*0.991445,(eq_a1+eq_c1)+((s_0+4*s_r))*0.991445,(eq_a1)+((s_0+4*s_r))*-0.130526)),NA())</f>
        <v/>
      </c>
      <c r="BV15">
        <f>IF(AND(links_on,5&lt;=n_per),IF(circ_int,(g_oy)+(c_1/2+(s_0+4*s_r))*0.992709,CHOOSE(INDEX(lk_kind,5),(g_oy+eq_c2/2)+((s_0+4*s_r))*1.000000,(g_oy+eq_c2/2)+((s_0+4*s_r))*0.130526,(eq_a2+eq_c2)+((s_0+4*s_r))*0.130526,(eq_a2+eq_c2)+((s_0+4*s_r))*0.991445)),NA())</f>
        <v/>
      </c>
      <c r="BX15">
        <f>IF(AND(AND(links_on,5&lt;=n_per),INDEX(lk_kind,5)=1,12&lt;INDEX(lk_legs,5)),g_ox+IF(((12+0.5)*(4*IF(circ_int,0,eq_c1/2)+4*IF(circ_int,0,eq_c2/2)+2*PI()*(s_0+4*s_r+IF(circ_int,eq_c1/2,0)))/INDEX(lk_legs,5))&lt;(2*IF(circ_int,0,eq_c2/2)),IF(circ_int,0,eq_c1/2)+(s_0+4*s_r+IF(circ_int,eq_c1/2,0)),IF(((12+0.5)*(4*IF(circ_int,0,eq_c1/2)+4*IF(circ_int,0,eq_c2/2)+2*PI()*(s_0+4*s_r+IF(circ_int,eq_c1/2,0)))/INDEX(lk_legs,5))&lt;((2*IF(circ_int,0,eq_c2/2))+(PI()*(s_0+4*s_r+IF(circ_int,eq_c1/2,0))/2)),IF(circ_int,0,eq_c1/2)+(s_0+4*s_r+IF(circ_int,eq_c1/2,0))*COS((((12+0.5)*(4*IF(circ_int,0,eq_c1/2)+4*IF(circ_int,0,eq_c2/2)+2*PI()*(s_0+4*s_r+IF(circ_int,eq_c1/2,0)))/INDEX(lk_legs,5))-(2*IF(circ_int,0,eq_c2/2)))/(s_0+4*s_r+IF(circ_int,eq_c1/2,0))),IF(((12+0.5)*(4*IF(circ_int,0,eq_c1/2)+4*IF(circ_int,0,eq_c2/2)+2*PI()*(s_0+4*s_r+IF(circ_int,eq_c1/2,0)))/INDEX(lk_legs,5))&lt;(((2*IF(circ_int,0,eq_c2/2))+(PI()*(s_0+4*s_r+IF(circ_int,eq_c1/2,0))/2))+2*IF(circ_int,0,eq_c1/2)),IF(circ_int,0,eq_c1/2)-(((12+0.5)*(4*IF(circ_int,0,eq_c1/2)+4*IF(circ_int,0,eq_c2/2)+2*PI()*(s_0+4*s_r+IF(circ_int,eq_c1/2,0)))/INDEX(lk_legs,5))-((2*IF(circ_int,0,eq_c2/2))+(PI()*(s_0+4*s_r+IF(circ_int,eq_c1/2,0))/2))),IF(((12+0.5)*(4*IF(circ_int,0,eq_c1/2)+4*IF(circ_int,0,eq_c2/2)+2*PI()*(s_0+4*s_r+IF(circ_int,eq_c1/2,0)))/INDEX(lk_legs,5))&lt;((((2*IF(circ_int,0,eq_c2/2))+(PI()*(s_0+4*s_r+IF(circ_int,eq_c1/2,0))/2))+2*IF(circ_int,0,eq_c1/2))+(PI()*(s_0+4*s_r+IF(circ_int,eq_c1/2,0))/2)),-IF(circ_int,0,eq_c1/2)+(s_0+4*s_r+IF(circ_int,eq_c1/2,0))*COS(PI()/2+(((12+0.5)*(4*IF(circ_int,0,eq_c1/2)+4*IF(circ_int,0,eq_c2/2)+2*PI()*(s_0+4*s_r+IF(circ_int,eq_c1/2,0)))/INDEX(lk_legs,5))-(((2*IF(circ_int,0,eq_c2/2))+(PI()*(s_0+4*s_r+IF(circ_int,eq_c1/2,0))/2))+2*IF(circ_int,0,eq_c1/2)))/(s_0+4*s_r+IF(circ_int,eq_c1/2,0))),IF(((12+0.5)*(4*IF(circ_int,0,eq_c1/2)+4*IF(circ_int,0,eq_c2/2)+2*PI()*(s_0+4*s_r+IF(circ_int,eq_c1/2,0)))/INDEX(lk_legs,5))&lt;(((((2*IF(circ_int,0,eq_c2/2))+(PI()*(s_0+4*s_r+IF(circ_int,eq_c1/2,0))/2))+2*IF(circ_int,0,eq_c1/2))+(PI()*(s_0+4*s_r+IF(circ_int,eq_c1/2,0))/2))+2*IF(circ_int,0,eq_c2/2)),-IF(circ_int,0,eq_c1/2)-(s_0+4*s_r+IF(circ_int,eq_c1/2,0)),IF(((12+0.5)*(4*IF(circ_int,0,eq_c1/2)+4*IF(circ_int,0,eq_c2/2)+2*PI()*(s_0+4*s_r+IF(circ_int,eq_c1/2,0)))/INDEX(lk_legs,5))&lt;((((((2*IF(circ_int,0,eq_c2/2))+(PI()*(s_0+4*s_r+IF(circ_int,eq_c1/2,0))/2))+2*IF(circ_int,0,eq_c1/2))+(PI()*(s_0+4*s_r+IF(circ_int,eq_c1/2,0))/2))+2*IF(circ_int,0,eq_c2/2))+(PI()*(s_0+4*s_r+IF(circ_int,eq_c1/2,0))/2)),-IF(circ_int,0,eq_c1/2)+(s_0+4*s_r+IF(circ_int,eq_c1/2,0))*COS(PI()+(((12+0.5)*(4*IF(circ_int,0,eq_c1/2)+4*IF(circ_int,0,eq_c2/2)+2*PI()*(s_0+4*s_r+IF(circ_int,eq_c1/2,0)))/INDEX(lk_legs,5))-(((((2*IF(circ_int,0,eq_c2/2))+(PI()*(s_0+4*s_r+IF(circ_int,eq_c1/2,0))/2))+2*IF(circ_int,0,eq_c1/2))+(PI()*(s_0+4*s_r+IF(circ_int,eq_c1/2,0))/2))+2*IF(circ_int,0,eq_c2/2)))/(s_0+4*s_r+IF(circ_int,eq_c1/2,0))),IF(((12+0.5)*(4*IF(circ_int,0,eq_c1/2)+4*IF(circ_int,0,eq_c2/2)+2*PI()*(s_0+4*s_r+IF(circ_int,eq_c1/2,0)))/INDEX(lk_legs,5))&lt;(((((((2*IF(circ_int,0,eq_c2/2))+(PI()*(s_0+4*s_r+IF(circ_int,eq_c1/2,0))/2))+2*IF(circ_int,0,eq_c1/2))+(PI()*(s_0+4*s_r+IF(circ_int,eq_c1/2,0))/2))+2*IF(circ_int,0,eq_c2/2))+(PI()*(s_0+4*s_r+IF(circ_int,eq_c1/2,0))/2))+2*IF(circ_int,0,eq_c1/2)),-IF(circ_int,0,eq_c1/2)+(((12+0.5)*(4*IF(circ_int,0,eq_c1/2)+4*IF(circ_int,0,eq_c2/2)+2*PI()*(s_0+4*s_r+IF(circ_int,eq_c1/2,0)))/INDEX(lk_legs,5))-((((((2*IF(circ_int,0,eq_c2/2))+(PI()*(s_0+4*s_r+IF(circ_int,eq_c1/2,0))/2))+2*IF(circ_int,0,eq_c1/2))+(PI()*(s_0+4*s_r+IF(circ_int,eq_c1/2,0))/2))+2*IF(circ_int,0,eq_c2/2))+(PI()*(s_0+4*s_r+IF(circ_int,eq_c1/2,0))/2))),IF(circ_int,0,eq_c1/2)+(s_0+4*s_r+IF(circ_int,eq_c1/2,0))*COS(3*PI()/2+(((12+0.5)*(4*IF(circ_int,0,eq_c1/2)+4*IF(circ_int,0,eq_c2/2)+2*PI()*(s_0+4*s_r+IF(circ_int,eq_c1/2,0)))/INDEX(lk_legs,5))-(((((((2*IF(circ_int,0,eq_c2/2))+(PI()*(s_0+4*s_r+IF(circ_int,eq_c1/2,0))/2))+2*IF(circ_int,0,eq_c1/2))+(PI()*(s_0+4*s_r+IF(circ_int,eq_c1/2,0))/2))+2*IF(circ_int,0,eq_c2/2))+(PI()*(s_0+4*s_r+IF(circ_int,eq_c1/2,0))/2))+2*IF(circ_int,0,eq_c1/2)))/(s_0+4*s_r+IF(circ_int,eq_c1/2,0)))))))))),NA())</f>
        <v/>
      </c>
      <c r="BY15">
        <f>IF(AND(AND(links_on,5&lt;=n_per),INDEX(lk_kind,5)=1,12&lt;INDEX(lk_legs,5)),g_oy+IF(((12+0.5)*(4*IF(circ_int,0,eq_c1/2)+4*IF(circ_int,0,eq_c2/2)+2*PI()*(s_0+4*s_r+IF(circ_int,eq_c1/2,0)))/INDEX(lk_legs,5))&lt;(2*IF(circ_int,0,eq_c2/2)),-IF(circ_int,0,eq_c2/2)+((12+0.5)*(4*IF(circ_int,0,eq_c1/2)+4*IF(circ_int,0,eq_c2/2)+2*PI()*(s_0+4*s_r+IF(circ_int,eq_c1/2,0)))/INDEX(lk_legs,5)),IF(((12+0.5)*(4*IF(circ_int,0,eq_c1/2)+4*IF(circ_int,0,eq_c2/2)+2*PI()*(s_0+4*s_r+IF(circ_int,eq_c1/2,0)))/INDEX(lk_legs,5))&lt;((2*IF(circ_int,0,eq_c2/2))+(PI()*(s_0+4*s_r+IF(circ_int,eq_c1/2,0))/2)),IF(circ_int,0,eq_c2/2)+(s_0+4*s_r+IF(circ_int,eq_c1/2,0))*SIN((((12+0.5)*(4*IF(circ_int,0,eq_c1/2)+4*IF(circ_int,0,eq_c2/2)+2*PI()*(s_0+4*s_r+IF(circ_int,eq_c1/2,0)))/INDEX(lk_legs,5))-(2*IF(circ_int,0,eq_c2/2)))/(s_0+4*s_r+IF(circ_int,eq_c1/2,0))),IF(((12+0.5)*(4*IF(circ_int,0,eq_c1/2)+4*IF(circ_int,0,eq_c2/2)+2*PI()*(s_0+4*s_r+IF(circ_int,eq_c1/2,0)))/INDEX(lk_legs,5))&lt;(((2*IF(circ_int,0,eq_c2/2))+(PI()*(s_0+4*s_r+IF(circ_int,eq_c1/2,0))/2))+2*IF(circ_int,0,eq_c1/2)),IF(circ_int,0,eq_c2/2)+(s_0+4*s_r+IF(circ_int,eq_c1/2,0)),IF(((12+0.5)*(4*IF(circ_int,0,eq_c1/2)+4*IF(circ_int,0,eq_c2/2)+2*PI()*(s_0+4*s_r+IF(circ_int,eq_c1/2,0)))/INDEX(lk_legs,5))&lt;((((2*IF(circ_int,0,eq_c2/2))+(PI()*(s_0+4*s_r+IF(circ_int,eq_c1/2,0))/2))+2*IF(circ_int,0,eq_c1/2))+(PI()*(s_0+4*s_r+IF(circ_int,eq_c1/2,0))/2)),IF(circ_int,0,eq_c2/2)+(s_0+4*s_r+IF(circ_int,eq_c1/2,0))*SIN(PI()/2+(((12+0.5)*(4*IF(circ_int,0,eq_c1/2)+4*IF(circ_int,0,eq_c2/2)+2*PI()*(s_0+4*s_r+IF(circ_int,eq_c1/2,0)))/INDEX(lk_legs,5))-(((2*IF(circ_int,0,eq_c2/2))+(PI()*(s_0+4*s_r+IF(circ_int,eq_c1/2,0))/2))+2*IF(circ_int,0,eq_c1/2)))/(s_0+4*s_r+IF(circ_int,eq_c1/2,0))),IF(((12+0.5)*(4*IF(circ_int,0,eq_c1/2)+4*IF(circ_int,0,eq_c2/2)+2*PI()*(s_0+4*s_r+IF(circ_int,eq_c1/2,0)))/INDEX(lk_legs,5))&lt;(((((2*IF(circ_int,0,eq_c2/2))+(PI()*(s_0+4*s_r+IF(circ_int,eq_c1/2,0))/2))+2*IF(circ_int,0,eq_c1/2))+(PI()*(s_0+4*s_r+IF(circ_int,eq_c1/2,0))/2))+2*IF(circ_int,0,eq_c2/2)),IF(circ_int,0,eq_c2/2)-(((12+0.5)*(4*IF(circ_int,0,eq_c1/2)+4*IF(circ_int,0,eq_c2/2)+2*PI()*(s_0+4*s_r+IF(circ_int,eq_c1/2,0)))/INDEX(lk_legs,5))-((((2*IF(circ_int,0,eq_c2/2))+(PI()*(s_0+4*s_r+IF(circ_int,eq_c1/2,0))/2))+2*IF(circ_int,0,eq_c1/2))+(PI()*(s_0+4*s_r+IF(circ_int,eq_c1/2,0))/2))),IF(((12+0.5)*(4*IF(circ_int,0,eq_c1/2)+4*IF(circ_int,0,eq_c2/2)+2*PI()*(s_0+4*s_r+IF(circ_int,eq_c1/2,0)))/INDEX(lk_legs,5))&lt;((((((2*IF(circ_int,0,eq_c2/2))+(PI()*(s_0+4*s_r+IF(circ_int,eq_c1/2,0))/2))+2*IF(circ_int,0,eq_c1/2))+(PI()*(s_0+4*s_r+IF(circ_int,eq_c1/2,0))/2))+2*IF(circ_int,0,eq_c2/2))+(PI()*(s_0+4*s_r+IF(circ_int,eq_c1/2,0))/2)),-IF(circ_int,0,eq_c2/2)+(s_0+4*s_r+IF(circ_int,eq_c1/2,0))*SIN(PI()+(((12+0.5)*(4*IF(circ_int,0,eq_c1/2)+4*IF(circ_int,0,eq_c2/2)+2*PI()*(s_0+4*s_r+IF(circ_int,eq_c1/2,0)))/INDEX(lk_legs,5))-(((((2*IF(circ_int,0,eq_c2/2))+(PI()*(s_0+4*s_r+IF(circ_int,eq_c1/2,0))/2))+2*IF(circ_int,0,eq_c1/2))+(PI()*(s_0+4*s_r+IF(circ_int,eq_c1/2,0))/2))+2*IF(circ_int,0,eq_c2/2)))/(s_0+4*s_r+IF(circ_int,eq_c1/2,0))),IF(((12+0.5)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(12+0.5)*(4*IF(circ_int,0,eq_c1/2)+4*IF(circ_int,0,eq_c2/2)+2*PI()*(s_0+4*s_r+IF(circ_int,eq_c1/2,0)))/INDEX(lk_legs,5))-(((((((2*IF(circ_int,0,eq_c2/2))+(PI()*(s_0+4*s_r+IF(circ_int,eq_c1/2,0))/2))+2*IF(circ_int,0,eq_c1/2))+(PI()*(s_0+4*s_r+IF(circ_int,eq_c1/2,0))/2))+2*IF(circ_int,0,eq_c2/2))+(PI()*(s_0+4*s_r+IF(circ_int,eq_c1/2,0))/2))+2*IF(circ_int,0,eq_c1/2)))/(s_0+4*s_r+IF(circ_int,eq_c1/2,0)))))))))),NA())</f>
        <v/>
      </c>
      <c r="CA15">
        <f>IF(AND(links_on,6&lt;=n_per),IF(circ_int,(g_ox)+(c_1/2+(s_0+5*s_r))*0.120537,CHOOSE(INDEX(lk_kind,6),(g_ox+eq_c1/2)+((s_0+5*s_r))*0.000000,(eq_a1+eq_c1)+((s_0+5*s_r))*0.991445,(eq_a1+eq_c1)+((s_0+5*s_r))*0.991445,(eq_a1)+((s_0+5*s_r))*-0.130526)),NA())</f>
        <v/>
      </c>
      <c r="CB15">
        <f>IF(AND(links_on,6&lt;=n_per),IF(circ_int,(g_oy)+(c_1/2+(s_0+5*s_r))*0.992709,CHOOSE(INDEX(lk_kind,6),(g_oy+eq_c2/2)+((s_0+5*s_r))*1.000000,(g_oy+eq_c2/2)+((s_0+5*s_r))*0.130526,(eq_a2+eq_c2)+((s_0+5*s_r))*0.130526,(eq_a2+eq_c2)+((s_0+5*s_r))*0.991445)),NA())</f>
        <v/>
      </c>
      <c r="CD15">
        <f>IF(AND(AND(links_on,6&lt;=n_per),INDEX(lk_kind,6)=1,12&lt;INDEX(lk_legs,6)),g_ox+IF(((12+0.5)*(4*IF(circ_int,0,eq_c1/2)+4*IF(circ_int,0,eq_c2/2)+2*PI()*(s_0+5*s_r+IF(circ_int,eq_c1/2,0)))/INDEX(lk_legs,6))&lt;(2*IF(circ_int,0,eq_c2/2)),IF(circ_int,0,eq_c1/2)+(s_0+5*s_r+IF(circ_int,eq_c1/2,0)),IF(((12+0.5)*(4*IF(circ_int,0,eq_c1/2)+4*IF(circ_int,0,eq_c2/2)+2*PI()*(s_0+5*s_r+IF(circ_int,eq_c1/2,0)))/INDEX(lk_legs,6))&lt;((2*IF(circ_int,0,eq_c2/2))+(PI()*(s_0+5*s_r+IF(circ_int,eq_c1/2,0))/2)),IF(circ_int,0,eq_c1/2)+(s_0+5*s_r+IF(circ_int,eq_c1/2,0))*COS((((12+0.5)*(4*IF(circ_int,0,eq_c1/2)+4*IF(circ_int,0,eq_c2/2)+2*PI()*(s_0+5*s_r+IF(circ_int,eq_c1/2,0)))/INDEX(lk_legs,6))-(2*IF(circ_int,0,eq_c2/2)))/(s_0+5*s_r+IF(circ_int,eq_c1/2,0))),IF(((12+0.5)*(4*IF(circ_int,0,eq_c1/2)+4*IF(circ_int,0,eq_c2/2)+2*PI()*(s_0+5*s_r+IF(circ_int,eq_c1/2,0)))/INDEX(lk_legs,6))&lt;(((2*IF(circ_int,0,eq_c2/2))+(PI()*(s_0+5*s_r+IF(circ_int,eq_c1/2,0))/2))+2*IF(circ_int,0,eq_c1/2)),IF(circ_int,0,eq_c1/2)-(((12+0.5)*(4*IF(circ_int,0,eq_c1/2)+4*IF(circ_int,0,eq_c2/2)+2*PI()*(s_0+5*s_r+IF(circ_int,eq_c1/2,0)))/INDEX(lk_legs,6))-((2*IF(circ_int,0,eq_c2/2))+(PI()*(s_0+5*s_r+IF(circ_int,eq_c1/2,0))/2))),IF(((12+0.5)*(4*IF(circ_int,0,eq_c1/2)+4*IF(circ_int,0,eq_c2/2)+2*PI()*(s_0+5*s_r+IF(circ_int,eq_c1/2,0)))/INDEX(lk_legs,6))&lt;((((2*IF(circ_int,0,eq_c2/2))+(PI()*(s_0+5*s_r+IF(circ_int,eq_c1/2,0))/2))+2*IF(circ_int,0,eq_c1/2))+(PI()*(s_0+5*s_r+IF(circ_int,eq_c1/2,0))/2)),-IF(circ_int,0,eq_c1/2)+(s_0+5*s_r+IF(circ_int,eq_c1/2,0))*COS(PI()/2+(((12+0.5)*(4*IF(circ_int,0,eq_c1/2)+4*IF(circ_int,0,eq_c2/2)+2*PI()*(s_0+5*s_r+IF(circ_int,eq_c1/2,0)))/INDEX(lk_legs,6))-(((2*IF(circ_int,0,eq_c2/2))+(PI()*(s_0+5*s_r+IF(circ_int,eq_c1/2,0))/2))+2*IF(circ_int,0,eq_c1/2)))/(s_0+5*s_r+IF(circ_int,eq_c1/2,0))),IF(((12+0.5)*(4*IF(circ_int,0,eq_c1/2)+4*IF(circ_int,0,eq_c2/2)+2*PI()*(s_0+5*s_r+IF(circ_int,eq_c1/2,0)))/INDEX(lk_legs,6))&lt;(((((2*IF(circ_int,0,eq_c2/2))+(PI()*(s_0+5*s_r+IF(circ_int,eq_c1/2,0))/2))+2*IF(circ_int,0,eq_c1/2))+(PI()*(s_0+5*s_r+IF(circ_int,eq_c1/2,0))/2))+2*IF(circ_int,0,eq_c2/2)),-IF(circ_int,0,eq_c1/2)-(s_0+5*s_r+IF(circ_int,eq_c1/2,0)),IF(((12+0.5)*(4*IF(circ_int,0,eq_c1/2)+4*IF(circ_int,0,eq_c2/2)+2*PI()*(s_0+5*s_r+IF(circ_int,eq_c1/2,0)))/INDEX(lk_legs,6))&lt;((((((2*IF(circ_int,0,eq_c2/2))+(PI()*(s_0+5*s_r+IF(circ_int,eq_c1/2,0))/2))+2*IF(circ_int,0,eq_c1/2))+(PI()*(s_0+5*s_r+IF(circ_int,eq_c1/2,0))/2))+2*IF(circ_int,0,eq_c2/2))+(PI()*(s_0+5*s_r+IF(circ_int,eq_c1/2,0))/2)),-IF(circ_int,0,eq_c1/2)+(s_0+5*s_r+IF(circ_int,eq_c1/2,0))*COS(PI()+(((12+0.5)*(4*IF(circ_int,0,eq_c1/2)+4*IF(circ_int,0,eq_c2/2)+2*PI()*(s_0+5*s_r+IF(circ_int,eq_c1/2,0)))/INDEX(lk_legs,6))-(((((2*IF(circ_int,0,eq_c2/2))+(PI()*(s_0+5*s_r+IF(circ_int,eq_c1/2,0))/2))+2*IF(circ_int,0,eq_c1/2))+(PI()*(s_0+5*s_r+IF(circ_int,eq_c1/2,0))/2))+2*IF(circ_int,0,eq_c2/2)))/(s_0+5*s_r+IF(circ_int,eq_c1/2,0))),IF(((12+0.5)*(4*IF(circ_int,0,eq_c1/2)+4*IF(circ_int,0,eq_c2/2)+2*PI()*(s_0+5*s_r+IF(circ_int,eq_c1/2,0)))/INDEX(lk_legs,6))&lt;(((((((2*IF(circ_int,0,eq_c2/2))+(PI()*(s_0+5*s_r+IF(circ_int,eq_c1/2,0))/2))+2*IF(circ_int,0,eq_c1/2))+(PI()*(s_0+5*s_r+IF(circ_int,eq_c1/2,0))/2))+2*IF(circ_int,0,eq_c2/2))+(PI()*(s_0+5*s_r+IF(circ_int,eq_c1/2,0))/2))+2*IF(circ_int,0,eq_c1/2)),-IF(circ_int,0,eq_c1/2)+(((12+0.5)*(4*IF(circ_int,0,eq_c1/2)+4*IF(circ_int,0,eq_c2/2)+2*PI()*(s_0+5*s_r+IF(circ_int,eq_c1/2,0)))/INDEX(lk_legs,6))-((((((2*IF(circ_int,0,eq_c2/2))+(PI()*(s_0+5*s_r+IF(circ_int,eq_c1/2,0))/2))+2*IF(circ_int,0,eq_c1/2))+(PI()*(s_0+5*s_r+IF(circ_int,eq_c1/2,0))/2))+2*IF(circ_int,0,eq_c2/2))+(PI()*(s_0+5*s_r+IF(circ_int,eq_c1/2,0))/2))),IF(circ_int,0,eq_c1/2)+(s_0+5*s_r+IF(circ_int,eq_c1/2,0))*COS(3*PI()/2+(((12+0.5)*(4*IF(circ_int,0,eq_c1/2)+4*IF(circ_int,0,eq_c2/2)+2*PI()*(s_0+5*s_r+IF(circ_int,eq_c1/2,0)))/INDEX(lk_legs,6))-(((((((2*IF(circ_int,0,eq_c2/2))+(PI()*(s_0+5*s_r+IF(circ_int,eq_c1/2,0))/2))+2*IF(circ_int,0,eq_c1/2))+(PI()*(s_0+5*s_r+IF(circ_int,eq_c1/2,0))/2))+2*IF(circ_int,0,eq_c2/2))+(PI()*(s_0+5*s_r+IF(circ_int,eq_c1/2,0))/2))+2*IF(circ_int,0,eq_c1/2)))/(s_0+5*s_r+IF(circ_int,eq_c1/2,0)))))))))),NA())</f>
        <v/>
      </c>
      <c r="CE15">
        <f>IF(AND(AND(links_on,6&lt;=n_per),INDEX(lk_kind,6)=1,12&lt;INDEX(lk_legs,6)),g_oy+IF(((12+0.5)*(4*IF(circ_int,0,eq_c1/2)+4*IF(circ_int,0,eq_c2/2)+2*PI()*(s_0+5*s_r+IF(circ_int,eq_c1/2,0)))/INDEX(lk_legs,6))&lt;(2*IF(circ_int,0,eq_c2/2)),-IF(circ_int,0,eq_c2/2)+((12+0.5)*(4*IF(circ_int,0,eq_c1/2)+4*IF(circ_int,0,eq_c2/2)+2*PI()*(s_0+5*s_r+IF(circ_int,eq_c1/2,0)))/INDEX(lk_legs,6)),IF(((12+0.5)*(4*IF(circ_int,0,eq_c1/2)+4*IF(circ_int,0,eq_c2/2)+2*PI()*(s_0+5*s_r+IF(circ_int,eq_c1/2,0)))/INDEX(lk_legs,6))&lt;((2*IF(circ_int,0,eq_c2/2))+(PI()*(s_0+5*s_r+IF(circ_int,eq_c1/2,0))/2)),IF(circ_int,0,eq_c2/2)+(s_0+5*s_r+IF(circ_int,eq_c1/2,0))*SIN((((12+0.5)*(4*IF(circ_int,0,eq_c1/2)+4*IF(circ_int,0,eq_c2/2)+2*PI()*(s_0+5*s_r+IF(circ_int,eq_c1/2,0)))/INDEX(lk_legs,6))-(2*IF(circ_int,0,eq_c2/2)))/(s_0+5*s_r+IF(circ_int,eq_c1/2,0))),IF(((12+0.5)*(4*IF(circ_int,0,eq_c1/2)+4*IF(circ_int,0,eq_c2/2)+2*PI()*(s_0+5*s_r+IF(circ_int,eq_c1/2,0)))/INDEX(lk_legs,6))&lt;(((2*IF(circ_int,0,eq_c2/2))+(PI()*(s_0+5*s_r+IF(circ_int,eq_c1/2,0))/2))+2*IF(circ_int,0,eq_c1/2)),IF(circ_int,0,eq_c2/2)+(s_0+5*s_r+IF(circ_int,eq_c1/2,0)),IF(((12+0.5)*(4*IF(circ_int,0,eq_c1/2)+4*IF(circ_int,0,eq_c2/2)+2*PI()*(s_0+5*s_r+IF(circ_int,eq_c1/2,0)))/INDEX(lk_legs,6))&lt;((((2*IF(circ_int,0,eq_c2/2))+(PI()*(s_0+5*s_r+IF(circ_int,eq_c1/2,0))/2))+2*IF(circ_int,0,eq_c1/2))+(PI()*(s_0+5*s_r+IF(circ_int,eq_c1/2,0))/2)),IF(circ_int,0,eq_c2/2)+(s_0+5*s_r+IF(circ_int,eq_c1/2,0))*SIN(PI()/2+(((12+0.5)*(4*IF(circ_int,0,eq_c1/2)+4*IF(circ_int,0,eq_c2/2)+2*PI()*(s_0+5*s_r+IF(circ_int,eq_c1/2,0)))/INDEX(lk_legs,6))-(((2*IF(circ_int,0,eq_c2/2))+(PI()*(s_0+5*s_r+IF(circ_int,eq_c1/2,0))/2))+2*IF(circ_int,0,eq_c1/2)))/(s_0+5*s_r+IF(circ_int,eq_c1/2,0))),IF(((12+0.5)*(4*IF(circ_int,0,eq_c1/2)+4*IF(circ_int,0,eq_c2/2)+2*PI()*(s_0+5*s_r+IF(circ_int,eq_c1/2,0)))/INDEX(lk_legs,6))&lt;(((((2*IF(circ_int,0,eq_c2/2))+(PI()*(s_0+5*s_r+IF(circ_int,eq_c1/2,0))/2))+2*IF(circ_int,0,eq_c1/2))+(PI()*(s_0+5*s_r+IF(circ_int,eq_c1/2,0))/2))+2*IF(circ_int,0,eq_c2/2)),IF(circ_int,0,eq_c2/2)-(((12+0.5)*(4*IF(circ_int,0,eq_c1/2)+4*IF(circ_int,0,eq_c2/2)+2*PI()*(s_0+5*s_r+IF(circ_int,eq_c1/2,0)))/INDEX(lk_legs,6))-((((2*IF(circ_int,0,eq_c2/2))+(PI()*(s_0+5*s_r+IF(circ_int,eq_c1/2,0))/2))+2*IF(circ_int,0,eq_c1/2))+(PI()*(s_0+5*s_r+IF(circ_int,eq_c1/2,0))/2))),IF(((12+0.5)*(4*IF(circ_int,0,eq_c1/2)+4*IF(circ_int,0,eq_c2/2)+2*PI()*(s_0+5*s_r+IF(circ_int,eq_c1/2,0)))/INDEX(lk_legs,6))&lt;((((((2*IF(circ_int,0,eq_c2/2))+(PI()*(s_0+5*s_r+IF(circ_int,eq_c1/2,0))/2))+2*IF(circ_int,0,eq_c1/2))+(PI()*(s_0+5*s_r+IF(circ_int,eq_c1/2,0))/2))+2*IF(circ_int,0,eq_c2/2))+(PI()*(s_0+5*s_r+IF(circ_int,eq_c1/2,0))/2)),-IF(circ_int,0,eq_c2/2)+(s_0+5*s_r+IF(circ_int,eq_c1/2,0))*SIN(PI()+(((12+0.5)*(4*IF(circ_int,0,eq_c1/2)+4*IF(circ_int,0,eq_c2/2)+2*PI()*(s_0+5*s_r+IF(circ_int,eq_c1/2,0)))/INDEX(lk_legs,6))-(((((2*IF(circ_int,0,eq_c2/2))+(PI()*(s_0+5*s_r+IF(circ_int,eq_c1/2,0))/2))+2*IF(circ_int,0,eq_c1/2))+(PI()*(s_0+5*s_r+IF(circ_int,eq_c1/2,0))/2))+2*IF(circ_int,0,eq_c2/2)))/(s_0+5*s_r+IF(circ_int,eq_c1/2,0))),IF(((12+0.5)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(12+0.5)*(4*IF(circ_int,0,eq_c1/2)+4*IF(circ_int,0,eq_c2/2)+2*PI()*(s_0+5*s_r+IF(circ_int,eq_c1/2,0)))/INDEX(lk_legs,6))-(((((((2*IF(circ_int,0,eq_c2/2))+(PI()*(s_0+5*s_r+IF(circ_int,eq_c1/2,0))/2))+2*IF(circ_int,0,eq_c1/2))+(PI()*(s_0+5*s_r+IF(circ_int,eq_c1/2,0))/2))+2*IF(circ_int,0,eq_c2/2))+(PI()*(s_0+5*s_r+IF(circ_int,eq_c1/2,0))/2))+2*IF(circ_int,0,eq_c1/2)))/(s_0+5*s_r+IF(circ_int,eq_c1/2,0)))))))))),NA())</f>
        <v/>
      </c>
      <c r="CG15">
        <f>IF(AND(links_on,7&lt;=n_per),IF(circ_int,(g_ox)+(c_1/2+(s_0+6*s_r))*0.120537,CHOOSE(INDEX(lk_kind,7),(g_ox+eq_c1/2)+((s_0+6*s_r))*0.000000,(eq_a1+eq_c1)+((s_0+6*s_r))*0.991445,(eq_a1+eq_c1)+((s_0+6*s_r))*0.991445,(eq_a1)+((s_0+6*s_r))*-0.130526)),NA())</f>
        <v/>
      </c>
      <c r="CH15">
        <f>IF(AND(links_on,7&lt;=n_per),IF(circ_int,(g_oy)+(c_1/2+(s_0+6*s_r))*0.992709,CHOOSE(INDEX(lk_kind,7),(g_oy+eq_c2/2)+((s_0+6*s_r))*1.000000,(g_oy+eq_c2/2)+((s_0+6*s_r))*0.130526,(eq_a2+eq_c2)+((s_0+6*s_r))*0.130526,(eq_a2+eq_c2)+((s_0+6*s_r))*0.991445)),NA())</f>
        <v/>
      </c>
      <c r="CJ15">
        <f>IF(AND(AND(links_on,7&lt;=n_per),INDEX(lk_kind,7)=1,12&lt;INDEX(lk_legs,7)),g_ox+IF(((12+0.5)*(4*IF(circ_int,0,eq_c1/2)+4*IF(circ_int,0,eq_c2/2)+2*PI()*(s_0+6*s_r+IF(circ_int,eq_c1/2,0)))/INDEX(lk_legs,7))&lt;(2*IF(circ_int,0,eq_c2/2)),IF(circ_int,0,eq_c1/2)+(s_0+6*s_r+IF(circ_int,eq_c1/2,0)),IF(((12+0.5)*(4*IF(circ_int,0,eq_c1/2)+4*IF(circ_int,0,eq_c2/2)+2*PI()*(s_0+6*s_r+IF(circ_int,eq_c1/2,0)))/INDEX(lk_legs,7))&lt;((2*IF(circ_int,0,eq_c2/2))+(PI()*(s_0+6*s_r+IF(circ_int,eq_c1/2,0))/2)),IF(circ_int,0,eq_c1/2)+(s_0+6*s_r+IF(circ_int,eq_c1/2,0))*COS((((12+0.5)*(4*IF(circ_int,0,eq_c1/2)+4*IF(circ_int,0,eq_c2/2)+2*PI()*(s_0+6*s_r+IF(circ_int,eq_c1/2,0)))/INDEX(lk_legs,7))-(2*IF(circ_int,0,eq_c2/2)))/(s_0+6*s_r+IF(circ_int,eq_c1/2,0))),IF(((12+0.5)*(4*IF(circ_int,0,eq_c1/2)+4*IF(circ_int,0,eq_c2/2)+2*PI()*(s_0+6*s_r+IF(circ_int,eq_c1/2,0)))/INDEX(lk_legs,7))&lt;(((2*IF(circ_int,0,eq_c2/2))+(PI()*(s_0+6*s_r+IF(circ_int,eq_c1/2,0))/2))+2*IF(circ_int,0,eq_c1/2)),IF(circ_int,0,eq_c1/2)-(((12+0.5)*(4*IF(circ_int,0,eq_c1/2)+4*IF(circ_int,0,eq_c2/2)+2*PI()*(s_0+6*s_r+IF(circ_int,eq_c1/2,0)))/INDEX(lk_legs,7))-((2*IF(circ_int,0,eq_c2/2))+(PI()*(s_0+6*s_r+IF(circ_int,eq_c1/2,0))/2))),IF(((12+0.5)*(4*IF(circ_int,0,eq_c1/2)+4*IF(circ_int,0,eq_c2/2)+2*PI()*(s_0+6*s_r+IF(circ_int,eq_c1/2,0)))/INDEX(lk_legs,7))&lt;((((2*IF(circ_int,0,eq_c2/2))+(PI()*(s_0+6*s_r+IF(circ_int,eq_c1/2,0))/2))+2*IF(circ_int,0,eq_c1/2))+(PI()*(s_0+6*s_r+IF(circ_int,eq_c1/2,0))/2)),-IF(circ_int,0,eq_c1/2)+(s_0+6*s_r+IF(circ_int,eq_c1/2,0))*COS(PI()/2+(((12+0.5)*(4*IF(circ_int,0,eq_c1/2)+4*IF(circ_int,0,eq_c2/2)+2*PI()*(s_0+6*s_r+IF(circ_int,eq_c1/2,0)))/INDEX(lk_legs,7))-(((2*IF(circ_int,0,eq_c2/2))+(PI()*(s_0+6*s_r+IF(circ_int,eq_c1/2,0))/2))+2*IF(circ_int,0,eq_c1/2)))/(s_0+6*s_r+IF(circ_int,eq_c1/2,0))),IF(((12+0.5)*(4*IF(circ_int,0,eq_c1/2)+4*IF(circ_int,0,eq_c2/2)+2*PI()*(s_0+6*s_r+IF(circ_int,eq_c1/2,0)))/INDEX(lk_legs,7))&lt;(((((2*IF(circ_int,0,eq_c2/2))+(PI()*(s_0+6*s_r+IF(circ_int,eq_c1/2,0))/2))+2*IF(circ_int,0,eq_c1/2))+(PI()*(s_0+6*s_r+IF(circ_int,eq_c1/2,0))/2))+2*IF(circ_int,0,eq_c2/2)),-IF(circ_int,0,eq_c1/2)-(s_0+6*s_r+IF(circ_int,eq_c1/2,0)),IF(((12+0.5)*(4*IF(circ_int,0,eq_c1/2)+4*IF(circ_int,0,eq_c2/2)+2*PI()*(s_0+6*s_r+IF(circ_int,eq_c1/2,0)))/INDEX(lk_legs,7))&lt;((((((2*IF(circ_int,0,eq_c2/2))+(PI()*(s_0+6*s_r+IF(circ_int,eq_c1/2,0))/2))+2*IF(circ_int,0,eq_c1/2))+(PI()*(s_0+6*s_r+IF(circ_int,eq_c1/2,0))/2))+2*IF(circ_int,0,eq_c2/2))+(PI()*(s_0+6*s_r+IF(circ_int,eq_c1/2,0))/2)),-IF(circ_int,0,eq_c1/2)+(s_0+6*s_r+IF(circ_int,eq_c1/2,0))*COS(PI()+(((12+0.5)*(4*IF(circ_int,0,eq_c1/2)+4*IF(circ_int,0,eq_c2/2)+2*PI()*(s_0+6*s_r+IF(circ_int,eq_c1/2,0)))/INDEX(lk_legs,7))-(((((2*IF(circ_int,0,eq_c2/2))+(PI()*(s_0+6*s_r+IF(circ_int,eq_c1/2,0))/2))+2*IF(circ_int,0,eq_c1/2))+(PI()*(s_0+6*s_r+IF(circ_int,eq_c1/2,0))/2))+2*IF(circ_int,0,eq_c2/2)))/(s_0+6*s_r+IF(circ_int,eq_c1/2,0))),IF(((12+0.5)*(4*IF(circ_int,0,eq_c1/2)+4*IF(circ_int,0,eq_c2/2)+2*PI()*(s_0+6*s_r+IF(circ_int,eq_c1/2,0)))/INDEX(lk_legs,7))&lt;(((((((2*IF(circ_int,0,eq_c2/2))+(PI()*(s_0+6*s_r+IF(circ_int,eq_c1/2,0))/2))+2*IF(circ_int,0,eq_c1/2))+(PI()*(s_0+6*s_r+IF(circ_int,eq_c1/2,0))/2))+2*IF(circ_int,0,eq_c2/2))+(PI()*(s_0+6*s_r+IF(circ_int,eq_c1/2,0))/2))+2*IF(circ_int,0,eq_c1/2)),-IF(circ_int,0,eq_c1/2)+(((12+0.5)*(4*IF(circ_int,0,eq_c1/2)+4*IF(circ_int,0,eq_c2/2)+2*PI()*(s_0+6*s_r+IF(circ_int,eq_c1/2,0)))/INDEX(lk_legs,7))-((((((2*IF(circ_int,0,eq_c2/2))+(PI()*(s_0+6*s_r+IF(circ_int,eq_c1/2,0))/2))+2*IF(circ_int,0,eq_c1/2))+(PI()*(s_0+6*s_r+IF(circ_int,eq_c1/2,0))/2))+2*IF(circ_int,0,eq_c2/2))+(PI()*(s_0+6*s_r+IF(circ_int,eq_c1/2,0))/2))),IF(circ_int,0,eq_c1/2)+(s_0+6*s_r+IF(circ_int,eq_c1/2,0))*COS(3*PI()/2+(((12+0.5)*(4*IF(circ_int,0,eq_c1/2)+4*IF(circ_int,0,eq_c2/2)+2*PI()*(s_0+6*s_r+IF(circ_int,eq_c1/2,0)))/INDEX(lk_legs,7))-(((((((2*IF(circ_int,0,eq_c2/2))+(PI()*(s_0+6*s_r+IF(circ_int,eq_c1/2,0))/2))+2*IF(circ_int,0,eq_c1/2))+(PI()*(s_0+6*s_r+IF(circ_int,eq_c1/2,0))/2))+2*IF(circ_int,0,eq_c2/2))+(PI()*(s_0+6*s_r+IF(circ_int,eq_c1/2,0))/2))+2*IF(circ_int,0,eq_c1/2)))/(s_0+6*s_r+IF(circ_int,eq_c1/2,0)))))))))),NA())</f>
        <v/>
      </c>
      <c r="CK15">
        <f>IF(AND(AND(links_on,7&lt;=n_per),INDEX(lk_kind,7)=1,12&lt;INDEX(lk_legs,7)),g_oy+IF(((12+0.5)*(4*IF(circ_int,0,eq_c1/2)+4*IF(circ_int,0,eq_c2/2)+2*PI()*(s_0+6*s_r+IF(circ_int,eq_c1/2,0)))/INDEX(lk_legs,7))&lt;(2*IF(circ_int,0,eq_c2/2)),-IF(circ_int,0,eq_c2/2)+((12+0.5)*(4*IF(circ_int,0,eq_c1/2)+4*IF(circ_int,0,eq_c2/2)+2*PI()*(s_0+6*s_r+IF(circ_int,eq_c1/2,0)))/INDEX(lk_legs,7)),IF(((12+0.5)*(4*IF(circ_int,0,eq_c1/2)+4*IF(circ_int,0,eq_c2/2)+2*PI()*(s_0+6*s_r+IF(circ_int,eq_c1/2,0)))/INDEX(lk_legs,7))&lt;((2*IF(circ_int,0,eq_c2/2))+(PI()*(s_0+6*s_r+IF(circ_int,eq_c1/2,0))/2)),IF(circ_int,0,eq_c2/2)+(s_0+6*s_r+IF(circ_int,eq_c1/2,0))*SIN((((12+0.5)*(4*IF(circ_int,0,eq_c1/2)+4*IF(circ_int,0,eq_c2/2)+2*PI()*(s_0+6*s_r+IF(circ_int,eq_c1/2,0)))/INDEX(lk_legs,7))-(2*IF(circ_int,0,eq_c2/2)))/(s_0+6*s_r+IF(circ_int,eq_c1/2,0))),IF(((12+0.5)*(4*IF(circ_int,0,eq_c1/2)+4*IF(circ_int,0,eq_c2/2)+2*PI()*(s_0+6*s_r+IF(circ_int,eq_c1/2,0)))/INDEX(lk_legs,7))&lt;(((2*IF(circ_int,0,eq_c2/2))+(PI()*(s_0+6*s_r+IF(circ_int,eq_c1/2,0))/2))+2*IF(circ_int,0,eq_c1/2)),IF(circ_int,0,eq_c2/2)+(s_0+6*s_r+IF(circ_int,eq_c1/2,0)),IF(((12+0.5)*(4*IF(circ_int,0,eq_c1/2)+4*IF(circ_int,0,eq_c2/2)+2*PI()*(s_0+6*s_r+IF(circ_int,eq_c1/2,0)))/INDEX(lk_legs,7))&lt;((((2*IF(circ_int,0,eq_c2/2))+(PI()*(s_0+6*s_r+IF(circ_int,eq_c1/2,0))/2))+2*IF(circ_int,0,eq_c1/2))+(PI()*(s_0+6*s_r+IF(circ_int,eq_c1/2,0))/2)),IF(circ_int,0,eq_c2/2)+(s_0+6*s_r+IF(circ_int,eq_c1/2,0))*SIN(PI()/2+(((12+0.5)*(4*IF(circ_int,0,eq_c1/2)+4*IF(circ_int,0,eq_c2/2)+2*PI()*(s_0+6*s_r+IF(circ_int,eq_c1/2,0)))/INDEX(lk_legs,7))-(((2*IF(circ_int,0,eq_c2/2))+(PI()*(s_0+6*s_r+IF(circ_int,eq_c1/2,0))/2))+2*IF(circ_int,0,eq_c1/2)))/(s_0+6*s_r+IF(circ_int,eq_c1/2,0))),IF(((12+0.5)*(4*IF(circ_int,0,eq_c1/2)+4*IF(circ_int,0,eq_c2/2)+2*PI()*(s_0+6*s_r+IF(circ_int,eq_c1/2,0)))/INDEX(lk_legs,7))&lt;(((((2*IF(circ_int,0,eq_c2/2))+(PI()*(s_0+6*s_r+IF(circ_int,eq_c1/2,0))/2))+2*IF(circ_int,0,eq_c1/2))+(PI()*(s_0+6*s_r+IF(circ_int,eq_c1/2,0))/2))+2*IF(circ_int,0,eq_c2/2)),IF(circ_int,0,eq_c2/2)-(((12+0.5)*(4*IF(circ_int,0,eq_c1/2)+4*IF(circ_int,0,eq_c2/2)+2*PI()*(s_0+6*s_r+IF(circ_int,eq_c1/2,0)))/INDEX(lk_legs,7))-((((2*IF(circ_int,0,eq_c2/2))+(PI()*(s_0+6*s_r+IF(circ_int,eq_c1/2,0))/2))+2*IF(circ_int,0,eq_c1/2))+(PI()*(s_0+6*s_r+IF(circ_int,eq_c1/2,0))/2))),IF(((12+0.5)*(4*IF(circ_int,0,eq_c1/2)+4*IF(circ_int,0,eq_c2/2)+2*PI()*(s_0+6*s_r+IF(circ_int,eq_c1/2,0)))/INDEX(lk_legs,7))&lt;((((((2*IF(circ_int,0,eq_c2/2))+(PI()*(s_0+6*s_r+IF(circ_int,eq_c1/2,0))/2))+2*IF(circ_int,0,eq_c1/2))+(PI()*(s_0+6*s_r+IF(circ_int,eq_c1/2,0))/2))+2*IF(circ_int,0,eq_c2/2))+(PI()*(s_0+6*s_r+IF(circ_int,eq_c1/2,0))/2)),-IF(circ_int,0,eq_c2/2)+(s_0+6*s_r+IF(circ_int,eq_c1/2,0))*SIN(PI()+(((12+0.5)*(4*IF(circ_int,0,eq_c1/2)+4*IF(circ_int,0,eq_c2/2)+2*PI()*(s_0+6*s_r+IF(circ_int,eq_c1/2,0)))/INDEX(lk_legs,7))-(((((2*IF(circ_int,0,eq_c2/2))+(PI()*(s_0+6*s_r+IF(circ_int,eq_c1/2,0))/2))+2*IF(circ_int,0,eq_c1/2))+(PI()*(s_0+6*s_r+IF(circ_int,eq_c1/2,0))/2))+2*IF(circ_int,0,eq_c2/2)))/(s_0+6*s_r+IF(circ_int,eq_c1/2,0))),IF(((12+0.5)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(12+0.5)*(4*IF(circ_int,0,eq_c1/2)+4*IF(circ_int,0,eq_c2/2)+2*PI()*(s_0+6*s_r+IF(circ_int,eq_c1/2,0)))/INDEX(lk_legs,7))-(((((((2*IF(circ_int,0,eq_c2/2))+(PI()*(s_0+6*s_r+IF(circ_int,eq_c1/2,0))/2))+2*IF(circ_int,0,eq_c1/2))+(PI()*(s_0+6*s_r+IF(circ_int,eq_c1/2,0))/2))+2*IF(circ_int,0,eq_c2/2))+(PI()*(s_0+6*s_r+IF(circ_int,eq_c1/2,0))/2))+2*IF(circ_int,0,eq_c1/2)))/(s_0+6*s_r+IF(circ_int,eq_c1/2,0)))))))))),NA())</f>
        <v/>
      </c>
      <c r="CM15">
        <f>IF(AND(links_on,8&lt;=n_per),IF(circ_int,(g_ox)+(c_1/2+(s_0+7*s_r))*0.120537,CHOOSE(INDEX(lk_kind,8),(g_ox+eq_c1/2)+((s_0+7*s_r))*0.000000,(eq_a1+eq_c1)+((s_0+7*s_r))*0.991445,(eq_a1+eq_c1)+((s_0+7*s_r))*0.991445,(eq_a1)+((s_0+7*s_r))*-0.130526)),NA())</f>
        <v/>
      </c>
      <c r="CN15">
        <f>IF(AND(links_on,8&lt;=n_per),IF(circ_int,(g_oy)+(c_1/2+(s_0+7*s_r))*0.992709,CHOOSE(INDEX(lk_kind,8),(g_oy+eq_c2/2)+((s_0+7*s_r))*1.000000,(g_oy+eq_c2/2)+((s_0+7*s_r))*0.130526,(eq_a2+eq_c2)+((s_0+7*s_r))*0.130526,(eq_a2+eq_c2)+((s_0+7*s_r))*0.991445)),NA())</f>
        <v/>
      </c>
      <c r="CP15">
        <f>IF(AND(AND(links_on,8&lt;=n_per),INDEX(lk_kind,8)=1,12&lt;INDEX(lk_legs,8)),g_ox+IF(((12+0.5)*(4*IF(circ_int,0,eq_c1/2)+4*IF(circ_int,0,eq_c2/2)+2*PI()*(s_0+7*s_r+IF(circ_int,eq_c1/2,0)))/INDEX(lk_legs,8))&lt;(2*IF(circ_int,0,eq_c2/2)),IF(circ_int,0,eq_c1/2)+(s_0+7*s_r+IF(circ_int,eq_c1/2,0)),IF(((12+0.5)*(4*IF(circ_int,0,eq_c1/2)+4*IF(circ_int,0,eq_c2/2)+2*PI()*(s_0+7*s_r+IF(circ_int,eq_c1/2,0)))/INDEX(lk_legs,8))&lt;((2*IF(circ_int,0,eq_c2/2))+(PI()*(s_0+7*s_r+IF(circ_int,eq_c1/2,0))/2)),IF(circ_int,0,eq_c1/2)+(s_0+7*s_r+IF(circ_int,eq_c1/2,0))*COS((((12+0.5)*(4*IF(circ_int,0,eq_c1/2)+4*IF(circ_int,0,eq_c2/2)+2*PI()*(s_0+7*s_r+IF(circ_int,eq_c1/2,0)))/INDEX(lk_legs,8))-(2*IF(circ_int,0,eq_c2/2)))/(s_0+7*s_r+IF(circ_int,eq_c1/2,0))),IF(((12+0.5)*(4*IF(circ_int,0,eq_c1/2)+4*IF(circ_int,0,eq_c2/2)+2*PI()*(s_0+7*s_r+IF(circ_int,eq_c1/2,0)))/INDEX(lk_legs,8))&lt;(((2*IF(circ_int,0,eq_c2/2))+(PI()*(s_0+7*s_r+IF(circ_int,eq_c1/2,0))/2))+2*IF(circ_int,0,eq_c1/2)),IF(circ_int,0,eq_c1/2)-(((12+0.5)*(4*IF(circ_int,0,eq_c1/2)+4*IF(circ_int,0,eq_c2/2)+2*PI()*(s_0+7*s_r+IF(circ_int,eq_c1/2,0)))/INDEX(lk_legs,8))-((2*IF(circ_int,0,eq_c2/2))+(PI()*(s_0+7*s_r+IF(circ_int,eq_c1/2,0))/2))),IF(((12+0.5)*(4*IF(circ_int,0,eq_c1/2)+4*IF(circ_int,0,eq_c2/2)+2*PI()*(s_0+7*s_r+IF(circ_int,eq_c1/2,0)))/INDEX(lk_legs,8))&lt;((((2*IF(circ_int,0,eq_c2/2))+(PI()*(s_0+7*s_r+IF(circ_int,eq_c1/2,0))/2))+2*IF(circ_int,0,eq_c1/2))+(PI()*(s_0+7*s_r+IF(circ_int,eq_c1/2,0))/2)),-IF(circ_int,0,eq_c1/2)+(s_0+7*s_r+IF(circ_int,eq_c1/2,0))*COS(PI()/2+(((12+0.5)*(4*IF(circ_int,0,eq_c1/2)+4*IF(circ_int,0,eq_c2/2)+2*PI()*(s_0+7*s_r+IF(circ_int,eq_c1/2,0)))/INDEX(lk_legs,8))-(((2*IF(circ_int,0,eq_c2/2))+(PI()*(s_0+7*s_r+IF(circ_int,eq_c1/2,0))/2))+2*IF(circ_int,0,eq_c1/2)))/(s_0+7*s_r+IF(circ_int,eq_c1/2,0))),IF(((12+0.5)*(4*IF(circ_int,0,eq_c1/2)+4*IF(circ_int,0,eq_c2/2)+2*PI()*(s_0+7*s_r+IF(circ_int,eq_c1/2,0)))/INDEX(lk_legs,8))&lt;(((((2*IF(circ_int,0,eq_c2/2))+(PI()*(s_0+7*s_r+IF(circ_int,eq_c1/2,0))/2))+2*IF(circ_int,0,eq_c1/2))+(PI()*(s_0+7*s_r+IF(circ_int,eq_c1/2,0))/2))+2*IF(circ_int,0,eq_c2/2)),-IF(circ_int,0,eq_c1/2)-(s_0+7*s_r+IF(circ_int,eq_c1/2,0)),IF(((12+0.5)*(4*IF(circ_int,0,eq_c1/2)+4*IF(circ_int,0,eq_c2/2)+2*PI()*(s_0+7*s_r+IF(circ_int,eq_c1/2,0)))/INDEX(lk_legs,8))&lt;((((((2*IF(circ_int,0,eq_c2/2))+(PI()*(s_0+7*s_r+IF(circ_int,eq_c1/2,0))/2))+2*IF(circ_int,0,eq_c1/2))+(PI()*(s_0+7*s_r+IF(circ_int,eq_c1/2,0))/2))+2*IF(circ_int,0,eq_c2/2))+(PI()*(s_0+7*s_r+IF(circ_int,eq_c1/2,0))/2)),-IF(circ_int,0,eq_c1/2)+(s_0+7*s_r+IF(circ_int,eq_c1/2,0))*COS(PI()+(((12+0.5)*(4*IF(circ_int,0,eq_c1/2)+4*IF(circ_int,0,eq_c2/2)+2*PI()*(s_0+7*s_r+IF(circ_int,eq_c1/2,0)))/INDEX(lk_legs,8))-(((((2*IF(circ_int,0,eq_c2/2))+(PI()*(s_0+7*s_r+IF(circ_int,eq_c1/2,0))/2))+2*IF(circ_int,0,eq_c1/2))+(PI()*(s_0+7*s_r+IF(circ_int,eq_c1/2,0))/2))+2*IF(circ_int,0,eq_c2/2)))/(s_0+7*s_r+IF(circ_int,eq_c1/2,0))),IF(((12+0.5)*(4*IF(circ_int,0,eq_c1/2)+4*IF(circ_int,0,eq_c2/2)+2*PI()*(s_0+7*s_r+IF(circ_int,eq_c1/2,0)))/INDEX(lk_legs,8))&lt;(((((((2*IF(circ_int,0,eq_c2/2))+(PI()*(s_0+7*s_r+IF(circ_int,eq_c1/2,0))/2))+2*IF(circ_int,0,eq_c1/2))+(PI()*(s_0+7*s_r+IF(circ_int,eq_c1/2,0))/2))+2*IF(circ_int,0,eq_c2/2))+(PI()*(s_0+7*s_r+IF(circ_int,eq_c1/2,0))/2))+2*IF(circ_int,0,eq_c1/2)),-IF(circ_int,0,eq_c1/2)+(((12+0.5)*(4*IF(circ_int,0,eq_c1/2)+4*IF(circ_int,0,eq_c2/2)+2*PI()*(s_0+7*s_r+IF(circ_int,eq_c1/2,0)))/INDEX(lk_legs,8))-((((((2*IF(circ_int,0,eq_c2/2))+(PI()*(s_0+7*s_r+IF(circ_int,eq_c1/2,0))/2))+2*IF(circ_int,0,eq_c1/2))+(PI()*(s_0+7*s_r+IF(circ_int,eq_c1/2,0))/2))+2*IF(circ_int,0,eq_c2/2))+(PI()*(s_0+7*s_r+IF(circ_int,eq_c1/2,0))/2))),IF(circ_int,0,eq_c1/2)+(s_0+7*s_r+IF(circ_int,eq_c1/2,0))*COS(3*PI()/2+(((12+0.5)*(4*IF(circ_int,0,eq_c1/2)+4*IF(circ_int,0,eq_c2/2)+2*PI()*(s_0+7*s_r+IF(circ_int,eq_c1/2,0)))/INDEX(lk_legs,8))-(((((((2*IF(circ_int,0,eq_c2/2))+(PI()*(s_0+7*s_r+IF(circ_int,eq_c1/2,0))/2))+2*IF(circ_int,0,eq_c1/2))+(PI()*(s_0+7*s_r+IF(circ_int,eq_c1/2,0))/2))+2*IF(circ_int,0,eq_c2/2))+(PI()*(s_0+7*s_r+IF(circ_int,eq_c1/2,0))/2))+2*IF(circ_int,0,eq_c1/2)))/(s_0+7*s_r+IF(circ_int,eq_c1/2,0)))))))))),NA())</f>
        <v/>
      </c>
      <c r="CQ15">
        <f>IF(AND(AND(links_on,8&lt;=n_per),INDEX(lk_kind,8)=1,12&lt;INDEX(lk_legs,8)),g_oy+IF(((12+0.5)*(4*IF(circ_int,0,eq_c1/2)+4*IF(circ_int,0,eq_c2/2)+2*PI()*(s_0+7*s_r+IF(circ_int,eq_c1/2,0)))/INDEX(lk_legs,8))&lt;(2*IF(circ_int,0,eq_c2/2)),-IF(circ_int,0,eq_c2/2)+((12+0.5)*(4*IF(circ_int,0,eq_c1/2)+4*IF(circ_int,0,eq_c2/2)+2*PI()*(s_0+7*s_r+IF(circ_int,eq_c1/2,0)))/INDEX(lk_legs,8)),IF(((12+0.5)*(4*IF(circ_int,0,eq_c1/2)+4*IF(circ_int,0,eq_c2/2)+2*PI()*(s_0+7*s_r+IF(circ_int,eq_c1/2,0)))/INDEX(lk_legs,8))&lt;((2*IF(circ_int,0,eq_c2/2))+(PI()*(s_0+7*s_r+IF(circ_int,eq_c1/2,0))/2)),IF(circ_int,0,eq_c2/2)+(s_0+7*s_r+IF(circ_int,eq_c1/2,0))*SIN((((12+0.5)*(4*IF(circ_int,0,eq_c1/2)+4*IF(circ_int,0,eq_c2/2)+2*PI()*(s_0+7*s_r+IF(circ_int,eq_c1/2,0)))/INDEX(lk_legs,8))-(2*IF(circ_int,0,eq_c2/2)))/(s_0+7*s_r+IF(circ_int,eq_c1/2,0))),IF(((12+0.5)*(4*IF(circ_int,0,eq_c1/2)+4*IF(circ_int,0,eq_c2/2)+2*PI()*(s_0+7*s_r+IF(circ_int,eq_c1/2,0)))/INDEX(lk_legs,8))&lt;(((2*IF(circ_int,0,eq_c2/2))+(PI()*(s_0+7*s_r+IF(circ_int,eq_c1/2,0))/2))+2*IF(circ_int,0,eq_c1/2)),IF(circ_int,0,eq_c2/2)+(s_0+7*s_r+IF(circ_int,eq_c1/2,0)),IF(((12+0.5)*(4*IF(circ_int,0,eq_c1/2)+4*IF(circ_int,0,eq_c2/2)+2*PI()*(s_0+7*s_r+IF(circ_int,eq_c1/2,0)))/INDEX(lk_legs,8))&lt;((((2*IF(circ_int,0,eq_c2/2))+(PI()*(s_0+7*s_r+IF(circ_int,eq_c1/2,0))/2))+2*IF(circ_int,0,eq_c1/2))+(PI()*(s_0+7*s_r+IF(circ_int,eq_c1/2,0))/2)),IF(circ_int,0,eq_c2/2)+(s_0+7*s_r+IF(circ_int,eq_c1/2,0))*SIN(PI()/2+(((12+0.5)*(4*IF(circ_int,0,eq_c1/2)+4*IF(circ_int,0,eq_c2/2)+2*PI()*(s_0+7*s_r+IF(circ_int,eq_c1/2,0)))/INDEX(lk_legs,8))-(((2*IF(circ_int,0,eq_c2/2))+(PI()*(s_0+7*s_r+IF(circ_int,eq_c1/2,0))/2))+2*IF(circ_int,0,eq_c1/2)))/(s_0+7*s_r+IF(circ_int,eq_c1/2,0))),IF(((12+0.5)*(4*IF(circ_int,0,eq_c1/2)+4*IF(circ_int,0,eq_c2/2)+2*PI()*(s_0+7*s_r+IF(circ_int,eq_c1/2,0)))/INDEX(lk_legs,8))&lt;(((((2*IF(circ_int,0,eq_c2/2))+(PI()*(s_0+7*s_r+IF(circ_int,eq_c1/2,0))/2))+2*IF(circ_int,0,eq_c1/2))+(PI()*(s_0+7*s_r+IF(circ_int,eq_c1/2,0))/2))+2*IF(circ_int,0,eq_c2/2)),IF(circ_int,0,eq_c2/2)-(((12+0.5)*(4*IF(circ_int,0,eq_c1/2)+4*IF(circ_int,0,eq_c2/2)+2*PI()*(s_0+7*s_r+IF(circ_int,eq_c1/2,0)))/INDEX(lk_legs,8))-((((2*IF(circ_int,0,eq_c2/2))+(PI()*(s_0+7*s_r+IF(circ_int,eq_c1/2,0))/2))+2*IF(circ_int,0,eq_c1/2))+(PI()*(s_0+7*s_r+IF(circ_int,eq_c1/2,0))/2))),IF(((12+0.5)*(4*IF(circ_int,0,eq_c1/2)+4*IF(circ_int,0,eq_c2/2)+2*PI()*(s_0+7*s_r+IF(circ_int,eq_c1/2,0)))/INDEX(lk_legs,8))&lt;((((((2*IF(circ_int,0,eq_c2/2))+(PI()*(s_0+7*s_r+IF(circ_int,eq_c1/2,0))/2))+2*IF(circ_int,0,eq_c1/2))+(PI()*(s_0+7*s_r+IF(circ_int,eq_c1/2,0))/2))+2*IF(circ_int,0,eq_c2/2))+(PI()*(s_0+7*s_r+IF(circ_int,eq_c1/2,0))/2)),-IF(circ_int,0,eq_c2/2)+(s_0+7*s_r+IF(circ_int,eq_c1/2,0))*SIN(PI()+(((12+0.5)*(4*IF(circ_int,0,eq_c1/2)+4*IF(circ_int,0,eq_c2/2)+2*PI()*(s_0+7*s_r+IF(circ_int,eq_c1/2,0)))/INDEX(lk_legs,8))-(((((2*IF(circ_int,0,eq_c2/2))+(PI()*(s_0+7*s_r+IF(circ_int,eq_c1/2,0))/2))+2*IF(circ_int,0,eq_c1/2))+(PI()*(s_0+7*s_r+IF(circ_int,eq_c1/2,0))/2))+2*IF(circ_int,0,eq_c2/2)))/(s_0+7*s_r+IF(circ_int,eq_c1/2,0))),IF(((12+0.5)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(12+0.5)*(4*IF(circ_int,0,eq_c1/2)+4*IF(circ_int,0,eq_c2/2)+2*PI()*(s_0+7*s_r+IF(circ_int,eq_c1/2,0)))/INDEX(lk_legs,8))-(((((((2*IF(circ_int,0,eq_c2/2))+(PI()*(s_0+7*s_r+IF(circ_int,eq_c1/2,0))/2))+2*IF(circ_int,0,eq_c1/2))+(PI()*(s_0+7*s_r+IF(circ_int,eq_c1/2,0))/2))+2*IF(circ_int,0,eq_c2/2))+(PI()*(s_0+7*s_r+IF(circ_int,eq_c1/2,0))/2))+2*IF(circ_int,0,eq_c1/2)))/(s_0+7*s_r+IF(circ_int,eq_c1/2,0)))))))))),NA())</f>
        <v/>
      </c>
      <c r="CS15">
        <f>IF(AND(links_on,9&lt;=n_per),IF(circ_int,(g_ox)+(c_1/2+(s_0+8*s_r))*0.120537,CHOOSE(INDEX(lk_kind,9),(g_ox+eq_c1/2)+((s_0+8*s_r))*0.000000,(eq_a1+eq_c1)+((s_0+8*s_r))*0.991445,(eq_a1+eq_c1)+((s_0+8*s_r))*0.991445,(eq_a1)+((s_0+8*s_r))*-0.130526)),NA())</f>
        <v/>
      </c>
      <c r="CT15">
        <f>IF(AND(links_on,9&lt;=n_per),IF(circ_int,(g_oy)+(c_1/2+(s_0+8*s_r))*0.992709,CHOOSE(INDEX(lk_kind,9),(g_oy+eq_c2/2)+((s_0+8*s_r))*1.000000,(g_oy+eq_c2/2)+((s_0+8*s_r))*0.130526,(eq_a2+eq_c2)+((s_0+8*s_r))*0.130526,(eq_a2+eq_c2)+((s_0+8*s_r))*0.991445)),NA())</f>
        <v/>
      </c>
      <c r="CV15">
        <f>IF(AND(AND(links_on,9&lt;=n_per),INDEX(lk_kind,9)=1,12&lt;INDEX(lk_legs,9)),g_ox+IF(((12+0.5)*(4*IF(circ_int,0,eq_c1/2)+4*IF(circ_int,0,eq_c2/2)+2*PI()*(s_0+8*s_r+IF(circ_int,eq_c1/2,0)))/INDEX(lk_legs,9))&lt;(2*IF(circ_int,0,eq_c2/2)),IF(circ_int,0,eq_c1/2)+(s_0+8*s_r+IF(circ_int,eq_c1/2,0)),IF(((12+0.5)*(4*IF(circ_int,0,eq_c1/2)+4*IF(circ_int,0,eq_c2/2)+2*PI()*(s_0+8*s_r+IF(circ_int,eq_c1/2,0)))/INDEX(lk_legs,9))&lt;((2*IF(circ_int,0,eq_c2/2))+(PI()*(s_0+8*s_r+IF(circ_int,eq_c1/2,0))/2)),IF(circ_int,0,eq_c1/2)+(s_0+8*s_r+IF(circ_int,eq_c1/2,0))*COS((((12+0.5)*(4*IF(circ_int,0,eq_c1/2)+4*IF(circ_int,0,eq_c2/2)+2*PI()*(s_0+8*s_r+IF(circ_int,eq_c1/2,0)))/INDEX(lk_legs,9))-(2*IF(circ_int,0,eq_c2/2)))/(s_0+8*s_r+IF(circ_int,eq_c1/2,0))),IF(((12+0.5)*(4*IF(circ_int,0,eq_c1/2)+4*IF(circ_int,0,eq_c2/2)+2*PI()*(s_0+8*s_r+IF(circ_int,eq_c1/2,0)))/INDEX(lk_legs,9))&lt;(((2*IF(circ_int,0,eq_c2/2))+(PI()*(s_0+8*s_r+IF(circ_int,eq_c1/2,0))/2))+2*IF(circ_int,0,eq_c1/2)),IF(circ_int,0,eq_c1/2)-(((12+0.5)*(4*IF(circ_int,0,eq_c1/2)+4*IF(circ_int,0,eq_c2/2)+2*PI()*(s_0+8*s_r+IF(circ_int,eq_c1/2,0)))/INDEX(lk_legs,9))-((2*IF(circ_int,0,eq_c2/2))+(PI()*(s_0+8*s_r+IF(circ_int,eq_c1/2,0))/2))),IF(((12+0.5)*(4*IF(circ_int,0,eq_c1/2)+4*IF(circ_int,0,eq_c2/2)+2*PI()*(s_0+8*s_r+IF(circ_int,eq_c1/2,0)))/INDEX(lk_legs,9))&lt;((((2*IF(circ_int,0,eq_c2/2))+(PI()*(s_0+8*s_r+IF(circ_int,eq_c1/2,0))/2))+2*IF(circ_int,0,eq_c1/2))+(PI()*(s_0+8*s_r+IF(circ_int,eq_c1/2,0))/2)),-IF(circ_int,0,eq_c1/2)+(s_0+8*s_r+IF(circ_int,eq_c1/2,0))*COS(PI()/2+(((12+0.5)*(4*IF(circ_int,0,eq_c1/2)+4*IF(circ_int,0,eq_c2/2)+2*PI()*(s_0+8*s_r+IF(circ_int,eq_c1/2,0)))/INDEX(lk_legs,9))-(((2*IF(circ_int,0,eq_c2/2))+(PI()*(s_0+8*s_r+IF(circ_int,eq_c1/2,0))/2))+2*IF(circ_int,0,eq_c1/2)))/(s_0+8*s_r+IF(circ_int,eq_c1/2,0))),IF(((12+0.5)*(4*IF(circ_int,0,eq_c1/2)+4*IF(circ_int,0,eq_c2/2)+2*PI()*(s_0+8*s_r+IF(circ_int,eq_c1/2,0)))/INDEX(lk_legs,9))&lt;(((((2*IF(circ_int,0,eq_c2/2))+(PI()*(s_0+8*s_r+IF(circ_int,eq_c1/2,0))/2))+2*IF(circ_int,0,eq_c1/2))+(PI()*(s_0+8*s_r+IF(circ_int,eq_c1/2,0))/2))+2*IF(circ_int,0,eq_c2/2)),-IF(circ_int,0,eq_c1/2)-(s_0+8*s_r+IF(circ_int,eq_c1/2,0)),IF(((12+0.5)*(4*IF(circ_int,0,eq_c1/2)+4*IF(circ_int,0,eq_c2/2)+2*PI()*(s_0+8*s_r+IF(circ_int,eq_c1/2,0)))/INDEX(lk_legs,9))&lt;((((((2*IF(circ_int,0,eq_c2/2))+(PI()*(s_0+8*s_r+IF(circ_int,eq_c1/2,0))/2))+2*IF(circ_int,0,eq_c1/2))+(PI()*(s_0+8*s_r+IF(circ_int,eq_c1/2,0))/2))+2*IF(circ_int,0,eq_c2/2))+(PI()*(s_0+8*s_r+IF(circ_int,eq_c1/2,0))/2)),-IF(circ_int,0,eq_c1/2)+(s_0+8*s_r+IF(circ_int,eq_c1/2,0))*COS(PI()+(((12+0.5)*(4*IF(circ_int,0,eq_c1/2)+4*IF(circ_int,0,eq_c2/2)+2*PI()*(s_0+8*s_r+IF(circ_int,eq_c1/2,0)))/INDEX(lk_legs,9))-(((((2*IF(circ_int,0,eq_c2/2))+(PI()*(s_0+8*s_r+IF(circ_int,eq_c1/2,0))/2))+2*IF(circ_int,0,eq_c1/2))+(PI()*(s_0+8*s_r+IF(circ_int,eq_c1/2,0))/2))+2*IF(circ_int,0,eq_c2/2)))/(s_0+8*s_r+IF(circ_int,eq_c1/2,0))),IF(((12+0.5)*(4*IF(circ_int,0,eq_c1/2)+4*IF(circ_int,0,eq_c2/2)+2*PI()*(s_0+8*s_r+IF(circ_int,eq_c1/2,0)))/INDEX(lk_legs,9))&lt;(((((((2*IF(circ_int,0,eq_c2/2))+(PI()*(s_0+8*s_r+IF(circ_int,eq_c1/2,0))/2))+2*IF(circ_int,0,eq_c1/2))+(PI()*(s_0+8*s_r+IF(circ_int,eq_c1/2,0))/2))+2*IF(circ_int,0,eq_c2/2))+(PI()*(s_0+8*s_r+IF(circ_int,eq_c1/2,0))/2))+2*IF(circ_int,0,eq_c1/2)),-IF(circ_int,0,eq_c1/2)+(((12+0.5)*(4*IF(circ_int,0,eq_c1/2)+4*IF(circ_int,0,eq_c2/2)+2*PI()*(s_0+8*s_r+IF(circ_int,eq_c1/2,0)))/INDEX(lk_legs,9))-((((((2*IF(circ_int,0,eq_c2/2))+(PI()*(s_0+8*s_r+IF(circ_int,eq_c1/2,0))/2))+2*IF(circ_int,0,eq_c1/2))+(PI()*(s_0+8*s_r+IF(circ_int,eq_c1/2,0))/2))+2*IF(circ_int,0,eq_c2/2))+(PI()*(s_0+8*s_r+IF(circ_int,eq_c1/2,0))/2))),IF(circ_int,0,eq_c1/2)+(s_0+8*s_r+IF(circ_int,eq_c1/2,0))*COS(3*PI()/2+(((12+0.5)*(4*IF(circ_int,0,eq_c1/2)+4*IF(circ_int,0,eq_c2/2)+2*PI()*(s_0+8*s_r+IF(circ_int,eq_c1/2,0)))/INDEX(lk_legs,9))-(((((((2*IF(circ_int,0,eq_c2/2))+(PI()*(s_0+8*s_r+IF(circ_int,eq_c1/2,0))/2))+2*IF(circ_int,0,eq_c1/2))+(PI()*(s_0+8*s_r+IF(circ_int,eq_c1/2,0))/2))+2*IF(circ_int,0,eq_c2/2))+(PI()*(s_0+8*s_r+IF(circ_int,eq_c1/2,0))/2))+2*IF(circ_int,0,eq_c1/2)))/(s_0+8*s_r+IF(circ_int,eq_c1/2,0)))))))))),NA())</f>
        <v/>
      </c>
      <c r="CW15">
        <f>IF(AND(AND(links_on,9&lt;=n_per),INDEX(lk_kind,9)=1,12&lt;INDEX(lk_legs,9)),g_oy+IF(((12+0.5)*(4*IF(circ_int,0,eq_c1/2)+4*IF(circ_int,0,eq_c2/2)+2*PI()*(s_0+8*s_r+IF(circ_int,eq_c1/2,0)))/INDEX(lk_legs,9))&lt;(2*IF(circ_int,0,eq_c2/2)),-IF(circ_int,0,eq_c2/2)+((12+0.5)*(4*IF(circ_int,0,eq_c1/2)+4*IF(circ_int,0,eq_c2/2)+2*PI()*(s_0+8*s_r+IF(circ_int,eq_c1/2,0)))/INDEX(lk_legs,9)),IF(((12+0.5)*(4*IF(circ_int,0,eq_c1/2)+4*IF(circ_int,0,eq_c2/2)+2*PI()*(s_0+8*s_r+IF(circ_int,eq_c1/2,0)))/INDEX(lk_legs,9))&lt;((2*IF(circ_int,0,eq_c2/2))+(PI()*(s_0+8*s_r+IF(circ_int,eq_c1/2,0))/2)),IF(circ_int,0,eq_c2/2)+(s_0+8*s_r+IF(circ_int,eq_c1/2,0))*SIN((((12+0.5)*(4*IF(circ_int,0,eq_c1/2)+4*IF(circ_int,0,eq_c2/2)+2*PI()*(s_0+8*s_r+IF(circ_int,eq_c1/2,0)))/INDEX(lk_legs,9))-(2*IF(circ_int,0,eq_c2/2)))/(s_0+8*s_r+IF(circ_int,eq_c1/2,0))),IF(((12+0.5)*(4*IF(circ_int,0,eq_c1/2)+4*IF(circ_int,0,eq_c2/2)+2*PI()*(s_0+8*s_r+IF(circ_int,eq_c1/2,0)))/INDEX(lk_legs,9))&lt;(((2*IF(circ_int,0,eq_c2/2))+(PI()*(s_0+8*s_r+IF(circ_int,eq_c1/2,0))/2))+2*IF(circ_int,0,eq_c1/2)),IF(circ_int,0,eq_c2/2)+(s_0+8*s_r+IF(circ_int,eq_c1/2,0)),IF(((12+0.5)*(4*IF(circ_int,0,eq_c1/2)+4*IF(circ_int,0,eq_c2/2)+2*PI()*(s_0+8*s_r+IF(circ_int,eq_c1/2,0)))/INDEX(lk_legs,9))&lt;((((2*IF(circ_int,0,eq_c2/2))+(PI()*(s_0+8*s_r+IF(circ_int,eq_c1/2,0))/2))+2*IF(circ_int,0,eq_c1/2))+(PI()*(s_0+8*s_r+IF(circ_int,eq_c1/2,0))/2)),IF(circ_int,0,eq_c2/2)+(s_0+8*s_r+IF(circ_int,eq_c1/2,0))*SIN(PI()/2+(((12+0.5)*(4*IF(circ_int,0,eq_c1/2)+4*IF(circ_int,0,eq_c2/2)+2*PI()*(s_0+8*s_r+IF(circ_int,eq_c1/2,0)))/INDEX(lk_legs,9))-(((2*IF(circ_int,0,eq_c2/2))+(PI()*(s_0+8*s_r+IF(circ_int,eq_c1/2,0))/2))+2*IF(circ_int,0,eq_c1/2)))/(s_0+8*s_r+IF(circ_int,eq_c1/2,0))),IF(((12+0.5)*(4*IF(circ_int,0,eq_c1/2)+4*IF(circ_int,0,eq_c2/2)+2*PI()*(s_0+8*s_r+IF(circ_int,eq_c1/2,0)))/INDEX(lk_legs,9))&lt;(((((2*IF(circ_int,0,eq_c2/2))+(PI()*(s_0+8*s_r+IF(circ_int,eq_c1/2,0))/2))+2*IF(circ_int,0,eq_c1/2))+(PI()*(s_0+8*s_r+IF(circ_int,eq_c1/2,0))/2))+2*IF(circ_int,0,eq_c2/2)),IF(circ_int,0,eq_c2/2)-(((12+0.5)*(4*IF(circ_int,0,eq_c1/2)+4*IF(circ_int,0,eq_c2/2)+2*PI()*(s_0+8*s_r+IF(circ_int,eq_c1/2,0)))/INDEX(lk_legs,9))-((((2*IF(circ_int,0,eq_c2/2))+(PI()*(s_0+8*s_r+IF(circ_int,eq_c1/2,0))/2))+2*IF(circ_int,0,eq_c1/2))+(PI()*(s_0+8*s_r+IF(circ_int,eq_c1/2,0))/2))),IF(((12+0.5)*(4*IF(circ_int,0,eq_c1/2)+4*IF(circ_int,0,eq_c2/2)+2*PI()*(s_0+8*s_r+IF(circ_int,eq_c1/2,0)))/INDEX(lk_legs,9))&lt;((((((2*IF(circ_int,0,eq_c2/2))+(PI()*(s_0+8*s_r+IF(circ_int,eq_c1/2,0))/2))+2*IF(circ_int,0,eq_c1/2))+(PI()*(s_0+8*s_r+IF(circ_int,eq_c1/2,0))/2))+2*IF(circ_int,0,eq_c2/2))+(PI()*(s_0+8*s_r+IF(circ_int,eq_c1/2,0))/2)),-IF(circ_int,0,eq_c2/2)+(s_0+8*s_r+IF(circ_int,eq_c1/2,0))*SIN(PI()+(((12+0.5)*(4*IF(circ_int,0,eq_c1/2)+4*IF(circ_int,0,eq_c2/2)+2*PI()*(s_0+8*s_r+IF(circ_int,eq_c1/2,0)))/INDEX(lk_legs,9))-(((((2*IF(circ_int,0,eq_c2/2))+(PI()*(s_0+8*s_r+IF(circ_int,eq_c1/2,0))/2))+2*IF(circ_int,0,eq_c1/2))+(PI()*(s_0+8*s_r+IF(circ_int,eq_c1/2,0))/2))+2*IF(circ_int,0,eq_c2/2)))/(s_0+8*s_r+IF(circ_int,eq_c1/2,0))),IF(((12+0.5)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(12+0.5)*(4*IF(circ_int,0,eq_c1/2)+4*IF(circ_int,0,eq_c2/2)+2*PI()*(s_0+8*s_r+IF(circ_int,eq_c1/2,0)))/INDEX(lk_legs,9))-(((((((2*IF(circ_int,0,eq_c2/2))+(PI()*(s_0+8*s_r+IF(circ_int,eq_c1/2,0))/2))+2*IF(circ_int,0,eq_c1/2))+(PI()*(s_0+8*s_r+IF(circ_int,eq_c1/2,0))/2))+2*IF(circ_int,0,eq_c2/2))+(PI()*(s_0+8*s_r+IF(circ_int,eq_c1/2,0))/2))+2*IF(circ_int,0,eq_c1/2)))/(s_0+8*s_r+IF(circ_int,eq_c1/2,0)))))))))),NA())</f>
        <v/>
      </c>
      <c r="CY15">
        <f>IF(AND(links_on,10&lt;=n_per),IF(circ_int,(g_ox)+(c_1/2+(s_0+9*s_r))*0.120537,CHOOSE(INDEX(lk_kind,10),(g_ox+eq_c1/2)+((s_0+9*s_r))*0.000000,(eq_a1+eq_c1)+((s_0+9*s_r))*0.991445,(eq_a1+eq_c1)+((s_0+9*s_r))*0.991445,(eq_a1)+((s_0+9*s_r))*-0.130526)),NA())</f>
        <v/>
      </c>
      <c r="CZ15">
        <f>IF(AND(links_on,10&lt;=n_per),IF(circ_int,(g_oy)+(c_1/2+(s_0+9*s_r))*0.992709,CHOOSE(INDEX(lk_kind,10),(g_oy+eq_c2/2)+((s_0+9*s_r))*1.000000,(g_oy+eq_c2/2)+((s_0+9*s_r))*0.130526,(eq_a2+eq_c2)+((s_0+9*s_r))*0.130526,(eq_a2+eq_c2)+((s_0+9*s_r))*0.991445)),NA())</f>
        <v/>
      </c>
      <c r="DB15">
        <f>IF(AND(AND(links_on,10&lt;=n_per),INDEX(lk_kind,10)=1,12&lt;INDEX(lk_legs,10)),g_ox+IF(((12+0.5)*(4*IF(circ_int,0,eq_c1/2)+4*IF(circ_int,0,eq_c2/2)+2*PI()*(s_0+9*s_r+IF(circ_int,eq_c1/2,0)))/INDEX(lk_legs,10))&lt;(2*IF(circ_int,0,eq_c2/2)),IF(circ_int,0,eq_c1/2)+(s_0+9*s_r+IF(circ_int,eq_c1/2,0)),IF(((12+0.5)*(4*IF(circ_int,0,eq_c1/2)+4*IF(circ_int,0,eq_c2/2)+2*PI()*(s_0+9*s_r+IF(circ_int,eq_c1/2,0)))/INDEX(lk_legs,10))&lt;((2*IF(circ_int,0,eq_c2/2))+(PI()*(s_0+9*s_r+IF(circ_int,eq_c1/2,0))/2)),IF(circ_int,0,eq_c1/2)+(s_0+9*s_r+IF(circ_int,eq_c1/2,0))*COS((((12+0.5)*(4*IF(circ_int,0,eq_c1/2)+4*IF(circ_int,0,eq_c2/2)+2*PI()*(s_0+9*s_r+IF(circ_int,eq_c1/2,0)))/INDEX(lk_legs,10))-(2*IF(circ_int,0,eq_c2/2)))/(s_0+9*s_r+IF(circ_int,eq_c1/2,0))),IF(((12+0.5)*(4*IF(circ_int,0,eq_c1/2)+4*IF(circ_int,0,eq_c2/2)+2*PI()*(s_0+9*s_r+IF(circ_int,eq_c1/2,0)))/INDEX(lk_legs,10))&lt;(((2*IF(circ_int,0,eq_c2/2))+(PI()*(s_0+9*s_r+IF(circ_int,eq_c1/2,0))/2))+2*IF(circ_int,0,eq_c1/2)),IF(circ_int,0,eq_c1/2)-(((12+0.5)*(4*IF(circ_int,0,eq_c1/2)+4*IF(circ_int,0,eq_c2/2)+2*PI()*(s_0+9*s_r+IF(circ_int,eq_c1/2,0)))/INDEX(lk_legs,10))-((2*IF(circ_int,0,eq_c2/2))+(PI()*(s_0+9*s_r+IF(circ_int,eq_c1/2,0))/2))),IF(((12+0.5)*(4*IF(circ_int,0,eq_c1/2)+4*IF(circ_int,0,eq_c2/2)+2*PI()*(s_0+9*s_r+IF(circ_int,eq_c1/2,0)))/INDEX(lk_legs,10))&lt;((((2*IF(circ_int,0,eq_c2/2))+(PI()*(s_0+9*s_r+IF(circ_int,eq_c1/2,0))/2))+2*IF(circ_int,0,eq_c1/2))+(PI()*(s_0+9*s_r+IF(circ_int,eq_c1/2,0))/2)),-IF(circ_int,0,eq_c1/2)+(s_0+9*s_r+IF(circ_int,eq_c1/2,0))*COS(PI()/2+(((12+0.5)*(4*IF(circ_int,0,eq_c1/2)+4*IF(circ_int,0,eq_c2/2)+2*PI()*(s_0+9*s_r+IF(circ_int,eq_c1/2,0)))/INDEX(lk_legs,10))-(((2*IF(circ_int,0,eq_c2/2))+(PI()*(s_0+9*s_r+IF(circ_int,eq_c1/2,0))/2))+2*IF(circ_int,0,eq_c1/2)))/(s_0+9*s_r+IF(circ_int,eq_c1/2,0))),IF(((12+0.5)*(4*IF(circ_int,0,eq_c1/2)+4*IF(circ_int,0,eq_c2/2)+2*PI()*(s_0+9*s_r+IF(circ_int,eq_c1/2,0)))/INDEX(lk_legs,10))&lt;(((((2*IF(circ_int,0,eq_c2/2))+(PI()*(s_0+9*s_r+IF(circ_int,eq_c1/2,0))/2))+2*IF(circ_int,0,eq_c1/2))+(PI()*(s_0+9*s_r+IF(circ_int,eq_c1/2,0))/2))+2*IF(circ_int,0,eq_c2/2)),-IF(circ_int,0,eq_c1/2)-(s_0+9*s_r+IF(circ_int,eq_c1/2,0)),IF(((12+0.5)*(4*IF(circ_int,0,eq_c1/2)+4*IF(circ_int,0,eq_c2/2)+2*PI()*(s_0+9*s_r+IF(circ_int,eq_c1/2,0)))/INDEX(lk_legs,10))&lt;((((((2*IF(circ_int,0,eq_c2/2))+(PI()*(s_0+9*s_r+IF(circ_int,eq_c1/2,0))/2))+2*IF(circ_int,0,eq_c1/2))+(PI()*(s_0+9*s_r+IF(circ_int,eq_c1/2,0))/2))+2*IF(circ_int,0,eq_c2/2))+(PI()*(s_0+9*s_r+IF(circ_int,eq_c1/2,0))/2)),-IF(circ_int,0,eq_c1/2)+(s_0+9*s_r+IF(circ_int,eq_c1/2,0))*COS(PI()+(((12+0.5)*(4*IF(circ_int,0,eq_c1/2)+4*IF(circ_int,0,eq_c2/2)+2*PI()*(s_0+9*s_r+IF(circ_int,eq_c1/2,0)))/INDEX(lk_legs,10))-(((((2*IF(circ_int,0,eq_c2/2))+(PI()*(s_0+9*s_r+IF(circ_int,eq_c1/2,0))/2))+2*IF(circ_int,0,eq_c1/2))+(PI()*(s_0+9*s_r+IF(circ_int,eq_c1/2,0))/2))+2*IF(circ_int,0,eq_c2/2)))/(s_0+9*s_r+IF(circ_int,eq_c1/2,0))),IF(((12+0.5)*(4*IF(circ_int,0,eq_c1/2)+4*IF(circ_int,0,eq_c2/2)+2*PI()*(s_0+9*s_r+IF(circ_int,eq_c1/2,0)))/INDEX(lk_legs,10))&lt;(((((((2*IF(circ_int,0,eq_c2/2))+(PI()*(s_0+9*s_r+IF(circ_int,eq_c1/2,0))/2))+2*IF(circ_int,0,eq_c1/2))+(PI()*(s_0+9*s_r+IF(circ_int,eq_c1/2,0))/2))+2*IF(circ_int,0,eq_c2/2))+(PI()*(s_0+9*s_r+IF(circ_int,eq_c1/2,0))/2))+2*IF(circ_int,0,eq_c1/2)),-IF(circ_int,0,eq_c1/2)+(((12+0.5)*(4*IF(circ_int,0,eq_c1/2)+4*IF(circ_int,0,eq_c2/2)+2*PI()*(s_0+9*s_r+IF(circ_int,eq_c1/2,0)))/INDEX(lk_legs,10))-((((((2*IF(circ_int,0,eq_c2/2))+(PI()*(s_0+9*s_r+IF(circ_int,eq_c1/2,0))/2))+2*IF(circ_int,0,eq_c1/2))+(PI()*(s_0+9*s_r+IF(circ_int,eq_c1/2,0))/2))+2*IF(circ_int,0,eq_c2/2))+(PI()*(s_0+9*s_r+IF(circ_int,eq_c1/2,0))/2))),IF(circ_int,0,eq_c1/2)+(s_0+9*s_r+IF(circ_int,eq_c1/2,0))*COS(3*PI()/2+(((12+0.5)*(4*IF(circ_int,0,eq_c1/2)+4*IF(circ_int,0,eq_c2/2)+2*PI()*(s_0+9*s_r+IF(circ_int,eq_c1/2,0)))/INDEX(lk_legs,10))-(((((((2*IF(circ_int,0,eq_c2/2))+(PI()*(s_0+9*s_r+IF(circ_int,eq_c1/2,0))/2))+2*IF(circ_int,0,eq_c1/2))+(PI()*(s_0+9*s_r+IF(circ_int,eq_c1/2,0))/2))+2*IF(circ_int,0,eq_c2/2))+(PI()*(s_0+9*s_r+IF(circ_int,eq_c1/2,0))/2))+2*IF(circ_int,0,eq_c1/2)))/(s_0+9*s_r+IF(circ_int,eq_c1/2,0)))))))))),NA())</f>
        <v/>
      </c>
      <c r="DC15">
        <f>IF(AND(AND(links_on,10&lt;=n_per),INDEX(lk_kind,10)=1,12&lt;INDEX(lk_legs,10)),g_oy+IF(((12+0.5)*(4*IF(circ_int,0,eq_c1/2)+4*IF(circ_int,0,eq_c2/2)+2*PI()*(s_0+9*s_r+IF(circ_int,eq_c1/2,0)))/INDEX(lk_legs,10))&lt;(2*IF(circ_int,0,eq_c2/2)),-IF(circ_int,0,eq_c2/2)+((12+0.5)*(4*IF(circ_int,0,eq_c1/2)+4*IF(circ_int,0,eq_c2/2)+2*PI()*(s_0+9*s_r+IF(circ_int,eq_c1/2,0)))/INDEX(lk_legs,10)),IF(((12+0.5)*(4*IF(circ_int,0,eq_c1/2)+4*IF(circ_int,0,eq_c2/2)+2*PI()*(s_0+9*s_r+IF(circ_int,eq_c1/2,0)))/INDEX(lk_legs,10))&lt;((2*IF(circ_int,0,eq_c2/2))+(PI()*(s_0+9*s_r+IF(circ_int,eq_c1/2,0))/2)),IF(circ_int,0,eq_c2/2)+(s_0+9*s_r+IF(circ_int,eq_c1/2,0))*SIN((((12+0.5)*(4*IF(circ_int,0,eq_c1/2)+4*IF(circ_int,0,eq_c2/2)+2*PI()*(s_0+9*s_r+IF(circ_int,eq_c1/2,0)))/INDEX(lk_legs,10))-(2*IF(circ_int,0,eq_c2/2)))/(s_0+9*s_r+IF(circ_int,eq_c1/2,0))),IF(((12+0.5)*(4*IF(circ_int,0,eq_c1/2)+4*IF(circ_int,0,eq_c2/2)+2*PI()*(s_0+9*s_r+IF(circ_int,eq_c1/2,0)))/INDEX(lk_legs,10))&lt;(((2*IF(circ_int,0,eq_c2/2))+(PI()*(s_0+9*s_r+IF(circ_int,eq_c1/2,0))/2))+2*IF(circ_int,0,eq_c1/2)),IF(circ_int,0,eq_c2/2)+(s_0+9*s_r+IF(circ_int,eq_c1/2,0)),IF(((12+0.5)*(4*IF(circ_int,0,eq_c1/2)+4*IF(circ_int,0,eq_c2/2)+2*PI()*(s_0+9*s_r+IF(circ_int,eq_c1/2,0)))/INDEX(lk_legs,10))&lt;((((2*IF(circ_int,0,eq_c2/2))+(PI()*(s_0+9*s_r+IF(circ_int,eq_c1/2,0))/2))+2*IF(circ_int,0,eq_c1/2))+(PI()*(s_0+9*s_r+IF(circ_int,eq_c1/2,0))/2)),IF(circ_int,0,eq_c2/2)+(s_0+9*s_r+IF(circ_int,eq_c1/2,0))*SIN(PI()/2+(((12+0.5)*(4*IF(circ_int,0,eq_c1/2)+4*IF(circ_int,0,eq_c2/2)+2*PI()*(s_0+9*s_r+IF(circ_int,eq_c1/2,0)))/INDEX(lk_legs,10))-(((2*IF(circ_int,0,eq_c2/2))+(PI()*(s_0+9*s_r+IF(circ_int,eq_c1/2,0))/2))+2*IF(circ_int,0,eq_c1/2)))/(s_0+9*s_r+IF(circ_int,eq_c1/2,0))),IF(((12+0.5)*(4*IF(circ_int,0,eq_c1/2)+4*IF(circ_int,0,eq_c2/2)+2*PI()*(s_0+9*s_r+IF(circ_int,eq_c1/2,0)))/INDEX(lk_legs,10))&lt;(((((2*IF(circ_int,0,eq_c2/2))+(PI()*(s_0+9*s_r+IF(circ_int,eq_c1/2,0))/2))+2*IF(circ_int,0,eq_c1/2))+(PI()*(s_0+9*s_r+IF(circ_int,eq_c1/2,0))/2))+2*IF(circ_int,0,eq_c2/2)),IF(circ_int,0,eq_c2/2)-(((12+0.5)*(4*IF(circ_int,0,eq_c1/2)+4*IF(circ_int,0,eq_c2/2)+2*PI()*(s_0+9*s_r+IF(circ_int,eq_c1/2,0)))/INDEX(lk_legs,10))-((((2*IF(circ_int,0,eq_c2/2))+(PI()*(s_0+9*s_r+IF(circ_int,eq_c1/2,0))/2))+2*IF(circ_int,0,eq_c1/2))+(PI()*(s_0+9*s_r+IF(circ_int,eq_c1/2,0))/2))),IF(((12+0.5)*(4*IF(circ_int,0,eq_c1/2)+4*IF(circ_int,0,eq_c2/2)+2*PI()*(s_0+9*s_r+IF(circ_int,eq_c1/2,0)))/INDEX(lk_legs,10))&lt;((((((2*IF(circ_int,0,eq_c2/2))+(PI()*(s_0+9*s_r+IF(circ_int,eq_c1/2,0))/2))+2*IF(circ_int,0,eq_c1/2))+(PI()*(s_0+9*s_r+IF(circ_int,eq_c1/2,0))/2))+2*IF(circ_int,0,eq_c2/2))+(PI()*(s_0+9*s_r+IF(circ_int,eq_c1/2,0))/2)),-IF(circ_int,0,eq_c2/2)+(s_0+9*s_r+IF(circ_int,eq_c1/2,0))*SIN(PI()+(((12+0.5)*(4*IF(circ_int,0,eq_c1/2)+4*IF(circ_int,0,eq_c2/2)+2*PI()*(s_0+9*s_r+IF(circ_int,eq_c1/2,0)))/INDEX(lk_legs,10))-(((((2*IF(circ_int,0,eq_c2/2))+(PI()*(s_0+9*s_r+IF(circ_int,eq_c1/2,0))/2))+2*IF(circ_int,0,eq_c1/2))+(PI()*(s_0+9*s_r+IF(circ_int,eq_c1/2,0))/2))+2*IF(circ_int,0,eq_c2/2)))/(s_0+9*s_r+IF(circ_int,eq_c1/2,0))),IF(((12+0.5)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(12+0.5)*(4*IF(circ_int,0,eq_c1/2)+4*IF(circ_int,0,eq_c2/2)+2*PI()*(s_0+9*s_r+IF(circ_int,eq_c1/2,0)))/INDEX(lk_legs,10))-(((((((2*IF(circ_int,0,eq_c2/2))+(PI()*(s_0+9*s_r+IF(circ_int,eq_c1/2,0))/2))+2*IF(circ_int,0,eq_c1/2))+(PI()*(s_0+9*s_r+IF(circ_int,eq_c1/2,0))/2))+2*IF(circ_int,0,eq_c2/2))+(PI()*(s_0+9*s_r+IF(circ_int,eq_c1/2,0))/2))+2*IF(circ_int,0,eq_c1/2)))/(s_0+9*s_r+IF(circ_int,eq_c1/2,0)))))))))),NA())</f>
        <v/>
      </c>
      <c r="DE15">
        <f>IF(AND(links_on,11&lt;=n_per),IF(circ_int,(g_ox)+(c_1/2+(s_0+10*s_r))*0.120537,CHOOSE(INDEX(lk_kind,11),(g_ox+eq_c1/2)+((s_0+10*s_r))*0.000000,(eq_a1+eq_c1)+((s_0+10*s_r))*0.991445,(eq_a1+eq_c1)+((s_0+10*s_r))*0.991445,(eq_a1)+((s_0+10*s_r))*-0.130526)),NA())</f>
        <v/>
      </c>
      <c r="DF15">
        <f>IF(AND(links_on,11&lt;=n_per),IF(circ_int,(g_oy)+(c_1/2+(s_0+10*s_r))*0.992709,CHOOSE(INDEX(lk_kind,11),(g_oy+eq_c2/2)+((s_0+10*s_r))*1.000000,(g_oy+eq_c2/2)+((s_0+10*s_r))*0.130526,(eq_a2+eq_c2)+((s_0+10*s_r))*0.130526,(eq_a2+eq_c2)+((s_0+10*s_r))*0.991445)),NA())</f>
        <v/>
      </c>
      <c r="DH15">
        <f>IF(AND(AND(links_on,11&lt;=n_per),INDEX(lk_kind,11)=1,12&lt;INDEX(lk_legs,11)),g_ox+IF(((12+0.5)*(4*IF(circ_int,0,eq_c1/2)+4*IF(circ_int,0,eq_c2/2)+2*PI()*(s_0+10*s_r+IF(circ_int,eq_c1/2,0)))/INDEX(lk_legs,11))&lt;(2*IF(circ_int,0,eq_c2/2)),IF(circ_int,0,eq_c1/2)+(s_0+10*s_r+IF(circ_int,eq_c1/2,0)),IF(((12+0.5)*(4*IF(circ_int,0,eq_c1/2)+4*IF(circ_int,0,eq_c2/2)+2*PI()*(s_0+10*s_r+IF(circ_int,eq_c1/2,0)))/INDEX(lk_legs,11))&lt;((2*IF(circ_int,0,eq_c2/2))+(PI()*(s_0+10*s_r+IF(circ_int,eq_c1/2,0))/2)),IF(circ_int,0,eq_c1/2)+(s_0+10*s_r+IF(circ_int,eq_c1/2,0))*COS((((12+0.5)*(4*IF(circ_int,0,eq_c1/2)+4*IF(circ_int,0,eq_c2/2)+2*PI()*(s_0+10*s_r+IF(circ_int,eq_c1/2,0)))/INDEX(lk_legs,11))-(2*IF(circ_int,0,eq_c2/2)))/(s_0+10*s_r+IF(circ_int,eq_c1/2,0))),IF(((12+0.5)*(4*IF(circ_int,0,eq_c1/2)+4*IF(circ_int,0,eq_c2/2)+2*PI()*(s_0+10*s_r+IF(circ_int,eq_c1/2,0)))/INDEX(lk_legs,11))&lt;(((2*IF(circ_int,0,eq_c2/2))+(PI()*(s_0+10*s_r+IF(circ_int,eq_c1/2,0))/2))+2*IF(circ_int,0,eq_c1/2)),IF(circ_int,0,eq_c1/2)-(((12+0.5)*(4*IF(circ_int,0,eq_c1/2)+4*IF(circ_int,0,eq_c2/2)+2*PI()*(s_0+10*s_r+IF(circ_int,eq_c1/2,0)))/INDEX(lk_legs,11))-((2*IF(circ_int,0,eq_c2/2))+(PI()*(s_0+10*s_r+IF(circ_int,eq_c1/2,0))/2))),IF(((12+0.5)*(4*IF(circ_int,0,eq_c1/2)+4*IF(circ_int,0,eq_c2/2)+2*PI()*(s_0+10*s_r+IF(circ_int,eq_c1/2,0)))/INDEX(lk_legs,11))&lt;((((2*IF(circ_int,0,eq_c2/2))+(PI()*(s_0+10*s_r+IF(circ_int,eq_c1/2,0))/2))+2*IF(circ_int,0,eq_c1/2))+(PI()*(s_0+10*s_r+IF(circ_int,eq_c1/2,0))/2)),-IF(circ_int,0,eq_c1/2)+(s_0+10*s_r+IF(circ_int,eq_c1/2,0))*COS(PI()/2+(((12+0.5)*(4*IF(circ_int,0,eq_c1/2)+4*IF(circ_int,0,eq_c2/2)+2*PI()*(s_0+10*s_r+IF(circ_int,eq_c1/2,0)))/INDEX(lk_legs,11))-(((2*IF(circ_int,0,eq_c2/2))+(PI()*(s_0+10*s_r+IF(circ_int,eq_c1/2,0))/2))+2*IF(circ_int,0,eq_c1/2)))/(s_0+10*s_r+IF(circ_int,eq_c1/2,0))),IF(((12+0.5)*(4*IF(circ_int,0,eq_c1/2)+4*IF(circ_int,0,eq_c2/2)+2*PI()*(s_0+10*s_r+IF(circ_int,eq_c1/2,0)))/INDEX(lk_legs,11))&lt;(((((2*IF(circ_int,0,eq_c2/2))+(PI()*(s_0+10*s_r+IF(circ_int,eq_c1/2,0))/2))+2*IF(circ_int,0,eq_c1/2))+(PI()*(s_0+10*s_r+IF(circ_int,eq_c1/2,0))/2))+2*IF(circ_int,0,eq_c2/2)),-IF(circ_int,0,eq_c1/2)-(s_0+10*s_r+IF(circ_int,eq_c1/2,0)),IF(((12+0.5)*(4*IF(circ_int,0,eq_c1/2)+4*IF(circ_int,0,eq_c2/2)+2*PI()*(s_0+10*s_r+IF(circ_int,eq_c1/2,0)))/INDEX(lk_legs,11))&lt;((((((2*IF(circ_int,0,eq_c2/2))+(PI()*(s_0+10*s_r+IF(circ_int,eq_c1/2,0))/2))+2*IF(circ_int,0,eq_c1/2))+(PI()*(s_0+10*s_r+IF(circ_int,eq_c1/2,0))/2))+2*IF(circ_int,0,eq_c2/2))+(PI()*(s_0+10*s_r+IF(circ_int,eq_c1/2,0))/2)),-IF(circ_int,0,eq_c1/2)+(s_0+10*s_r+IF(circ_int,eq_c1/2,0))*COS(PI()+(((12+0.5)*(4*IF(circ_int,0,eq_c1/2)+4*IF(circ_int,0,eq_c2/2)+2*PI()*(s_0+10*s_r+IF(circ_int,eq_c1/2,0)))/INDEX(lk_legs,11))-(((((2*IF(circ_int,0,eq_c2/2))+(PI()*(s_0+10*s_r+IF(circ_int,eq_c1/2,0))/2))+2*IF(circ_int,0,eq_c1/2))+(PI()*(s_0+10*s_r+IF(circ_int,eq_c1/2,0))/2))+2*IF(circ_int,0,eq_c2/2)))/(s_0+10*s_r+IF(circ_int,eq_c1/2,0))),IF(((12+0.5)*(4*IF(circ_int,0,eq_c1/2)+4*IF(circ_int,0,eq_c2/2)+2*PI()*(s_0+10*s_r+IF(circ_int,eq_c1/2,0)))/INDEX(lk_legs,11))&lt;(((((((2*IF(circ_int,0,eq_c2/2))+(PI()*(s_0+10*s_r+IF(circ_int,eq_c1/2,0))/2))+2*IF(circ_int,0,eq_c1/2))+(PI()*(s_0+10*s_r+IF(circ_int,eq_c1/2,0))/2))+2*IF(circ_int,0,eq_c2/2))+(PI()*(s_0+10*s_r+IF(circ_int,eq_c1/2,0))/2))+2*IF(circ_int,0,eq_c1/2)),-IF(circ_int,0,eq_c1/2)+(((12+0.5)*(4*IF(circ_int,0,eq_c1/2)+4*IF(circ_int,0,eq_c2/2)+2*PI()*(s_0+10*s_r+IF(circ_int,eq_c1/2,0)))/INDEX(lk_legs,11))-((((((2*IF(circ_int,0,eq_c2/2))+(PI()*(s_0+10*s_r+IF(circ_int,eq_c1/2,0))/2))+2*IF(circ_int,0,eq_c1/2))+(PI()*(s_0+10*s_r+IF(circ_int,eq_c1/2,0))/2))+2*IF(circ_int,0,eq_c2/2))+(PI()*(s_0+10*s_r+IF(circ_int,eq_c1/2,0))/2))),IF(circ_int,0,eq_c1/2)+(s_0+10*s_r+IF(circ_int,eq_c1/2,0))*COS(3*PI()/2+(((12+0.5)*(4*IF(circ_int,0,eq_c1/2)+4*IF(circ_int,0,eq_c2/2)+2*PI()*(s_0+10*s_r+IF(circ_int,eq_c1/2,0)))/INDEX(lk_legs,11))-(((((((2*IF(circ_int,0,eq_c2/2))+(PI()*(s_0+10*s_r+IF(circ_int,eq_c1/2,0))/2))+2*IF(circ_int,0,eq_c1/2))+(PI()*(s_0+10*s_r+IF(circ_int,eq_c1/2,0))/2))+2*IF(circ_int,0,eq_c2/2))+(PI()*(s_0+10*s_r+IF(circ_int,eq_c1/2,0))/2))+2*IF(circ_int,0,eq_c1/2)))/(s_0+10*s_r+IF(circ_int,eq_c1/2,0)))))))))),NA())</f>
        <v/>
      </c>
      <c r="DI15">
        <f>IF(AND(AND(links_on,11&lt;=n_per),INDEX(lk_kind,11)=1,12&lt;INDEX(lk_legs,11)),g_oy+IF(((12+0.5)*(4*IF(circ_int,0,eq_c1/2)+4*IF(circ_int,0,eq_c2/2)+2*PI()*(s_0+10*s_r+IF(circ_int,eq_c1/2,0)))/INDEX(lk_legs,11))&lt;(2*IF(circ_int,0,eq_c2/2)),-IF(circ_int,0,eq_c2/2)+((12+0.5)*(4*IF(circ_int,0,eq_c1/2)+4*IF(circ_int,0,eq_c2/2)+2*PI()*(s_0+10*s_r+IF(circ_int,eq_c1/2,0)))/INDEX(lk_legs,11)),IF(((12+0.5)*(4*IF(circ_int,0,eq_c1/2)+4*IF(circ_int,0,eq_c2/2)+2*PI()*(s_0+10*s_r+IF(circ_int,eq_c1/2,0)))/INDEX(lk_legs,11))&lt;((2*IF(circ_int,0,eq_c2/2))+(PI()*(s_0+10*s_r+IF(circ_int,eq_c1/2,0))/2)),IF(circ_int,0,eq_c2/2)+(s_0+10*s_r+IF(circ_int,eq_c1/2,0))*SIN((((12+0.5)*(4*IF(circ_int,0,eq_c1/2)+4*IF(circ_int,0,eq_c2/2)+2*PI()*(s_0+10*s_r+IF(circ_int,eq_c1/2,0)))/INDEX(lk_legs,11))-(2*IF(circ_int,0,eq_c2/2)))/(s_0+10*s_r+IF(circ_int,eq_c1/2,0))),IF(((12+0.5)*(4*IF(circ_int,0,eq_c1/2)+4*IF(circ_int,0,eq_c2/2)+2*PI()*(s_0+10*s_r+IF(circ_int,eq_c1/2,0)))/INDEX(lk_legs,11))&lt;(((2*IF(circ_int,0,eq_c2/2))+(PI()*(s_0+10*s_r+IF(circ_int,eq_c1/2,0))/2))+2*IF(circ_int,0,eq_c1/2)),IF(circ_int,0,eq_c2/2)+(s_0+10*s_r+IF(circ_int,eq_c1/2,0)),IF(((12+0.5)*(4*IF(circ_int,0,eq_c1/2)+4*IF(circ_int,0,eq_c2/2)+2*PI()*(s_0+10*s_r+IF(circ_int,eq_c1/2,0)))/INDEX(lk_legs,11))&lt;((((2*IF(circ_int,0,eq_c2/2))+(PI()*(s_0+10*s_r+IF(circ_int,eq_c1/2,0))/2))+2*IF(circ_int,0,eq_c1/2))+(PI()*(s_0+10*s_r+IF(circ_int,eq_c1/2,0))/2)),IF(circ_int,0,eq_c2/2)+(s_0+10*s_r+IF(circ_int,eq_c1/2,0))*SIN(PI()/2+(((12+0.5)*(4*IF(circ_int,0,eq_c1/2)+4*IF(circ_int,0,eq_c2/2)+2*PI()*(s_0+10*s_r+IF(circ_int,eq_c1/2,0)))/INDEX(lk_legs,11))-(((2*IF(circ_int,0,eq_c2/2))+(PI()*(s_0+10*s_r+IF(circ_int,eq_c1/2,0))/2))+2*IF(circ_int,0,eq_c1/2)))/(s_0+10*s_r+IF(circ_int,eq_c1/2,0))),IF(((12+0.5)*(4*IF(circ_int,0,eq_c1/2)+4*IF(circ_int,0,eq_c2/2)+2*PI()*(s_0+10*s_r+IF(circ_int,eq_c1/2,0)))/INDEX(lk_legs,11))&lt;(((((2*IF(circ_int,0,eq_c2/2))+(PI()*(s_0+10*s_r+IF(circ_int,eq_c1/2,0))/2))+2*IF(circ_int,0,eq_c1/2))+(PI()*(s_0+10*s_r+IF(circ_int,eq_c1/2,0))/2))+2*IF(circ_int,0,eq_c2/2)),IF(circ_int,0,eq_c2/2)-(((12+0.5)*(4*IF(circ_int,0,eq_c1/2)+4*IF(circ_int,0,eq_c2/2)+2*PI()*(s_0+10*s_r+IF(circ_int,eq_c1/2,0)))/INDEX(lk_legs,11))-((((2*IF(circ_int,0,eq_c2/2))+(PI()*(s_0+10*s_r+IF(circ_int,eq_c1/2,0))/2))+2*IF(circ_int,0,eq_c1/2))+(PI()*(s_0+10*s_r+IF(circ_int,eq_c1/2,0))/2))),IF(((12+0.5)*(4*IF(circ_int,0,eq_c1/2)+4*IF(circ_int,0,eq_c2/2)+2*PI()*(s_0+10*s_r+IF(circ_int,eq_c1/2,0)))/INDEX(lk_legs,11))&lt;((((((2*IF(circ_int,0,eq_c2/2))+(PI()*(s_0+10*s_r+IF(circ_int,eq_c1/2,0))/2))+2*IF(circ_int,0,eq_c1/2))+(PI()*(s_0+10*s_r+IF(circ_int,eq_c1/2,0))/2))+2*IF(circ_int,0,eq_c2/2))+(PI()*(s_0+10*s_r+IF(circ_int,eq_c1/2,0))/2)),-IF(circ_int,0,eq_c2/2)+(s_0+10*s_r+IF(circ_int,eq_c1/2,0))*SIN(PI()+(((12+0.5)*(4*IF(circ_int,0,eq_c1/2)+4*IF(circ_int,0,eq_c2/2)+2*PI()*(s_0+10*s_r+IF(circ_int,eq_c1/2,0)))/INDEX(lk_legs,11))-(((((2*IF(circ_int,0,eq_c2/2))+(PI()*(s_0+10*s_r+IF(circ_int,eq_c1/2,0))/2))+2*IF(circ_int,0,eq_c1/2))+(PI()*(s_0+10*s_r+IF(circ_int,eq_c1/2,0))/2))+2*IF(circ_int,0,eq_c2/2)))/(s_0+10*s_r+IF(circ_int,eq_c1/2,0))),IF(((12+0.5)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(12+0.5)*(4*IF(circ_int,0,eq_c1/2)+4*IF(circ_int,0,eq_c2/2)+2*PI()*(s_0+10*s_r+IF(circ_int,eq_c1/2,0)))/INDEX(lk_legs,11))-(((((((2*IF(circ_int,0,eq_c2/2))+(PI()*(s_0+10*s_r+IF(circ_int,eq_c1/2,0))/2))+2*IF(circ_int,0,eq_c1/2))+(PI()*(s_0+10*s_r+IF(circ_int,eq_c1/2,0))/2))+2*IF(circ_int,0,eq_c2/2))+(PI()*(s_0+10*s_r+IF(circ_int,eq_c1/2,0))/2))+2*IF(circ_int,0,eq_c1/2)))/(s_0+10*s_r+IF(circ_int,eq_c1/2,0)))))))))),NA())</f>
        <v/>
      </c>
      <c r="DK15">
        <f>IF(AND(links_on,12&lt;=n_per),IF(circ_int,(g_ox)+(c_1/2+(s_0+11*s_r))*0.120537,CHOOSE(INDEX(lk_kind,12),(g_ox+eq_c1/2)+((s_0+11*s_r))*0.000000,(eq_a1+eq_c1)+((s_0+11*s_r))*0.991445,(eq_a1+eq_c1)+((s_0+11*s_r))*0.991445,(eq_a1)+((s_0+11*s_r))*-0.130526)),NA())</f>
        <v/>
      </c>
      <c r="DL15">
        <f>IF(AND(links_on,12&lt;=n_per),IF(circ_int,(g_oy)+(c_1/2+(s_0+11*s_r))*0.992709,CHOOSE(INDEX(lk_kind,12),(g_oy+eq_c2/2)+((s_0+11*s_r))*1.000000,(g_oy+eq_c2/2)+((s_0+11*s_r))*0.130526,(eq_a2+eq_c2)+((s_0+11*s_r))*0.130526,(eq_a2+eq_c2)+((s_0+11*s_r))*0.991445)),NA())</f>
        <v/>
      </c>
      <c r="DN15">
        <f>IF(AND(AND(links_on,12&lt;=n_per),INDEX(lk_kind,12)=1,12&lt;INDEX(lk_legs,12)),g_ox+IF(((12+0.5)*(4*IF(circ_int,0,eq_c1/2)+4*IF(circ_int,0,eq_c2/2)+2*PI()*(s_0+11*s_r+IF(circ_int,eq_c1/2,0)))/INDEX(lk_legs,12))&lt;(2*IF(circ_int,0,eq_c2/2)),IF(circ_int,0,eq_c1/2)+(s_0+11*s_r+IF(circ_int,eq_c1/2,0)),IF(((12+0.5)*(4*IF(circ_int,0,eq_c1/2)+4*IF(circ_int,0,eq_c2/2)+2*PI()*(s_0+11*s_r+IF(circ_int,eq_c1/2,0)))/INDEX(lk_legs,12))&lt;((2*IF(circ_int,0,eq_c2/2))+(PI()*(s_0+11*s_r+IF(circ_int,eq_c1/2,0))/2)),IF(circ_int,0,eq_c1/2)+(s_0+11*s_r+IF(circ_int,eq_c1/2,0))*COS((((12+0.5)*(4*IF(circ_int,0,eq_c1/2)+4*IF(circ_int,0,eq_c2/2)+2*PI()*(s_0+11*s_r+IF(circ_int,eq_c1/2,0)))/INDEX(lk_legs,12))-(2*IF(circ_int,0,eq_c2/2)))/(s_0+11*s_r+IF(circ_int,eq_c1/2,0))),IF(((12+0.5)*(4*IF(circ_int,0,eq_c1/2)+4*IF(circ_int,0,eq_c2/2)+2*PI()*(s_0+11*s_r+IF(circ_int,eq_c1/2,0)))/INDEX(lk_legs,12))&lt;(((2*IF(circ_int,0,eq_c2/2))+(PI()*(s_0+11*s_r+IF(circ_int,eq_c1/2,0))/2))+2*IF(circ_int,0,eq_c1/2)),IF(circ_int,0,eq_c1/2)-(((12+0.5)*(4*IF(circ_int,0,eq_c1/2)+4*IF(circ_int,0,eq_c2/2)+2*PI()*(s_0+11*s_r+IF(circ_int,eq_c1/2,0)))/INDEX(lk_legs,12))-((2*IF(circ_int,0,eq_c2/2))+(PI()*(s_0+11*s_r+IF(circ_int,eq_c1/2,0))/2))),IF(((12+0.5)*(4*IF(circ_int,0,eq_c1/2)+4*IF(circ_int,0,eq_c2/2)+2*PI()*(s_0+11*s_r+IF(circ_int,eq_c1/2,0)))/INDEX(lk_legs,12))&lt;((((2*IF(circ_int,0,eq_c2/2))+(PI()*(s_0+11*s_r+IF(circ_int,eq_c1/2,0))/2))+2*IF(circ_int,0,eq_c1/2))+(PI()*(s_0+11*s_r+IF(circ_int,eq_c1/2,0))/2)),-IF(circ_int,0,eq_c1/2)+(s_0+11*s_r+IF(circ_int,eq_c1/2,0))*COS(PI()/2+(((12+0.5)*(4*IF(circ_int,0,eq_c1/2)+4*IF(circ_int,0,eq_c2/2)+2*PI()*(s_0+11*s_r+IF(circ_int,eq_c1/2,0)))/INDEX(lk_legs,12))-(((2*IF(circ_int,0,eq_c2/2))+(PI()*(s_0+11*s_r+IF(circ_int,eq_c1/2,0))/2))+2*IF(circ_int,0,eq_c1/2)))/(s_0+11*s_r+IF(circ_int,eq_c1/2,0))),IF(((12+0.5)*(4*IF(circ_int,0,eq_c1/2)+4*IF(circ_int,0,eq_c2/2)+2*PI()*(s_0+11*s_r+IF(circ_int,eq_c1/2,0)))/INDEX(lk_legs,12))&lt;(((((2*IF(circ_int,0,eq_c2/2))+(PI()*(s_0+11*s_r+IF(circ_int,eq_c1/2,0))/2))+2*IF(circ_int,0,eq_c1/2))+(PI()*(s_0+11*s_r+IF(circ_int,eq_c1/2,0))/2))+2*IF(circ_int,0,eq_c2/2)),-IF(circ_int,0,eq_c1/2)-(s_0+11*s_r+IF(circ_int,eq_c1/2,0)),IF(((12+0.5)*(4*IF(circ_int,0,eq_c1/2)+4*IF(circ_int,0,eq_c2/2)+2*PI()*(s_0+11*s_r+IF(circ_int,eq_c1/2,0)))/INDEX(lk_legs,12))&lt;((((((2*IF(circ_int,0,eq_c2/2))+(PI()*(s_0+11*s_r+IF(circ_int,eq_c1/2,0))/2))+2*IF(circ_int,0,eq_c1/2))+(PI()*(s_0+11*s_r+IF(circ_int,eq_c1/2,0))/2))+2*IF(circ_int,0,eq_c2/2))+(PI()*(s_0+11*s_r+IF(circ_int,eq_c1/2,0))/2)),-IF(circ_int,0,eq_c1/2)+(s_0+11*s_r+IF(circ_int,eq_c1/2,0))*COS(PI()+(((12+0.5)*(4*IF(circ_int,0,eq_c1/2)+4*IF(circ_int,0,eq_c2/2)+2*PI()*(s_0+11*s_r+IF(circ_int,eq_c1/2,0)))/INDEX(lk_legs,12))-(((((2*IF(circ_int,0,eq_c2/2))+(PI()*(s_0+11*s_r+IF(circ_int,eq_c1/2,0))/2))+2*IF(circ_int,0,eq_c1/2))+(PI()*(s_0+11*s_r+IF(circ_int,eq_c1/2,0))/2))+2*IF(circ_int,0,eq_c2/2)))/(s_0+11*s_r+IF(circ_int,eq_c1/2,0))),IF(((12+0.5)*(4*IF(circ_int,0,eq_c1/2)+4*IF(circ_int,0,eq_c2/2)+2*PI()*(s_0+11*s_r+IF(circ_int,eq_c1/2,0)))/INDEX(lk_legs,12))&lt;(((((((2*IF(circ_int,0,eq_c2/2))+(PI()*(s_0+11*s_r+IF(circ_int,eq_c1/2,0))/2))+2*IF(circ_int,0,eq_c1/2))+(PI()*(s_0+11*s_r+IF(circ_int,eq_c1/2,0))/2))+2*IF(circ_int,0,eq_c2/2))+(PI()*(s_0+11*s_r+IF(circ_int,eq_c1/2,0))/2))+2*IF(circ_int,0,eq_c1/2)),-IF(circ_int,0,eq_c1/2)+(((12+0.5)*(4*IF(circ_int,0,eq_c1/2)+4*IF(circ_int,0,eq_c2/2)+2*PI()*(s_0+11*s_r+IF(circ_int,eq_c1/2,0)))/INDEX(lk_legs,12))-((((((2*IF(circ_int,0,eq_c2/2))+(PI()*(s_0+11*s_r+IF(circ_int,eq_c1/2,0))/2))+2*IF(circ_int,0,eq_c1/2))+(PI()*(s_0+11*s_r+IF(circ_int,eq_c1/2,0))/2))+2*IF(circ_int,0,eq_c2/2))+(PI()*(s_0+11*s_r+IF(circ_int,eq_c1/2,0))/2))),IF(circ_int,0,eq_c1/2)+(s_0+11*s_r+IF(circ_int,eq_c1/2,0))*COS(3*PI()/2+(((12+0.5)*(4*IF(circ_int,0,eq_c1/2)+4*IF(circ_int,0,eq_c2/2)+2*PI()*(s_0+11*s_r+IF(circ_int,eq_c1/2,0)))/INDEX(lk_legs,12))-(((((((2*IF(circ_int,0,eq_c2/2))+(PI()*(s_0+11*s_r+IF(circ_int,eq_c1/2,0))/2))+2*IF(circ_int,0,eq_c1/2))+(PI()*(s_0+11*s_r+IF(circ_int,eq_c1/2,0))/2))+2*IF(circ_int,0,eq_c2/2))+(PI()*(s_0+11*s_r+IF(circ_int,eq_c1/2,0))/2))+2*IF(circ_int,0,eq_c1/2)))/(s_0+11*s_r+IF(circ_int,eq_c1/2,0)))))))))),NA())</f>
        <v/>
      </c>
      <c r="DO15">
        <f>IF(AND(AND(links_on,12&lt;=n_per),INDEX(lk_kind,12)=1,12&lt;INDEX(lk_legs,12)),g_oy+IF(((12+0.5)*(4*IF(circ_int,0,eq_c1/2)+4*IF(circ_int,0,eq_c2/2)+2*PI()*(s_0+11*s_r+IF(circ_int,eq_c1/2,0)))/INDEX(lk_legs,12))&lt;(2*IF(circ_int,0,eq_c2/2)),-IF(circ_int,0,eq_c2/2)+((12+0.5)*(4*IF(circ_int,0,eq_c1/2)+4*IF(circ_int,0,eq_c2/2)+2*PI()*(s_0+11*s_r+IF(circ_int,eq_c1/2,0)))/INDEX(lk_legs,12)),IF(((12+0.5)*(4*IF(circ_int,0,eq_c1/2)+4*IF(circ_int,0,eq_c2/2)+2*PI()*(s_0+11*s_r+IF(circ_int,eq_c1/2,0)))/INDEX(lk_legs,12))&lt;((2*IF(circ_int,0,eq_c2/2))+(PI()*(s_0+11*s_r+IF(circ_int,eq_c1/2,0))/2)),IF(circ_int,0,eq_c2/2)+(s_0+11*s_r+IF(circ_int,eq_c1/2,0))*SIN((((12+0.5)*(4*IF(circ_int,0,eq_c1/2)+4*IF(circ_int,0,eq_c2/2)+2*PI()*(s_0+11*s_r+IF(circ_int,eq_c1/2,0)))/INDEX(lk_legs,12))-(2*IF(circ_int,0,eq_c2/2)))/(s_0+11*s_r+IF(circ_int,eq_c1/2,0))),IF(((12+0.5)*(4*IF(circ_int,0,eq_c1/2)+4*IF(circ_int,0,eq_c2/2)+2*PI()*(s_0+11*s_r+IF(circ_int,eq_c1/2,0)))/INDEX(lk_legs,12))&lt;(((2*IF(circ_int,0,eq_c2/2))+(PI()*(s_0+11*s_r+IF(circ_int,eq_c1/2,0))/2))+2*IF(circ_int,0,eq_c1/2)),IF(circ_int,0,eq_c2/2)+(s_0+11*s_r+IF(circ_int,eq_c1/2,0)),IF(((12+0.5)*(4*IF(circ_int,0,eq_c1/2)+4*IF(circ_int,0,eq_c2/2)+2*PI()*(s_0+11*s_r+IF(circ_int,eq_c1/2,0)))/INDEX(lk_legs,12))&lt;((((2*IF(circ_int,0,eq_c2/2))+(PI()*(s_0+11*s_r+IF(circ_int,eq_c1/2,0))/2))+2*IF(circ_int,0,eq_c1/2))+(PI()*(s_0+11*s_r+IF(circ_int,eq_c1/2,0))/2)),IF(circ_int,0,eq_c2/2)+(s_0+11*s_r+IF(circ_int,eq_c1/2,0))*SIN(PI()/2+(((12+0.5)*(4*IF(circ_int,0,eq_c1/2)+4*IF(circ_int,0,eq_c2/2)+2*PI()*(s_0+11*s_r+IF(circ_int,eq_c1/2,0)))/INDEX(lk_legs,12))-(((2*IF(circ_int,0,eq_c2/2))+(PI()*(s_0+11*s_r+IF(circ_int,eq_c1/2,0))/2))+2*IF(circ_int,0,eq_c1/2)))/(s_0+11*s_r+IF(circ_int,eq_c1/2,0))),IF(((12+0.5)*(4*IF(circ_int,0,eq_c1/2)+4*IF(circ_int,0,eq_c2/2)+2*PI()*(s_0+11*s_r+IF(circ_int,eq_c1/2,0)))/INDEX(lk_legs,12))&lt;(((((2*IF(circ_int,0,eq_c2/2))+(PI()*(s_0+11*s_r+IF(circ_int,eq_c1/2,0))/2))+2*IF(circ_int,0,eq_c1/2))+(PI()*(s_0+11*s_r+IF(circ_int,eq_c1/2,0))/2))+2*IF(circ_int,0,eq_c2/2)),IF(circ_int,0,eq_c2/2)-(((12+0.5)*(4*IF(circ_int,0,eq_c1/2)+4*IF(circ_int,0,eq_c2/2)+2*PI()*(s_0+11*s_r+IF(circ_int,eq_c1/2,0)))/INDEX(lk_legs,12))-((((2*IF(circ_int,0,eq_c2/2))+(PI()*(s_0+11*s_r+IF(circ_int,eq_c1/2,0))/2))+2*IF(circ_int,0,eq_c1/2))+(PI()*(s_0+11*s_r+IF(circ_int,eq_c1/2,0))/2))),IF(((12+0.5)*(4*IF(circ_int,0,eq_c1/2)+4*IF(circ_int,0,eq_c2/2)+2*PI()*(s_0+11*s_r+IF(circ_int,eq_c1/2,0)))/INDEX(lk_legs,12))&lt;((((((2*IF(circ_int,0,eq_c2/2))+(PI()*(s_0+11*s_r+IF(circ_int,eq_c1/2,0))/2))+2*IF(circ_int,0,eq_c1/2))+(PI()*(s_0+11*s_r+IF(circ_int,eq_c1/2,0))/2))+2*IF(circ_int,0,eq_c2/2))+(PI()*(s_0+11*s_r+IF(circ_int,eq_c1/2,0))/2)),-IF(circ_int,0,eq_c2/2)+(s_0+11*s_r+IF(circ_int,eq_c1/2,0))*SIN(PI()+(((12+0.5)*(4*IF(circ_int,0,eq_c1/2)+4*IF(circ_int,0,eq_c2/2)+2*PI()*(s_0+11*s_r+IF(circ_int,eq_c1/2,0)))/INDEX(lk_legs,12))-(((((2*IF(circ_int,0,eq_c2/2))+(PI()*(s_0+11*s_r+IF(circ_int,eq_c1/2,0))/2))+2*IF(circ_int,0,eq_c1/2))+(PI()*(s_0+11*s_r+IF(circ_int,eq_c1/2,0))/2))+2*IF(circ_int,0,eq_c2/2)))/(s_0+11*s_r+IF(circ_int,eq_c1/2,0))),IF(((12+0.5)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(12+0.5)*(4*IF(circ_int,0,eq_c1/2)+4*IF(circ_int,0,eq_c2/2)+2*PI()*(s_0+11*s_r+IF(circ_int,eq_c1/2,0)))/INDEX(lk_legs,12))-(((((((2*IF(circ_int,0,eq_c2/2))+(PI()*(s_0+11*s_r+IF(circ_int,eq_c1/2,0))/2))+2*IF(circ_int,0,eq_c1/2))+(PI()*(s_0+11*s_r+IF(circ_int,eq_c1/2,0))/2))+2*IF(circ_int,0,eq_c2/2))+(PI()*(s_0+11*s_r+IF(circ_int,eq_c1/2,0))/2))+2*IF(circ_int,0,eq_c1/2)))/(s_0+11*s_r+IF(circ_int,eq_c1/2,0)))))))))),NA())</f>
        <v/>
      </c>
    </row>
    <row r="16">
      <c r="A16">
        <f>IF(shape="Circular",(g_ox)+(c_1/2+0)*0.000000,CHOOSE(1,(g_ox-eq_c1/2)+(0)*0.000000,(eq_a1+eq_c1)+(0)*1.000000,(eq_a1+eq_c1)+(0)*1.000000,(eq_a1)+(0)*0.000000))</f>
        <v/>
      </c>
      <c r="B16">
        <f>IF(shape="Circular",(g_oy)+(c_1/2+0)*1.000000,CHOOSE(1,(g_oy+eq_c2/2)+(0)*1.000000,(g_oy+eq_c2/2)+(0)*0.000000,(eq_a2+eq_c2)+(0)*0.000000,(eq_a2+eq_c2)+(0)*1.000000))</f>
        <v/>
      </c>
      <c r="D16">
        <f>IF(circ_int,(g_ox)+(c_1/2+2*d_eff)*0.000000,CHOOSE(geo_idx,(g_ox-eq_c1/2)+(2*d_eff)*0.000000,(eq_a1+eq_c1)+(2*d_eff)*1.000000,(eq_a1+eq_c1)+(2*d_eff)*1.000000,(eq_a1)+(2*d_eff)*0.000000))</f>
        <v/>
      </c>
      <c r="E16">
        <f>IF(circ_int,(g_oy)+(c_1/2+2*d_eff)*1.000000,CHOOSE(geo_idx,(g_oy+eq_c2/2)+(2*d_eff)*1.000000,(g_oy+eq_c2/2)+(2*d_eff)*0.000000,(eq_a2+eq_c2)+(2*d_eff)*0.000000,(eq_a2+eq_c2)+(2*d_eff)*1.000000))</f>
        <v/>
      </c>
      <c r="G16">
        <f>IF(AND(inputs_ok,punch_ok,A_sw&gt;0),IF(circ_int,(g_ox)+(c_1/2+r_out)*0.000000,CHOOSE(kind_out,(g_ox-eq_c1/2)+(r_out)*0.000000,(eq_a1+eq_c1)+(r_out)*1.000000,(eq_a1+eq_c1)+(r_out)*1.000000,(eq_a1)+(r_out)*0.000000)),NA())</f>
        <v/>
      </c>
      <c r="H16">
        <f>IF(AND(inputs_ok,punch_ok,A_sw&gt;0),IF(circ_int,(g_oy)+(c_1/2+r_out)*1.000000,CHOOSE(kind_out,(g_oy+eq_c2/2)+(r_out)*1.000000,(g_oy+eq_c2/2)+(r_out)*0.000000,(eq_a2+eq_c2)+(r_out)*0.000000,(eq_a2+eq_c2)+(r_out)*1.000000)),NA())</f>
        <v/>
      </c>
      <c r="AW16">
        <f>IF(AND(links_on,1&lt;=n_per),IF(circ_int,(g_ox)+(c_1/2+(s_0+0*s_r))*0.000000,CHOOSE(INDEX(lk_kind,1),(g_ox-eq_c1/2)+((s_0+0*s_r))*0.000000,(eq_a1+eq_c1)+((s_0+0*s_r))*1.000000,(eq_a1+eq_c1)+((s_0+0*s_r))*1.000000,(eq_a1)+((s_0+0*s_r))*0.000000)),NA())</f>
        <v/>
      </c>
      <c r="AX16">
        <f>IF(AND(links_on,1&lt;=n_per),IF(circ_int,(g_oy)+(c_1/2+(s_0+0*s_r))*1.000000,CHOOSE(INDEX(lk_kind,1),(g_oy+eq_c2/2)+((s_0+0*s_r))*1.000000,(g_oy+eq_c2/2)+((s_0+0*s_r))*0.000000,(eq_a2+eq_c2)+((s_0+0*s_r))*0.000000,(eq_a2+eq_c2)+((s_0+0*s_r))*1.000000)),NA())</f>
        <v/>
      </c>
      <c r="AZ16">
        <f>IF(AND(AND(links_on,1&lt;=n_per),INDEX(lk_kind,1)=1,13&lt;INDEX(lk_legs,1)),g_ox+IF(((13+0.5)*(4*IF(circ_int,0,eq_c1/2)+4*IF(circ_int,0,eq_c2/2)+2*PI()*(s_0+0*s_r+IF(circ_int,eq_c1/2,0)))/INDEX(lk_legs,1))&lt;(2*IF(circ_int,0,eq_c2/2)),IF(circ_int,0,eq_c1/2)+(s_0+0*s_r+IF(circ_int,eq_c1/2,0)),IF(((13+0.5)*(4*IF(circ_int,0,eq_c1/2)+4*IF(circ_int,0,eq_c2/2)+2*PI()*(s_0+0*s_r+IF(circ_int,eq_c1/2,0)))/INDEX(lk_legs,1))&lt;((2*IF(circ_int,0,eq_c2/2))+(PI()*(s_0+0*s_r+IF(circ_int,eq_c1/2,0))/2)),IF(circ_int,0,eq_c1/2)+(s_0+0*s_r+IF(circ_int,eq_c1/2,0))*COS((((13+0.5)*(4*IF(circ_int,0,eq_c1/2)+4*IF(circ_int,0,eq_c2/2)+2*PI()*(s_0+0*s_r+IF(circ_int,eq_c1/2,0)))/INDEX(lk_legs,1))-(2*IF(circ_int,0,eq_c2/2)))/(s_0+0*s_r+IF(circ_int,eq_c1/2,0))),IF(((13+0.5)*(4*IF(circ_int,0,eq_c1/2)+4*IF(circ_int,0,eq_c2/2)+2*PI()*(s_0+0*s_r+IF(circ_int,eq_c1/2,0)))/INDEX(lk_legs,1))&lt;(((2*IF(circ_int,0,eq_c2/2))+(PI()*(s_0+0*s_r+IF(circ_int,eq_c1/2,0))/2))+2*IF(circ_int,0,eq_c1/2)),IF(circ_int,0,eq_c1/2)-(((13+0.5)*(4*IF(circ_int,0,eq_c1/2)+4*IF(circ_int,0,eq_c2/2)+2*PI()*(s_0+0*s_r+IF(circ_int,eq_c1/2,0)))/INDEX(lk_legs,1))-((2*IF(circ_int,0,eq_c2/2))+(PI()*(s_0+0*s_r+IF(circ_int,eq_c1/2,0))/2))),IF(((13+0.5)*(4*IF(circ_int,0,eq_c1/2)+4*IF(circ_int,0,eq_c2/2)+2*PI()*(s_0+0*s_r+IF(circ_int,eq_c1/2,0)))/INDEX(lk_legs,1))&lt;((((2*IF(circ_int,0,eq_c2/2))+(PI()*(s_0+0*s_r+IF(circ_int,eq_c1/2,0))/2))+2*IF(circ_int,0,eq_c1/2))+(PI()*(s_0+0*s_r+IF(circ_int,eq_c1/2,0))/2)),-IF(circ_int,0,eq_c1/2)+(s_0+0*s_r+IF(circ_int,eq_c1/2,0))*COS(PI()/2+(((13+0.5)*(4*IF(circ_int,0,eq_c1/2)+4*IF(circ_int,0,eq_c2/2)+2*PI()*(s_0+0*s_r+IF(circ_int,eq_c1/2,0)))/INDEX(lk_legs,1))-(((2*IF(circ_int,0,eq_c2/2))+(PI()*(s_0+0*s_r+IF(circ_int,eq_c1/2,0))/2))+2*IF(circ_int,0,eq_c1/2)))/(s_0+0*s_r+IF(circ_int,eq_c1/2,0))),IF(((13+0.5)*(4*IF(circ_int,0,eq_c1/2)+4*IF(circ_int,0,eq_c2/2)+2*PI()*(s_0+0*s_r+IF(circ_int,eq_c1/2,0)))/INDEX(lk_legs,1))&lt;(((((2*IF(circ_int,0,eq_c2/2))+(PI()*(s_0+0*s_r+IF(circ_int,eq_c1/2,0))/2))+2*IF(circ_int,0,eq_c1/2))+(PI()*(s_0+0*s_r+IF(circ_int,eq_c1/2,0))/2))+2*IF(circ_int,0,eq_c2/2)),-IF(circ_int,0,eq_c1/2)-(s_0+0*s_r+IF(circ_int,eq_c1/2,0)),IF(((13+0.5)*(4*IF(circ_int,0,eq_c1/2)+4*IF(circ_int,0,eq_c2/2)+2*PI()*(s_0+0*s_r+IF(circ_int,eq_c1/2,0)))/INDEX(lk_legs,1))&lt;((((((2*IF(circ_int,0,eq_c2/2))+(PI()*(s_0+0*s_r+IF(circ_int,eq_c1/2,0))/2))+2*IF(circ_int,0,eq_c1/2))+(PI()*(s_0+0*s_r+IF(circ_int,eq_c1/2,0))/2))+2*IF(circ_int,0,eq_c2/2))+(PI()*(s_0+0*s_r+IF(circ_int,eq_c1/2,0))/2)),-IF(circ_int,0,eq_c1/2)+(s_0+0*s_r+IF(circ_int,eq_c1/2,0))*COS(PI()+(((13+0.5)*(4*IF(circ_int,0,eq_c1/2)+4*IF(circ_int,0,eq_c2/2)+2*PI()*(s_0+0*s_r+IF(circ_int,eq_c1/2,0)))/INDEX(lk_legs,1))-(((((2*IF(circ_int,0,eq_c2/2))+(PI()*(s_0+0*s_r+IF(circ_int,eq_c1/2,0))/2))+2*IF(circ_int,0,eq_c1/2))+(PI()*(s_0+0*s_r+IF(circ_int,eq_c1/2,0))/2))+2*IF(circ_int,0,eq_c2/2)))/(s_0+0*s_r+IF(circ_int,eq_c1/2,0))),IF(((13+0.5)*(4*IF(circ_int,0,eq_c1/2)+4*IF(circ_int,0,eq_c2/2)+2*PI()*(s_0+0*s_r+IF(circ_int,eq_c1/2,0)))/INDEX(lk_legs,1))&lt;(((((((2*IF(circ_int,0,eq_c2/2))+(PI()*(s_0+0*s_r+IF(circ_int,eq_c1/2,0))/2))+2*IF(circ_int,0,eq_c1/2))+(PI()*(s_0+0*s_r+IF(circ_int,eq_c1/2,0))/2))+2*IF(circ_int,0,eq_c2/2))+(PI()*(s_0+0*s_r+IF(circ_int,eq_c1/2,0))/2))+2*IF(circ_int,0,eq_c1/2)),-IF(circ_int,0,eq_c1/2)+(((13+0.5)*(4*IF(circ_int,0,eq_c1/2)+4*IF(circ_int,0,eq_c2/2)+2*PI()*(s_0+0*s_r+IF(circ_int,eq_c1/2,0)))/INDEX(lk_legs,1))-((((((2*IF(circ_int,0,eq_c2/2))+(PI()*(s_0+0*s_r+IF(circ_int,eq_c1/2,0))/2))+2*IF(circ_int,0,eq_c1/2))+(PI()*(s_0+0*s_r+IF(circ_int,eq_c1/2,0))/2))+2*IF(circ_int,0,eq_c2/2))+(PI()*(s_0+0*s_r+IF(circ_int,eq_c1/2,0))/2))),IF(circ_int,0,eq_c1/2)+(s_0+0*s_r+IF(circ_int,eq_c1/2,0))*COS(3*PI()/2+(((13+0.5)*(4*IF(circ_int,0,eq_c1/2)+4*IF(circ_int,0,eq_c2/2)+2*PI()*(s_0+0*s_r+IF(circ_int,eq_c1/2,0)))/INDEX(lk_legs,1))-(((((((2*IF(circ_int,0,eq_c2/2))+(PI()*(s_0+0*s_r+IF(circ_int,eq_c1/2,0))/2))+2*IF(circ_int,0,eq_c1/2))+(PI()*(s_0+0*s_r+IF(circ_int,eq_c1/2,0))/2))+2*IF(circ_int,0,eq_c2/2))+(PI()*(s_0+0*s_r+IF(circ_int,eq_c1/2,0))/2))+2*IF(circ_int,0,eq_c1/2)))/(s_0+0*s_r+IF(circ_int,eq_c1/2,0)))))))))),NA())</f>
        <v/>
      </c>
      <c r="BA16">
        <f>IF(AND(AND(links_on,1&lt;=n_per),INDEX(lk_kind,1)=1,13&lt;INDEX(lk_legs,1)),g_oy+IF(((13+0.5)*(4*IF(circ_int,0,eq_c1/2)+4*IF(circ_int,0,eq_c2/2)+2*PI()*(s_0+0*s_r+IF(circ_int,eq_c1/2,0)))/INDEX(lk_legs,1))&lt;(2*IF(circ_int,0,eq_c2/2)),-IF(circ_int,0,eq_c2/2)+((13+0.5)*(4*IF(circ_int,0,eq_c1/2)+4*IF(circ_int,0,eq_c2/2)+2*PI()*(s_0+0*s_r+IF(circ_int,eq_c1/2,0)))/INDEX(lk_legs,1)),IF(((13+0.5)*(4*IF(circ_int,0,eq_c1/2)+4*IF(circ_int,0,eq_c2/2)+2*PI()*(s_0+0*s_r+IF(circ_int,eq_c1/2,0)))/INDEX(lk_legs,1))&lt;((2*IF(circ_int,0,eq_c2/2))+(PI()*(s_0+0*s_r+IF(circ_int,eq_c1/2,0))/2)),IF(circ_int,0,eq_c2/2)+(s_0+0*s_r+IF(circ_int,eq_c1/2,0))*SIN((((13+0.5)*(4*IF(circ_int,0,eq_c1/2)+4*IF(circ_int,0,eq_c2/2)+2*PI()*(s_0+0*s_r+IF(circ_int,eq_c1/2,0)))/INDEX(lk_legs,1))-(2*IF(circ_int,0,eq_c2/2)))/(s_0+0*s_r+IF(circ_int,eq_c1/2,0))),IF(((13+0.5)*(4*IF(circ_int,0,eq_c1/2)+4*IF(circ_int,0,eq_c2/2)+2*PI()*(s_0+0*s_r+IF(circ_int,eq_c1/2,0)))/INDEX(lk_legs,1))&lt;(((2*IF(circ_int,0,eq_c2/2))+(PI()*(s_0+0*s_r+IF(circ_int,eq_c1/2,0))/2))+2*IF(circ_int,0,eq_c1/2)),IF(circ_int,0,eq_c2/2)+(s_0+0*s_r+IF(circ_int,eq_c1/2,0)),IF(((13+0.5)*(4*IF(circ_int,0,eq_c1/2)+4*IF(circ_int,0,eq_c2/2)+2*PI()*(s_0+0*s_r+IF(circ_int,eq_c1/2,0)))/INDEX(lk_legs,1))&lt;((((2*IF(circ_int,0,eq_c2/2))+(PI()*(s_0+0*s_r+IF(circ_int,eq_c1/2,0))/2))+2*IF(circ_int,0,eq_c1/2))+(PI()*(s_0+0*s_r+IF(circ_int,eq_c1/2,0))/2)),IF(circ_int,0,eq_c2/2)+(s_0+0*s_r+IF(circ_int,eq_c1/2,0))*SIN(PI()/2+(((13+0.5)*(4*IF(circ_int,0,eq_c1/2)+4*IF(circ_int,0,eq_c2/2)+2*PI()*(s_0+0*s_r+IF(circ_int,eq_c1/2,0)))/INDEX(lk_legs,1))-(((2*IF(circ_int,0,eq_c2/2))+(PI()*(s_0+0*s_r+IF(circ_int,eq_c1/2,0))/2))+2*IF(circ_int,0,eq_c1/2)))/(s_0+0*s_r+IF(circ_int,eq_c1/2,0))),IF(((13+0.5)*(4*IF(circ_int,0,eq_c1/2)+4*IF(circ_int,0,eq_c2/2)+2*PI()*(s_0+0*s_r+IF(circ_int,eq_c1/2,0)))/INDEX(lk_legs,1))&lt;(((((2*IF(circ_int,0,eq_c2/2))+(PI()*(s_0+0*s_r+IF(circ_int,eq_c1/2,0))/2))+2*IF(circ_int,0,eq_c1/2))+(PI()*(s_0+0*s_r+IF(circ_int,eq_c1/2,0))/2))+2*IF(circ_int,0,eq_c2/2)),IF(circ_int,0,eq_c2/2)-(((13+0.5)*(4*IF(circ_int,0,eq_c1/2)+4*IF(circ_int,0,eq_c2/2)+2*PI()*(s_0+0*s_r+IF(circ_int,eq_c1/2,0)))/INDEX(lk_legs,1))-((((2*IF(circ_int,0,eq_c2/2))+(PI()*(s_0+0*s_r+IF(circ_int,eq_c1/2,0))/2))+2*IF(circ_int,0,eq_c1/2))+(PI()*(s_0+0*s_r+IF(circ_int,eq_c1/2,0))/2))),IF(((13+0.5)*(4*IF(circ_int,0,eq_c1/2)+4*IF(circ_int,0,eq_c2/2)+2*PI()*(s_0+0*s_r+IF(circ_int,eq_c1/2,0)))/INDEX(lk_legs,1))&lt;((((((2*IF(circ_int,0,eq_c2/2))+(PI()*(s_0+0*s_r+IF(circ_int,eq_c1/2,0))/2))+2*IF(circ_int,0,eq_c1/2))+(PI()*(s_0+0*s_r+IF(circ_int,eq_c1/2,0))/2))+2*IF(circ_int,0,eq_c2/2))+(PI()*(s_0+0*s_r+IF(circ_int,eq_c1/2,0))/2)),-IF(circ_int,0,eq_c2/2)+(s_0+0*s_r+IF(circ_int,eq_c1/2,0))*SIN(PI()+(((13+0.5)*(4*IF(circ_int,0,eq_c1/2)+4*IF(circ_int,0,eq_c2/2)+2*PI()*(s_0+0*s_r+IF(circ_int,eq_c1/2,0)))/INDEX(lk_legs,1))-(((((2*IF(circ_int,0,eq_c2/2))+(PI()*(s_0+0*s_r+IF(circ_int,eq_c1/2,0))/2))+2*IF(circ_int,0,eq_c1/2))+(PI()*(s_0+0*s_r+IF(circ_int,eq_c1/2,0))/2))+2*IF(circ_int,0,eq_c2/2)))/(s_0+0*s_r+IF(circ_int,eq_c1/2,0))),IF(((13+0.5)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(13+0.5)*(4*IF(circ_int,0,eq_c1/2)+4*IF(circ_int,0,eq_c2/2)+2*PI()*(s_0+0*s_r+IF(circ_int,eq_c1/2,0)))/INDEX(lk_legs,1))-(((((((2*IF(circ_int,0,eq_c2/2))+(PI()*(s_0+0*s_r+IF(circ_int,eq_c1/2,0))/2))+2*IF(circ_int,0,eq_c1/2))+(PI()*(s_0+0*s_r+IF(circ_int,eq_c1/2,0))/2))+2*IF(circ_int,0,eq_c2/2))+(PI()*(s_0+0*s_r+IF(circ_int,eq_c1/2,0))/2))+2*IF(circ_int,0,eq_c1/2)))/(s_0+0*s_r+IF(circ_int,eq_c1/2,0)))))))))),NA())</f>
        <v/>
      </c>
      <c r="BC16">
        <f>IF(AND(links_on,2&lt;=n_per),IF(circ_int,(g_ox)+(c_1/2+(s_0+1*s_r))*0.000000,CHOOSE(INDEX(lk_kind,2),(g_ox-eq_c1/2)+((s_0+1*s_r))*0.000000,(eq_a1+eq_c1)+((s_0+1*s_r))*1.000000,(eq_a1+eq_c1)+((s_0+1*s_r))*1.000000,(eq_a1)+((s_0+1*s_r))*0.000000)),NA())</f>
        <v/>
      </c>
      <c r="BD16">
        <f>IF(AND(links_on,2&lt;=n_per),IF(circ_int,(g_oy)+(c_1/2+(s_0+1*s_r))*1.000000,CHOOSE(INDEX(lk_kind,2),(g_oy+eq_c2/2)+((s_0+1*s_r))*1.000000,(g_oy+eq_c2/2)+((s_0+1*s_r))*0.000000,(eq_a2+eq_c2)+((s_0+1*s_r))*0.000000,(eq_a2+eq_c2)+((s_0+1*s_r))*1.000000)),NA())</f>
        <v/>
      </c>
      <c r="BF16">
        <f>IF(AND(AND(links_on,2&lt;=n_per),INDEX(lk_kind,2)=1,13&lt;INDEX(lk_legs,2)),g_ox+IF(((13+0.5)*(4*IF(circ_int,0,eq_c1/2)+4*IF(circ_int,0,eq_c2/2)+2*PI()*(s_0+1*s_r+IF(circ_int,eq_c1/2,0)))/INDEX(lk_legs,2))&lt;(2*IF(circ_int,0,eq_c2/2)),IF(circ_int,0,eq_c1/2)+(s_0+1*s_r+IF(circ_int,eq_c1/2,0)),IF(((13+0.5)*(4*IF(circ_int,0,eq_c1/2)+4*IF(circ_int,0,eq_c2/2)+2*PI()*(s_0+1*s_r+IF(circ_int,eq_c1/2,0)))/INDEX(lk_legs,2))&lt;((2*IF(circ_int,0,eq_c2/2))+(PI()*(s_0+1*s_r+IF(circ_int,eq_c1/2,0))/2)),IF(circ_int,0,eq_c1/2)+(s_0+1*s_r+IF(circ_int,eq_c1/2,0))*COS((((13+0.5)*(4*IF(circ_int,0,eq_c1/2)+4*IF(circ_int,0,eq_c2/2)+2*PI()*(s_0+1*s_r+IF(circ_int,eq_c1/2,0)))/INDEX(lk_legs,2))-(2*IF(circ_int,0,eq_c2/2)))/(s_0+1*s_r+IF(circ_int,eq_c1/2,0))),IF(((13+0.5)*(4*IF(circ_int,0,eq_c1/2)+4*IF(circ_int,0,eq_c2/2)+2*PI()*(s_0+1*s_r+IF(circ_int,eq_c1/2,0)))/INDEX(lk_legs,2))&lt;(((2*IF(circ_int,0,eq_c2/2))+(PI()*(s_0+1*s_r+IF(circ_int,eq_c1/2,0))/2))+2*IF(circ_int,0,eq_c1/2)),IF(circ_int,0,eq_c1/2)-(((13+0.5)*(4*IF(circ_int,0,eq_c1/2)+4*IF(circ_int,0,eq_c2/2)+2*PI()*(s_0+1*s_r+IF(circ_int,eq_c1/2,0)))/INDEX(lk_legs,2))-((2*IF(circ_int,0,eq_c2/2))+(PI()*(s_0+1*s_r+IF(circ_int,eq_c1/2,0))/2))),IF(((13+0.5)*(4*IF(circ_int,0,eq_c1/2)+4*IF(circ_int,0,eq_c2/2)+2*PI()*(s_0+1*s_r+IF(circ_int,eq_c1/2,0)))/INDEX(lk_legs,2))&lt;((((2*IF(circ_int,0,eq_c2/2))+(PI()*(s_0+1*s_r+IF(circ_int,eq_c1/2,0))/2))+2*IF(circ_int,0,eq_c1/2))+(PI()*(s_0+1*s_r+IF(circ_int,eq_c1/2,0))/2)),-IF(circ_int,0,eq_c1/2)+(s_0+1*s_r+IF(circ_int,eq_c1/2,0))*COS(PI()/2+(((13+0.5)*(4*IF(circ_int,0,eq_c1/2)+4*IF(circ_int,0,eq_c2/2)+2*PI()*(s_0+1*s_r+IF(circ_int,eq_c1/2,0)))/INDEX(lk_legs,2))-(((2*IF(circ_int,0,eq_c2/2))+(PI()*(s_0+1*s_r+IF(circ_int,eq_c1/2,0))/2))+2*IF(circ_int,0,eq_c1/2)))/(s_0+1*s_r+IF(circ_int,eq_c1/2,0))),IF(((13+0.5)*(4*IF(circ_int,0,eq_c1/2)+4*IF(circ_int,0,eq_c2/2)+2*PI()*(s_0+1*s_r+IF(circ_int,eq_c1/2,0)))/INDEX(lk_legs,2))&lt;(((((2*IF(circ_int,0,eq_c2/2))+(PI()*(s_0+1*s_r+IF(circ_int,eq_c1/2,0))/2))+2*IF(circ_int,0,eq_c1/2))+(PI()*(s_0+1*s_r+IF(circ_int,eq_c1/2,0))/2))+2*IF(circ_int,0,eq_c2/2)),-IF(circ_int,0,eq_c1/2)-(s_0+1*s_r+IF(circ_int,eq_c1/2,0)),IF(((13+0.5)*(4*IF(circ_int,0,eq_c1/2)+4*IF(circ_int,0,eq_c2/2)+2*PI()*(s_0+1*s_r+IF(circ_int,eq_c1/2,0)))/INDEX(lk_legs,2))&lt;((((((2*IF(circ_int,0,eq_c2/2))+(PI()*(s_0+1*s_r+IF(circ_int,eq_c1/2,0))/2))+2*IF(circ_int,0,eq_c1/2))+(PI()*(s_0+1*s_r+IF(circ_int,eq_c1/2,0))/2))+2*IF(circ_int,0,eq_c2/2))+(PI()*(s_0+1*s_r+IF(circ_int,eq_c1/2,0))/2)),-IF(circ_int,0,eq_c1/2)+(s_0+1*s_r+IF(circ_int,eq_c1/2,0))*COS(PI()+(((13+0.5)*(4*IF(circ_int,0,eq_c1/2)+4*IF(circ_int,0,eq_c2/2)+2*PI()*(s_0+1*s_r+IF(circ_int,eq_c1/2,0)))/INDEX(lk_legs,2))-(((((2*IF(circ_int,0,eq_c2/2))+(PI()*(s_0+1*s_r+IF(circ_int,eq_c1/2,0))/2))+2*IF(circ_int,0,eq_c1/2))+(PI()*(s_0+1*s_r+IF(circ_int,eq_c1/2,0))/2))+2*IF(circ_int,0,eq_c2/2)))/(s_0+1*s_r+IF(circ_int,eq_c1/2,0))),IF(((13+0.5)*(4*IF(circ_int,0,eq_c1/2)+4*IF(circ_int,0,eq_c2/2)+2*PI()*(s_0+1*s_r+IF(circ_int,eq_c1/2,0)))/INDEX(lk_legs,2))&lt;(((((((2*IF(circ_int,0,eq_c2/2))+(PI()*(s_0+1*s_r+IF(circ_int,eq_c1/2,0))/2))+2*IF(circ_int,0,eq_c1/2))+(PI()*(s_0+1*s_r+IF(circ_int,eq_c1/2,0))/2))+2*IF(circ_int,0,eq_c2/2))+(PI()*(s_0+1*s_r+IF(circ_int,eq_c1/2,0))/2))+2*IF(circ_int,0,eq_c1/2)),-IF(circ_int,0,eq_c1/2)+(((13+0.5)*(4*IF(circ_int,0,eq_c1/2)+4*IF(circ_int,0,eq_c2/2)+2*PI()*(s_0+1*s_r+IF(circ_int,eq_c1/2,0)))/INDEX(lk_legs,2))-((((((2*IF(circ_int,0,eq_c2/2))+(PI()*(s_0+1*s_r+IF(circ_int,eq_c1/2,0))/2))+2*IF(circ_int,0,eq_c1/2))+(PI()*(s_0+1*s_r+IF(circ_int,eq_c1/2,0))/2))+2*IF(circ_int,0,eq_c2/2))+(PI()*(s_0+1*s_r+IF(circ_int,eq_c1/2,0))/2))),IF(circ_int,0,eq_c1/2)+(s_0+1*s_r+IF(circ_int,eq_c1/2,0))*COS(3*PI()/2+(((13+0.5)*(4*IF(circ_int,0,eq_c1/2)+4*IF(circ_int,0,eq_c2/2)+2*PI()*(s_0+1*s_r+IF(circ_int,eq_c1/2,0)))/INDEX(lk_legs,2))-(((((((2*IF(circ_int,0,eq_c2/2))+(PI()*(s_0+1*s_r+IF(circ_int,eq_c1/2,0))/2))+2*IF(circ_int,0,eq_c1/2))+(PI()*(s_0+1*s_r+IF(circ_int,eq_c1/2,0))/2))+2*IF(circ_int,0,eq_c2/2))+(PI()*(s_0+1*s_r+IF(circ_int,eq_c1/2,0))/2))+2*IF(circ_int,0,eq_c1/2)))/(s_0+1*s_r+IF(circ_int,eq_c1/2,0)))))))))),NA())</f>
        <v/>
      </c>
      <c r="BG16">
        <f>IF(AND(AND(links_on,2&lt;=n_per),INDEX(lk_kind,2)=1,13&lt;INDEX(lk_legs,2)),g_oy+IF(((13+0.5)*(4*IF(circ_int,0,eq_c1/2)+4*IF(circ_int,0,eq_c2/2)+2*PI()*(s_0+1*s_r+IF(circ_int,eq_c1/2,0)))/INDEX(lk_legs,2))&lt;(2*IF(circ_int,0,eq_c2/2)),-IF(circ_int,0,eq_c2/2)+((13+0.5)*(4*IF(circ_int,0,eq_c1/2)+4*IF(circ_int,0,eq_c2/2)+2*PI()*(s_0+1*s_r+IF(circ_int,eq_c1/2,0)))/INDEX(lk_legs,2)),IF(((13+0.5)*(4*IF(circ_int,0,eq_c1/2)+4*IF(circ_int,0,eq_c2/2)+2*PI()*(s_0+1*s_r+IF(circ_int,eq_c1/2,0)))/INDEX(lk_legs,2))&lt;((2*IF(circ_int,0,eq_c2/2))+(PI()*(s_0+1*s_r+IF(circ_int,eq_c1/2,0))/2)),IF(circ_int,0,eq_c2/2)+(s_0+1*s_r+IF(circ_int,eq_c1/2,0))*SIN((((13+0.5)*(4*IF(circ_int,0,eq_c1/2)+4*IF(circ_int,0,eq_c2/2)+2*PI()*(s_0+1*s_r+IF(circ_int,eq_c1/2,0)))/INDEX(lk_legs,2))-(2*IF(circ_int,0,eq_c2/2)))/(s_0+1*s_r+IF(circ_int,eq_c1/2,0))),IF(((13+0.5)*(4*IF(circ_int,0,eq_c1/2)+4*IF(circ_int,0,eq_c2/2)+2*PI()*(s_0+1*s_r+IF(circ_int,eq_c1/2,0)))/INDEX(lk_legs,2))&lt;(((2*IF(circ_int,0,eq_c2/2))+(PI()*(s_0+1*s_r+IF(circ_int,eq_c1/2,0))/2))+2*IF(circ_int,0,eq_c1/2)),IF(circ_int,0,eq_c2/2)+(s_0+1*s_r+IF(circ_int,eq_c1/2,0)),IF(((13+0.5)*(4*IF(circ_int,0,eq_c1/2)+4*IF(circ_int,0,eq_c2/2)+2*PI()*(s_0+1*s_r+IF(circ_int,eq_c1/2,0)))/INDEX(lk_legs,2))&lt;((((2*IF(circ_int,0,eq_c2/2))+(PI()*(s_0+1*s_r+IF(circ_int,eq_c1/2,0))/2))+2*IF(circ_int,0,eq_c1/2))+(PI()*(s_0+1*s_r+IF(circ_int,eq_c1/2,0))/2)),IF(circ_int,0,eq_c2/2)+(s_0+1*s_r+IF(circ_int,eq_c1/2,0))*SIN(PI()/2+(((13+0.5)*(4*IF(circ_int,0,eq_c1/2)+4*IF(circ_int,0,eq_c2/2)+2*PI()*(s_0+1*s_r+IF(circ_int,eq_c1/2,0)))/INDEX(lk_legs,2))-(((2*IF(circ_int,0,eq_c2/2))+(PI()*(s_0+1*s_r+IF(circ_int,eq_c1/2,0))/2))+2*IF(circ_int,0,eq_c1/2)))/(s_0+1*s_r+IF(circ_int,eq_c1/2,0))),IF(((13+0.5)*(4*IF(circ_int,0,eq_c1/2)+4*IF(circ_int,0,eq_c2/2)+2*PI()*(s_0+1*s_r+IF(circ_int,eq_c1/2,0)))/INDEX(lk_legs,2))&lt;(((((2*IF(circ_int,0,eq_c2/2))+(PI()*(s_0+1*s_r+IF(circ_int,eq_c1/2,0))/2))+2*IF(circ_int,0,eq_c1/2))+(PI()*(s_0+1*s_r+IF(circ_int,eq_c1/2,0))/2))+2*IF(circ_int,0,eq_c2/2)),IF(circ_int,0,eq_c2/2)-(((13+0.5)*(4*IF(circ_int,0,eq_c1/2)+4*IF(circ_int,0,eq_c2/2)+2*PI()*(s_0+1*s_r+IF(circ_int,eq_c1/2,0)))/INDEX(lk_legs,2))-((((2*IF(circ_int,0,eq_c2/2))+(PI()*(s_0+1*s_r+IF(circ_int,eq_c1/2,0))/2))+2*IF(circ_int,0,eq_c1/2))+(PI()*(s_0+1*s_r+IF(circ_int,eq_c1/2,0))/2))),IF(((13+0.5)*(4*IF(circ_int,0,eq_c1/2)+4*IF(circ_int,0,eq_c2/2)+2*PI()*(s_0+1*s_r+IF(circ_int,eq_c1/2,0)))/INDEX(lk_legs,2))&lt;((((((2*IF(circ_int,0,eq_c2/2))+(PI()*(s_0+1*s_r+IF(circ_int,eq_c1/2,0))/2))+2*IF(circ_int,0,eq_c1/2))+(PI()*(s_0+1*s_r+IF(circ_int,eq_c1/2,0))/2))+2*IF(circ_int,0,eq_c2/2))+(PI()*(s_0+1*s_r+IF(circ_int,eq_c1/2,0))/2)),-IF(circ_int,0,eq_c2/2)+(s_0+1*s_r+IF(circ_int,eq_c1/2,0))*SIN(PI()+(((13+0.5)*(4*IF(circ_int,0,eq_c1/2)+4*IF(circ_int,0,eq_c2/2)+2*PI()*(s_0+1*s_r+IF(circ_int,eq_c1/2,0)))/INDEX(lk_legs,2))-(((((2*IF(circ_int,0,eq_c2/2))+(PI()*(s_0+1*s_r+IF(circ_int,eq_c1/2,0))/2))+2*IF(circ_int,0,eq_c1/2))+(PI()*(s_0+1*s_r+IF(circ_int,eq_c1/2,0))/2))+2*IF(circ_int,0,eq_c2/2)))/(s_0+1*s_r+IF(circ_int,eq_c1/2,0))),IF(((13+0.5)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(13+0.5)*(4*IF(circ_int,0,eq_c1/2)+4*IF(circ_int,0,eq_c2/2)+2*PI()*(s_0+1*s_r+IF(circ_int,eq_c1/2,0)))/INDEX(lk_legs,2))-(((((((2*IF(circ_int,0,eq_c2/2))+(PI()*(s_0+1*s_r+IF(circ_int,eq_c1/2,0))/2))+2*IF(circ_int,0,eq_c1/2))+(PI()*(s_0+1*s_r+IF(circ_int,eq_c1/2,0))/2))+2*IF(circ_int,0,eq_c2/2))+(PI()*(s_0+1*s_r+IF(circ_int,eq_c1/2,0))/2))+2*IF(circ_int,0,eq_c1/2)))/(s_0+1*s_r+IF(circ_int,eq_c1/2,0)))))))))),NA())</f>
        <v/>
      </c>
      <c r="BI16">
        <f>IF(AND(links_on,3&lt;=n_per),IF(circ_int,(g_ox)+(c_1/2+(s_0+2*s_r))*0.000000,CHOOSE(INDEX(lk_kind,3),(g_ox-eq_c1/2)+((s_0+2*s_r))*0.000000,(eq_a1+eq_c1)+((s_0+2*s_r))*1.000000,(eq_a1+eq_c1)+((s_0+2*s_r))*1.000000,(eq_a1)+((s_0+2*s_r))*0.000000)),NA())</f>
        <v/>
      </c>
      <c r="BJ16">
        <f>IF(AND(links_on,3&lt;=n_per),IF(circ_int,(g_oy)+(c_1/2+(s_0+2*s_r))*1.000000,CHOOSE(INDEX(lk_kind,3),(g_oy+eq_c2/2)+((s_0+2*s_r))*1.000000,(g_oy+eq_c2/2)+((s_0+2*s_r))*0.000000,(eq_a2+eq_c2)+((s_0+2*s_r))*0.000000,(eq_a2+eq_c2)+((s_0+2*s_r))*1.000000)),NA())</f>
        <v/>
      </c>
      <c r="BL16">
        <f>IF(AND(AND(links_on,3&lt;=n_per),INDEX(lk_kind,3)=1,13&lt;INDEX(lk_legs,3)),g_ox+IF(((13+0.5)*(4*IF(circ_int,0,eq_c1/2)+4*IF(circ_int,0,eq_c2/2)+2*PI()*(s_0+2*s_r+IF(circ_int,eq_c1/2,0)))/INDEX(lk_legs,3))&lt;(2*IF(circ_int,0,eq_c2/2)),IF(circ_int,0,eq_c1/2)+(s_0+2*s_r+IF(circ_int,eq_c1/2,0)),IF(((13+0.5)*(4*IF(circ_int,0,eq_c1/2)+4*IF(circ_int,0,eq_c2/2)+2*PI()*(s_0+2*s_r+IF(circ_int,eq_c1/2,0)))/INDEX(lk_legs,3))&lt;((2*IF(circ_int,0,eq_c2/2))+(PI()*(s_0+2*s_r+IF(circ_int,eq_c1/2,0))/2)),IF(circ_int,0,eq_c1/2)+(s_0+2*s_r+IF(circ_int,eq_c1/2,0))*COS((((13+0.5)*(4*IF(circ_int,0,eq_c1/2)+4*IF(circ_int,0,eq_c2/2)+2*PI()*(s_0+2*s_r+IF(circ_int,eq_c1/2,0)))/INDEX(lk_legs,3))-(2*IF(circ_int,0,eq_c2/2)))/(s_0+2*s_r+IF(circ_int,eq_c1/2,0))),IF(((13+0.5)*(4*IF(circ_int,0,eq_c1/2)+4*IF(circ_int,0,eq_c2/2)+2*PI()*(s_0+2*s_r+IF(circ_int,eq_c1/2,0)))/INDEX(lk_legs,3))&lt;(((2*IF(circ_int,0,eq_c2/2))+(PI()*(s_0+2*s_r+IF(circ_int,eq_c1/2,0))/2))+2*IF(circ_int,0,eq_c1/2)),IF(circ_int,0,eq_c1/2)-(((13+0.5)*(4*IF(circ_int,0,eq_c1/2)+4*IF(circ_int,0,eq_c2/2)+2*PI()*(s_0+2*s_r+IF(circ_int,eq_c1/2,0)))/INDEX(lk_legs,3))-((2*IF(circ_int,0,eq_c2/2))+(PI()*(s_0+2*s_r+IF(circ_int,eq_c1/2,0))/2))),IF(((13+0.5)*(4*IF(circ_int,0,eq_c1/2)+4*IF(circ_int,0,eq_c2/2)+2*PI()*(s_0+2*s_r+IF(circ_int,eq_c1/2,0)))/INDEX(lk_legs,3))&lt;((((2*IF(circ_int,0,eq_c2/2))+(PI()*(s_0+2*s_r+IF(circ_int,eq_c1/2,0))/2))+2*IF(circ_int,0,eq_c1/2))+(PI()*(s_0+2*s_r+IF(circ_int,eq_c1/2,0))/2)),-IF(circ_int,0,eq_c1/2)+(s_0+2*s_r+IF(circ_int,eq_c1/2,0))*COS(PI()/2+(((13+0.5)*(4*IF(circ_int,0,eq_c1/2)+4*IF(circ_int,0,eq_c2/2)+2*PI()*(s_0+2*s_r+IF(circ_int,eq_c1/2,0)))/INDEX(lk_legs,3))-(((2*IF(circ_int,0,eq_c2/2))+(PI()*(s_0+2*s_r+IF(circ_int,eq_c1/2,0))/2))+2*IF(circ_int,0,eq_c1/2)))/(s_0+2*s_r+IF(circ_int,eq_c1/2,0))),IF(((13+0.5)*(4*IF(circ_int,0,eq_c1/2)+4*IF(circ_int,0,eq_c2/2)+2*PI()*(s_0+2*s_r+IF(circ_int,eq_c1/2,0)))/INDEX(lk_legs,3))&lt;(((((2*IF(circ_int,0,eq_c2/2))+(PI()*(s_0+2*s_r+IF(circ_int,eq_c1/2,0))/2))+2*IF(circ_int,0,eq_c1/2))+(PI()*(s_0+2*s_r+IF(circ_int,eq_c1/2,0))/2))+2*IF(circ_int,0,eq_c2/2)),-IF(circ_int,0,eq_c1/2)-(s_0+2*s_r+IF(circ_int,eq_c1/2,0)),IF(((13+0.5)*(4*IF(circ_int,0,eq_c1/2)+4*IF(circ_int,0,eq_c2/2)+2*PI()*(s_0+2*s_r+IF(circ_int,eq_c1/2,0)))/INDEX(lk_legs,3))&lt;((((((2*IF(circ_int,0,eq_c2/2))+(PI()*(s_0+2*s_r+IF(circ_int,eq_c1/2,0))/2))+2*IF(circ_int,0,eq_c1/2))+(PI()*(s_0+2*s_r+IF(circ_int,eq_c1/2,0))/2))+2*IF(circ_int,0,eq_c2/2))+(PI()*(s_0+2*s_r+IF(circ_int,eq_c1/2,0))/2)),-IF(circ_int,0,eq_c1/2)+(s_0+2*s_r+IF(circ_int,eq_c1/2,0))*COS(PI()+(((13+0.5)*(4*IF(circ_int,0,eq_c1/2)+4*IF(circ_int,0,eq_c2/2)+2*PI()*(s_0+2*s_r+IF(circ_int,eq_c1/2,0)))/INDEX(lk_legs,3))-(((((2*IF(circ_int,0,eq_c2/2))+(PI()*(s_0+2*s_r+IF(circ_int,eq_c1/2,0))/2))+2*IF(circ_int,0,eq_c1/2))+(PI()*(s_0+2*s_r+IF(circ_int,eq_c1/2,0))/2))+2*IF(circ_int,0,eq_c2/2)))/(s_0+2*s_r+IF(circ_int,eq_c1/2,0))),IF(((13+0.5)*(4*IF(circ_int,0,eq_c1/2)+4*IF(circ_int,0,eq_c2/2)+2*PI()*(s_0+2*s_r+IF(circ_int,eq_c1/2,0)))/INDEX(lk_legs,3))&lt;(((((((2*IF(circ_int,0,eq_c2/2))+(PI()*(s_0+2*s_r+IF(circ_int,eq_c1/2,0))/2))+2*IF(circ_int,0,eq_c1/2))+(PI()*(s_0+2*s_r+IF(circ_int,eq_c1/2,0))/2))+2*IF(circ_int,0,eq_c2/2))+(PI()*(s_0+2*s_r+IF(circ_int,eq_c1/2,0))/2))+2*IF(circ_int,0,eq_c1/2)),-IF(circ_int,0,eq_c1/2)+(((13+0.5)*(4*IF(circ_int,0,eq_c1/2)+4*IF(circ_int,0,eq_c2/2)+2*PI()*(s_0+2*s_r+IF(circ_int,eq_c1/2,0)))/INDEX(lk_legs,3))-((((((2*IF(circ_int,0,eq_c2/2))+(PI()*(s_0+2*s_r+IF(circ_int,eq_c1/2,0))/2))+2*IF(circ_int,0,eq_c1/2))+(PI()*(s_0+2*s_r+IF(circ_int,eq_c1/2,0))/2))+2*IF(circ_int,0,eq_c2/2))+(PI()*(s_0+2*s_r+IF(circ_int,eq_c1/2,0))/2))),IF(circ_int,0,eq_c1/2)+(s_0+2*s_r+IF(circ_int,eq_c1/2,0))*COS(3*PI()/2+(((13+0.5)*(4*IF(circ_int,0,eq_c1/2)+4*IF(circ_int,0,eq_c2/2)+2*PI()*(s_0+2*s_r+IF(circ_int,eq_c1/2,0)))/INDEX(lk_legs,3))-(((((((2*IF(circ_int,0,eq_c2/2))+(PI()*(s_0+2*s_r+IF(circ_int,eq_c1/2,0))/2))+2*IF(circ_int,0,eq_c1/2))+(PI()*(s_0+2*s_r+IF(circ_int,eq_c1/2,0))/2))+2*IF(circ_int,0,eq_c2/2))+(PI()*(s_0+2*s_r+IF(circ_int,eq_c1/2,0))/2))+2*IF(circ_int,0,eq_c1/2)))/(s_0+2*s_r+IF(circ_int,eq_c1/2,0)))))))))),NA())</f>
        <v/>
      </c>
      <c r="BM16">
        <f>IF(AND(AND(links_on,3&lt;=n_per),INDEX(lk_kind,3)=1,13&lt;INDEX(lk_legs,3)),g_oy+IF(((13+0.5)*(4*IF(circ_int,0,eq_c1/2)+4*IF(circ_int,0,eq_c2/2)+2*PI()*(s_0+2*s_r+IF(circ_int,eq_c1/2,0)))/INDEX(lk_legs,3))&lt;(2*IF(circ_int,0,eq_c2/2)),-IF(circ_int,0,eq_c2/2)+((13+0.5)*(4*IF(circ_int,0,eq_c1/2)+4*IF(circ_int,0,eq_c2/2)+2*PI()*(s_0+2*s_r+IF(circ_int,eq_c1/2,0)))/INDEX(lk_legs,3)),IF(((13+0.5)*(4*IF(circ_int,0,eq_c1/2)+4*IF(circ_int,0,eq_c2/2)+2*PI()*(s_0+2*s_r+IF(circ_int,eq_c1/2,0)))/INDEX(lk_legs,3))&lt;((2*IF(circ_int,0,eq_c2/2))+(PI()*(s_0+2*s_r+IF(circ_int,eq_c1/2,0))/2)),IF(circ_int,0,eq_c2/2)+(s_0+2*s_r+IF(circ_int,eq_c1/2,0))*SIN((((13+0.5)*(4*IF(circ_int,0,eq_c1/2)+4*IF(circ_int,0,eq_c2/2)+2*PI()*(s_0+2*s_r+IF(circ_int,eq_c1/2,0)))/INDEX(lk_legs,3))-(2*IF(circ_int,0,eq_c2/2)))/(s_0+2*s_r+IF(circ_int,eq_c1/2,0))),IF(((13+0.5)*(4*IF(circ_int,0,eq_c1/2)+4*IF(circ_int,0,eq_c2/2)+2*PI()*(s_0+2*s_r+IF(circ_int,eq_c1/2,0)))/INDEX(lk_legs,3))&lt;(((2*IF(circ_int,0,eq_c2/2))+(PI()*(s_0+2*s_r+IF(circ_int,eq_c1/2,0))/2))+2*IF(circ_int,0,eq_c1/2)),IF(circ_int,0,eq_c2/2)+(s_0+2*s_r+IF(circ_int,eq_c1/2,0)),IF(((13+0.5)*(4*IF(circ_int,0,eq_c1/2)+4*IF(circ_int,0,eq_c2/2)+2*PI()*(s_0+2*s_r+IF(circ_int,eq_c1/2,0)))/INDEX(lk_legs,3))&lt;((((2*IF(circ_int,0,eq_c2/2))+(PI()*(s_0+2*s_r+IF(circ_int,eq_c1/2,0))/2))+2*IF(circ_int,0,eq_c1/2))+(PI()*(s_0+2*s_r+IF(circ_int,eq_c1/2,0))/2)),IF(circ_int,0,eq_c2/2)+(s_0+2*s_r+IF(circ_int,eq_c1/2,0))*SIN(PI()/2+(((13+0.5)*(4*IF(circ_int,0,eq_c1/2)+4*IF(circ_int,0,eq_c2/2)+2*PI()*(s_0+2*s_r+IF(circ_int,eq_c1/2,0)))/INDEX(lk_legs,3))-(((2*IF(circ_int,0,eq_c2/2))+(PI()*(s_0+2*s_r+IF(circ_int,eq_c1/2,0))/2))+2*IF(circ_int,0,eq_c1/2)))/(s_0+2*s_r+IF(circ_int,eq_c1/2,0))),IF(((13+0.5)*(4*IF(circ_int,0,eq_c1/2)+4*IF(circ_int,0,eq_c2/2)+2*PI()*(s_0+2*s_r+IF(circ_int,eq_c1/2,0)))/INDEX(lk_legs,3))&lt;(((((2*IF(circ_int,0,eq_c2/2))+(PI()*(s_0+2*s_r+IF(circ_int,eq_c1/2,0))/2))+2*IF(circ_int,0,eq_c1/2))+(PI()*(s_0+2*s_r+IF(circ_int,eq_c1/2,0))/2))+2*IF(circ_int,0,eq_c2/2)),IF(circ_int,0,eq_c2/2)-(((13+0.5)*(4*IF(circ_int,0,eq_c1/2)+4*IF(circ_int,0,eq_c2/2)+2*PI()*(s_0+2*s_r+IF(circ_int,eq_c1/2,0)))/INDEX(lk_legs,3))-((((2*IF(circ_int,0,eq_c2/2))+(PI()*(s_0+2*s_r+IF(circ_int,eq_c1/2,0))/2))+2*IF(circ_int,0,eq_c1/2))+(PI()*(s_0+2*s_r+IF(circ_int,eq_c1/2,0))/2))),IF(((13+0.5)*(4*IF(circ_int,0,eq_c1/2)+4*IF(circ_int,0,eq_c2/2)+2*PI()*(s_0+2*s_r+IF(circ_int,eq_c1/2,0)))/INDEX(lk_legs,3))&lt;((((((2*IF(circ_int,0,eq_c2/2))+(PI()*(s_0+2*s_r+IF(circ_int,eq_c1/2,0))/2))+2*IF(circ_int,0,eq_c1/2))+(PI()*(s_0+2*s_r+IF(circ_int,eq_c1/2,0))/2))+2*IF(circ_int,0,eq_c2/2))+(PI()*(s_0+2*s_r+IF(circ_int,eq_c1/2,0))/2)),-IF(circ_int,0,eq_c2/2)+(s_0+2*s_r+IF(circ_int,eq_c1/2,0))*SIN(PI()+(((13+0.5)*(4*IF(circ_int,0,eq_c1/2)+4*IF(circ_int,0,eq_c2/2)+2*PI()*(s_0+2*s_r+IF(circ_int,eq_c1/2,0)))/INDEX(lk_legs,3))-(((((2*IF(circ_int,0,eq_c2/2))+(PI()*(s_0+2*s_r+IF(circ_int,eq_c1/2,0))/2))+2*IF(circ_int,0,eq_c1/2))+(PI()*(s_0+2*s_r+IF(circ_int,eq_c1/2,0))/2))+2*IF(circ_int,0,eq_c2/2)))/(s_0+2*s_r+IF(circ_int,eq_c1/2,0))),IF(((13+0.5)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(13+0.5)*(4*IF(circ_int,0,eq_c1/2)+4*IF(circ_int,0,eq_c2/2)+2*PI()*(s_0+2*s_r+IF(circ_int,eq_c1/2,0)))/INDEX(lk_legs,3))-(((((((2*IF(circ_int,0,eq_c2/2))+(PI()*(s_0+2*s_r+IF(circ_int,eq_c1/2,0))/2))+2*IF(circ_int,0,eq_c1/2))+(PI()*(s_0+2*s_r+IF(circ_int,eq_c1/2,0))/2))+2*IF(circ_int,0,eq_c2/2))+(PI()*(s_0+2*s_r+IF(circ_int,eq_c1/2,0))/2))+2*IF(circ_int,0,eq_c1/2)))/(s_0+2*s_r+IF(circ_int,eq_c1/2,0)))))))))),NA())</f>
        <v/>
      </c>
      <c r="BO16">
        <f>IF(AND(links_on,4&lt;=n_per),IF(circ_int,(g_ox)+(c_1/2+(s_0+3*s_r))*0.000000,CHOOSE(INDEX(lk_kind,4),(g_ox-eq_c1/2)+((s_0+3*s_r))*0.000000,(eq_a1+eq_c1)+((s_0+3*s_r))*1.000000,(eq_a1+eq_c1)+((s_0+3*s_r))*1.000000,(eq_a1)+((s_0+3*s_r))*0.000000)),NA())</f>
        <v/>
      </c>
      <c r="BP16">
        <f>IF(AND(links_on,4&lt;=n_per),IF(circ_int,(g_oy)+(c_1/2+(s_0+3*s_r))*1.000000,CHOOSE(INDEX(lk_kind,4),(g_oy+eq_c2/2)+((s_0+3*s_r))*1.000000,(g_oy+eq_c2/2)+((s_0+3*s_r))*0.000000,(eq_a2+eq_c2)+((s_0+3*s_r))*0.000000,(eq_a2+eq_c2)+((s_0+3*s_r))*1.000000)),NA())</f>
        <v/>
      </c>
      <c r="BR16">
        <f>IF(AND(AND(links_on,4&lt;=n_per),INDEX(lk_kind,4)=1,13&lt;INDEX(lk_legs,4)),g_ox+IF(((13+0.5)*(4*IF(circ_int,0,eq_c1/2)+4*IF(circ_int,0,eq_c2/2)+2*PI()*(s_0+3*s_r+IF(circ_int,eq_c1/2,0)))/INDEX(lk_legs,4))&lt;(2*IF(circ_int,0,eq_c2/2)),IF(circ_int,0,eq_c1/2)+(s_0+3*s_r+IF(circ_int,eq_c1/2,0)),IF(((13+0.5)*(4*IF(circ_int,0,eq_c1/2)+4*IF(circ_int,0,eq_c2/2)+2*PI()*(s_0+3*s_r+IF(circ_int,eq_c1/2,0)))/INDEX(lk_legs,4))&lt;((2*IF(circ_int,0,eq_c2/2))+(PI()*(s_0+3*s_r+IF(circ_int,eq_c1/2,0))/2)),IF(circ_int,0,eq_c1/2)+(s_0+3*s_r+IF(circ_int,eq_c1/2,0))*COS((((13+0.5)*(4*IF(circ_int,0,eq_c1/2)+4*IF(circ_int,0,eq_c2/2)+2*PI()*(s_0+3*s_r+IF(circ_int,eq_c1/2,0)))/INDEX(lk_legs,4))-(2*IF(circ_int,0,eq_c2/2)))/(s_0+3*s_r+IF(circ_int,eq_c1/2,0))),IF(((13+0.5)*(4*IF(circ_int,0,eq_c1/2)+4*IF(circ_int,0,eq_c2/2)+2*PI()*(s_0+3*s_r+IF(circ_int,eq_c1/2,0)))/INDEX(lk_legs,4))&lt;(((2*IF(circ_int,0,eq_c2/2))+(PI()*(s_0+3*s_r+IF(circ_int,eq_c1/2,0))/2))+2*IF(circ_int,0,eq_c1/2)),IF(circ_int,0,eq_c1/2)-(((13+0.5)*(4*IF(circ_int,0,eq_c1/2)+4*IF(circ_int,0,eq_c2/2)+2*PI()*(s_0+3*s_r+IF(circ_int,eq_c1/2,0)))/INDEX(lk_legs,4))-((2*IF(circ_int,0,eq_c2/2))+(PI()*(s_0+3*s_r+IF(circ_int,eq_c1/2,0))/2))),IF(((13+0.5)*(4*IF(circ_int,0,eq_c1/2)+4*IF(circ_int,0,eq_c2/2)+2*PI()*(s_0+3*s_r+IF(circ_int,eq_c1/2,0)))/INDEX(lk_legs,4))&lt;((((2*IF(circ_int,0,eq_c2/2))+(PI()*(s_0+3*s_r+IF(circ_int,eq_c1/2,0))/2))+2*IF(circ_int,0,eq_c1/2))+(PI()*(s_0+3*s_r+IF(circ_int,eq_c1/2,0))/2)),-IF(circ_int,0,eq_c1/2)+(s_0+3*s_r+IF(circ_int,eq_c1/2,0))*COS(PI()/2+(((13+0.5)*(4*IF(circ_int,0,eq_c1/2)+4*IF(circ_int,0,eq_c2/2)+2*PI()*(s_0+3*s_r+IF(circ_int,eq_c1/2,0)))/INDEX(lk_legs,4))-(((2*IF(circ_int,0,eq_c2/2))+(PI()*(s_0+3*s_r+IF(circ_int,eq_c1/2,0))/2))+2*IF(circ_int,0,eq_c1/2)))/(s_0+3*s_r+IF(circ_int,eq_c1/2,0))),IF(((13+0.5)*(4*IF(circ_int,0,eq_c1/2)+4*IF(circ_int,0,eq_c2/2)+2*PI()*(s_0+3*s_r+IF(circ_int,eq_c1/2,0)))/INDEX(lk_legs,4))&lt;(((((2*IF(circ_int,0,eq_c2/2))+(PI()*(s_0+3*s_r+IF(circ_int,eq_c1/2,0))/2))+2*IF(circ_int,0,eq_c1/2))+(PI()*(s_0+3*s_r+IF(circ_int,eq_c1/2,0))/2))+2*IF(circ_int,0,eq_c2/2)),-IF(circ_int,0,eq_c1/2)-(s_0+3*s_r+IF(circ_int,eq_c1/2,0)),IF(((13+0.5)*(4*IF(circ_int,0,eq_c1/2)+4*IF(circ_int,0,eq_c2/2)+2*PI()*(s_0+3*s_r+IF(circ_int,eq_c1/2,0)))/INDEX(lk_legs,4))&lt;((((((2*IF(circ_int,0,eq_c2/2))+(PI()*(s_0+3*s_r+IF(circ_int,eq_c1/2,0))/2))+2*IF(circ_int,0,eq_c1/2))+(PI()*(s_0+3*s_r+IF(circ_int,eq_c1/2,0))/2))+2*IF(circ_int,0,eq_c2/2))+(PI()*(s_0+3*s_r+IF(circ_int,eq_c1/2,0))/2)),-IF(circ_int,0,eq_c1/2)+(s_0+3*s_r+IF(circ_int,eq_c1/2,0))*COS(PI()+(((13+0.5)*(4*IF(circ_int,0,eq_c1/2)+4*IF(circ_int,0,eq_c2/2)+2*PI()*(s_0+3*s_r+IF(circ_int,eq_c1/2,0)))/INDEX(lk_legs,4))-(((((2*IF(circ_int,0,eq_c2/2))+(PI()*(s_0+3*s_r+IF(circ_int,eq_c1/2,0))/2))+2*IF(circ_int,0,eq_c1/2))+(PI()*(s_0+3*s_r+IF(circ_int,eq_c1/2,0))/2))+2*IF(circ_int,0,eq_c2/2)))/(s_0+3*s_r+IF(circ_int,eq_c1/2,0))),IF(((13+0.5)*(4*IF(circ_int,0,eq_c1/2)+4*IF(circ_int,0,eq_c2/2)+2*PI()*(s_0+3*s_r+IF(circ_int,eq_c1/2,0)))/INDEX(lk_legs,4))&lt;(((((((2*IF(circ_int,0,eq_c2/2))+(PI()*(s_0+3*s_r+IF(circ_int,eq_c1/2,0))/2))+2*IF(circ_int,0,eq_c1/2))+(PI()*(s_0+3*s_r+IF(circ_int,eq_c1/2,0))/2))+2*IF(circ_int,0,eq_c2/2))+(PI()*(s_0+3*s_r+IF(circ_int,eq_c1/2,0))/2))+2*IF(circ_int,0,eq_c1/2)),-IF(circ_int,0,eq_c1/2)+(((13+0.5)*(4*IF(circ_int,0,eq_c1/2)+4*IF(circ_int,0,eq_c2/2)+2*PI()*(s_0+3*s_r+IF(circ_int,eq_c1/2,0)))/INDEX(lk_legs,4))-((((((2*IF(circ_int,0,eq_c2/2))+(PI()*(s_0+3*s_r+IF(circ_int,eq_c1/2,0))/2))+2*IF(circ_int,0,eq_c1/2))+(PI()*(s_0+3*s_r+IF(circ_int,eq_c1/2,0))/2))+2*IF(circ_int,0,eq_c2/2))+(PI()*(s_0+3*s_r+IF(circ_int,eq_c1/2,0))/2))),IF(circ_int,0,eq_c1/2)+(s_0+3*s_r+IF(circ_int,eq_c1/2,0))*COS(3*PI()/2+(((13+0.5)*(4*IF(circ_int,0,eq_c1/2)+4*IF(circ_int,0,eq_c2/2)+2*PI()*(s_0+3*s_r+IF(circ_int,eq_c1/2,0)))/INDEX(lk_legs,4))-(((((((2*IF(circ_int,0,eq_c2/2))+(PI()*(s_0+3*s_r+IF(circ_int,eq_c1/2,0))/2))+2*IF(circ_int,0,eq_c1/2))+(PI()*(s_0+3*s_r+IF(circ_int,eq_c1/2,0))/2))+2*IF(circ_int,0,eq_c2/2))+(PI()*(s_0+3*s_r+IF(circ_int,eq_c1/2,0))/2))+2*IF(circ_int,0,eq_c1/2)))/(s_0+3*s_r+IF(circ_int,eq_c1/2,0)))))))))),NA())</f>
        <v/>
      </c>
      <c r="BS16">
        <f>IF(AND(AND(links_on,4&lt;=n_per),INDEX(lk_kind,4)=1,13&lt;INDEX(lk_legs,4)),g_oy+IF(((13+0.5)*(4*IF(circ_int,0,eq_c1/2)+4*IF(circ_int,0,eq_c2/2)+2*PI()*(s_0+3*s_r+IF(circ_int,eq_c1/2,0)))/INDEX(lk_legs,4))&lt;(2*IF(circ_int,0,eq_c2/2)),-IF(circ_int,0,eq_c2/2)+((13+0.5)*(4*IF(circ_int,0,eq_c1/2)+4*IF(circ_int,0,eq_c2/2)+2*PI()*(s_0+3*s_r+IF(circ_int,eq_c1/2,0)))/INDEX(lk_legs,4)),IF(((13+0.5)*(4*IF(circ_int,0,eq_c1/2)+4*IF(circ_int,0,eq_c2/2)+2*PI()*(s_0+3*s_r+IF(circ_int,eq_c1/2,0)))/INDEX(lk_legs,4))&lt;((2*IF(circ_int,0,eq_c2/2))+(PI()*(s_0+3*s_r+IF(circ_int,eq_c1/2,0))/2)),IF(circ_int,0,eq_c2/2)+(s_0+3*s_r+IF(circ_int,eq_c1/2,0))*SIN((((13+0.5)*(4*IF(circ_int,0,eq_c1/2)+4*IF(circ_int,0,eq_c2/2)+2*PI()*(s_0+3*s_r+IF(circ_int,eq_c1/2,0)))/INDEX(lk_legs,4))-(2*IF(circ_int,0,eq_c2/2)))/(s_0+3*s_r+IF(circ_int,eq_c1/2,0))),IF(((13+0.5)*(4*IF(circ_int,0,eq_c1/2)+4*IF(circ_int,0,eq_c2/2)+2*PI()*(s_0+3*s_r+IF(circ_int,eq_c1/2,0)))/INDEX(lk_legs,4))&lt;(((2*IF(circ_int,0,eq_c2/2))+(PI()*(s_0+3*s_r+IF(circ_int,eq_c1/2,0))/2))+2*IF(circ_int,0,eq_c1/2)),IF(circ_int,0,eq_c2/2)+(s_0+3*s_r+IF(circ_int,eq_c1/2,0)),IF(((13+0.5)*(4*IF(circ_int,0,eq_c1/2)+4*IF(circ_int,0,eq_c2/2)+2*PI()*(s_0+3*s_r+IF(circ_int,eq_c1/2,0)))/INDEX(lk_legs,4))&lt;((((2*IF(circ_int,0,eq_c2/2))+(PI()*(s_0+3*s_r+IF(circ_int,eq_c1/2,0))/2))+2*IF(circ_int,0,eq_c1/2))+(PI()*(s_0+3*s_r+IF(circ_int,eq_c1/2,0))/2)),IF(circ_int,0,eq_c2/2)+(s_0+3*s_r+IF(circ_int,eq_c1/2,0))*SIN(PI()/2+(((13+0.5)*(4*IF(circ_int,0,eq_c1/2)+4*IF(circ_int,0,eq_c2/2)+2*PI()*(s_0+3*s_r+IF(circ_int,eq_c1/2,0)))/INDEX(lk_legs,4))-(((2*IF(circ_int,0,eq_c2/2))+(PI()*(s_0+3*s_r+IF(circ_int,eq_c1/2,0))/2))+2*IF(circ_int,0,eq_c1/2)))/(s_0+3*s_r+IF(circ_int,eq_c1/2,0))),IF(((13+0.5)*(4*IF(circ_int,0,eq_c1/2)+4*IF(circ_int,0,eq_c2/2)+2*PI()*(s_0+3*s_r+IF(circ_int,eq_c1/2,0)))/INDEX(lk_legs,4))&lt;(((((2*IF(circ_int,0,eq_c2/2))+(PI()*(s_0+3*s_r+IF(circ_int,eq_c1/2,0))/2))+2*IF(circ_int,0,eq_c1/2))+(PI()*(s_0+3*s_r+IF(circ_int,eq_c1/2,0))/2))+2*IF(circ_int,0,eq_c2/2)),IF(circ_int,0,eq_c2/2)-(((13+0.5)*(4*IF(circ_int,0,eq_c1/2)+4*IF(circ_int,0,eq_c2/2)+2*PI()*(s_0+3*s_r+IF(circ_int,eq_c1/2,0)))/INDEX(lk_legs,4))-((((2*IF(circ_int,0,eq_c2/2))+(PI()*(s_0+3*s_r+IF(circ_int,eq_c1/2,0))/2))+2*IF(circ_int,0,eq_c1/2))+(PI()*(s_0+3*s_r+IF(circ_int,eq_c1/2,0))/2))),IF(((13+0.5)*(4*IF(circ_int,0,eq_c1/2)+4*IF(circ_int,0,eq_c2/2)+2*PI()*(s_0+3*s_r+IF(circ_int,eq_c1/2,0)))/INDEX(lk_legs,4))&lt;((((((2*IF(circ_int,0,eq_c2/2))+(PI()*(s_0+3*s_r+IF(circ_int,eq_c1/2,0))/2))+2*IF(circ_int,0,eq_c1/2))+(PI()*(s_0+3*s_r+IF(circ_int,eq_c1/2,0))/2))+2*IF(circ_int,0,eq_c2/2))+(PI()*(s_0+3*s_r+IF(circ_int,eq_c1/2,0))/2)),-IF(circ_int,0,eq_c2/2)+(s_0+3*s_r+IF(circ_int,eq_c1/2,0))*SIN(PI()+(((13+0.5)*(4*IF(circ_int,0,eq_c1/2)+4*IF(circ_int,0,eq_c2/2)+2*PI()*(s_0+3*s_r+IF(circ_int,eq_c1/2,0)))/INDEX(lk_legs,4))-(((((2*IF(circ_int,0,eq_c2/2))+(PI()*(s_0+3*s_r+IF(circ_int,eq_c1/2,0))/2))+2*IF(circ_int,0,eq_c1/2))+(PI()*(s_0+3*s_r+IF(circ_int,eq_c1/2,0))/2))+2*IF(circ_int,0,eq_c2/2)))/(s_0+3*s_r+IF(circ_int,eq_c1/2,0))),IF(((13+0.5)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(13+0.5)*(4*IF(circ_int,0,eq_c1/2)+4*IF(circ_int,0,eq_c2/2)+2*PI()*(s_0+3*s_r+IF(circ_int,eq_c1/2,0)))/INDEX(lk_legs,4))-(((((((2*IF(circ_int,0,eq_c2/2))+(PI()*(s_0+3*s_r+IF(circ_int,eq_c1/2,0))/2))+2*IF(circ_int,0,eq_c1/2))+(PI()*(s_0+3*s_r+IF(circ_int,eq_c1/2,0))/2))+2*IF(circ_int,0,eq_c2/2))+(PI()*(s_0+3*s_r+IF(circ_int,eq_c1/2,0))/2))+2*IF(circ_int,0,eq_c1/2)))/(s_0+3*s_r+IF(circ_int,eq_c1/2,0)))))))))),NA())</f>
        <v/>
      </c>
      <c r="BU16">
        <f>IF(AND(links_on,5&lt;=n_per),IF(circ_int,(g_ox)+(c_1/2+(s_0+4*s_r))*0.000000,CHOOSE(INDEX(lk_kind,5),(g_ox-eq_c1/2)+((s_0+4*s_r))*0.000000,(eq_a1+eq_c1)+((s_0+4*s_r))*1.000000,(eq_a1+eq_c1)+((s_0+4*s_r))*1.000000,(eq_a1)+((s_0+4*s_r))*0.000000)),NA())</f>
        <v/>
      </c>
      <c r="BV16">
        <f>IF(AND(links_on,5&lt;=n_per),IF(circ_int,(g_oy)+(c_1/2+(s_0+4*s_r))*1.000000,CHOOSE(INDEX(lk_kind,5),(g_oy+eq_c2/2)+((s_0+4*s_r))*1.000000,(g_oy+eq_c2/2)+((s_0+4*s_r))*0.000000,(eq_a2+eq_c2)+((s_0+4*s_r))*0.000000,(eq_a2+eq_c2)+((s_0+4*s_r))*1.000000)),NA())</f>
        <v/>
      </c>
      <c r="BX16">
        <f>IF(AND(AND(links_on,5&lt;=n_per),INDEX(lk_kind,5)=1,13&lt;INDEX(lk_legs,5)),g_ox+IF(((13+0.5)*(4*IF(circ_int,0,eq_c1/2)+4*IF(circ_int,0,eq_c2/2)+2*PI()*(s_0+4*s_r+IF(circ_int,eq_c1/2,0)))/INDEX(lk_legs,5))&lt;(2*IF(circ_int,0,eq_c2/2)),IF(circ_int,0,eq_c1/2)+(s_0+4*s_r+IF(circ_int,eq_c1/2,0)),IF(((13+0.5)*(4*IF(circ_int,0,eq_c1/2)+4*IF(circ_int,0,eq_c2/2)+2*PI()*(s_0+4*s_r+IF(circ_int,eq_c1/2,0)))/INDEX(lk_legs,5))&lt;((2*IF(circ_int,0,eq_c2/2))+(PI()*(s_0+4*s_r+IF(circ_int,eq_c1/2,0))/2)),IF(circ_int,0,eq_c1/2)+(s_0+4*s_r+IF(circ_int,eq_c1/2,0))*COS((((13+0.5)*(4*IF(circ_int,0,eq_c1/2)+4*IF(circ_int,0,eq_c2/2)+2*PI()*(s_0+4*s_r+IF(circ_int,eq_c1/2,0)))/INDEX(lk_legs,5))-(2*IF(circ_int,0,eq_c2/2)))/(s_0+4*s_r+IF(circ_int,eq_c1/2,0))),IF(((13+0.5)*(4*IF(circ_int,0,eq_c1/2)+4*IF(circ_int,0,eq_c2/2)+2*PI()*(s_0+4*s_r+IF(circ_int,eq_c1/2,0)))/INDEX(lk_legs,5))&lt;(((2*IF(circ_int,0,eq_c2/2))+(PI()*(s_0+4*s_r+IF(circ_int,eq_c1/2,0))/2))+2*IF(circ_int,0,eq_c1/2)),IF(circ_int,0,eq_c1/2)-(((13+0.5)*(4*IF(circ_int,0,eq_c1/2)+4*IF(circ_int,0,eq_c2/2)+2*PI()*(s_0+4*s_r+IF(circ_int,eq_c1/2,0)))/INDEX(lk_legs,5))-((2*IF(circ_int,0,eq_c2/2))+(PI()*(s_0+4*s_r+IF(circ_int,eq_c1/2,0))/2))),IF(((13+0.5)*(4*IF(circ_int,0,eq_c1/2)+4*IF(circ_int,0,eq_c2/2)+2*PI()*(s_0+4*s_r+IF(circ_int,eq_c1/2,0)))/INDEX(lk_legs,5))&lt;((((2*IF(circ_int,0,eq_c2/2))+(PI()*(s_0+4*s_r+IF(circ_int,eq_c1/2,0))/2))+2*IF(circ_int,0,eq_c1/2))+(PI()*(s_0+4*s_r+IF(circ_int,eq_c1/2,0))/2)),-IF(circ_int,0,eq_c1/2)+(s_0+4*s_r+IF(circ_int,eq_c1/2,0))*COS(PI()/2+(((13+0.5)*(4*IF(circ_int,0,eq_c1/2)+4*IF(circ_int,0,eq_c2/2)+2*PI()*(s_0+4*s_r+IF(circ_int,eq_c1/2,0)))/INDEX(lk_legs,5))-(((2*IF(circ_int,0,eq_c2/2))+(PI()*(s_0+4*s_r+IF(circ_int,eq_c1/2,0))/2))+2*IF(circ_int,0,eq_c1/2)))/(s_0+4*s_r+IF(circ_int,eq_c1/2,0))),IF(((13+0.5)*(4*IF(circ_int,0,eq_c1/2)+4*IF(circ_int,0,eq_c2/2)+2*PI()*(s_0+4*s_r+IF(circ_int,eq_c1/2,0)))/INDEX(lk_legs,5))&lt;(((((2*IF(circ_int,0,eq_c2/2))+(PI()*(s_0+4*s_r+IF(circ_int,eq_c1/2,0))/2))+2*IF(circ_int,0,eq_c1/2))+(PI()*(s_0+4*s_r+IF(circ_int,eq_c1/2,0))/2))+2*IF(circ_int,0,eq_c2/2)),-IF(circ_int,0,eq_c1/2)-(s_0+4*s_r+IF(circ_int,eq_c1/2,0)),IF(((13+0.5)*(4*IF(circ_int,0,eq_c1/2)+4*IF(circ_int,0,eq_c2/2)+2*PI()*(s_0+4*s_r+IF(circ_int,eq_c1/2,0)))/INDEX(lk_legs,5))&lt;((((((2*IF(circ_int,0,eq_c2/2))+(PI()*(s_0+4*s_r+IF(circ_int,eq_c1/2,0))/2))+2*IF(circ_int,0,eq_c1/2))+(PI()*(s_0+4*s_r+IF(circ_int,eq_c1/2,0))/2))+2*IF(circ_int,0,eq_c2/2))+(PI()*(s_0+4*s_r+IF(circ_int,eq_c1/2,0))/2)),-IF(circ_int,0,eq_c1/2)+(s_0+4*s_r+IF(circ_int,eq_c1/2,0))*COS(PI()+(((13+0.5)*(4*IF(circ_int,0,eq_c1/2)+4*IF(circ_int,0,eq_c2/2)+2*PI()*(s_0+4*s_r+IF(circ_int,eq_c1/2,0)))/INDEX(lk_legs,5))-(((((2*IF(circ_int,0,eq_c2/2))+(PI()*(s_0+4*s_r+IF(circ_int,eq_c1/2,0))/2))+2*IF(circ_int,0,eq_c1/2))+(PI()*(s_0+4*s_r+IF(circ_int,eq_c1/2,0))/2))+2*IF(circ_int,0,eq_c2/2)))/(s_0+4*s_r+IF(circ_int,eq_c1/2,0))),IF(((13+0.5)*(4*IF(circ_int,0,eq_c1/2)+4*IF(circ_int,0,eq_c2/2)+2*PI()*(s_0+4*s_r+IF(circ_int,eq_c1/2,0)))/INDEX(lk_legs,5))&lt;(((((((2*IF(circ_int,0,eq_c2/2))+(PI()*(s_0+4*s_r+IF(circ_int,eq_c1/2,0))/2))+2*IF(circ_int,0,eq_c1/2))+(PI()*(s_0+4*s_r+IF(circ_int,eq_c1/2,0))/2))+2*IF(circ_int,0,eq_c2/2))+(PI()*(s_0+4*s_r+IF(circ_int,eq_c1/2,0))/2))+2*IF(circ_int,0,eq_c1/2)),-IF(circ_int,0,eq_c1/2)+(((13+0.5)*(4*IF(circ_int,0,eq_c1/2)+4*IF(circ_int,0,eq_c2/2)+2*PI()*(s_0+4*s_r+IF(circ_int,eq_c1/2,0)))/INDEX(lk_legs,5))-((((((2*IF(circ_int,0,eq_c2/2))+(PI()*(s_0+4*s_r+IF(circ_int,eq_c1/2,0))/2))+2*IF(circ_int,0,eq_c1/2))+(PI()*(s_0+4*s_r+IF(circ_int,eq_c1/2,0))/2))+2*IF(circ_int,0,eq_c2/2))+(PI()*(s_0+4*s_r+IF(circ_int,eq_c1/2,0))/2))),IF(circ_int,0,eq_c1/2)+(s_0+4*s_r+IF(circ_int,eq_c1/2,0))*COS(3*PI()/2+(((13+0.5)*(4*IF(circ_int,0,eq_c1/2)+4*IF(circ_int,0,eq_c2/2)+2*PI()*(s_0+4*s_r+IF(circ_int,eq_c1/2,0)))/INDEX(lk_legs,5))-(((((((2*IF(circ_int,0,eq_c2/2))+(PI()*(s_0+4*s_r+IF(circ_int,eq_c1/2,0))/2))+2*IF(circ_int,0,eq_c1/2))+(PI()*(s_0+4*s_r+IF(circ_int,eq_c1/2,0))/2))+2*IF(circ_int,0,eq_c2/2))+(PI()*(s_0+4*s_r+IF(circ_int,eq_c1/2,0))/2))+2*IF(circ_int,0,eq_c1/2)))/(s_0+4*s_r+IF(circ_int,eq_c1/2,0)))))))))),NA())</f>
        <v/>
      </c>
      <c r="BY16">
        <f>IF(AND(AND(links_on,5&lt;=n_per),INDEX(lk_kind,5)=1,13&lt;INDEX(lk_legs,5)),g_oy+IF(((13+0.5)*(4*IF(circ_int,0,eq_c1/2)+4*IF(circ_int,0,eq_c2/2)+2*PI()*(s_0+4*s_r+IF(circ_int,eq_c1/2,0)))/INDEX(lk_legs,5))&lt;(2*IF(circ_int,0,eq_c2/2)),-IF(circ_int,0,eq_c2/2)+((13+0.5)*(4*IF(circ_int,0,eq_c1/2)+4*IF(circ_int,0,eq_c2/2)+2*PI()*(s_0+4*s_r+IF(circ_int,eq_c1/2,0)))/INDEX(lk_legs,5)),IF(((13+0.5)*(4*IF(circ_int,0,eq_c1/2)+4*IF(circ_int,0,eq_c2/2)+2*PI()*(s_0+4*s_r+IF(circ_int,eq_c1/2,0)))/INDEX(lk_legs,5))&lt;((2*IF(circ_int,0,eq_c2/2))+(PI()*(s_0+4*s_r+IF(circ_int,eq_c1/2,0))/2)),IF(circ_int,0,eq_c2/2)+(s_0+4*s_r+IF(circ_int,eq_c1/2,0))*SIN((((13+0.5)*(4*IF(circ_int,0,eq_c1/2)+4*IF(circ_int,0,eq_c2/2)+2*PI()*(s_0+4*s_r+IF(circ_int,eq_c1/2,0)))/INDEX(lk_legs,5))-(2*IF(circ_int,0,eq_c2/2)))/(s_0+4*s_r+IF(circ_int,eq_c1/2,0))),IF(((13+0.5)*(4*IF(circ_int,0,eq_c1/2)+4*IF(circ_int,0,eq_c2/2)+2*PI()*(s_0+4*s_r+IF(circ_int,eq_c1/2,0)))/INDEX(lk_legs,5))&lt;(((2*IF(circ_int,0,eq_c2/2))+(PI()*(s_0+4*s_r+IF(circ_int,eq_c1/2,0))/2))+2*IF(circ_int,0,eq_c1/2)),IF(circ_int,0,eq_c2/2)+(s_0+4*s_r+IF(circ_int,eq_c1/2,0)),IF(((13+0.5)*(4*IF(circ_int,0,eq_c1/2)+4*IF(circ_int,0,eq_c2/2)+2*PI()*(s_0+4*s_r+IF(circ_int,eq_c1/2,0)))/INDEX(lk_legs,5))&lt;((((2*IF(circ_int,0,eq_c2/2))+(PI()*(s_0+4*s_r+IF(circ_int,eq_c1/2,0))/2))+2*IF(circ_int,0,eq_c1/2))+(PI()*(s_0+4*s_r+IF(circ_int,eq_c1/2,0))/2)),IF(circ_int,0,eq_c2/2)+(s_0+4*s_r+IF(circ_int,eq_c1/2,0))*SIN(PI()/2+(((13+0.5)*(4*IF(circ_int,0,eq_c1/2)+4*IF(circ_int,0,eq_c2/2)+2*PI()*(s_0+4*s_r+IF(circ_int,eq_c1/2,0)))/INDEX(lk_legs,5))-(((2*IF(circ_int,0,eq_c2/2))+(PI()*(s_0+4*s_r+IF(circ_int,eq_c1/2,0))/2))+2*IF(circ_int,0,eq_c1/2)))/(s_0+4*s_r+IF(circ_int,eq_c1/2,0))),IF(((13+0.5)*(4*IF(circ_int,0,eq_c1/2)+4*IF(circ_int,0,eq_c2/2)+2*PI()*(s_0+4*s_r+IF(circ_int,eq_c1/2,0)))/INDEX(lk_legs,5))&lt;(((((2*IF(circ_int,0,eq_c2/2))+(PI()*(s_0+4*s_r+IF(circ_int,eq_c1/2,0))/2))+2*IF(circ_int,0,eq_c1/2))+(PI()*(s_0+4*s_r+IF(circ_int,eq_c1/2,0))/2))+2*IF(circ_int,0,eq_c2/2)),IF(circ_int,0,eq_c2/2)-(((13+0.5)*(4*IF(circ_int,0,eq_c1/2)+4*IF(circ_int,0,eq_c2/2)+2*PI()*(s_0+4*s_r+IF(circ_int,eq_c1/2,0)))/INDEX(lk_legs,5))-((((2*IF(circ_int,0,eq_c2/2))+(PI()*(s_0+4*s_r+IF(circ_int,eq_c1/2,0))/2))+2*IF(circ_int,0,eq_c1/2))+(PI()*(s_0+4*s_r+IF(circ_int,eq_c1/2,0))/2))),IF(((13+0.5)*(4*IF(circ_int,0,eq_c1/2)+4*IF(circ_int,0,eq_c2/2)+2*PI()*(s_0+4*s_r+IF(circ_int,eq_c1/2,0)))/INDEX(lk_legs,5))&lt;((((((2*IF(circ_int,0,eq_c2/2))+(PI()*(s_0+4*s_r+IF(circ_int,eq_c1/2,0))/2))+2*IF(circ_int,0,eq_c1/2))+(PI()*(s_0+4*s_r+IF(circ_int,eq_c1/2,0))/2))+2*IF(circ_int,0,eq_c2/2))+(PI()*(s_0+4*s_r+IF(circ_int,eq_c1/2,0))/2)),-IF(circ_int,0,eq_c2/2)+(s_0+4*s_r+IF(circ_int,eq_c1/2,0))*SIN(PI()+(((13+0.5)*(4*IF(circ_int,0,eq_c1/2)+4*IF(circ_int,0,eq_c2/2)+2*PI()*(s_0+4*s_r+IF(circ_int,eq_c1/2,0)))/INDEX(lk_legs,5))-(((((2*IF(circ_int,0,eq_c2/2))+(PI()*(s_0+4*s_r+IF(circ_int,eq_c1/2,0))/2))+2*IF(circ_int,0,eq_c1/2))+(PI()*(s_0+4*s_r+IF(circ_int,eq_c1/2,0))/2))+2*IF(circ_int,0,eq_c2/2)))/(s_0+4*s_r+IF(circ_int,eq_c1/2,0))),IF(((13+0.5)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(13+0.5)*(4*IF(circ_int,0,eq_c1/2)+4*IF(circ_int,0,eq_c2/2)+2*PI()*(s_0+4*s_r+IF(circ_int,eq_c1/2,0)))/INDEX(lk_legs,5))-(((((((2*IF(circ_int,0,eq_c2/2))+(PI()*(s_0+4*s_r+IF(circ_int,eq_c1/2,0))/2))+2*IF(circ_int,0,eq_c1/2))+(PI()*(s_0+4*s_r+IF(circ_int,eq_c1/2,0))/2))+2*IF(circ_int,0,eq_c2/2))+(PI()*(s_0+4*s_r+IF(circ_int,eq_c1/2,0))/2))+2*IF(circ_int,0,eq_c1/2)))/(s_0+4*s_r+IF(circ_int,eq_c1/2,0)))))))))),NA())</f>
        <v/>
      </c>
      <c r="CA16">
        <f>IF(AND(links_on,6&lt;=n_per),IF(circ_int,(g_ox)+(c_1/2+(s_0+5*s_r))*0.000000,CHOOSE(INDEX(lk_kind,6),(g_ox-eq_c1/2)+((s_0+5*s_r))*0.000000,(eq_a1+eq_c1)+((s_0+5*s_r))*1.000000,(eq_a1+eq_c1)+((s_0+5*s_r))*1.000000,(eq_a1)+((s_0+5*s_r))*0.000000)),NA())</f>
        <v/>
      </c>
      <c r="CB16">
        <f>IF(AND(links_on,6&lt;=n_per),IF(circ_int,(g_oy)+(c_1/2+(s_0+5*s_r))*1.000000,CHOOSE(INDEX(lk_kind,6),(g_oy+eq_c2/2)+((s_0+5*s_r))*1.000000,(g_oy+eq_c2/2)+((s_0+5*s_r))*0.000000,(eq_a2+eq_c2)+((s_0+5*s_r))*0.000000,(eq_a2+eq_c2)+((s_0+5*s_r))*1.000000)),NA())</f>
        <v/>
      </c>
      <c r="CD16">
        <f>IF(AND(AND(links_on,6&lt;=n_per),INDEX(lk_kind,6)=1,13&lt;INDEX(lk_legs,6)),g_ox+IF(((13+0.5)*(4*IF(circ_int,0,eq_c1/2)+4*IF(circ_int,0,eq_c2/2)+2*PI()*(s_0+5*s_r+IF(circ_int,eq_c1/2,0)))/INDEX(lk_legs,6))&lt;(2*IF(circ_int,0,eq_c2/2)),IF(circ_int,0,eq_c1/2)+(s_0+5*s_r+IF(circ_int,eq_c1/2,0)),IF(((13+0.5)*(4*IF(circ_int,0,eq_c1/2)+4*IF(circ_int,0,eq_c2/2)+2*PI()*(s_0+5*s_r+IF(circ_int,eq_c1/2,0)))/INDEX(lk_legs,6))&lt;((2*IF(circ_int,0,eq_c2/2))+(PI()*(s_0+5*s_r+IF(circ_int,eq_c1/2,0))/2)),IF(circ_int,0,eq_c1/2)+(s_0+5*s_r+IF(circ_int,eq_c1/2,0))*COS((((13+0.5)*(4*IF(circ_int,0,eq_c1/2)+4*IF(circ_int,0,eq_c2/2)+2*PI()*(s_0+5*s_r+IF(circ_int,eq_c1/2,0)))/INDEX(lk_legs,6))-(2*IF(circ_int,0,eq_c2/2)))/(s_0+5*s_r+IF(circ_int,eq_c1/2,0))),IF(((13+0.5)*(4*IF(circ_int,0,eq_c1/2)+4*IF(circ_int,0,eq_c2/2)+2*PI()*(s_0+5*s_r+IF(circ_int,eq_c1/2,0)))/INDEX(lk_legs,6))&lt;(((2*IF(circ_int,0,eq_c2/2))+(PI()*(s_0+5*s_r+IF(circ_int,eq_c1/2,0))/2))+2*IF(circ_int,0,eq_c1/2)),IF(circ_int,0,eq_c1/2)-(((13+0.5)*(4*IF(circ_int,0,eq_c1/2)+4*IF(circ_int,0,eq_c2/2)+2*PI()*(s_0+5*s_r+IF(circ_int,eq_c1/2,0)))/INDEX(lk_legs,6))-((2*IF(circ_int,0,eq_c2/2))+(PI()*(s_0+5*s_r+IF(circ_int,eq_c1/2,0))/2))),IF(((13+0.5)*(4*IF(circ_int,0,eq_c1/2)+4*IF(circ_int,0,eq_c2/2)+2*PI()*(s_0+5*s_r+IF(circ_int,eq_c1/2,0)))/INDEX(lk_legs,6))&lt;((((2*IF(circ_int,0,eq_c2/2))+(PI()*(s_0+5*s_r+IF(circ_int,eq_c1/2,0))/2))+2*IF(circ_int,0,eq_c1/2))+(PI()*(s_0+5*s_r+IF(circ_int,eq_c1/2,0))/2)),-IF(circ_int,0,eq_c1/2)+(s_0+5*s_r+IF(circ_int,eq_c1/2,0))*COS(PI()/2+(((13+0.5)*(4*IF(circ_int,0,eq_c1/2)+4*IF(circ_int,0,eq_c2/2)+2*PI()*(s_0+5*s_r+IF(circ_int,eq_c1/2,0)))/INDEX(lk_legs,6))-(((2*IF(circ_int,0,eq_c2/2))+(PI()*(s_0+5*s_r+IF(circ_int,eq_c1/2,0))/2))+2*IF(circ_int,0,eq_c1/2)))/(s_0+5*s_r+IF(circ_int,eq_c1/2,0))),IF(((13+0.5)*(4*IF(circ_int,0,eq_c1/2)+4*IF(circ_int,0,eq_c2/2)+2*PI()*(s_0+5*s_r+IF(circ_int,eq_c1/2,0)))/INDEX(lk_legs,6))&lt;(((((2*IF(circ_int,0,eq_c2/2))+(PI()*(s_0+5*s_r+IF(circ_int,eq_c1/2,0))/2))+2*IF(circ_int,0,eq_c1/2))+(PI()*(s_0+5*s_r+IF(circ_int,eq_c1/2,0))/2))+2*IF(circ_int,0,eq_c2/2)),-IF(circ_int,0,eq_c1/2)-(s_0+5*s_r+IF(circ_int,eq_c1/2,0)),IF(((13+0.5)*(4*IF(circ_int,0,eq_c1/2)+4*IF(circ_int,0,eq_c2/2)+2*PI()*(s_0+5*s_r+IF(circ_int,eq_c1/2,0)))/INDEX(lk_legs,6))&lt;((((((2*IF(circ_int,0,eq_c2/2))+(PI()*(s_0+5*s_r+IF(circ_int,eq_c1/2,0))/2))+2*IF(circ_int,0,eq_c1/2))+(PI()*(s_0+5*s_r+IF(circ_int,eq_c1/2,0))/2))+2*IF(circ_int,0,eq_c2/2))+(PI()*(s_0+5*s_r+IF(circ_int,eq_c1/2,0))/2)),-IF(circ_int,0,eq_c1/2)+(s_0+5*s_r+IF(circ_int,eq_c1/2,0))*COS(PI()+(((13+0.5)*(4*IF(circ_int,0,eq_c1/2)+4*IF(circ_int,0,eq_c2/2)+2*PI()*(s_0+5*s_r+IF(circ_int,eq_c1/2,0)))/INDEX(lk_legs,6))-(((((2*IF(circ_int,0,eq_c2/2))+(PI()*(s_0+5*s_r+IF(circ_int,eq_c1/2,0))/2))+2*IF(circ_int,0,eq_c1/2))+(PI()*(s_0+5*s_r+IF(circ_int,eq_c1/2,0))/2))+2*IF(circ_int,0,eq_c2/2)))/(s_0+5*s_r+IF(circ_int,eq_c1/2,0))),IF(((13+0.5)*(4*IF(circ_int,0,eq_c1/2)+4*IF(circ_int,0,eq_c2/2)+2*PI()*(s_0+5*s_r+IF(circ_int,eq_c1/2,0)))/INDEX(lk_legs,6))&lt;(((((((2*IF(circ_int,0,eq_c2/2))+(PI()*(s_0+5*s_r+IF(circ_int,eq_c1/2,0))/2))+2*IF(circ_int,0,eq_c1/2))+(PI()*(s_0+5*s_r+IF(circ_int,eq_c1/2,0))/2))+2*IF(circ_int,0,eq_c2/2))+(PI()*(s_0+5*s_r+IF(circ_int,eq_c1/2,0))/2))+2*IF(circ_int,0,eq_c1/2)),-IF(circ_int,0,eq_c1/2)+(((13+0.5)*(4*IF(circ_int,0,eq_c1/2)+4*IF(circ_int,0,eq_c2/2)+2*PI()*(s_0+5*s_r+IF(circ_int,eq_c1/2,0)))/INDEX(lk_legs,6))-((((((2*IF(circ_int,0,eq_c2/2))+(PI()*(s_0+5*s_r+IF(circ_int,eq_c1/2,0))/2))+2*IF(circ_int,0,eq_c1/2))+(PI()*(s_0+5*s_r+IF(circ_int,eq_c1/2,0))/2))+2*IF(circ_int,0,eq_c2/2))+(PI()*(s_0+5*s_r+IF(circ_int,eq_c1/2,0))/2))),IF(circ_int,0,eq_c1/2)+(s_0+5*s_r+IF(circ_int,eq_c1/2,0))*COS(3*PI()/2+(((13+0.5)*(4*IF(circ_int,0,eq_c1/2)+4*IF(circ_int,0,eq_c2/2)+2*PI()*(s_0+5*s_r+IF(circ_int,eq_c1/2,0)))/INDEX(lk_legs,6))-(((((((2*IF(circ_int,0,eq_c2/2))+(PI()*(s_0+5*s_r+IF(circ_int,eq_c1/2,0))/2))+2*IF(circ_int,0,eq_c1/2))+(PI()*(s_0+5*s_r+IF(circ_int,eq_c1/2,0))/2))+2*IF(circ_int,0,eq_c2/2))+(PI()*(s_0+5*s_r+IF(circ_int,eq_c1/2,0))/2))+2*IF(circ_int,0,eq_c1/2)))/(s_0+5*s_r+IF(circ_int,eq_c1/2,0)))))))))),NA())</f>
        <v/>
      </c>
      <c r="CE16">
        <f>IF(AND(AND(links_on,6&lt;=n_per),INDEX(lk_kind,6)=1,13&lt;INDEX(lk_legs,6)),g_oy+IF(((13+0.5)*(4*IF(circ_int,0,eq_c1/2)+4*IF(circ_int,0,eq_c2/2)+2*PI()*(s_0+5*s_r+IF(circ_int,eq_c1/2,0)))/INDEX(lk_legs,6))&lt;(2*IF(circ_int,0,eq_c2/2)),-IF(circ_int,0,eq_c2/2)+((13+0.5)*(4*IF(circ_int,0,eq_c1/2)+4*IF(circ_int,0,eq_c2/2)+2*PI()*(s_0+5*s_r+IF(circ_int,eq_c1/2,0)))/INDEX(lk_legs,6)),IF(((13+0.5)*(4*IF(circ_int,0,eq_c1/2)+4*IF(circ_int,0,eq_c2/2)+2*PI()*(s_0+5*s_r+IF(circ_int,eq_c1/2,0)))/INDEX(lk_legs,6))&lt;((2*IF(circ_int,0,eq_c2/2))+(PI()*(s_0+5*s_r+IF(circ_int,eq_c1/2,0))/2)),IF(circ_int,0,eq_c2/2)+(s_0+5*s_r+IF(circ_int,eq_c1/2,0))*SIN((((13+0.5)*(4*IF(circ_int,0,eq_c1/2)+4*IF(circ_int,0,eq_c2/2)+2*PI()*(s_0+5*s_r+IF(circ_int,eq_c1/2,0)))/INDEX(lk_legs,6))-(2*IF(circ_int,0,eq_c2/2)))/(s_0+5*s_r+IF(circ_int,eq_c1/2,0))),IF(((13+0.5)*(4*IF(circ_int,0,eq_c1/2)+4*IF(circ_int,0,eq_c2/2)+2*PI()*(s_0+5*s_r+IF(circ_int,eq_c1/2,0)))/INDEX(lk_legs,6))&lt;(((2*IF(circ_int,0,eq_c2/2))+(PI()*(s_0+5*s_r+IF(circ_int,eq_c1/2,0))/2))+2*IF(circ_int,0,eq_c1/2)),IF(circ_int,0,eq_c2/2)+(s_0+5*s_r+IF(circ_int,eq_c1/2,0)),IF(((13+0.5)*(4*IF(circ_int,0,eq_c1/2)+4*IF(circ_int,0,eq_c2/2)+2*PI()*(s_0+5*s_r+IF(circ_int,eq_c1/2,0)))/INDEX(lk_legs,6))&lt;((((2*IF(circ_int,0,eq_c2/2))+(PI()*(s_0+5*s_r+IF(circ_int,eq_c1/2,0))/2))+2*IF(circ_int,0,eq_c1/2))+(PI()*(s_0+5*s_r+IF(circ_int,eq_c1/2,0))/2)),IF(circ_int,0,eq_c2/2)+(s_0+5*s_r+IF(circ_int,eq_c1/2,0))*SIN(PI()/2+(((13+0.5)*(4*IF(circ_int,0,eq_c1/2)+4*IF(circ_int,0,eq_c2/2)+2*PI()*(s_0+5*s_r+IF(circ_int,eq_c1/2,0)))/INDEX(lk_legs,6))-(((2*IF(circ_int,0,eq_c2/2))+(PI()*(s_0+5*s_r+IF(circ_int,eq_c1/2,0))/2))+2*IF(circ_int,0,eq_c1/2)))/(s_0+5*s_r+IF(circ_int,eq_c1/2,0))),IF(((13+0.5)*(4*IF(circ_int,0,eq_c1/2)+4*IF(circ_int,0,eq_c2/2)+2*PI()*(s_0+5*s_r+IF(circ_int,eq_c1/2,0)))/INDEX(lk_legs,6))&lt;(((((2*IF(circ_int,0,eq_c2/2))+(PI()*(s_0+5*s_r+IF(circ_int,eq_c1/2,0))/2))+2*IF(circ_int,0,eq_c1/2))+(PI()*(s_0+5*s_r+IF(circ_int,eq_c1/2,0))/2))+2*IF(circ_int,0,eq_c2/2)),IF(circ_int,0,eq_c2/2)-(((13+0.5)*(4*IF(circ_int,0,eq_c1/2)+4*IF(circ_int,0,eq_c2/2)+2*PI()*(s_0+5*s_r+IF(circ_int,eq_c1/2,0)))/INDEX(lk_legs,6))-((((2*IF(circ_int,0,eq_c2/2))+(PI()*(s_0+5*s_r+IF(circ_int,eq_c1/2,0))/2))+2*IF(circ_int,0,eq_c1/2))+(PI()*(s_0+5*s_r+IF(circ_int,eq_c1/2,0))/2))),IF(((13+0.5)*(4*IF(circ_int,0,eq_c1/2)+4*IF(circ_int,0,eq_c2/2)+2*PI()*(s_0+5*s_r+IF(circ_int,eq_c1/2,0)))/INDEX(lk_legs,6))&lt;((((((2*IF(circ_int,0,eq_c2/2))+(PI()*(s_0+5*s_r+IF(circ_int,eq_c1/2,0))/2))+2*IF(circ_int,0,eq_c1/2))+(PI()*(s_0+5*s_r+IF(circ_int,eq_c1/2,0))/2))+2*IF(circ_int,0,eq_c2/2))+(PI()*(s_0+5*s_r+IF(circ_int,eq_c1/2,0))/2)),-IF(circ_int,0,eq_c2/2)+(s_0+5*s_r+IF(circ_int,eq_c1/2,0))*SIN(PI()+(((13+0.5)*(4*IF(circ_int,0,eq_c1/2)+4*IF(circ_int,0,eq_c2/2)+2*PI()*(s_0+5*s_r+IF(circ_int,eq_c1/2,0)))/INDEX(lk_legs,6))-(((((2*IF(circ_int,0,eq_c2/2))+(PI()*(s_0+5*s_r+IF(circ_int,eq_c1/2,0))/2))+2*IF(circ_int,0,eq_c1/2))+(PI()*(s_0+5*s_r+IF(circ_int,eq_c1/2,0))/2))+2*IF(circ_int,0,eq_c2/2)))/(s_0+5*s_r+IF(circ_int,eq_c1/2,0))),IF(((13+0.5)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(13+0.5)*(4*IF(circ_int,0,eq_c1/2)+4*IF(circ_int,0,eq_c2/2)+2*PI()*(s_0+5*s_r+IF(circ_int,eq_c1/2,0)))/INDEX(lk_legs,6))-(((((((2*IF(circ_int,0,eq_c2/2))+(PI()*(s_0+5*s_r+IF(circ_int,eq_c1/2,0))/2))+2*IF(circ_int,0,eq_c1/2))+(PI()*(s_0+5*s_r+IF(circ_int,eq_c1/2,0))/2))+2*IF(circ_int,0,eq_c2/2))+(PI()*(s_0+5*s_r+IF(circ_int,eq_c1/2,0))/2))+2*IF(circ_int,0,eq_c1/2)))/(s_0+5*s_r+IF(circ_int,eq_c1/2,0)))))))))),NA())</f>
        <v/>
      </c>
      <c r="CG16">
        <f>IF(AND(links_on,7&lt;=n_per),IF(circ_int,(g_ox)+(c_1/2+(s_0+6*s_r))*0.000000,CHOOSE(INDEX(lk_kind,7),(g_ox-eq_c1/2)+((s_0+6*s_r))*0.000000,(eq_a1+eq_c1)+((s_0+6*s_r))*1.000000,(eq_a1+eq_c1)+((s_0+6*s_r))*1.000000,(eq_a1)+((s_0+6*s_r))*0.000000)),NA())</f>
        <v/>
      </c>
      <c r="CH16">
        <f>IF(AND(links_on,7&lt;=n_per),IF(circ_int,(g_oy)+(c_1/2+(s_0+6*s_r))*1.000000,CHOOSE(INDEX(lk_kind,7),(g_oy+eq_c2/2)+((s_0+6*s_r))*1.000000,(g_oy+eq_c2/2)+((s_0+6*s_r))*0.000000,(eq_a2+eq_c2)+((s_0+6*s_r))*0.000000,(eq_a2+eq_c2)+((s_0+6*s_r))*1.000000)),NA())</f>
        <v/>
      </c>
      <c r="CJ16">
        <f>IF(AND(AND(links_on,7&lt;=n_per),INDEX(lk_kind,7)=1,13&lt;INDEX(lk_legs,7)),g_ox+IF(((13+0.5)*(4*IF(circ_int,0,eq_c1/2)+4*IF(circ_int,0,eq_c2/2)+2*PI()*(s_0+6*s_r+IF(circ_int,eq_c1/2,0)))/INDEX(lk_legs,7))&lt;(2*IF(circ_int,0,eq_c2/2)),IF(circ_int,0,eq_c1/2)+(s_0+6*s_r+IF(circ_int,eq_c1/2,0)),IF(((13+0.5)*(4*IF(circ_int,0,eq_c1/2)+4*IF(circ_int,0,eq_c2/2)+2*PI()*(s_0+6*s_r+IF(circ_int,eq_c1/2,0)))/INDEX(lk_legs,7))&lt;((2*IF(circ_int,0,eq_c2/2))+(PI()*(s_0+6*s_r+IF(circ_int,eq_c1/2,0))/2)),IF(circ_int,0,eq_c1/2)+(s_0+6*s_r+IF(circ_int,eq_c1/2,0))*COS((((13+0.5)*(4*IF(circ_int,0,eq_c1/2)+4*IF(circ_int,0,eq_c2/2)+2*PI()*(s_0+6*s_r+IF(circ_int,eq_c1/2,0)))/INDEX(lk_legs,7))-(2*IF(circ_int,0,eq_c2/2)))/(s_0+6*s_r+IF(circ_int,eq_c1/2,0))),IF(((13+0.5)*(4*IF(circ_int,0,eq_c1/2)+4*IF(circ_int,0,eq_c2/2)+2*PI()*(s_0+6*s_r+IF(circ_int,eq_c1/2,0)))/INDEX(lk_legs,7))&lt;(((2*IF(circ_int,0,eq_c2/2))+(PI()*(s_0+6*s_r+IF(circ_int,eq_c1/2,0))/2))+2*IF(circ_int,0,eq_c1/2)),IF(circ_int,0,eq_c1/2)-(((13+0.5)*(4*IF(circ_int,0,eq_c1/2)+4*IF(circ_int,0,eq_c2/2)+2*PI()*(s_0+6*s_r+IF(circ_int,eq_c1/2,0)))/INDEX(lk_legs,7))-((2*IF(circ_int,0,eq_c2/2))+(PI()*(s_0+6*s_r+IF(circ_int,eq_c1/2,0))/2))),IF(((13+0.5)*(4*IF(circ_int,0,eq_c1/2)+4*IF(circ_int,0,eq_c2/2)+2*PI()*(s_0+6*s_r+IF(circ_int,eq_c1/2,0)))/INDEX(lk_legs,7))&lt;((((2*IF(circ_int,0,eq_c2/2))+(PI()*(s_0+6*s_r+IF(circ_int,eq_c1/2,0))/2))+2*IF(circ_int,0,eq_c1/2))+(PI()*(s_0+6*s_r+IF(circ_int,eq_c1/2,0))/2)),-IF(circ_int,0,eq_c1/2)+(s_0+6*s_r+IF(circ_int,eq_c1/2,0))*COS(PI()/2+(((13+0.5)*(4*IF(circ_int,0,eq_c1/2)+4*IF(circ_int,0,eq_c2/2)+2*PI()*(s_0+6*s_r+IF(circ_int,eq_c1/2,0)))/INDEX(lk_legs,7))-(((2*IF(circ_int,0,eq_c2/2))+(PI()*(s_0+6*s_r+IF(circ_int,eq_c1/2,0))/2))+2*IF(circ_int,0,eq_c1/2)))/(s_0+6*s_r+IF(circ_int,eq_c1/2,0))),IF(((13+0.5)*(4*IF(circ_int,0,eq_c1/2)+4*IF(circ_int,0,eq_c2/2)+2*PI()*(s_0+6*s_r+IF(circ_int,eq_c1/2,0)))/INDEX(lk_legs,7))&lt;(((((2*IF(circ_int,0,eq_c2/2))+(PI()*(s_0+6*s_r+IF(circ_int,eq_c1/2,0))/2))+2*IF(circ_int,0,eq_c1/2))+(PI()*(s_0+6*s_r+IF(circ_int,eq_c1/2,0))/2))+2*IF(circ_int,0,eq_c2/2)),-IF(circ_int,0,eq_c1/2)-(s_0+6*s_r+IF(circ_int,eq_c1/2,0)),IF(((13+0.5)*(4*IF(circ_int,0,eq_c1/2)+4*IF(circ_int,0,eq_c2/2)+2*PI()*(s_0+6*s_r+IF(circ_int,eq_c1/2,0)))/INDEX(lk_legs,7))&lt;((((((2*IF(circ_int,0,eq_c2/2))+(PI()*(s_0+6*s_r+IF(circ_int,eq_c1/2,0))/2))+2*IF(circ_int,0,eq_c1/2))+(PI()*(s_0+6*s_r+IF(circ_int,eq_c1/2,0))/2))+2*IF(circ_int,0,eq_c2/2))+(PI()*(s_0+6*s_r+IF(circ_int,eq_c1/2,0))/2)),-IF(circ_int,0,eq_c1/2)+(s_0+6*s_r+IF(circ_int,eq_c1/2,0))*COS(PI()+(((13+0.5)*(4*IF(circ_int,0,eq_c1/2)+4*IF(circ_int,0,eq_c2/2)+2*PI()*(s_0+6*s_r+IF(circ_int,eq_c1/2,0)))/INDEX(lk_legs,7))-(((((2*IF(circ_int,0,eq_c2/2))+(PI()*(s_0+6*s_r+IF(circ_int,eq_c1/2,0))/2))+2*IF(circ_int,0,eq_c1/2))+(PI()*(s_0+6*s_r+IF(circ_int,eq_c1/2,0))/2))+2*IF(circ_int,0,eq_c2/2)))/(s_0+6*s_r+IF(circ_int,eq_c1/2,0))),IF(((13+0.5)*(4*IF(circ_int,0,eq_c1/2)+4*IF(circ_int,0,eq_c2/2)+2*PI()*(s_0+6*s_r+IF(circ_int,eq_c1/2,0)))/INDEX(lk_legs,7))&lt;(((((((2*IF(circ_int,0,eq_c2/2))+(PI()*(s_0+6*s_r+IF(circ_int,eq_c1/2,0))/2))+2*IF(circ_int,0,eq_c1/2))+(PI()*(s_0+6*s_r+IF(circ_int,eq_c1/2,0))/2))+2*IF(circ_int,0,eq_c2/2))+(PI()*(s_0+6*s_r+IF(circ_int,eq_c1/2,0))/2))+2*IF(circ_int,0,eq_c1/2)),-IF(circ_int,0,eq_c1/2)+(((13+0.5)*(4*IF(circ_int,0,eq_c1/2)+4*IF(circ_int,0,eq_c2/2)+2*PI()*(s_0+6*s_r+IF(circ_int,eq_c1/2,0)))/INDEX(lk_legs,7))-((((((2*IF(circ_int,0,eq_c2/2))+(PI()*(s_0+6*s_r+IF(circ_int,eq_c1/2,0))/2))+2*IF(circ_int,0,eq_c1/2))+(PI()*(s_0+6*s_r+IF(circ_int,eq_c1/2,0))/2))+2*IF(circ_int,0,eq_c2/2))+(PI()*(s_0+6*s_r+IF(circ_int,eq_c1/2,0))/2))),IF(circ_int,0,eq_c1/2)+(s_0+6*s_r+IF(circ_int,eq_c1/2,0))*COS(3*PI()/2+(((13+0.5)*(4*IF(circ_int,0,eq_c1/2)+4*IF(circ_int,0,eq_c2/2)+2*PI()*(s_0+6*s_r+IF(circ_int,eq_c1/2,0)))/INDEX(lk_legs,7))-(((((((2*IF(circ_int,0,eq_c2/2))+(PI()*(s_0+6*s_r+IF(circ_int,eq_c1/2,0))/2))+2*IF(circ_int,0,eq_c1/2))+(PI()*(s_0+6*s_r+IF(circ_int,eq_c1/2,0))/2))+2*IF(circ_int,0,eq_c2/2))+(PI()*(s_0+6*s_r+IF(circ_int,eq_c1/2,0))/2))+2*IF(circ_int,0,eq_c1/2)))/(s_0+6*s_r+IF(circ_int,eq_c1/2,0)))))))))),NA())</f>
        <v/>
      </c>
      <c r="CK16">
        <f>IF(AND(AND(links_on,7&lt;=n_per),INDEX(lk_kind,7)=1,13&lt;INDEX(lk_legs,7)),g_oy+IF(((13+0.5)*(4*IF(circ_int,0,eq_c1/2)+4*IF(circ_int,0,eq_c2/2)+2*PI()*(s_0+6*s_r+IF(circ_int,eq_c1/2,0)))/INDEX(lk_legs,7))&lt;(2*IF(circ_int,0,eq_c2/2)),-IF(circ_int,0,eq_c2/2)+((13+0.5)*(4*IF(circ_int,0,eq_c1/2)+4*IF(circ_int,0,eq_c2/2)+2*PI()*(s_0+6*s_r+IF(circ_int,eq_c1/2,0)))/INDEX(lk_legs,7)),IF(((13+0.5)*(4*IF(circ_int,0,eq_c1/2)+4*IF(circ_int,0,eq_c2/2)+2*PI()*(s_0+6*s_r+IF(circ_int,eq_c1/2,0)))/INDEX(lk_legs,7))&lt;((2*IF(circ_int,0,eq_c2/2))+(PI()*(s_0+6*s_r+IF(circ_int,eq_c1/2,0))/2)),IF(circ_int,0,eq_c2/2)+(s_0+6*s_r+IF(circ_int,eq_c1/2,0))*SIN((((13+0.5)*(4*IF(circ_int,0,eq_c1/2)+4*IF(circ_int,0,eq_c2/2)+2*PI()*(s_0+6*s_r+IF(circ_int,eq_c1/2,0)))/INDEX(lk_legs,7))-(2*IF(circ_int,0,eq_c2/2)))/(s_0+6*s_r+IF(circ_int,eq_c1/2,0))),IF(((13+0.5)*(4*IF(circ_int,0,eq_c1/2)+4*IF(circ_int,0,eq_c2/2)+2*PI()*(s_0+6*s_r+IF(circ_int,eq_c1/2,0)))/INDEX(lk_legs,7))&lt;(((2*IF(circ_int,0,eq_c2/2))+(PI()*(s_0+6*s_r+IF(circ_int,eq_c1/2,0))/2))+2*IF(circ_int,0,eq_c1/2)),IF(circ_int,0,eq_c2/2)+(s_0+6*s_r+IF(circ_int,eq_c1/2,0)),IF(((13+0.5)*(4*IF(circ_int,0,eq_c1/2)+4*IF(circ_int,0,eq_c2/2)+2*PI()*(s_0+6*s_r+IF(circ_int,eq_c1/2,0)))/INDEX(lk_legs,7))&lt;((((2*IF(circ_int,0,eq_c2/2))+(PI()*(s_0+6*s_r+IF(circ_int,eq_c1/2,0))/2))+2*IF(circ_int,0,eq_c1/2))+(PI()*(s_0+6*s_r+IF(circ_int,eq_c1/2,0))/2)),IF(circ_int,0,eq_c2/2)+(s_0+6*s_r+IF(circ_int,eq_c1/2,0))*SIN(PI()/2+(((13+0.5)*(4*IF(circ_int,0,eq_c1/2)+4*IF(circ_int,0,eq_c2/2)+2*PI()*(s_0+6*s_r+IF(circ_int,eq_c1/2,0)))/INDEX(lk_legs,7))-(((2*IF(circ_int,0,eq_c2/2))+(PI()*(s_0+6*s_r+IF(circ_int,eq_c1/2,0))/2))+2*IF(circ_int,0,eq_c1/2)))/(s_0+6*s_r+IF(circ_int,eq_c1/2,0))),IF(((13+0.5)*(4*IF(circ_int,0,eq_c1/2)+4*IF(circ_int,0,eq_c2/2)+2*PI()*(s_0+6*s_r+IF(circ_int,eq_c1/2,0)))/INDEX(lk_legs,7))&lt;(((((2*IF(circ_int,0,eq_c2/2))+(PI()*(s_0+6*s_r+IF(circ_int,eq_c1/2,0))/2))+2*IF(circ_int,0,eq_c1/2))+(PI()*(s_0+6*s_r+IF(circ_int,eq_c1/2,0))/2))+2*IF(circ_int,0,eq_c2/2)),IF(circ_int,0,eq_c2/2)-(((13+0.5)*(4*IF(circ_int,0,eq_c1/2)+4*IF(circ_int,0,eq_c2/2)+2*PI()*(s_0+6*s_r+IF(circ_int,eq_c1/2,0)))/INDEX(lk_legs,7))-((((2*IF(circ_int,0,eq_c2/2))+(PI()*(s_0+6*s_r+IF(circ_int,eq_c1/2,0))/2))+2*IF(circ_int,0,eq_c1/2))+(PI()*(s_0+6*s_r+IF(circ_int,eq_c1/2,0))/2))),IF(((13+0.5)*(4*IF(circ_int,0,eq_c1/2)+4*IF(circ_int,0,eq_c2/2)+2*PI()*(s_0+6*s_r+IF(circ_int,eq_c1/2,0)))/INDEX(lk_legs,7))&lt;((((((2*IF(circ_int,0,eq_c2/2))+(PI()*(s_0+6*s_r+IF(circ_int,eq_c1/2,0))/2))+2*IF(circ_int,0,eq_c1/2))+(PI()*(s_0+6*s_r+IF(circ_int,eq_c1/2,0))/2))+2*IF(circ_int,0,eq_c2/2))+(PI()*(s_0+6*s_r+IF(circ_int,eq_c1/2,0))/2)),-IF(circ_int,0,eq_c2/2)+(s_0+6*s_r+IF(circ_int,eq_c1/2,0))*SIN(PI()+(((13+0.5)*(4*IF(circ_int,0,eq_c1/2)+4*IF(circ_int,0,eq_c2/2)+2*PI()*(s_0+6*s_r+IF(circ_int,eq_c1/2,0)))/INDEX(lk_legs,7))-(((((2*IF(circ_int,0,eq_c2/2))+(PI()*(s_0+6*s_r+IF(circ_int,eq_c1/2,0))/2))+2*IF(circ_int,0,eq_c1/2))+(PI()*(s_0+6*s_r+IF(circ_int,eq_c1/2,0))/2))+2*IF(circ_int,0,eq_c2/2)))/(s_0+6*s_r+IF(circ_int,eq_c1/2,0))),IF(((13+0.5)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(13+0.5)*(4*IF(circ_int,0,eq_c1/2)+4*IF(circ_int,0,eq_c2/2)+2*PI()*(s_0+6*s_r+IF(circ_int,eq_c1/2,0)))/INDEX(lk_legs,7))-(((((((2*IF(circ_int,0,eq_c2/2))+(PI()*(s_0+6*s_r+IF(circ_int,eq_c1/2,0))/2))+2*IF(circ_int,0,eq_c1/2))+(PI()*(s_0+6*s_r+IF(circ_int,eq_c1/2,0))/2))+2*IF(circ_int,0,eq_c2/2))+(PI()*(s_0+6*s_r+IF(circ_int,eq_c1/2,0))/2))+2*IF(circ_int,0,eq_c1/2)))/(s_0+6*s_r+IF(circ_int,eq_c1/2,0)))))))))),NA())</f>
        <v/>
      </c>
      <c r="CM16">
        <f>IF(AND(links_on,8&lt;=n_per),IF(circ_int,(g_ox)+(c_1/2+(s_0+7*s_r))*0.000000,CHOOSE(INDEX(lk_kind,8),(g_ox-eq_c1/2)+((s_0+7*s_r))*0.000000,(eq_a1+eq_c1)+((s_0+7*s_r))*1.000000,(eq_a1+eq_c1)+((s_0+7*s_r))*1.000000,(eq_a1)+((s_0+7*s_r))*0.000000)),NA())</f>
        <v/>
      </c>
      <c r="CN16">
        <f>IF(AND(links_on,8&lt;=n_per),IF(circ_int,(g_oy)+(c_1/2+(s_0+7*s_r))*1.000000,CHOOSE(INDEX(lk_kind,8),(g_oy+eq_c2/2)+((s_0+7*s_r))*1.000000,(g_oy+eq_c2/2)+((s_0+7*s_r))*0.000000,(eq_a2+eq_c2)+((s_0+7*s_r))*0.000000,(eq_a2+eq_c2)+((s_0+7*s_r))*1.000000)),NA())</f>
        <v/>
      </c>
      <c r="CP16">
        <f>IF(AND(AND(links_on,8&lt;=n_per),INDEX(lk_kind,8)=1,13&lt;INDEX(lk_legs,8)),g_ox+IF(((13+0.5)*(4*IF(circ_int,0,eq_c1/2)+4*IF(circ_int,0,eq_c2/2)+2*PI()*(s_0+7*s_r+IF(circ_int,eq_c1/2,0)))/INDEX(lk_legs,8))&lt;(2*IF(circ_int,0,eq_c2/2)),IF(circ_int,0,eq_c1/2)+(s_0+7*s_r+IF(circ_int,eq_c1/2,0)),IF(((13+0.5)*(4*IF(circ_int,0,eq_c1/2)+4*IF(circ_int,0,eq_c2/2)+2*PI()*(s_0+7*s_r+IF(circ_int,eq_c1/2,0)))/INDEX(lk_legs,8))&lt;((2*IF(circ_int,0,eq_c2/2))+(PI()*(s_0+7*s_r+IF(circ_int,eq_c1/2,0))/2)),IF(circ_int,0,eq_c1/2)+(s_0+7*s_r+IF(circ_int,eq_c1/2,0))*COS((((13+0.5)*(4*IF(circ_int,0,eq_c1/2)+4*IF(circ_int,0,eq_c2/2)+2*PI()*(s_0+7*s_r+IF(circ_int,eq_c1/2,0)))/INDEX(lk_legs,8))-(2*IF(circ_int,0,eq_c2/2)))/(s_0+7*s_r+IF(circ_int,eq_c1/2,0))),IF(((13+0.5)*(4*IF(circ_int,0,eq_c1/2)+4*IF(circ_int,0,eq_c2/2)+2*PI()*(s_0+7*s_r+IF(circ_int,eq_c1/2,0)))/INDEX(lk_legs,8))&lt;(((2*IF(circ_int,0,eq_c2/2))+(PI()*(s_0+7*s_r+IF(circ_int,eq_c1/2,0))/2))+2*IF(circ_int,0,eq_c1/2)),IF(circ_int,0,eq_c1/2)-(((13+0.5)*(4*IF(circ_int,0,eq_c1/2)+4*IF(circ_int,0,eq_c2/2)+2*PI()*(s_0+7*s_r+IF(circ_int,eq_c1/2,0)))/INDEX(lk_legs,8))-((2*IF(circ_int,0,eq_c2/2))+(PI()*(s_0+7*s_r+IF(circ_int,eq_c1/2,0))/2))),IF(((13+0.5)*(4*IF(circ_int,0,eq_c1/2)+4*IF(circ_int,0,eq_c2/2)+2*PI()*(s_0+7*s_r+IF(circ_int,eq_c1/2,0)))/INDEX(lk_legs,8))&lt;((((2*IF(circ_int,0,eq_c2/2))+(PI()*(s_0+7*s_r+IF(circ_int,eq_c1/2,0))/2))+2*IF(circ_int,0,eq_c1/2))+(PI()*(s_0+7*s_r+IF(circ_int,eq_c1/2,0))/2)),-IF(circ_int,0,eq_c1/2)+(s_0+7*s_r+IF(circ_int,eq_c1/2,0))*COS(PI()/2+(((13+0.5)*(4*IF(circ_int,0,eq_c1/2)+4*IF(circ_int,0,eq_c2/2)+2*PI()*(s_0+7*s_r+IF(circ_int,eq_c1/2,0)))/INDEX(lk_legs,8))-(((2*IF(circ_int,0,eq_c2/2))+(PI()*(s_0+7*s_r+IF(circ_int,eq_c1/2,0))/2))+2*IF(circ_int,0,eq_c1/2)))/(s_0+7*s_r+IF(circ_int,eq_c1/2,0))),IF(((13+0.5)*(4*IF(circ_int,0,eq_c1/2)+4*IF(circ_int,0,eq_c2/2)+2*PI()*(s_0+7*s_r+IF(circ_int,eq_c1/2,0)))/INDEX(lk_legs,8))&lt;(((((2*IF(circ_int,0,eq_c2/2))+(PI()*(s_0+7*s_r+IF(circ_int,eq_c1/2,0))/2))+2*IF(circ_int,0,eq_c1/2))+(PI()*(s_0+7*s_r+IF(circ_int,eq_c1/2,0))/2))+2*IF(circ_int,0,eq_c2/2)),-IF(circ_int,0,eq_c1/2)-(s_0+7*s_r+IF(circ_int,eq_c1/2,0)),IF(((13+0.5)*(4*IF(circ_int,0,eq_c1/2)+4*IF(circ_int,0,eq_c2/2)+2*PI()*(s_0+7*s_r+IF(circ_int,eq_c1/2,0)))/INDEX(lk_legs,8))&lt;((((((2*IF(circ_int,0,eq_c2/2))+(PI()*(s_0+7*s_r+IF(circ_int,eq_c1/2,0))/2))+2*IF(circ_int,0,eq_c1/2))+(PI()*(s_0+7*s_r+IF(circ_int,eq_c1/2,0))/2))+2*IF(circ_int,0,eq_c2/2))+(PI()*(s_0+7*s_r+IF(circ_int,eq_c1/2,0))/2)),-IF(circ_int,0,eq_c1/2)+(s_0+7*s_r+IF(circ_int,eq_c1/2,0))*COS(PI()+(((13+0.5)*(4*IF(circ_int,0,eq_c1/2)+4*IF(circ_int,0,eq_c2/2)+2*PI()*(s_0+7*s_r+IF(circ_int,eq_c1/2,0)))/INDEX(lk_legs,8))-(((((2*IF(circ_int,0,eq_c2/2))+(PI()*(s_0+7*s_r+IF(circ_int,eq_c1/2,0))/2))+2*IF(circ_int,0,eq_c1/2))+(PI()*(s_0+7*s_r+IF(circ_int,eq_c1/2,0))/2))+2*IF(circ_int,0,eq_c2/2)))/(s_0+7*s_r+IF(circ_int,eq_c1/2,0))),IF(((13+0.5)*(4*IF(circ_int,0,eq_c1/2)+4*IF(circ_int,0,eq_c2/2)+2*PI()*(s_0+7*s_r+IF(circ_int,eq_c1/2,0)))/INDEX(lk_legs,8))&lt;(((((((2*IF(circ_int,0,eq_c2/2))+(PI()*(s_0+7*s_r+IF(circ_int,eq_c1/2,0))/2))+2*IF(circ_int,0,eq_c1/2))+(PI()*(s_0+7*s_r+IF(circ_int,eq_c1/2,0))/2))+2*IF(circ_int,0,eq_c2/2))+(PI()*(s_0+7*s_r+IF(circ_int,eq_c1/2,0))/2))+2*IF(circ_int,0,eq_c1/2)),-IF(circ_int,0,eq_c1/2)+(((13+0.5)*(4*IF(circ_int,0,eq_c1/2)+4*IF(circ_int,0,eq_c2/2)+2*PI()*(s_0+7*s_r+IF(circ_int,eq_c1/2,0)))/INDEX(lk_legs,8))-((((((2*IF(circ_int,0,eq_c2/2))+(PI()*(s_0+7*s_r+IF(circ_int,eq_c1/2,0))/2))+2*IF(circ_int,0,eq_c1/2))+(PI()*(s_0+7*s_r+IF(circ_int,eq_c1/2,0))/2))+2*IF(circ_int,0,eq_c2/2))+(PI()*(s_0+7*s_r+IF(circ_int,eq_c1/2,0))/2))),IF(circ_int,0,eq_c1/2)+(s_0+7*s_r+IF(circ_int,eq_c1/2,0))*COS(3*PI()/2+(((13+0.5)*(4*IF(circ_int,0,eq_c1/2)+4*IF(circ_int,0,eq_c2/2)+2*PI()*(s_0+7*s_r+IF(circ_int,eq_c1/2,0)))/INDEX(lk_legs,8))-(((((((2*IF(circ_int,0,eq_c2/2))+(PI()*(s_0+7*s_r+IF(circ_int,eq_c1/2,0))/2))+2*IF(circ_int,0,eq_c1/2))+(PI()*(s_0+7*s_r+IF(circ_int,eq_c1/2,0))/2))+2*IF(circ_int,0,eq_c2/2))+(PI()*(s_0+7*s_r+IF(circ_int,eq_c1/2,0))/2))+2*IF(circ_int,0,eq_c1/2)))/(s_0+7*s_r+IF(circ_int,eq_c1/2,0)))))))))),NA())</f>
        <v/>
      </c>
      <c r="CQ16">
        <f>IF(AND(AND(links_on,8&lt;=n_per),INDEX(lk_kind,8)=1,13&lt;INDEX(lk_legs,8)),g_oy+IF(((13+0.5)*(4*IF(circ_int,0,eq_c1/2)+4*IF(circ_int,0,eq_c2/2)+2*PI()*(s_0+7*s_r+IF(circ_int,eq_c1/2,0)))/INDEX(lk_legs,8))&lt;(2*IF(circ_int,0,eq_c2/2)),-IF(circ_int,0,eq_c2/2)+((13+0.5)*(4*IF(circ_int,0,eq_c1/2)+4*IF(circ_int,0,eq_c2/2)+2*PI()*(s_0+7*s_r+IF(circ_int,eq_c1/2,0)))/INDEX(lk_legs,8)),IF(((13+0.5)*(4*IF(circ_int,0,eq_c1/2)+4*IF(circ_int,0,eq_c2/2)+2*PI()*(s_0+7*s_r+IF(circ_int,eq_c1/2,0)))/INDEX(lk_legs,8))&lt;((2*IF(circ_int,0,eq_c2/2))+(PI()*(s_0+7*s_r+IF(circ_int,eq_c1/2,0))/2)),IF(circ_int,0,eq_c2/2)+(s_0+7*s_r+IF(circ_int,eq_c1/2,0))*SIN((((13+0.5)*(4*IF(circ_int,0,eq_c1/2)+4*IF(circ_int,0,eq_c2/2)+2*PI()*(s_0+7*s_r+IF(circ_int,eq_c1/2,0)))/INDEX(lk_legs,8))-(2*IF(circ_int,0,eq_c2/2)))/(s_0+7*s_r+IF(circ_int,eq_c1/2,0))),IF(((13+0.5)*(4*IF(circ_int,0,eq_c1/2)+4*IF(circ_int,0,eq_c2/2)+2*PI()*(s_0+7*s_r+IF(circ_int,eq_c1/2,0)))/INDEX(lk_legs,8))&lt;(((2*IF(circ_int,0,eq_c2/2))+(PI()*(s_0+7*s_r+IF(circ_int,eq_c1/2,0))/2))+2*IF(circ_int,0,eq_c1/2)),IF(circ_int,0,eq_c2/2)+(s_0+7*s_r+IF(circ_int,eq_c1/2,0)),IF(((13+0.5)*(4*IF(circ_int,0,eq_c1/2)+4*IF(circ_int,0,eq_c2/2)+2*PI()*(s_0+7*s_r+IF(circ_int,eq_c1/2,0)))/INDEX(lk_legs,8))&lt;((((2*IF(circ_int,0,eq_c2/2))+(PI()*(s_0+7*s_r+IF(circ_int,eq_c1/2,0))/2))+2*IF(circ_int,0,eq_c1/2))+(PI()*(s_0+7*s_r+IF(circ_int,eq_c1/2,0))/2)),IF(circ_int,0,eq_c2/2)+(s_0+7*s_r+IF(circ_int,eq_c1/2,0))*SIN(PI()/2+(((13+0.5)*(4*IF(circ_int,0,eq_c1/2)+4*IF(circ_int,0,eq_c2/2)+2*PI()*(s_0+7*s_r+IF(circ_int,eq_c1/2,0)))/INDEX(lk_legs,8))-(((2*IF(circ_int,0,eq_c2/2))+(PI()*(s_0+7*s_r+IF(circ_int,eq_c1/2,0))/2))+2*IF(circ_int,0,eq_c1/2)))/(s_0+7*s_r+IF(circ_int,eq_c1/2,0))),IF(((13+0.5)*(4*IF(circ_int,0,eq_c1/2)+4*IF(circ_int,0,eq_c2/2)+2*PI()*(s_0+7*s_r+IF(circ_int,eq_c1/2,0)))/INDEX(lk_legs,8))&lt;(((((2*IF(circ_int,0,eq_c2/2))+(PI()*(s_0+7*s_r+IF(circ_int,eq_c1/2,0))/2))+2*IF(circ_int,0,eq_c1/2))+(PI()*(s_0+7*s_r+IF(circ_int,eq_c1/2,0))/2))+2*IF(circ_int,0,eq_c2/2)),IF(circ_int,0,eq_c2/2)-(((13+0.5)*(4*IF(circ_int,0,eq_c1/2)+4*IF(circ_int,0,eq_c2/2)+2*PI()*(s_0+7*s_r+IF(circ_int,eq_c1/2,0)))/INDEX(lk_legs,8))-((((2*IF(circ_int,0,eq_c2/2))+(PI()*(s_0+7*s_r+IF(circ_int,eq_c1/2,0))/2))+2*IF(circ_int,0,eq_c1/2))+(PI()*(s_0+7*s_r+IF(circ_int,eq_c1/2,0))/2))),IF(((13+0.5)*(4*IF(circ_int,0,eq_c1/2)+4*IF(circ_int,0,eq_c2/2)+2*PI()*(s_0+7*s_r+IF(circ_int,eq_c1/2,0)))/INDEX(lk_legs,8))&lt;((((((2*IF(circ_int,0,eq_c2/2))+(PI()*(s_0+7*s_r+IF(circ_int,eq_c1/2,0))/2))+2*IF(circ_int,0,eq_c1/2))+(PI()*(s_0+7*s_r+IF(circ_int,eq_c1/2,0))/2))+2*IF(circ_int,0,eq_c2/2))+(PI()*(s_0+7*s_r+IF(circ_int,eq_c1/2,0))/2)),-IF(circ_int,0,eq_c2/2)+(s_0+7*s_r+IF(circ_int,eq_c1/2,0))*SIN(PI()+(((13+0.5)*(4*IF(circ_int,0,eq_c1/2)+4*IF(circ_int,0,eq_c2/2)+2*PI()*(s_0+7*s_r+IF(circ_int,eq_c1/2,0)))/INDEX(lk_legs,8))-(((((2*IF(circ_int,0,eq_c2/2))+(PI()*(s_0+7*s_r+IF(circ_int,eq_c1/2,0))/2))+2*IF(circ_int,0,eq_c1/2))+(PI()*(s_0+7*s_r+IF(circ_int,eq_c1/2,0))/2))+2*IF(circ_int,0,eq_c2/2)))/(s_0+7*s_r+IF(circ_int,eq_c1/2,0))),IF(((13+0.5)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(13+0.5)*(4*IF(circ_int,0,eq_c1/2)+4*IF(circ_int,0,eq_c2/2)+2*PI()*(s_0+7*s_r+IF(circ_int,eq_c1/2,0)))/INDEX(lk_legs,8))-(((((((2*IF(circ_int,0,eq_c2/2))+(PI()*(s_0+7*s_r+IF(circ_int,eq_c1/2,0))/2))+2*IF(circ_int,0,eq_c1/2))+(PI()*(s_0+7*s_r+IF(circ_int,eq_c1/2,0))/2))+2*IF(circ_int,0,eq_c2/2))+(PI()*(s_0+7*s_r+IF(circ_int,eq_c1/2,0))/2))+2*IF(circ_int,0,eq_c1/2)))/(s_0+7*s_r+IF(circ_int,eq_c1/2,0)))))))))),NA())</f>
        <v/>
      </c>
      <c r="CS16">
        <f>IF(AND(links_on,9&lt;=n_per),IF(circ_int,(g_ox)+(c_1/2+(s_0+8*s_r))*0.000000,CHOOSE(INDEX(lk_kind,9),(g_ox-eq_c1/2)+((s_0+8*s_r))*0.000000,(eq_a1+eq_c1)+((s_0+8*s_r))*1.000000,(eq_a1+eq_c1)+((s_0+8*s_r))*1.000000,(eq_a1)+((s_0+8*s_r))*0.000000)),NA())</f>
        <v/>
      </c>
      <c r="CT16">
        <f>IF(AND(links_on,9&lt;=n_per),IF(circ_int,(g_oy)+(c_1/2+(s_0+8*s_r))*1.000000,CHOOSE(INDEX(lk_kind,9),(g_oy+eq_c2/2)+((s_0+8*s_r))*1.000000,(g_oy+eq_c2/2)+((s_0+8*s_r))*0.000000,(eq_a2+eq_c2)+((s_0+8*s_r))*0.000000,(eq_a2+eq_c2)+((s_0+8*s_r))*1.000000)),NA())</f>
        <v/>
      </c>
      <c r="CV16">
        <f>IF(AND(AND(links_on,9&lt;=n_per),INDEX(lk_kind,9)=1,13&lt;INDEX(lk_legs,9)),g_ox+IF(((13+0.5)*(4*IF(circ_int,0,eq_c1/2)+4*IF(circ_int,0,eq_c2/2)+2*PI()*(s_0+8*s_r+IF(circ_int,eq_c1/2,0)))/INDEX(lk_legs,9))&lt;(2*IF(circ_int,0,eq_c2/2)),IF(circ_int,0,eq_c1/2)+(s_0+8*s_r+IF(circ_int,eq_c1/2,0)),IF(((13+0.5)*(4*IF(circ_int,0,eq_c1/2)+4*IF(circ_int,0,eq_c2/2)+2*PI()*(s_0+8*s_r+IF(circ_int,eq_c1/2,0)))/INDEX(lk_legs,9))&lt;((2*IF(circ_int,0,eq_c2/2))+(PI()*(s_0+8*s_r+IF(circ_int,eq_c1/2,0))/2)),IF(circ_int,0,eq_c1/2)+(s_0+8*s_r+IF(circ_int,eq_c1/2,0))*COS((((13+0.5)*(4*IF(circ_int,0,eq_c1/2)+4*IF(circ_int,0,eq_c2/2)+2*PI()*(s_0+8*s_r+IF(circ_int,eq_c1/2,0)))/INDEX(lk_legs,9))-(2*IF(circ_int,0,eq_c2/2)))/(s_0+8*s_r+IF(circ_int,eq_c1/2,0))),IF(((13+0.5)*(4*IF(circ_int,0,eq_c1/2)+4*IF(circ_int,0,eq_c2/2)+2*PI()*(s_0+8*s_r+IF(circ_int,eq_c1/2,0)))/INDEX(lk_legs,9))&lt;(((2*IF(circ_int,0,eq_c2/2))+(PI()*(s_0+8*s_r+IF(circ_int,eq_c1/2,0))/2))+2*IF(circ_int,0,eq_c1/2)),IF(circ_int,0,eq_c1/2)-(((13+0.5)*(4*IF(circ_int,0,eq_c1/2)+4*IF(circ_int,0,eq_c2/2)+2*PI()*(s_0+8*s_r+IF(circ_int,eq_c1/2,0)))/INDEX(lk_legs,9))-((2*IF(circ_int,0,eq_c2/2))+(PI()*(s_0+8*s_r+IF(circ_int,eq_c1/2,0))/2))),IF(((13+0.5)*(4*IF(circ_int,0,eq_c1/2)+4*IF(circ_int,0,eq_c2/2)+2*PI()*(s_0+8*s_r+IF(circ_int,eq_c1/2,0)))/INDEX(lk_legs,9))&lt;((((2*IF(circ_int,0,eq_c2/2))+(PI()*(s_0+8*s_r+IF(circ_int,eq_c1/2,0))/2))+2*IF(circ_int,0,eq_c1/2))+(PI()*(s_0+8*s_r+IF(circ_int,eq_c1/2,0))/2)),-IF(circ_int,0,eq_c1/2)+(s_0+8*s_r+IF(circ_int,eq_c1/2,0))*COS(PI()/2+(((13+0.5)*(4*IF(circ_int,0,eq_c1/2)+4*IF(circ_int,0,eq_c2/2)+2*PI()*(s_0+8*s_r+IF(circ_int,eq_c1/2,0)))/INDEX(lk_legs,9))-(((2*IF(circ_int,0,eq_c2/2))+(PI()*(s_0+8*s_r+IF(circ_int,eq_c1/2,0))/2))+2*IF(circ_int,0,eq_c1/2)))/(s_0+8*s_r+IF(circ_int,eq_c1/2,0))),IF(((13+0.5)*(4*IF(circ_int,0,eq_c1/2)+4*IF(circ_int,0,eq_c2/2)+2*PI()*(s_0+8*s_r+IF(circ_int,eq_c1/2,0)))/INDEX(lk_legs,9))&lt;(((((2*IF(circ_int,0,eq_c2/2))+(PI()*(s_0+8*s_r+IF(circ_int,eq_c1/2,0))/2))+2*IF(circ_int,0,eq_c1/2))+(PI()*(s_0+8*s_r+IF(circ_int,eq_c1/2,0))/2))+2*IF(circ_int,0,eq_c2/2)),-IF(circ_int,0,eq_c1/2)-(s_0+8*s_r+IF(circ_int,eq_c1/2,0)),IF(((13+0.5)*(4*IF(circ_int,0,eq_c1/2)+4*IF(circ_int,0,eq_c2/2)+2*PI()*(s_0+8*s_r+IF(circ_int,eq_c1/2,0)))/INDEX(lk_legs,9))&lt;((((((2*IF(circ_int,0,eq_c2/2))+(PI()*(s_0+8*s_r+IF(circ_int,eq_c1/2,0))/2))+2*IF(circ_int,0,eq_c1/2))+(PI()*(s_0+8*s_r+IF(circ_int,eq_c1/2,0))/2))+2*IF(circ_int,0,eq_c2/2))+(PI()*(s_0+8*s_r+IF(circ_int,eq_c1/2,0))/2)),-IF(circ_int,0,eq_c1/2)+(s_0+8*s_r+IF(circ_int,eq_c1/2,0))*COS(PI()+(((13+0.5)*(4*IF(circ_int,0,eq_c1/2)+4*IF(circ_int,0,eq_c2/2)+2*PI()*(s_0+8*s_r+IF(circ_int,eq_c1/2,0)))/INDEX(lk_legs,9))-(((((2*IF(circ_int,0,eq_c2/2))+(PI()*(s_0+8*s_r+IF(circ_int,eq_c1/2,0))/2))+2*IF(circ_int,0,eq_c1/2))+(PI()*(s_0+8*s_r+IF(circ_int,eq_c1/2,0))/2))+2*IF(circ_int,0,eq_c2/2)))/(s_0+8*s_r+IF(circ_int,eq_c1/2,0))),IF(((13+0.5)*(4*IF(circ_int,0,eq_c1/2)+4*IF(circ_int,0,eq_c2/2)+2*PI()*(s_0+8*s_r+IF(circ_int,eq_c1/2,0)))/INDEX(lk_legs,9))&lt;(((((((2*IF(circ_int,0,eq_c2/2))+(PI()*(s_0+8*s_r+IF(circ_int,eq_c1/2,0))/2))+2*IF(circ_int,0,eq_c1/2))+(PI()*(s_0+8*s_r+IF(circ_int,eq_c1/2,0))/2))+2*IF(circ_int,0,eq_c2/2))+(PI()*(s_0+8*s_r+IF(circ_int,eq_c1/2,0))/2))+2*IF(circ_int,0,eq_c1/2)),-IF(circ_int,0,eq_c1/2)+(((13+0.5)*(4*IF(circ_int,0,eq_c1/2)+4*IF(circ_int,0,eq_c2/2)+2*PI()*(s_0+8*s_r+IF(circ_int,eq_c1/2,0)))/INDEX(lk_legs,9))-((((((2*IF(circ_int,0,eq_c2/2))+(PI()*(s_0+8*s_r+IF(circ_int,eq_c1/2,0))/2))+2*IF(circ_int,0,eq_c1/2))+(PI()*(s_0+8*s_r+IF(circ_int,eq_c1/2,0))/2))+2*IF(circ_int,0,eq_c2/2))+(PI()*(s_0+8*s_r+IF(circ_int,eq_c1/2,0))/2))),IF(circ_int,0,eq_c1/2)+(s_0+8*s_r+IF(circ_int,eq_c1/2,0))*COS(3*PI()/2+(((13+0.5)*(4*IF(circ_int,0,eq_c1/2)+4*IF(circ_int,0,eq_c2/2)+2*PI()*(s_0+8*s_r+IF(circ_int,eq_c1/2,0)))/INDEX(lk_legs,9))-(((((((2*IF(circ_int,0,eq_c2/2))+(PI()*(s_0+8*s_r+IF(circ_int,eq_c1/2,0))/2))+2*IF(circ_int,0,eq_c1/2))+(PI()*(s_0+8*s_r+IF(circ_int,eq_c1/2,0))/2))+2*IF(circ_int,0,eq_c2/2))+(PI()*(s_0+8*s_r+IF(circ_int,eq_c1/2,0))/2))+2*IF(circ_int,0,eq_c1/2)))/(s_0+8*s_r+IF(circ_int,eq_c1/2,0)))))))))),NA())</f>
        <v/>
      </c>
      <c r="CW16">
        <f>IF(AND(AND(links_on,9&lt;=n_per),INDEX(lk_kind,9)=1,13&lt;INDEX(lk_legs,9)),g_oy+IF(((13+0.5)*(4*IF(circ_int,0,eq_c1/2)+4*IF(circ_int,0,eq_c2/2)+2*PI()*(s_0+8*s_r+IF(circ_int,eq_c1/2,0)))/INDEX(lk_legs,9))&lt;(2*IF(circ_int,0,eq_c2/2)),-IF(circ_int,0,eq_c2/2)+((13+0.5)*(4*IF(circ_int,0,eq_c1/2)+4*IF(circ_int,0,eq_c2/2)+2*PI()*(s_0+8*s_r+IF(circ_int,eq_c1/2,0)))/INDEX(lk_legs,9)),IF(((13+0.5)*(4*IF(circ_int,0,eq_c1/2)+4*IF(circ_int,0,eq_c2/2)+2*PI()*(s_0+8*s_r+IF(circ_int,eq_c1/2,0)))/INDEX(lk_legs,9))&lt;((2*IF(circ_int,0,eq_c2/2))+(PI()*(s_0+8*s_r+IF(circ_int,eq_c1/2,0))/2)),IF(circ_int,0,eq_c2/2)+(s_0+8*s_r+IF(circ_int,eq_c1/2,0))*SIN((((13+0.5)*(4*IF(circ_int,0,eq_c1/2)+4*IF(circ_int,0,eq_c2/2)+2*PI()*(s_0+8*s_r+IF(circ_int,eq_c1/2,0)))/INDEX(lk_legs,9))-(2*IF(circ_int,0,eq_c2/2)))/(s_0+8*s_r+IF(circ_int,eq_c1/2,0))),IF(((13+0.5)*(4*IF(circ_int,0,eq_c1/2)+4*IF(circ_int,0,eq_c2/2)+2*PI()*(s_0+8*s_r+IF(circ_int,eq_c1/2,0)))/INDEX(lk_legs,9))&lt;(((2*IF(circ_int,0,eq_c2/2))+(PI()*(s_0+8*s_r+IF(circ_int,eq_c1/2,0))/2))+2*IF(circ_int,0,eq_c1/2)),IF(circ_int,0,eq_c2/2)+(s_0+8*s_r+IF(circ_int,eq_c1/2,0)),IF(((13+0.5)*(4*IF(circ_int,0,eq_c1/2)+4*IF(circ_int,0,eq_c2/2)+2*PI()*(s_0+8*s_r+IF(circ_int,eq_c1/2,0)))/INDEX(lk_legs,9))&lt;((((2*IF(circ_int,0,eq_c2/2))+(PI()*(s_0+8*s_r+IF(circ_int,eq_c1/2,0))/2))+2*IF(circ_int,0,eq_c1/2))+(PI()*(s_0+8*s_r+IF(circ_int,eq_c1/2,0))/2)),IF(circ_int,0,eq_c2/2)+(s_0+8*s_r+IF(circ_int,eq_c1/2,0))*SIN(PI()/2+(((13+0.5)*(4*IF(circ_int,0,eq_c1/2)+4*IF(circ_int,0,eq_c2/2)+2*PI()*(s_0+8*s_r+IF(circ_int,eq_c1/2,0)))/INDEX(lk_legs,9))-(((2*IF(circ_int,0,eq_c2/2))+(PI()*(s_0+8*s_r+IF(circ_int,eq_c1/2,0))/2))+2*IF(circ_int,0,eq_c1/2)))/(s_0+8*s_r+IF(circ_int,eq_c1/2,0))),IF(((13+0.5)*(4*IF(circ_int,0,eq_c1/2)+4*IF(circ_int,0,eq_c2/2)+2*PI()*(s_0+8*s_r+IF(circ_int,eq_c1/2,0)))/INDEX(lk_legs,9))&lt;(((((2*IF(circ_int,0,eq_c2/2))+(PI()*(s_0+8*s_r+IF(circ_int,eq_c1/2,0))/2))+2*IF(circ_int,0,eq_c1/2))+(PI()*(s_0+8*s_r+IF(circ_int,eq_c1/2,0))/2))+2*IF(circ_int,0,eq_c2/2)),IF(circ_int,0,eq_c2/2)-(((13+0.5)*(4*IF(circ_int,0,eq_c1/2)+4*IF(circ_int,0,eq_c2/2)+2*PI()*(s_0+8*s_r+IF(circ_int,eq_c1/2,0)))/INDEX(lk_legs,9))-((((2*IF(circ_int,0,eq_c2/2))+(PI()*(s_0+8*s_r+IF(circ_int,eq_c1/2,0))/2))+2*IF(circ_int,0,eq_c1/2))+(PI()*(s_0+8*s_r+IF(circ_int,eq_c1/2,0))/2))),IF(((13+0.5)*(4*IF(circ_int,0,eq_c1/2)+4*IF(circ_int,0,eq_c2/2)+2*PI()*(s_0+8*s_r+IF(circ_int,eq_c1/2,0)))/INDEX(lk_legs,9))&lt;((((((2*IF(circ_int,0,eq_c2/2))+(PI()*(s_0+8*s_r+IF(circ_int,eq_c1/2,0))/2))+2*IF(circ_int,0,eq_c1/2))+(PI()*(s_0+8*s_r+IF(circ_int,eq_c1/2,0))/2))+2*IF(circ_int,0,eq_c2/2))+(PI()*(s_0+8*s_r+IF(circ_int,eq_c1/2,0))/2)),-IF(circ_int,0,eq_c2/2)+(s_0+8*s_r+IF(circ_int,eq_c1/2,0))*SIN(PI()+(((13+0.5)*(4*IF(circ_int,0,eq_c1/2)+4*IF(circ_int,0,eq_c2/2)+2*PI()*(s_0+8*s_r+IF(circ_int,eq_c1/2,0)))/INDEX(lk_legs,9))-(((((2*IF(circ_int,0,eq_c2/2))+(PI()*(s_0+8*s_r+IF(circ_int,eq_c1/2,0))/2))+2*IF(circ_int,0,eq_c1/2))+(PI()*(s_0+8*s_r+IF(circ_int,eq_c1/2,0))/2))+2*IF(circ_int,0,eq_c2/2)))/(s_0+8*s_r+IF(circ_int,eq_c1/2,0))),IF(((13+0.5)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(13+0.5)*(4*IF(circ_int,0,eq_c1/2)+4*IF(circ_int,0,eq_c2/2)+2*PI()*(s_0+8*s_r+IF(circ_int,eq_c1/2,0)))/INDEX(lk_legs,9))-(((((((2*IF(circ_int,0,eq_c2/2))+(PI()*(s_0+8*s_r+IF(circ_int,eq_c1/2,0))/2))+2*IF(circ_int,0,eq_c1/2))+(PI()*(s_0+8*s_r+IF(circ_int,eq_c1/2,0))/2))+2*IF(circ_int,0,eq_c2/2))+(PI()*(s_0+8*s_r+IF(circ_int,eq_c1/2,0))/2))+2*IF(circ_int,0,eq_c1/2)))/(s_0+8*s_r+IF(circ_int,eq_c1/2,0)))))))))),NA())</f>
        <v/>
      </c>
      <c r="CY16">
        <f>IF(AND(links_on,10&lt;=n_per),IF(circ_int,(g_ox)+(c_1/2+(s_0+9*s_r))*0.000000,CHOOSE(INDEX(lk_kind,10),(g_ox-eq_c1/2)+((s_0+9*s_r))*0.000000,(eq_a1+eq_c1)+((s_0+9*s_r))*1.000000,(eq_a1+eq_c1)+((s_0+9*s_r))*1.000000,(eq_a1)+((s_0+9*s_r))*0.000000)),NA())</f>
        <v/>
      </c>
      <c r="CZ16">
        <f>IF(AND(links_on,10&lt;=n_per),IF(circ_int,(g_oy)+(c_1/2+(s_0+9*s_r))*1.000000,CHOOSE(INDEX(lk_kind,10),(g_oy+eq_c2/2)+((s_0+9*s_r))*1.000000,(g_oy+eq_c2/2)+((s_0+9*s_r))*0.000000,(eq_a2+eq_c2)+((s_0+9*s_r))*0.000000,(eq_a2+eq_c2)+((s_0+9*s_r))*1.000000)),NA())</f>
        <v/>
      </c>
      <c r="DB16">
        <f>IF(AND(AND(links_on,10&lt;=n_per),INDEX(lk_kind,10)=1,13&lt;INDEX(lk_legs,10)),g_ox+IF(((13+0.5)*(4*IF(circ_int,0,eq_c1/2)+4*IF(circ_int,0,eq_c2/2)+2*PI()*(s_0+9*s_r+IF(circ_int,eq_c1/2,0)))/INDEX(lk_legs,10))&lt;(2*IF(circ_int,0,eq_c2/2)),IF(circ_int,0,eq_c1/2)+(s_0+9*s_r+IF(circ_int,eq_c1/2,0)),IF(((13+0.5)*(4*IF(circ_int,0,eq_c1/2)+4*IF(circ_int,0,eq_c2/2)+2*PI()*(s_0+9*s_r+IF(circ_int,eq_c1/2,0)))/INDEX(lk_legs,10))&lt;((2*IF(circ_int,0,eq_c2/2))+(PI()*(s_0+9*s_r+IF(circ_int,eq_c1/2,0))/2)),IF(circ_int,0,eq_c1/2)+(s_0+9*s_r+IF(circ_int,eq_c1/2,0))*COS((((13+0.5)*(4*IF(circ_int,0,eq_c1/2)+4*IF(circ_int,0,eq_c2/2)+2*PI()*(s_0+9*s_r+IF(circ_int,eq_c1/2,0)))/INDEX(lk_legs,10))-(2*IF(circ_int,0,eq_c2/2)))/(s_0+9*s_r+IF(circ_int,eq_c1/2,0))),IF(((13+0.5)*(4*IF(circ_int,0,eq_c1/2)+4*IF(circ_int,0,eq_c2/2)+2*PI()*(s_0+9*s_r+IF(circ_int,eq_c1/2,0)))/INDEX(lk_legs,10))&lt;(((2*IF(circ_int,0,eq_c2/2))+(PI()*(s_0+9*s_r+IF(circ_int,eq_c1/2,0))/2))+2*IF(circ_int,0,eq_c1/2)),IF(circ_int,0,eq_c1/2)-(((13+0.5)*(4*IF(circ_int,0,eq_c1/2)+4*IF(circ_int,0,eq_c2/2)+2*PI()*(s_0+9*s_r+IF(circ_int,eq_c1/2,0)))/INDEX(lk_legs,10))-((2*IF(circ_int,0,eq_c2/2))+(PI()*(s_0+9*s_r+IF(circ_int,eq_c1/2,0))/2))),IF(((13+0.5)*(4*IF(circ_int,0,eq_c1/2)+4*IF(circ_int,0,eq_c2/2)+2*PI()*(s_0+9*s_r+IF(circ_int,eq_c1/2,0)))/INDEX(lk_legs,10))&lt;((((2*IF(circ_int,0,eq_c2/2))+(PI()*(s_0+9*s_r+IF(circ_int,eq_c1/2,0))/2))+2*IF(circ_int,0,eq_c1/2))+(PI()*(s_0+9*s_r+IF(circ_int,eq_c1/2,0))/2)),-IF(circ_int,0,eq_c1/2)+(s_0+9*s_r+IF(circ_int,eq_c1/2,0))*COS(PI()/2+(((13+0.5)*(4*IF(circ_int,0,eq_c1/2)+4*IF(circ_int,0,eq_c2/2)+2*PI()*(s_0+9*s_r+IF(circ_int,eq_c1/2,0)))/INDEX(lk_legs,10))-(((2*IF(circ_int,0,eq_c2/2))+(PI()*(s_0+9*s_r+IF(circ_int,eq_c1/2,0))/2))+2*IF(circ_int,0,eq_c1/2)))/(s_0+9*s_r+IF(circ_int,eq_c1/2,0))),IF(((13+0.5)*(4*IF(circ_int,0,eq_c1/2)+4*IF(circ_int,0,eq_c2/2)+2*PI()*(s_0+9*s_r+IF(circ_int,eq_c1/2,0)))/INDEX(lk_legs,10))&lt;(((((2*IF(circ_int,0,eq_c2/2))+(PI()*(s_0+9*s_r+IF(circ_int,eq_c1/2,0))/2))+2*IF(circ_int,0,eq_c1/2))+(PI()*(s_0+9*s_r+IF(circ_int,eq_c1/2,0))/2))+2*IF(circ_int,0,eq_c2/2)),-IF(circ_int,0,eq_c1/2)-(s_0+9*s_r+IF(circ_int,eq_c1/2,0)),IF(((13+0.5)*(4*IF(circ_int,0,eq_c1/2)+4*IF(circ_int,0,eq_c2/2)+2*PI()*(s_0+9*s_r+IF(circ_int,eq_c1/2,0)))/INDEX(lk_legs,10))&lt;((((((2*IF(circ_int,0,eq_c2/2))+(PI()*(s_0+9*s_r+IF(circ_int,eq_c1/2,0))/2))+2*IF(circ_int,0,eq_c1/2))+(PI()*(s_0+9*s_r+IF(circ_int,eq_c1/2,0))/2))+2*IF(circ_int,0,eq_c2/2))+(PI()*(s_0+9*s_r+IF(circ_int,eq_c1/2,0))/2)),-IF(circ_int,0,eq_c1/2)+(s_0+9*s_r+IF(circ_int,eq_c1/2,0))*COS(PI()+(((13+0.5)*(4*IF(circ_int,0,eq_c1/2)+4*IF(circ_int,0,eq_c2/2)+2*PI()*(s_0+9*s_r+IF(circ_int,eq_c1/2,0)))/INDEX(lk_legs,10))-(((((2*IF(circ_int,0,eq_c2/2))+(PI()*(s_0+9*s_r+IF(circ_int,eq_c1/2,0))/2))+2*IF(circ_int,0,eq_c1/2))+(PI()*(s_0+9*s_r+IF(circ_int,eq_c1/2,0))/2))+2*IF(circ_int,0,eq_c2/2)))/(s_0+9*s_r+IF(circ_int,eq_c1/2,0))),IF(((13+0.5)*(4*IF(circ_int,0,eq_c1/2)+4*IF(circ_int,0,eq_c2/2)+2*PI()*(s_0+9*s_r+IF(circ_int,eq_c1/2,0)))/INDEX(lk_legs,10))&lt;(((((((2*IF(circ_int,0,eq_c2/2))+(PI()*(s_0+9*s_r+IF(circ_int,eq_c1/2,0))/2))+2*IF(circ_int,0,eq_c1/2))+(PI()*(s_0+9*s_r+IF(circ_int,eq_c1/2,0))/2))+2*IF(circ_int,0,eq_c2/2))+(PI()*(s_0+9*s_r+IF(circ_int,eq_c1/2,0))/2))+2*IF(circ_int,0,eq_c1/2)),-IF(circ_int,0,eq_c1/2)+(((13+0.5)*(4*IF(circ_int,0,eq_c1/2)+4*IF(circ_int,0,eq_c2/2)+2*PI()*(s_0+9*s_r+IF(circ_int,eq_c1/2,0)))/INDEX(lk_legs,10))-((((((2*IF(circ_int,0,eq_c2/2))+(PI()*(s_0+9*s_r+IF(circ_int,eq_c1/2,0))/2))+2*IF(circ_int,0,eq_c1/2))+(PI()*(s_0+9*s_r+IF(circ_int,eq_c1/2,0))/2))+2*IF(circ_int,0,eq_c2/2))+(PI()*(s_0+9*s_r+IF(circ_int,eq_c1/2,0))/2))),IF(circ_int,0,eq_c1/2)+(s_0+9*s_r+IF(circ_int,eq_c1/2,0))*COS(3*PI()/2+(((13+0.5)*(4*IF(circ_int,0,eq_c1/2)+4*IF(circ_int,0,eq_c2/2)+2*PI()*(s_0+9*s_r+IF(circ_int,eq_c1/2,0)))/INDEX(lk_legs,10))-(((((((2*IF(circ_int,0,eq_c2/2))+(PI()*(s_0+9*s_r+IF(circ_int,eq_c1/2,0))/2))+2*IF(circ_int,0,eq_c1/2))+(PI()*(s_0+9*s_r+IF(circ_int,eq_c1/2,0))/2))+2*IF(circ_int,0,eq_c2/2))+(PI()*(s_0+9*s_r+IF(circ_int,eq_c1/2,0))/2))+2*IF(circ_int,0,eq_c1/2)))/(s_0+9*s_r+IF(circ_int,eq_c1/2,0)))))))))),NA())</f>
        <v/>
      </c>
      <c r="DC16">
        <f>IF(AND(AND(links_on,10&lt;=n_per),INDEX(lk_kind,10)=1,13&lt;INDEX(lk_legs,10)),g_oy+IF(((13+0.5)*(4*IF(circ_int,0,eq_c1/2)+4*IF(circ_int,0,eq_c2/2)+2*PI()*(s_0+9*s_r+IF(circ_int,eq_c1/2,0)))/INDEX(lk_legs,10))&lt;(2*IF(circ_int,0,eq_c2/2)),-IF(circ_int,0,eq_c2/2)+((13+0.5)*(4*IF(circ_int,0,eq_c1/2)+4*IF(circ_int,0,eq_c2/2)+2*PI()*(s_0+9*s_r+IF(circ_int,eq_c1/2,0)))/INDEX(lk_legs,10)),IF(((13+0.5)*(4*IF(circ_int,0,eq_c1/2)+4*IF(circ_int,0,eq_c2/2)+2*PI()*(s_0+9*s_r+IF(circ_int,eq_c1/2,0)))/INDEX(lk_legs,10))&lt;((2*IF(circ_int,0,eq_c2/2))+(PI()*(s_0+9*s_r+IF(circ_int,eq_c1/2,0))/2)),IF(circ_int,0,eq_c2/2)+(s_0+9*s_r+IF(circ_int,eq_c1/2,0))*SIN((((13+0.5)*(4*IF(circ_int,0,eq_c1/2)+4*IF(circ_int,0,eq_c2/2)+2*PI()*(s_0+9*s_r+IF(circ_int,eq_c1/2,0)))/INDEX(lk_legs,10))-(2*IF(circ_int,0,eq_c2/2)))/(s_0+9*s_r+IF(circ_int,eq_c1/2,0))),IF(((13+0.5)*(4*IF(circ_int,0,eq_c1/2)+4*IF(circ_int,0,eq_c2/2)+2*PI()*(s_0+9*s_r+IF(circ_int,eq_c1/2,0)))/INDEX(lk_legs,10))&lt;(((2*IF(circ_int,0,eq_c2/2))+(PI()*(s_0+9*s_r+IF(circ_int,eq_c1/2,0))/2))+2*IF(circ_int,0,eq_c1/2)),IF(circ_int,0,eq_c2/2)+(s_0+9*s_r+IF(circ_int,eq_c1/2,0)),IF(((13+0.5)*(4*IF(circ_int,0,eq_c1/2)+4*IF(circ_int,0,eq_c2/2)+2*PI()*(s_0+9*s_r+IF(circ_int,eq_c1/2,0)))/INDEX(lk_legs,10))&lt;((((2*IF(circ_int,0,eq_c2/2))+(PI()*(s_0+9*s_r+IF(circ_int,eq_c1/2,0))/2))+2*IF(circ_int,0,eq_c1/2))+(PI()*(s_0+9*s_r+IF(circ_int,eq_c1/2,0))/2)),IF(circ_int,0,eq_c2/2)+(s_0+9*s_r+IF(circ_int,eq_c1/2,0))*SIN(PI()/2+(((13+0.5)*(4*IF(circ_int,0,eq_c1/2)+4*IF(circ_int,0,eq_c2/2)+2*PI()*(s_0+9*s_r+IF(circ_int,eq_c1/2,0)))/INDEX(lk_legs,10))-(((2*IF(circ_int,0,eq_c2/2))+(PI()*(s_0+9*s_r+IF(circ_int,eq_c1/2,0))/2))+2*IF(circ_int,0,eq_c1/2)))/(s_0+9*s_r+IF(circ_int,eq_c1/2,0))),IF(((13+0.5)*(4*IF(circ_int,0,eq_c1/2)+4*IF(circ_int,0,eq_c2/2)+2*PI()*(s_0+9*s_r+IF(circ_int,eq_c1/2,0)))/INDEX(lk_legs,10))&lt;(((((2*IF(circ_int,0,eq_c2/2))+(PI()*(s_0+9*s_r+IF(circ_int,eq_c1/2,0))/2))+2*IF(circ_int,0,eq_c1/2))+(PI()*(s_0+9*s_r+IF(circ_int,eq_c1/2,0))/2))+2*IF(circ_int,0,eq_c2/2)),IF(circ_int,0,eq_c2/2)-(((13+0.5)*(4*IF(circ_int,0,eq_c1/2)+4*IF(circ_int,0,eq_c2/2)+2*PI()*(s_0+9*s_r+IF(circ_int,eq_c1/2,0)))/INDEX(lk_legs,10))-((((2*IF(circ_int,0,eq_c2/2))+(PI()*(s_0+9*s_r+IF(circ_int,eq_c1/2,0))/2))+2*IF(circ_int,0,eq_c1/2))+(PI()*(s_0+9*s_r+IF(circ_int,eq_c1/2,0))/2))),IF(((13+0.5)*(4*IF(circ_int,0,eq_c1/2)+4*IF(circ_int,0,eq_c2/2)+2*PI()*(s_0+9*s_r+IF(circ_int,eq_c1/2,0)))/INDEX(lk_legs,10))&lt;((((((2*IF(circ_int,0,eq_c2/2))+(PI()*(s_0+9*s_r+IF(circ_int,eq_c1/2,0))/2))+2*IF(circ_int,0,eq_c1/2))+(PI()*(s_0+9*s_r+IF(circ_int,eq_c1/2,0))/2))+2*IF(circ_int,0,eq_c2/2))+(PI()*(s_0+9*s_r+IF(circ_int,eq_c1/2,0))/2)),-IF(circ_int,0,eq_c2/2)+(s_0+9*s_r+IF(circ_int,eq_c1/2,0))*SIN(PI()+(((13+0.5)*(4*IF(circ_int,0,eq_c1/2)+4*IF(circ_int,0,eq_c2/2)+2*PI()*(s_0+9*s_r+IF(circ_int,eq_c1/2,0)))/INDEX(lk_legs,10))-(((((2*IF(circ_int,0,eq_c2/2))+(PI()*(s_0+9*s_r+IF(circ_int,eq_c1/2,0))/2))+2*IF(circ_int,0,eq_c1/2))+(PI()*(s_0+9*s_r+IF(circ_int,eq_c1/2,0))/2))+2*IF(circ_int,0,eq_c2/2)))/(s_0+9*s_r+IF(circ_int,eq_c1/2,0))),IF(((13+0.5)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(13+0.5)*(4*IF(circ_int,0,eq_c1/2)+4*IF(circ_int,0,eq_c2/2)+2*PI()*(s_0+9*s_r+IF(circ_int,eq_c1/2,0)))/INDEX(lk_legs,10))-(((((((2*IF(circ_int,0,eq_c2/2))+(PI()*(s_0+9*s_r+IF(circ_int,eq_c1/2,0))/2))+2*IF(circ_int,0,eq_c1/2))+(PI()*(s_0+9*s_r+IF(circ_int,eq_c1/2,0))/2))+2*IF(circ_int,0,eq_c2/2))+(PI()*(s_0+9*s_r+IF(circ_int,eq_c1/2,0))/2))+2*IF(circ_int,0,eq_c1/2)))/(s_0+9*s_r+IF(circ_int,eq_c1/2,0)))))))))),NA())</f>
        <v/>
      </c>
      <c r="DE16">
        <f>IF(AND(links_on,11&lt;=n_per),IF(circ_int,(g_ox)+(c_1/2+(s_0+10*s_r))*0.000000,CHOOSE(INDEX(lk_kind,11),(g_ox-eq_c1/2)+((s_0+10*s_r))*0.000000,(eq_a1+eq_c1)+((s_0+10*s_r))*1.000000,(eq_a1+eq_c1)+((s_0+10*s_r))*1.000000,(eq_a1)+((s_0+10*s_r))*0.000000)),NA())</f>
        <v/>
      </c>
      <c r="DF16">
        <f>IF(AND(links_on,11&lt;=n_per),IF(circ_int,(g_oy)+(c_1/2+(s_0+10*s_r))*1.000000,CHOOSE(INDEX(lk_kind,11),(g_oy+eq_c2/2)+((s_0+10*s_r))*1.000000,(g_oy+eq_c2/2)+((s_0+10*s_r))*0.000000,(eq_a2+eq_c2)+((s_0+10*s_r))*0.000000,(eq_a2+eq_c2)+((s_0+10*s_r))*1.000000)),NA())</f>
        <v/>
      </c>
      <c r="DH16">
        <f>IF(AND(AND(links_on,11&lt;=n_per),INDEX(lk_kind,11)=1,13&lt;INDEX(lk_legs,11)),g_ox+IF(((13+0.5)*(4*IF(circ_int,0,eq_c1/2)+4*IF(circ_int,0,eq_c2/2)+2*PI()*(s_0+10*s_r+IF(circ_int,eq_c1/2,0)))/INDEX(lk_legs,11))&lt;(2*IF(circ_int,0,eq_c2/2)),IF(circ_int,0,eq_c1/2)+(s_0+10*s_r+IF(circ_int,eq_c1/2,0)),IF(((13+0.5)*(4*IF(circ_int,0,eq_c1/2)+4*IF(circ_int,0,eq_c2/2)+2*PI()*(s_0+10*s_r+IF(circ_int,eq_c1/2,0)))/INDEX(lk_legs,11))&lt;((2*IF(circ_int,0,eq_c2/2))+(PI()*(s_0+10*s_r+IF(circ_int,eq_c1/2,0))/2)),IF(circ_int,0,eq_c1/2)+(s_0+10*s_r+IF(circ_int,eq_c1/2,0))*COS((((13+0.5)*(4*IF(circ_int,0,eq_c1/2)+4*IF(circ_int,0,eq_c2/2)+2*PI()*(s_0+10*s_r+IF(circ_int,eq_c1/2,0)))/INDEX(lk_legs,11))-(2*IF(circ_int,0,eq_c2/2)))/(s_0+10*s_r+IF(circ_int,eq_c1/2,0))),IF(((13+0.5)*(4*IF(circ_int,0,eq_c1/2)+4*IF(circ_int,0,eq_c2/2)+2*PI()*(s_0+10*s_r+IF(circ_int,eq_c1/2,0)))/INDEX(lk_legs,11))&lt;(((2*IF(circ_int,0,eq_c2/2))+(PI()*(s_0+10*s_r+IF(circ_int,eq_c1/2,0))/2))+2*IF(circ_int,0,eq_c1/2)),IF(circ_int,0,eq_c1/2)-(((13+0.5)*(4*IF(circ_int,0,eq_c1/2)+4*IF(circ_int,0,eq_c2/2)+2*PI()*(s_0+10*s_r+IF(circ_int,eq_c1/2,0)))/INDEX(lk_legs,11))-((2*IF(circ_int,0,eq_c2/2))+(PI()*(s_0+10*s_r+IF(circ_int,eq_c1/2,0))/2))),IF(((13+0.5)*(4*IF(circ_int,0,eq_c1/2)+4*IF(circ_int,0,eq_c2/2)+2*PI()*(s_0+10*s_r+IF(circ_int,eq_c1/2,0)))/INDEX(lk_legs,11))&lt;((((2*IF(circ_int,0,eq_c2/2))+(PI()*(s_0+10*s_r+IF(circ_int,eq_c1/2,0))/2))+2*IF(circ_int,0,eq_c1/2))+(PI()*(s_0+10*s_r+IF(circ_int,eq_c1/2,0))/2)),-IF(circ_int,0,eq_c1/2)+(s_0+10*s_r+IF(circ_int,eq_c1/2,0))*COS(PI()/2+(((13+0.5)*(4*IF(circ_int,0,eq_c1/2)+4*IF(circ_int,0,eq_c2/2)+2*PI()*(s_0+10*s_r+IF(circ_int,eq_c1/2,0)))/INDEX(lk_legs,11))-(((2*IF(circ_int,0,eq_c2/2))+(PI()*(s_0+10*s_r+IF(circ_int,eq_c1/2,0))/2))+2*IF(circ_int,0,eq_c1/2)))/(s_0+10*s_r+IF(circ_int,eq_c1/2,0))),IF(((13+0.5)*(4*IF(circ_int,0,eq_c1/2)+4*IF(circ_int,0,eq_c2/2)+2*PI()*(s_0+10*s_r+IF(circ_int,eq_c1/2,0)))/INDEX(lk_legs,11))&lt;(((((2*IF(circ_int,0,eq_c2/2))+(PI()*(s_0+10*s_r+IF(circ_int,eq_c1/2,0))/2))+2*IF(circ_int,0,eq_c1/2))+(PI()*(s_0+10*s_r+IF(circ_int,eq_c1/2,0))/2))+2*IF(circ_int,0,eq_c2/2)),-IF(circ_int,0,eq_c1/2)-(s_0+10*s_r+IF(circ_int,eq_c1/2,0)),IF(((13+0.5)*(4*IF(circ_int,0,eq_c1/2)+4*IF(circ_int,0,eq_c2/2)+2*PI()*(s_0+10*s_r+IF(circ_int,eq_c1/2,0)))/INDEX(lk_legs,11))&lt;((((((2*IF(circ_int,0,eq_c2/2))+(PI()*(s_0+10*s_r+IF(circ_int,eq_c1/2,0))/2))+2*IF(circ_int,0,eq_c1/2))+(PI()*(s_0+10*s_r+IF(circ_int,eq_c1/2,0))/2))+2*IF(circ_int,0,eq_c2/2))+(PI()*(s_0+10*s_r+IF(circ_int,eq_c1/2,0))/2)),-IF(circ_int,0,eq_c1/2)+(s_0+10*s_r+IF(circ_int,eq_c1/2,0))*COS(PI()+(((13+0.5)*(4*IF(circ_int,0,eq_c1/2)+4*IF(circ_int,0,eq_c2/2)+2*PI()*(s_0+10*s_r+IF(circ_int,eq_c1/2,0)))/INDEX(lk_legs,11))-(((((2*IF(circ_int,0,eq_c2/2))+(PI()*(s_0+10*s_r+IF(circ_int,eq_c1/2,0))/2))+2*IF(circ_int,0,eq_c1/2))+(PI()*(s_0+10*s_r+IF(circ_int,eq_c1/2,0))/2))+2*IF(circ_int,0,eq_c2/2)))/(s_0+10*s_r+IF(circ_int,eq_c1/2,0))),IF(((13+0.5)*(4*IF(circ_int,0,eq_c1/2)+4*IF(circ_int,0,eq_c2/2)+2*PI()*(s_0+10*s_r+IF(circ_int,eq_c1/2,0)))/INDEX(lk_legs,11))&lt;(((((((2*IF(circ_int,0,eq_c2/2))+(PI()*(s_0+10*s_r+IF(circ_int,eq_c1/2,0))/2))+2*IF(circ_int,0,eq_c1/2))+(PI()*(s_0+10*s_r+IF(circ_int,eq_c1/2,0))/2))+2*IF(circ_int,0,eq_c2/2))+(PI()*(s_0+10*s_r+IF(circ_int,eq_c1/2,0))/2))+2*IF(circ_int,0,eq_c1/2)),-IF(circ_int,0,eq_c1/2)+(((13+0.5)*(4*IF(circ_int,0,eq_c1/2)+4*IF(circ_int,0,eq_c2/2)+2*PI()*(s_0+10*s_r+IF(circ_int,eq_c1/2,0)))/INDEX(lk_legs,11))-((((((2*IF(circ_int,0,eq_c2/2))+(PI()*(s_0+10*s_r+IF(circ_int,eq_c1/2,0))/2))+2*IF(circ_int,0,eq_c1/2))+(PI()*(s_0+10*s_r+IF(circ_int,eq_c1/2,0))/2))+2*IF(circ_int,0,eq_c2/2))+(PI()*(s_0+10*s_r+IF(circ_int,eq_c1/2,0))/2))),IF(circ_int,0,eq_c1/2)+(s_0+10*s_r+IF(circ_int,eq_c1/2,0))*COS(3*PI()/2+(((13+0.5)*(4*IF(circ_int,0,eq_c1/2)+4*IF(circ_int,0,eq_c2/2)+2*PI()*(s_0+10*s_r+IF(circ_int,eq_c1/2,0)))/INDEX(lk_legs,11))-(((((((2*IF(circ_int,0,eq_c2/2))+(PI()*(s_0+10*s_r+IF(circ_int,eq_c1/2,0))/2))+2*IF(circ_int,0,eq_c1/2))+(PI()*(s_0+10*s_r+IF(circ_int,eq_c1/2,0))/2))+2*IF(circ_int,0,eq_c2/2))+(PI()*(s_0+10*s_r+IF(circ_int,eq_c1/2,0))/2))+2*IF(circ_int,0,eq_c1/2)))/(s_0+10*s_r+IF(circ_int,eq_c1/2,0)))))))))),NA())</f>
        <v/>
      </c>
      <c r="DI16">
        <f>IF(AND(AND(links_on,11&lt;=n_per),INDEX(lk_kind,11)=1,13&lt;INDEX(lk_legs,11)),g_oy+IF(((13+0.5)*(4*IF(circ_int,0,eq_c1/2)+4*IF(circ_int,0,eq_c2/2)+2*PI()*(s_0+10*s_r+IF(circ_int,eq_c1/2,0)))/INDEX(lk_legs,11))&lt;(2*IF(circ_int,0,eq_c2/2)),-IF(circ_int,0,eq_c2/2)+((13+0.5)*(4*IF(circ_int,0,eq_c1/2)+4*IF(circ_int,0,eq_c2/2)+2*PI()*(s_0+10*s_r+IF(circ_int,eq_c1/2,0)))/INDEX(lk_legs,11)),IF(((13+0.5)*(4*IF(circ_int,0,eq_c1/2)+4*IF(circ_int,0,eq_c2/2)+2*PI()*(s_0+10*s_r+IF(circ_int,eq_c1/2,0)))/INDEX(lk_legs,11))&lt;((2*IF(circ_int,0,eq_c2/2))+(PI()*(s_0+10*s_r+IF(circ_int,eq_c1/2,0))/2)),IF(circ_int,0,eq_c2/2)+(s_0+10*s_r+IF(circ_int,eq_c1/2,0))*SIN((((13+0.5)*(4*IF(circ_int,0,eq_c1/2)+4*IF(circ_int,0,eq_c2/2)+2*PI()*(s_0+10*s_r+IF(circ_int,eq_c1/2,0)))/INDEX(lk_legs,11))-(2*IF(circ_int,0,eq_c2/2)))/(s_0+10*s_r+IF(circ_int,eq_c1/2,0))),IF(((13+0.5)*(4*IF(circ_int,0,eq_c1/2)+4*IF(circ_int,0,eq_c2/2)+2*PI()*(s_0+10*s_r+IF(circ_int,eq_c1/2,0)))/INDEX(lk_legs,11))&lt;(((2*IF(circ_int,0,eq_c2/2))+(PI()*(s_0+10*s_r+IF(circ_int,eq_c1/2,0))/2))+2*IF(circ_int,0,eq_c1/2)),IF(circ_int,0,eq_c2/2)+(s_0+10*s_r+IF(circ_int,eq_c1/2,0)),IF(((13+0.5)*(4*IF(circ_int,0,eq_c1/2)+4*IF(circ_int,0,eq_c2/2)+2*PI()*(s_0+10*s_r+IF(circ_int,eq_c1/2,0)))/INDEX(lk_legs,11))&lt;((((2*IF(circ_int,0,eq_c2/2))+(PI()*(s_0+10*s_r+IF(circ_int,eq_c1/2,0))/2))+2*IF(circ_int,0,eq_c1/2))+(PI()*(s_0+10*s_r+IF(circ_int,eq_c1/2,0))/2)),IF(circ_int,0,eq_c2/2)+(s_0+10*s_r+IF(circ_int,eq_c1/2,0))*SIN(PI()/2+(((13+0.5)*(4*IF(circ_int,0,eq_c1/2)+4*IF(circ_int,0,eq_c2/2)+2*PI()*(s_0+10*s_r+IF(circ_int,eq_c1/2,0)))/INDEX(lk_legs,11))-(((2*IF(circ_int,0,eq_c2/2))+(PI()*(s_0+10*s_r+IF(circ_int,eq_c1/2,0))/2))+2*IF(circ_int,0,eq_c1/2)))/(s_0+10*s_r+IF(circ_int,eq_c1/2,0))),IF(((13+0.5)*(4*IF(circ_int,0,eq_c1/2)+4*IF(circ_int,0,eq_c2/2)+2*PI()*(s_0+10*s_r+IF(circ_int,eq_c1/2,0)))/INDEX(lk_legs,11))&lt;(((((2*IF(circ_int,0,eq_c2/2))+(PI()*(s_0+10*s_r+IF(circ_int,eq_c1/2,0))/2))+2*IF(circ_int,0,eq_c1/2))+(PI()*(s_0+10*s_r+IF(circ_int,eq_c1/2,0))/2))+2*IF(circ_int,0,eq_c2/2)),IF(circ_int,0,eq_c2/2)-(((13+0.5)*(4*IF(circ_int,0,eq_c1/2)+4*IF(circ_int,0,eq_c2/2)+2*PI()*(s_0+10*s_r+IF(circ_int,eq_c1/2,0)))/INDEX(lk_legs,11))-((((2*IF(circ_int,0,eq_c2/2))+(PI()*(s_0+10*s_r+IF(circ_int,eq_c1/2,0))/2))+2*IF(circ_int,0,eq_c1/2))+(PI()*(s_0+10*s_r+IF(circ_int,eq_c1/2,0))/2))),IF(((13+0.5)*(4*IF(circ_int,0,eq_c1/2)+4*IF(circ_int,0,eq_c2/2)+2*PI()*(s_0+10*s_r+IF(circ_int,eq_c1/2,0)))/INDEX(lk_legs,11))&lt;((((((2*IF(circ_int,0,eq_c2/2))+(PI()*(s_0+10*s_r+IF(circ_int,eq_c1/2,0))/2))+2*IF(circ_int,0,eq_c1/2))+(PI()*(s_0+10*s_r+IF(circ_int,eq_c1/2,0))/2))+2*IF(circ_int,0,eq_c2/2))+(PI()*(s_0+10*s_r+IF(circ_int,eq_c1/2,0))/2)),-IF(circ_int,0,eq_c2/2)+(s_0+10*s_r+IF(circ_int,eq_c1/2,0))*SIN(PI()+(((13+0.5)*(4*IF(circ_int,0,eq_c1/2)+4*IF(circ_int,0,eq_c2/2)+2*PI()*(s_0+10*s_r+IF(circ_int,eq_c1/2,0)))/INDEX(lk_legs,11))-(((((2*IF(circ_int,0,eq_c2/2))+(PI()*(s_0+10*s_r+IF(circ_int,eq_c1/2,0))/2))+2*IF(circ_int,0,eq_c1/2))+(PI()*(s_0+10*s_r+IF(circ_int,eq_c1/2,0))/2))+2*IF(circ_int,0,eq_c2/2)))/(s_0+10*s_r+IF(circ_int,eq_c1/2,0))),IF(((13+0.5)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(13+0.5)*(4*IF(circ_int,0,eq_c1/2)+4*IF(circ_int,0,eq_c2/2)+2*PI()*(s_0+10*s_r+IF(circ_int,eq_c1/2,0)))/INDEX(lk_legs,11))-(((((((2*IF(circ_int,0,eq_c2/2))+(PI()*(s_0+10*s_r+IF(circ_int,eq_c1/2,0))/2))+2*IF(circ_int,0,eq_c1/2))+(PI()*(s_0+10*s_r+IF(circ_int,eq_c1/2,0))/2))+2*IF(circ_int,0,eq_c2/2))+(PI()*(s_0+10*s_r+IF(circ_int,eq_c1/2,0))/2))+2*IF(circ_int,0,eq_c1/2)))/(s_0+10*s_r+IF(circ_int,eq_c1/2,0)))))))))),NA())</f>
        <v/>
      </c>
      <c r="DK16">
        <f>IF(AND(links_on,12&lt;=n_per),IF(circ_int,(g_ox)+(c_1/2+(s_0+11*s_r))*0.000000,CHOOSE(INDEX(lk_kind,12),(g_ox-eq_c1/2)+((s_0+11*s_r))*0.000000,(eq_a1+eq_c1)+((s_0+11*s_r))*1.000000,(eq_a1+eq_c1)+((s_0+11*s_r))*1.000000,(eq_a1)+((s_0+11*s_r))*0.000000)),NA())</f>
        <v/>
      </c>
      <c r="DL16">
        <f>IF(AND(links_on,12&lt;=n_per),IF(circ_int,(g_oy)+(c_1/2+(s_0+11*s_r))*1.000000,CHOOSE(INDEX(lk_kind,12),(g_oy+eq_c2/2)+((s_0+11*s_r))*1.000000,(g_oy+eq_c2/2)+((s_0+11*s_r))*0.000000,(eq_a2+eq_c2)+((s_0+11*s_r))*0.000000,(eq_a2+eq_c2)+((s_0+11*s_r))*1.000000)),NA())</f>
        <v/>
      </c>
      <c r="DN16">
        <f>IF(AND(AND(links_on,12&lt;=n_per),INDEX(lk_kind,12)=1,13&lt;INDEX(lk_legs,12)),g_ox+IF(((13+0.5)*(4*IF(circ_int,0,eq_c1/2)+4*IF(circ_int,0,eq_c2/2)+2*PI()*(s_0+11*s_r+IF(circ_int,eq_c1/2,0)))/INDEX(lk_legs,12))&lt;(2*IF(circ_int,0,eq_c2/2)),IF(circ_int,0,eq_c1/2)+(s_0+11*s_r+IF(circ_int,eq_c1/2,0)),IF(((13+0.5)*(4*IF(circ_int,0,eq_c1/2)+4*IF(circ_int,0,eq_c2/2)+2*PI()*(s_0+11*s_r+IF(circ_int,eq_c1/2,0)))/INDEX(lk_legs,12))&lt;((2*IF(circ_int,0,eq_c2/2))+(PI()*(s_0+11*s_r+IF(circ_int,eq_c1/2,0))/2)),IF(circ_int,0,eq_c1/2)+(s_0+11*s_r+IF(circ_int,eq_c1/2,0))*COS((((13+0.5)*(4*IF(circ_int,0,eq_c1/2)+4*IF(circ_int,0,eq_c2/2)+2*PI()*(s_0+11*s_r+IF(circ_int,eq_c1/2,0)))/INDEX(lk_legs,12))-(2*IF(circ_int,0,eq_c2/2)))/(s_0+11*s_r+IF(circ_int,eq_c1/2,0))),IF(((13+0.5)*(4*IF(circ_int,0,eq_c1/2)+4*IF(circ_int,0,eq_c2/2)+2*PI()*(s_0+11*s_r+IF(circ_int,eq_c1/2,0)))/INDEX(lk_legs,12))&lt;(((2*IF(circ_int,0,eq_c2/2))+(PI()*(s_0+11*s_r+IF(circ_int,eq_c1/2,0))/2))+2*IF(circ_int,0,eq_c1/2)),IF(circ_int,0,eq_c1/2)-(((13+0.5)*(4*IF(circ_int,0,eq_c1/2)+4*IF(circ_int,0,eq_c2/2)+2*PI()*(s_0+11*s_r+IF(circ_int,eq_c1/2,0)))/INDEX(lk_legs,12))-((2*IF(circ_int,0,eq_c2/2))+(PI()*(s_0+11*s_r+IF(circ_int,eq_c1/2,0))/2))),IF(((13+0.5)*(4*IF(circ_int,0,eq_c1/2)+4*IF(circ_int,0,eq_c2/2)+2*PI()*(s_0+11*s_r+IF(circ_int,eq_c1/2,0)))/INDEX(lk_legs,12))&lt;((((2*IF(circ_int,0,eq_c2/2))+(PI()*(s_0+11*s_r+IF(circ_int,eq_c1/2,0))/2))+2*IF(circ_int,0,eq_c1/2))+(PI()*(s_0+11*s_r+IF(circ_int,eq_c1/2,0))/2)),-IF(circ_int,0,eq_c1/2)+(s_0+11*s_r+IF(circ_int,eq_c1/2,0))*COS(PI()/2+(((13+0.5)*(4*IF(circ_int,0,eq_c1/2)+4*IF(circ_int,0,eq_c2/2)+2*PI()*(s_0+11*s_r+IF(circ_int,eq_c1/2,0)))/INDEX(lk_legs,12))-(((2*IF(circ_int,0,eq_c2/2))+(PI()*(s_0+11*s_r+IF(circ_int,eq_c1/2,0))/2))+2*IF(circ_int,0,eq_c1/2)))/(s_0+11*s_r+IF(circ_int,eq_c1/2,0))),IF(((13+0.5)*(4*IF(circ_int,0,eq_c1/2)+4*IF(circ_int,0,eq_c2/2)+2*PI()*(s_0+11*s_r+IF(circ_int,eq_c1/2,0)))/INDEX(lk_legs,12))&lt;(((((2*IF(circ_int,0,eq_c2/2))+(PI()*(s_0+11*s_r+IF(circ_int,eq_c1/2,0))/2))+2*IF(circ_int,0,eq_c1/2))+(PI()*(s_0+11*s_r+IF(circ_int,eq_c1/2,0))/2))+2*IF(circ_int,0,eq_c2/2)),-IF(circ_int,0,eq_c1/2)-(s_0+11*s_r+IF(circ_int,eq_c1/2,0)),IF(((13+0.5)*(4*IF(circ_int,0,eq_c1/2)+4*IF(circ_int,0,eq_c2/2)+2*PI()*(s_0+11*s_r+IF(circ_int,eq_c1/2,0)))/INDEX(lk_legs,12))&lt;((((((2*IF(circ_int,0,eq_c2/2))+(PI()*(s_0+11*s_r+IF(circ_int,eq_c1/2,0))/2))+2*IF(circ_int,0,eq_c1/2))+(PI()*(s_0+11*s_r+IF(circ_int,eq_c1/2,0))/2))+2*IF(circ_int,0,eq_c2/2))+(PI()*(s_0+11*s_r+IF(circ_int,eq_c1/2,0))/2)),-IF(circ_int,0,eq_c1/2)+(s_0+11*s_r+IF(circ_int,eq_c1/2,0))*COS(PI()+(((13+0.5)*(4*IF(circ_int,0,eq_c1/2)+4*IF(circ_int,0,eq_c2/2)+2*PI()*(s_0+11*s_r+IF(circ_int,eq_c1/2,0)))/INDEX(lk_legs,12))-(((((2*IF(circ_int,0,eq_c2/2))+(PI()*(s_0+11*s_r+IF(circ_int,eq_c1/2,0))/2))+2*IF(circ_int,0,eq_c1/2))+(PI()*(s_0+11*s_r+IF(circ_int,eq_c1/2,0))/2))+2*IF(circ_int,0,eq_c2/2)))/(s_0+11*s_r+IF(circ_int,eq_c1/2,0))),IF(((13+0.5)*(4*IF(circ_int,0,eq_c1/2)+4*IF(circ_int,0,eq_c2/2)+2*PI()*(s_0+11*s_r+IF(circ_int,eq_c1/2,0)))/INDEX(lk_legs,12))&lt;(((((((2*IF(circ_int,0,eq_c2/2))+(PI()*(s_0+11*s_r+IF(circ_int,eq_c1/2,0))/2))+2*IF(circ_int,0,eq_c1/2))+(PI()*(s_0+11*s_r+IF(circ_int,eq_c1/2,0))/2))+2*IF(circ_int,0,eq_c2/2))+(PI()*(s_0+11*s_r+IF(circ_int,eq_c1/2,0))/2))+2*IF(circ_int,0,eq_c1/2)),-IF(circ_int,0,eq_c1/2)+(((13+0.5)*(4*IF(circ_int,0,eq_c1/2)+4*IF(circ_int,0,eq_c2/2)+2*PI()*(s_0+11*s_r+IF(circ_int,eq_c1/2,0)))/INDEX(lk_legs,12))-((((((2*IF(circ_int,0,eq_c2/2))+(PI()*(s_0+11*s_r+IF(circ_int,eq_c1/2,0))/2))+2*IF(circ_int,0,eq_c1/2))+(PI()*(s_0+11*s_r+IF(circ_int,eq_c1/2,0))/2))+2*IF(circ_int,0,eq_c2/2))+(PI()*(s_0+11*s_r+IF(circ_int,eq_c1/2,0))/2))),IF(circ_int,0,eq_c1/2)+(s_0+11*s_r+IF(circ_int,eq_c1/2,0))*COS(3*PI()/2+(((13+0.5)*(4*IF(circ_int,0,eq_c1/2)+4*IF(circ_int,0,eq_c2/2)+2*PI()*(s_0+11*s_r+IF(circ_int,eq_c1/2,0)))/INDEX(lk_legs,12))-(((((((2*IF(circ_int,0,eq_c2/2))+(PI()*(s_0+11*s_r+IF(circ_int,eq_c1/2,0))/2))+2*IF(circ_int,0,eq_c1/2))+(PI()*(s_0+11*s_r+IF(circ_int,eq_c1/2,0))/2))+2*IF(circ_int,0,eq_c2/2))+(PI()*(s_0+11*s_r+IF(circ_int,eq_c1/2,0))/2))+2*IF(circ_int,0,eq_c1/2)))/(s_0+11*s_r+IF(circ_int,eq_c1/2,0)))))))))),NA())</f>
        <v/>
      </c>
      <c r="DO16">
        <f>IF(AND(AND(links_on,12&lt;=n_per),INDEX(lk_kind,12)=1,13&lt;INDEX(lk_legs,12)),g_oy+IF(((13+0.5)*(4*IF(circ_int,0,eq_c1/2)+4*IF(circ_int,0,eq_c2/2)+2*PI()*(s_0+11*s_r+IF(circ_int,eq_c1/2,0)))/INDEX(lk_legs,12))&lt;(2*IF(circ_int,0,eq_c2/2)),-IF(circ_int,0,eq_c2/2)+((13+0.5)*(4*IF(circ_int,0,eq_c1/2)+4*IF(circ_int,0,eq_c2/2)+2*PI()*(s_0+11*s_r+IF(circ_int,eq_c1/2,0)))/INDEX(lk_legs,12)),IF(((13+0.5)*(4*IF(circ_int,0,eq_c1/2)+4*IF(circ_int,0,eq_c2/2)+2*PI()*(s_0+11*s_r+IF(circ_int,eq_c1/2,0)))/INDEX(lk_legs,12))&lt;((2*IF(circ_int,0,eq_c2/2))+(PI()*(s_0+11*s_r+IF(circ_int,eq_c1/2,0))/2)),IF(circ_int,0,eq_c2/2)+(s_0+11*s_r+IF(circ_int,eq_c1/2,0))*SIN((((13+0.5)*(4*IF(circ_int,0,eq_c1/2)+4*IF(circ_int,0,eq_c2/2)+2*PI()*(s_0+11*s_r+IF(circ_int,eq_c1/2,0)))/INDEX(lk_legs,12))-(2*IF(circ_int,0,eq_c2/2)))/(s_0+11*s_r+IF(circ_int,eq_c1/2,0))),IF(((13+0.5)*(4*IF(circ_int,0,eq_c1/2)+4*IF(circ_int,0,eq_c2/2)+2*PI()*(s_0+11*s_r+IF(circ_int,eq_c1/2,0)))/INDEX(lk_legs,12))&lt;(((2*IF(circ_int,0,eq_c2/2))+(PI()*(s_0+11*s_r+IF(circ_int,eq_c1/2,0))/2))+2*IF(circ_int,0,eq_c1/2)),IF(circ_int,0,eq_c2/2)+(s_0+11*s_r+IF(circ_int,eq_c1/2,0)),IF(((13+0.5)*(4*IF(circ_int,0,eq_c1/2)+4*IF(circ_int,0,eq_c2/2)+2*PI()*(s_0+11*s_r+IF(circ_int,eq_c1/2,0)))/INDEX(lk_legs,12))&lt;((((2*IF(circ_int,0,eq_c2/2))+(PI()*(s_0+11*s_r+IF(circ_int,eq_c1/2,0))/2))+2*IF(circ_int,0,eq_c1/2))+(PI()*(s_0+11*s_r+IF(circ_int,eq_c1/2,0))/2)),IF(circ_int,0,eq_c2/2)+(s_0+11*s_r+IF(circ_int,eq_c1/2,0))*SIN(PI()/2+(((13+0.5)*(4*IF(circ_int,0,eq_c1/2)+4*IF(circ_int,0,eq_c2/2)+2*PI()*(s_0+11*s_r+IF(circ_int,eq_c1/2,0)))/INDEX(lk_legs,12))-(((2*IF(circ_int,0,eq_c2/2))+(PI()*(s_0+11*s_r+IF(circ_int,eq_c1/2,0))/2))+2*IF(circ_int,0,eq_c1/2)))/(s_0+11*s_r+IF(circ_int,eq_c1/2,0))),IF(((13+0.5)*(4*IF(circ_int,0,eq_c1/2)+4*IF(circ_int,0,eq_c2/2)+2*PI()*(s_0+11*s_r+IF(circ_int,eq_c1/2,0)))/INDEX(lk_legs,12))&lt;(((((2*IF(circ_int,0,eq_c2/2))+(PI()*(s_0+11*s_r+IF(circ_int,eq_c1/2,0))/2))+2*IF(circ_int,0,eq_c1/2))+(PI()*(s_0+11*s_r+IF(circ_int,eq_c1/2,0))/2))+2*IF(circ_int,0,eq_c2/2)),IF(circ_int,0,eq_c2/2)-(((13+0.5)*(4*IF(circ_int,0,eq_c1/2)+4*IF(circ_int,0,eq_c2/2)+2*PI()*(s_0+11*s_r+IF(circ_int,eq_c1/2,0)))/INDEX(lk_legs,12))-((((2*IF(circ_int,0,eq_c2/2))+(PI()*(s_0+11*s_r+IF(circ_int,eq_c1/2,0))/2))+2*IF(circ_int,0,eq_c1/2))+(PI()*(s_0+11*s_r+IF(circ_int,eq_c1/2,0))/2))),IF(((13+0.5)*(4*IF(circ_int,0,eq_c1/2)+4*IF(circ_int,0,eq_c2/2)+2*PI()*(s_0+11*s_r+IF(circ_int,eq_c1/2,0)))/INDEX(lk_legs,12))&lt;((((((2*IF(circ_int,0,eq_c2/2))+(PI()*(s_0+11*s_r+IF(circ_int,eq_c1/2,0))/2))+2*IF(circ_int,0,eq_c1/2))+(PI()*(s_0+11*s_r+IF(circ_int,eq_c1/2,0))/2))+2*IF(circ_int,0,eq_c2/2))+(PI()*(s_0+11*s_r+IF(circ_int,eq_c1/2,0))/2)),-IF(circ_int,0,eq_c2/2)+(s_0+11*s_r+IF(circ_int,eq_c1/2,0))*SIN(PI()+(((13+0.5)*(4*IF(circ_int,0,eq_c1/2)+4*IF(circ_int,0,eq_c2/2)+2*PI()*(s_0+11*s_r+IF(circ_int,eq_c1/2,0)))/INDEX(lk_legs,12))-(((((2*IF(circ_int,0,eq_c2/2))+(PI()*(s_0+11*s_r+IF(circ_int,eq_c1/2,0))/2))+2*IF(circ_int,0,eq_c1/2))+(PI()*(s_0+11*s_r+IF(circ_int,eq_c1/2,0))/2))+2*IF(circ_int,0,eq_c2/2)))/(s_0+11*s_r+IF(circ_int,eq_c1/2,0))),IF(((13+0.5)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(13+0.5)*(4*IF(circ_int,0,eq_c1/2)+4*IF(circ_int,0,eq_c2/2)+2*PI()*(s_0+11*s_r+IF(circ_int,eq_c1/2,0)))/INDEX(lk_legs,12))-(((((((2*IF(circ_int,0,eq_c2/2))+(PI()*(s_0+11*s_r+IF(circ_int,eq_c1/2,0))/2))+2*IF(circ_int,0,eq_c1/2))+(PI()*(s_0+11*s_r+IF(circ_int,eq_c1/2,0))/2))+2*IF(circ_int,0,eq_c2/2))+(PI()*(s_0+11*s_r+IF(circ_int,eq_c1/2,0))/2))+2*IF(circ_int,0,eq_c1/2)))/(s_0+11*s_r+IF(circ_int,eq_c1/2,0)))))))))),NA())</f>
        <v/>
      </c>
    </row>
    <row r="17">
      <c r="A17">
        <f>IF(shape="Circular",(g_ox)+(c_1/2+0)*-0.120537,CHOOSE(1,(g_ox-eq_c1/2)+(0)*-0.130526,(eq_a1+eq_c1)+(0)*1.000000,eq_a1+eq_c1+0,(eq_a1+eq_c1)+(0)*0.000000))</f>
        <v/>
      </c>
      <c r="B17">
        <f>IF(shape="Circular",(g_oy)+(c_1/2+0)*0.992709,CHOOSE(1,(g_oy+eq_c2/2)+(0)*0.991445,(g_oy-eq_c2/2)+(0)*0.000000,0,(eq_a2+eq_c2)+(0)*1.000000))</f>
        <v/>
      </c>
      <c r="D17">
        <f>IF(circ_int,(g_ox)+(c_1/2+2*d_eff)*-0.120537,CHOOSE(geo_idx,(g_ox-eq_c1/2)+(2*d_eff)*-0.130526,(eq_a1+eq_c1)+(2*d_eff)*1.000000,eq_a1+eq_c1+2*d_eff,(eq_a1+eq_c1)+(2*d_eff)*0.000000))</f>
        <v/>
      </c>
      <c r="E17">
        <f>IF(circ_int,(g_oy)+(c_1/2+2*d_eff)*0.992709,CHOOSE(geo_idx,(g_oy+eq_c2/2)+(2*d_eff)*0.991445,(g_oy-eq_c2/2)+(2*d_eff)*0.000000,0,(eq_a2+eq_c2)+(2*d_eff)*1.000000))</f>
        <v/>
      </c>
      <c r="G17">
        <f>IF(AND(inputs_ok,punch_ok,A_sw&gt;0),IF(circ_int,(g_ox)+(c_1/2+r_out)*-0.120537,CHOOSE(kind_out,(g_ox-eq_c1/2)+(r_out)*-0.130526,(eq_a1+eq_c1)+(r_out)*1.000000,eq_a1+eq_c1+r_out,(eq_a1+eq_c1)+(r_out)*0.000000)),NA())</f>
        <v/>
      </c>
      <c r="H17">
        <f>IF(AND(inputs_ok,punch_ok,A_sw&gt;0),IF(circ_int,(g_oy)+(c_1/2+r_out)*0.992709,CHOOSE(kind_out,(g_oy+eq_c2/2)+(r_out)*0.991445,(g_oy-eq_c2/2)+(r_out)*0.000000,0,(eq_a2+eq_c2)+(r_out)*1.000000)),NA())</f>
        <v/>
      </c>
      <c r="AW17">
        <f>IF(AND(links_on,1&lt;=n_per),IF(circ_int,(g_ox)+(c_1/2+(s_0+0*s_r))*-0.120537,CHOOSE(INDEX(lk_kind,1),(g_ox-eq_c1/2)+((s_0+0*s_r))*-0.130526,(eq_a1+eq_c1)+((s_0+0*s_r))*1.000000,eq_a1+eq_c1+(s_0+0*s_r),(eq_a1+eq_c1)+((s_0+0*s_r))*0.000000)),NA())</f>
        <v/>
      </c>
      <c r="AX17">
        <f>IF(AND(links_on,1&lt;=n_per),IF(circ_int,(g_oy)+(c_1/2+(s_0+0*s_r))*0.992709,CHOOSE(INDEX(lk_kind,1),(g_oy+eq_c2/2)+((s_0+0*s_r))*0.991445,(g_oy-eq_c2/2)+((s_0+0*s_r))*0.000000,0,(eq_a2+eq_c2)+((s_0+0*s_r))*1.000000)),NA())</f>
        <v/>
      </c>
      <c r="AZ17">
        <f>IF(AND(AND(links_on,1&lt;=n_per),INDEX(lk_kind,1)=1,14&lt;INDEX(lk_legs,1)),g_ox+IF(((14+0.5)*(4*IF(circ_int,0,eq_c1/2)+4*IF(circ_int,0,eq_c2/2)+2*PI()*(s_0+0*s_r+IF(circ_int,eq_c1/2,0)))/INDEX(lk_legs,1))&lt;(2*IF(circ_int,0,eq_c2/2)),IF(circ_int,0,eq_c1/2)+(s_0+0*s_r+IF(circ_int,eq_c1/2,0)),IF(((14+0.5)*(4*IF(circ_int,0,eq_c1/2)+4*IF(circ_int,0,eq_c2/2)+2*PI()*(s_0+0*s_r+IF(circ_int,eq_c1/2,0)))/INDEX(lk_legs,1))&lt;((2*IF(circ_int,0,eq_c2/2))+(PI()*(s_0+0*s_r+IF(circ_int,eq_c1/2,0))/2)),IF(circ_int,0,eq_c1/2)+(s_0+0*s_r+IF(circ_int,eq_c1/2,0))*COS((((14+0.5)*(4*IF(circ_int,0,eq_c1/2)+4*IF(circ_int,0,eq_c2/2)+2*PI()*(s_0+0*s_r+IF(circ_int,eq_c1/2,0)))/INDEX(lk_legs,1))-(2*IF(circ_int,0,eq_c2/2)))/(s_0+0*s_r+IF(circ_int,eq_c1/2,0))),IF(((14+0.5)*(4*IF(circ_int,0,eq_c1/2)+4*IF(circ_int,0,eq_c2/2)+2*PI()*(s_0+0*s_r+IF(circ_int,eq_c1/2,0)))/INDEX(lk_legs,1))&lt;(((2*IF(circ_int,0,eq_c2/2))+(PI()*(s_0+0*s_r+IF(circ_int,eq_c1/2,0))/2))+2*IF(circ_int,0,eq_c1/2)),IF(circ_int,0,eq_c1/2)-(((14+0.5)*(4*IF(circ_int,0,eq_c1/2)+4*IF(circ_int,0,eq_c2/2)+2*PI()*(s_0+0*s_r+IF(circ_int,eq_c1/2,0)))/INDEX(lk_legs,1))-((2*IF(circ_int,0,eq_c2/2))+(PI()*(s_0+0*s_r+IF(circ_int,eq_c1/2,0))/2))),IF(((14+0.5)*(4*IF(circ_int,0,eq_c1/2)+4*IF(circ_int,0,eq_c2/2)+2*PI()*(s_0+0*s_r+IF(circ_int,eq_c1/2,0)))/INDEX(lk_legs,1))&lt;((((2*IF(circ_int,0,eq_c2/2))+(PI()*(s_0+0*s_r+IF(circ_int,eq_c1/2,0))/2))+2*IF(circ_int,0,eq_c1/2))+(PI()*(s_0+0*s_r+IF(circ_int,eq_c1/2,0))/2)),-IF(circ_int,0,eq_c1/2)+(s_0+0*s_r+IF(circ_int,eq_c1/2,0))*COS(PI()/2+(((14+0.5)*(4*IF(circ_int,0,eq_c1/2)+4*IF(circ_int,0,eq_c2/2)+2*PI()*(s_0+0*s_r+IF(circ_int,eq_c1/2,0)))/INDEX(lk_legs,1))-(((2*IF(circ_int,0,eq_c2/2))+(PI()*(s_0+0*s_r+IF(circ_int,eq_c1/2,0))/2))+2*IF(circ_int,0,eq_c1/2)))/(s_0+0*s_r+IF(circ_int,eq_c1/2,0))),IF(((14+0.5)*(4*IF(circ_int,0,eq_c1/2)+4*IF(circ_int,0,eq_c2/2)+2*PI()*(s_0+0*s_r+IF(circ_int,eq_c1/2,0)))/INDEX(lk_legs,1))&lt;(((((2*IF(circ_int,0,eq_c2/2))+(PI()*(s_0+0*s_r+IF(circ_int,eq_c1/2,0))/2))+2*IF(circ_int,0,eq_c1/2))+(PI()*(s_0+0*s_r+IF(circ_int,eq_c1/2,0))/2))+2*IF(circ_int,0,eq_c2/2)),-IF(circ_int,0,eq_c1/2)-(s_0+0*s_r+IF(circ_int,eq_c1/2,0)),IF(((14+0.5)*(4*IF(circ_int,0,eq_c1/2)+4*IF(circ_int,0,eq_c2/2)+2*PI()*(s_0+0*s_r+IF(circ_int,eq_c1/2,0)))/INDEX(lk_legs,1))&lt;((((((2*IF(circ_int,0,eq_c2/2))+(PI()*(s_0+0*s_r+IF(circ_int,eq_c1/2,0))/2))+2*IF(circ_int,0,eq_c1/2))+(PI()*(s_0+0*s_r+IF(circ_int,eq_c1/2,0))/2))+2*IF(circ_int,0,eq_c2/2))+(PI()*(s_0+0*s_r+IF(circ_int,eq_c1/2,0))/2)),-IF(circ_int,0,eq_c1/2)+(s_0+0*s_r+IF(circ_int,eq_c1/2,0))*COS(PI()+(((14+0.5)*(4*IF(circ_int,0,eq_c1/2)+4*IF(circ_int,0,eq_c2/2)+2*PI()*(s_0+0*s_r+IF(circ_int,eq_c1/2,0)))/INDEX(lk_legs,1))-(((((2*IF(circ_int,0,eq_c2/2))+(PI()*(s_0+0*s_r+IF(circ_int,eq_c1/2,0))/2))+2*IF(circ_int,0,eq_c1/2))+(PI()*(s_0+0*s_r+IF(circ_int,eq_c1/2,0))/2))+2*IF(circ_int,0,eq_c2/2)))/(s_0+0*s_r+IF(circ_int,eq_c1/2,0))),IF(((14+0.5)*(4*IF(circ_int,0,eq_c1/2)+4*IF(circ_int,0,eq_c2/2)+2*PI()*(s_0+0*s_r+IF(circ_int,eq_c1/2,0)))/INDEX(lk_legs,1))&lt;(((((((2*IF(circ_int,0,eq_c2/2))+(PI()*(s_0+0*s_r+IF(circ_int,eq_c1/2,0))/2))+2*IF(circ_int,0,eq_c1/2))+(PI()*(s_0+0*s_r+IF(circ_int,eq_c1/2,0))/2))+2*IF(circ_int,0,eq_c2/2))+(PI()*(s_0+0*s_r+IF(circ_int,eq_c1/2,0))/2))+2*IF(circ_int,0,eq_c1/2)),-IF(circ_int,0,eq_c1/2)+(((14+0.5)*(4*IF(circ_int,0,eq_c1/2)+4*IF(circ_int,0,eq_c2/2)+2*PI()*(s_0+0*s_r+IF(circ_int,eq_c1/2,0)))/INDEX(lk_legs,1))-((((((2*IF(circ_int,0,eq_c2/2))+(PI()*(s_0+0*s_r+IF(circ_int,eq_c1/2,0))/2))+2*IF(circ_int,0,eq_c1/2))+(PI()*(s_0+0*s_r+IF(circ_int,eq_c1/2,0))/2))+2*IF(circ_int,0,eq_c2/2))+(PI()*(s_0+0*s_r+IF(circ_int,eq_c1/2,0))/2))),IF(circ_int,0,eq_c1/2)+(s_0+0*s_r+IF(circ_int,eq_c1/2,0))*COS(3*PI()/2+(((14+0.5)*(4*IF(circ_int,0,eq_c1/2)+4*IF(circ_int,0,eq_c2/2)+2*PI()*(s_0+0*s_r+IF(circ_int,eq_c1/2,0)))/INDEX(lk_legs,1))-(((((((2*IF(circ_int,0,eq_c2/2))+(PI()*(s_0+0*s_r+IF(circ_int,eq_c1/2,0))/2))+2*IF(circ_int,0,eq_c1/2))+(PI()*(s_0+0*s_r+IF(circ_int,eq_c1/2,0))/2))+2*IF(circ_int,0,eq_c2/2))+(PI()*(s_0+0*s_r+IF(circ_int,eq_c1/2,0))/2))+2*IF(circ_int,0,eq_c1/2)))/(s_0+0*s_r+IF(circ_int,eq_c1/2,0)))))))))),NA())</f>
        <v/>
      </c>
      <c r="BA17">
        <f>IF(AND(AND(links_on,1&lt;=n_per),INDEX(lk_kind,1)=1,14&lt;INDEX(lk_legs,1)),g_oy+IF(((14+0.5)*(4*IF(circ_int,0,eq_c1/2)+4*IF(circ_int,0,eq_c2/2)+2*PI()*(s_0+0*s_r+IF(circ_int,eq_c1/2,0)))/INDEX(lk_legs,1))&lt;(2*IF(circ_int,0,eq_c2/2)),-IF(circ_int,0,eq_c2/2)+((14+0.5)*(4*IF(circ_int,0,eq_c1/2)+4*IF(circ_int,0,eq_c2/2)+2*PI()*(s_0+0*s_r+IF(circ_int,eq_c1/2,0)))/INDEX(lk_legs,1)),IF(((14+0.5)*(4*IF(circ_int,0,eq_c1/2)+4*IF(circ_int,0,eq_c2/2)+2*PI()*(s_0+0*s_r+IF(circ_int,eq_c1/2,0)))/INDEX(lk_legs,1))&lt;((2*IF(circ_int,0,eq_c2/2))+(PI()*(s_0+0*s_r+IF(circ_int,eq_c1/2,0))/2)),IF(circ_int,0,eq_c2/2)+(s_0+0*s_r+IF(circ_int,eq_c1/2,0))*SIN((((14+0.5)*(4*IF(circ_int,0,eq_c1/2)+4*IF(circ_int,0,eq_c2/2)+2*PI()*(s_0+0*s_r+IF(circ_int,eq_c1/2,0)))/INDEX(lk_legs,1))-(2*IF(circ_int,0,eq_c2/2)))/(s_0+0*s_r+IF(circ_int,eq_c1/2,0))),IF(((14+0.5)*(4*IF(circ_int,0,eq_c1/2)+4*IF(circ_int,0,eq_c2/2)+2*PI()*(s_0+0*s_r+IF(circ_int,eq_c1/2,0)))/INDEX(lk_legs,1))&lt;(((2*IF(circ_int,0,eq_c2/2))+(PI()*(s_0+0*s_r+IF(circ_int,eq_c1/2,0))/2))+2*IF(circ_int,0,eq_c1/2)),IF(circ_int,0,eq_c2/2)+(s_0+0*s_r+IF(circ_int,eq_c1/2,0)),IF(((14+0.5)*(4*IF(circ_int,0,eq_c1/2)+4*IF(circ_int,0,eq_c2/2)+2*PI()*(s_0+0*s_r+IF(circ_int,eq_c1/2,0)))/INDEX(lk_legs,1))&lt;((((2*IF(circ_int,0,eq_c2/2))+(PI()*(s_0+0*s_r+IF(circ_int,eq_c1/2,0))/2))+2*IF(circ_int,0,eq_c1/2))+(PI()*(s_0+0*s_r+IF(circ_int,eq_c1/2,0))/2)),IF(circ_int,0,eq_c2/2)+(s_0+0*s_r+IF(circ_int,eq_c1/2,0))*SIN(PI()/2+(((14+0.5)*(4*IF(circ_int,0,eq_c1/2)+4*IF(circ_int,0,eq_c2/2)+2*PI()*(s_0+0*s_r+IF(circ_int,eq_c1/2,0)))/INDEX(lk_legs,1))-(((2*IF(circ_int,0,eq_c2/2))+(PI()*(s_0+0*s_r+IF(circ_int,eq_c1/2,0))/2))+2*IF(circ_int,0,eq_c1/2)))/(s_0+0*s_r+IF(circ_int,eq_c1/2,0))),IF(((14+0.5)*(4*IF(circ_int,0,eq_c1/2)+4*IF(circ_int,0,eq_c2/2)+2*PI()*(s_0+0*s_r+IF(circ_int,eq_c1/2,0)))/INDEX(lk_legs,1))&lt;(((((2*IF(circ_int,0,eq_c2/2))+(PI()*(s_0+0*s_r+IF(circ_int,eq_c1/2,0))/2))+2*IF(circ_int,0,eq_c1/2))+(PI()*(s_0+0*s_r+IF(circ_int,eq_c1/2,0))/2))+2*IF(circ_int,0,eq_c2/2)),IF(circ_int,0,eq_c2/2)-(((14+0.5)*(4*IF(circ_int,0,eq_c1/2)+4*IF(circ_int,0,eq_c2/2)+2*PI()*(s_0+0*s_r+IF(circ_int,eq_c1/2,0)))/INDEX(lk_legs,1))-((((2*IF(circ_int,0,eq_c2/2))+(PI()*(s_0+0*s_r+IF(circ_int,eq_c1/2,0))/2))+2*IF(circ_int,0,eq_c1/2))+(PI()*(s_0+0*s_r+IF(circ_int,eq_c1/2,0))/2))),IF(((14+0.5)*(4*IF(circ_int,0,eq_c1/2)+4*IF(circ_int,0,eq_c2/2)+2*PI()*(s_0+0*s_r+IF(circ_int,eq_c1/2,0)))/INDEX(lk_legs,1))&lt;((((((2*IF(circ_int,0,eq_c2/2))+(PI()*(s_0+0*s_r+IF(circ_int,eq_c1/2,0))/2))+2*IF(circ_int,0,eq_c1/2))+(PI()*(s_0+0*s_r+IF(circ_int,eq_c1/2,0))/2))+2*IF(circ_int,0,eq_c2/2))+(PI()*(s_0+0*s_r+IF(circ_int,eq_c1/2,0))/2)),-IF(circ_int,0,eq_c2/2)+(s_0+0*s_r+IF(circ_int,eq_c1/2,0))*SIN(PI()+(((14+0.5)*(4*IF(circ_int,0,eq_c1/2)+4*IF(circ_int,0,eq_c2/2)+2*PI()*(s_0+0*s_r+IF(circ_int,eq_c1/2,0)))/INDEX(lk_legs,1))-(((((2*IF(circ_int,0,eq_c2/2))+(PI()*(s_0+0*s_r+IF(circ_int,eq_c1/2,0))/2))+2*IF(circ_int,0,eq_c1/2))+(PI()*(s_0+0*s_r+IF(circ_int,eq_c1/2,0))/2))+2*IF(circ_int,0,eq_c2/2)))/(s_0+0*s_r+IF(circ_int,eq_c1/2,0))),IF(((14+0.5)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(14+0.5)*(4*IF(circ_int,0,eq_c1/2)+4*IF(circ_int,0,eq_c2/2)+2*PI()*(s_0+0*s_r+IF(circ_int,eq_c1/2,0)))/INDEX(lk_legs,1))-(((((((2*IF(circ_int,0,eq_c2/2))+(PI()*(s_0+0*s_r+IF(circ_int,eq_c1/2,0))/2))+2*IF(circ_int,0,eq_c1/2))+(PI()*(s_0+0*s_r+IF(circ_int,eq_c1/2,0))/2))+2*IF(circ_int,0,eq_c2/2))+(PI()*(s_0+0*s_r+IF(circ_int,eq_c1/2,0))/2))+2*IF(circ_int,0,eq_c1/2)))/(s_0+0*s_r+IF(circ_int,eq_c1/2,0)))))))))),NA())</f>
        <v/>
      </c>
      <c r="BC17">
        <f>IF(AND(links_on,2&lt;=n_per),IF(circ_int,(g_ox)+(c_1/2+(s_0+1*s_r))*-0.120537,CHOOSE(INDEX(lk_kind,2),(g_ox-eq_c1/2)+((s_0+1*s_r))*-0.130526,(eq_a1+eq_c1)+((s_0+1*s_r))*1.000000,eq_a1+eq_c1+(s_0+1*s_r),(eq_a1+eq_c1)+((s_0+1*s_r))*0.000000)),NA())</f>
        <v/>
      </c>
      <c r="BD17">
        <f>IF(AND(links_on,2&lt;=n_per),IF(circ_int,(g_oy)+(c_1/2+(s_0+1*s_r))*0.992709,CHOOSE(INDEX(lk_kind,2),(g_oy+eq_c2/2)+((s_0+1*s_r))*0.991445,(g_oy-eq_c2/2)+((s_0+1*s_r))*0.000000,0,(eq_a2+eq_c2)+((s_0+1*s_r))*1.000000)),NA())</f>
        <v/>
      </c>
      <c r="BF17">
        <f>IF(AND(AND(links_on,2&lt;=n_per),INDEX(lk_kind,2)=1,14&lt;INDEX(lk_legs,2)),g_ox+IF(((14+0.5)*(4*IF(circ_int,0,eq_c1/2)+4*IF(circ_int,0,eq_c2/2)+2*PI()*(s_0+1*s_r+IF(circ_int,eq_c1/2,0)))/INDEX(lk_legs,2))&lt;(2*IF(circ_int,0,eq_c2/2)),IF(circ_int,0,eq_c1/2)+(s_0+1*s_r+IF(circ_int,eq_c1/2,0)),IF(((14+0.5)*(4*IF(circ_int,0,eq_c1/2)+4*IF(circ_int,0,eq_c2/2)+2*PI()*(s_0+1*s_r+IF(circ_int,eq_c1/2,0)))/INDEX(lk_legs,2))&lt;((2*IF(circ_int,0,eq_c2/2))+(PI()*(s_0+1*s_r+IF(circ_int,eq_c1/2,0))/2)),IF(circ_int,0,eq_c1/2)+(s_0+1*s_r+IF(circ_int,eq_c1/2,0))*COS((((14+0.5)*(4*IF(circ_int,0,eq_c1/2)+4*IF(circ_int,0,eq_c2/2)+2*PI()*(s_0+1*s_r+IF(circ_int,eq_c1/2,0)))/INDEX(lk_legs,2))-(2*IF(circ_int,0,eq_c2/2)))/(s_0+1*s_r+IF(circ_int,eq_c1/2,0))),IF(((14+0.5)*(4*IF(circ_int,0,eq_c1/2)+4*IF(circ_int,0,eq_c2/2)+2*PI()*(s_0+1*s_r+IF(circ_int,eq_c1/2,0)))/INDEX(lk_legs,2))&lt;(((2*IF(circ_int,0,eq_c2/2))+(PI()*(s_0+1*s_r+IF(circ_int,eq_c1/2,0))/2))+2*IF(circ_int,0,eq_c1/2)),IF(circ_int,0,eq_c1/2)-(((14+0.5)*(4*IF(circ_int,0,eq_c1/2)+4*IF(circ_int,0,eq_c2/2)+2*PI()*(s_0+1*s_r+IF(circ_int,eq_c1/2,0)))/INDEX(lk_legs,2))-((2*IF(circ_int,0,eq_c2/2))+(PI()*(s_0+1*s_r+IF(circ_int,eq_c1/2,0))/2))),IF(((14+0.5)*(4*IF(circ_int,0,eq_c1/2)+4*IF(circ_int,0,eq_c2/2)+2*PI()*(s_0+1*s_r+IF(circ_int,eq_c1/2,0)))/INDEX(lk_legs,2))&lt;((((2*IF(circ_int,0,eq_c2/2))+(PI()*(s_0+1*s_r+IF(circ_int,eq_c1/2,0))/2))+2*IF(circ_int,0,eq_c1/2))+(PI()*(s_0+1*s_r+IF(circ_int,eq_c1/2,0))/2)),-IF(circ_int,0,eq_c1/2)+(s_0+1*s_r+IF(circ_int,eq_c1/2,0))*COS(PI()/2+(((14+0.5)*(4*IF(circ_int,0,eq_c1/2)+4*IF(circ_int,0,eq_c2/2)+2*PI()*(s_0+1*s_r+IF(circ_int,eq_c1/2,0)))/INDEX(lk_legs,2))-(((2*IF(circ_int,0,eq_c2/2))+(PI()*(s_0+1*s_r+IF(circ_int,eq_c1/2,0))/2))+2*IF(circ_int,0,eq_c1/2)))/(s_0+1*s_r+IF(circ_int,eq_c1/2,0))),IF(((14+0.5)*(4*IF(circ_int,0,eq_c1/2)+4*IF(circ_int,0,eq_c2/2)+2*PI()*(s_0+1*s_r+IF(circ_int,eq_c1/2,0)))/INDEX(lk_legs,2))&lt;(((((2*IF(circ_int,0,eq_c2/2))+(PI()*(s_0+1*s_r+IF(circ_int,eq_c1/2,0))/2))+2*IF(circ_int,0,eq_c1/2))+(PI()*(s_0+1*s_r+IF(circ_int,eq_c1/2,0))/2))+2*IF(circ_int,0,eq_c2/2)),-IF(circ_int,0,eq_c1/2)-(s_0+1*s_r+IF(circ_int,eq_c1/2,0)),IF(((14+0.5)*(4*IF(circ_int,0,eq_c1/2)+4*IF(circ_int,0,eq_c2/2)+2*PI()*(s_0+1*s_r+IF(circ_int,eq_c1/2,0)))/INDEX(lk_legs,2))&lt;((((((2*IF(circ_int,0,eq_c2/2))+(PI()*(s_0+1*s_r+IF(circ_int,eq_c1/2,0))/2))+2*IF(circ_int,0,eq_c1/2))+(PI()*(s_0+1*s_r+IF(circ_int,eq_c1/2,0))/2))+2*IF(circ_int,0,eq_c2/2))+(PI()*(s_0+1*s_r+IF(circ_int,eq_c1/2,0))/2)),-IF(circ_int,0,eq_c1/2)+(s_0+1*s_r+IF(circ_int,eq_c1/2,0))*COS(PI()+(((14+0.5)*(4*IF(circ_int,0,eq_c1/2)+4*IF(circ_int,0,eq_c2/2)+2*PI()*(s_0+1*s_r+IF(circ_int,eq_c1/2,0)))/INDEX(lk_legs,2))-(((((2*IF(circ_int,0,eq_c2/2))+(PI()*(s_0+1*s_r+IF(circ_int,eq_c1/2,0))/2))+2*IF(circ_int,0,eq_c1/2))+(PI()*(s_0+1*s_r+IF(circ_int,eq_c1/2,0))/2))+2*IF(circ_int,0,eq_c2/2)))/(s_0+1*s_r+IF(circ_int,eq_c1/2,0))),IF(((14+0.5)*(4*IF(circ_int,0,eq_c1/2)+4*IF(circ_int,0,eq_c2/2)+2*PI()*(s_0+1*s_r+IF(circ_int,eq_c1/2,0)))/INDEX(lk_legs,2))&lt;(((((((2*IF(circ_int,0,eq_c2/2))+(PI()*(s_0+1*s_r+IF(circ_int,eq_c1/2,0))/2))+2*IF(circ_int,0,eq_c1/2))+(PI()*(s_0+1*s_r+IF(circ_int,eq_c1/2,0))/2))+2*IF(circ_int,0,eq_c2/2))+(PI()*(s_0+1*s_r+IF(circ_int,eq_c1/2,0))/2))+2*IF(circ_int,0,eq_c1/2)),-IF(circ_int,0,eq_c1/2)+(((14+0.5)*(4*IF(circ_int,0,eq_c1/2)+4*IF(circ_int,0,eq_c2/2)+2*PI()*(s_0+1*s_r+IF(circ_int,eq_c1/2,0)))/INDEX(lk_legs,2))-((((((2*IF(circ_int,0,eq_c2/2))+(PI()*(s_0+1*s_r+IF(circ_int,eq_c1/2,0))/2))+2*IF(circ_int,0,eq_c1/2))+(PI()*(s_0+1*s_r+IF(circ_int,eq_c1/2,0))/2))+2*IF(circ_int,0,eq_c2/2))+(PI()*(s_0+1*s_r+IF(circ_int,eq_c1/2,0))/2))),IF(circ_int,0,eq_c1/2)+(s_0+1*s_r+IF(circ_int,eq_c1/2,0))*COS(3*PI()/2+(((14+0.5)*(4*IF(circ_int,0,eq_c1/2)+4*IF(circ_int,0,eq_c2/2)+2*PI()*(s_0+1*s_r+IF(circ_int,eq_c1/2,0)))/INDEX(lk_legs,2))-(((((((2*IF(circ_int,0,eq_c2/2))+(PI()*(s_0+1*s_r+IF(circ_int,eq_c1/2,0))/2))+2*IF(circ_int,0,eq_c1/2))+(PI()*(s_0+1*s_r+IF(circ_int,eq_c1/2,0))/2))+2*IF(circ_int,0,eq_c2/2))+(PI()*(s_0+1*s_r+IF(circ_int,eq_c1/2,0))/2))+2*IF(circ_int,0,eq_c1/2)))/(s_0+1*s_r+IF(circ_int,eq_c1/2,0)))))))))),NA())</f>
        <v/>
      </c>
      <c r="BG17">
        <f>IF(AND(AND(links_on,2&lt;=n_per),INDEX(lk_kind,2)=1,14&lt;INDEX(lk_legs,2)),g_oy+IF(((14+0.5)*(4*IF(circ_int,0,eq_c1/2)+4*IF(circ_int,0,eq_c2/2)+2*PI()*(s_0+1*s_r+IF(circ_int,eq_c1/2,0)))/INDEX(lk_legs,2))&lt;(2*IF(circ_int,0,eq_c2/2)),-IF(circ_int,0,eq_c2/2)+((14+0.5)*(4*IF(circ_int,0,eq_c1/2)+4*IF(circ_int,0,eq_c2/2)+2*PI()*(s_0+1*s_r+IF(circ_int,eq_c1/2,0)))/INDEX(lk_legs,2)),IF(((14+0.5)*(4*IF(circ_int,0,eq_c1/2)+4*IF(circ_int,0,eq_c2/2)+2*PI()*(s_0+1*s_r+IF(circ_int,eq_c1/2,0)))/INDEX(lk_legs,2))&lt;((2*IF(circ_int,0,eq_c2/2))+(PI()*(s_0+1*s_r+IF(circ_int,eq_c1/2,0))/2)),IF(circ_int,0,eq_c2/2)+(s_0+1*s_r+IF(circ_int,eq_c1/2,0))*SIN((((14+0.5)*(4*IF(circ_int,0,eq_c1/2)+4*IF(circ_int,0,eq_c2/2)+2*PI()*(s_0+1*s_r+IF(circ_int,eq_c1/2,0)))/INDEX(lk_legs,2))-(2*IF(circ_int,0,eq_c2/2)))/(s_0+1*s_r+IF(circ_int,eq_c1/2,0))),IF(((14+0.5)*(4*IF(circ_int,0,eq_c1/2)+4*IF(circ_int,0,eq_c2/2)+2*PI()*(s_0+1*s_r+IF(circ_int,eq_c1/2,0)))/INDEX(lk_legs,2))&lt;(((2*IF(circ_int,0,eq_c2/2))+(PI()*(s_0+1*s_r+IF(circ_int,eq_c1/2,0))/2))+2*IF(circ_int,0,eq_c1/2)),IF(circ_int,0,eq_c2/2)+(s_0+1*s_r+IF(circ_int,eq_c1/2,0)),IF(((14+0.5)*(4*IF(circ_int,0,eq_c1/2)+4*IF(circ_int,0,eq_c2/2)+2*PI()*(s_0+1*s_r+IF(circ_int,eq_c1/2,0)))/INDEX(lk_legs,2))&lt;((((2*IF(circ_int,0,eq_c2/2))+(PI()*(s_0+1*s_r+IF(circ_int,eq_c1/2,0))/2))+2*IF(circ_int,0,eq_c1/2))+(PI()*(s_0+1*s_r+IF(circ_int,eq_c1/2,0))/2)),IF(circ_int,0,eq_c2/2)+(s_0+1*s_r+IF(circ_int,eq_c1/2,0))*SIN(PI()/2+(((14+0.5)*(4*IF(circ_int,0,eq_c1/2)+4*IF(circ_int,0,eq_c2/2)+2*PI()*(s_0+1*s_r+IF(circ_int,eq_c1/2,0)))/INDEX(lk_legs,2))-(((2*IF(circ_int,0,eq_c2/2))+(PI()*(s_0+1*s_r+IF(circ_int,eq_c1/2,0))/2))+2*IF(circ_int,0,eq_c1/2)))/(s_0+1*s_r+IF(circ_int,eq_c1/2,0))),IF(((14+0.5)*(4*IF(circ_int,0,eq_c1/2)+4*IF(circ_int,0,eq_c2/2)+2*PI()*(s_0+1*s_r+IF(circ_int,eq_c1/2,0)))/INDEX(lk_legs,2))&lt;(((((2*IF(circ_int,0,eq_c2/2))+(PI()*(s_0+1*s_r+IF(circ_int,eq_c1/2,0))/2))+2*IF(circ_int,0,eq_c1/2))+(PI()*(s_0+1*s_r+IF(circ_int,eq_c1/2,0))/2))+2*IF(circ_int,0,eq_c2/2)),IF(circ_int,0,eq_c2/2)-(((14+0.5)*(4*IF(circ_int,0,eq_c1/2)+4*IF(circ_int,0,eq_c2/2)+2*PI()*(s_0+1*s_r+IF(circ_int,eq_c1/2,0)))/INDEX(lk_legs,2))-((((2*IF(circ_int,0,eq_c2/2))+(PI()*(s_0+1*s_r+IF(circ_int,eq_c1/2,0))/2))+2*IF(circ_int,0,eq_c1/2))+(PI()*(s_0+1*s_r+IF(circ_int,eq_c1/2,0))/2))),IF(((14+0.5)*(4*IF(circ_int,0,eq_c1/2)+4*IF(circ_int,0,eq_c2/2)+2*PI()*(s_0+1*s_r+IF(circ_int,eq_c1/2,0)))/INDEX(lk_legs,2))&lt;((((((2*IF(circ_int,0,eq_c2/2))+(PI()*(s_0+1*s_r+IF(circ_int,eq_c1/2,0))/2))+2*IF(circ_int,0,eq_c1/2))+(PI()*(s_0+1*s_r+IF(circ_int,eq_c1/2,0))/2))+2*IF(circ_int,0,eq_c2/2))+(PI()*(s_0+1*s_r+IF(circ_int,eq_c1/2,0))/2)),-IF(circ_int,0,eq_c2/2)+(s_0+1*s_r+IF(circ_int,eq_c1/2,0))*SIN(PI()+(((14+0.5)*(4*IF(circ_int,0,eq_c1/2)+4*IF(circ_int,0,eq_c2/2)+2*PI()*(s_0+1*s_r+IF(circ_int,eq_c1/2,0)))/INDEX(lk_legs,2))-(((((2*IF(circ_int,0,eq_c2/2))+(PI()*(s_0+1*s_r+IF(circ_int,eq_c1/2,0))/2))+2*IF(circ_int,0,eq_c1/2))+(PI()*(s_0+1*s_r+IF(circ_int,eq_c1/2,0))/2))+2*IF(circ_int,0,eq_c2/2)))/(s_0+1*s_r+IF(circ_int,eq_c1/2,0))),IF(((14+0.5)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(14+0.5)*(4*IF(circ_int,0,eq_c1/2)+4*IF(circ_int,0,eq_c2/2)+2*PI()*(s_0+1*s_r+IF(circ_int,eq_c1/2,0)))/INDEX(lk_legs,2))-(((((((2*IF(circ_int,0,eq_c2/2))+(PI()*(s_0+1*s_r+IF(circ_int,eq_c1/2,0))/2))+2*IF(circ_int,0,eq_c1/2))+(PI()*(s_0+1*s_r+IF(circ_int,eq_c1/2,0))/2))+2*IF(circ_int,0,eq_c2/2))+(PI()*(s_0+1*s_r+IF(circ_int,eq_c1/2,0))/2))+2*IF(circ_int,0,eq_c1/2)))/(s_0+1*s_r+IF(circ_int,eq_c1/2,0)))))))))),NA())</f>
        <v/>
      </c>
      <c r="BI17">
        <f>IF(AND(links_on,3&lt;=n_per),IF(circ_int,(g_ox)+(c_1/2+(s_0+2*s_r))*-0.120537,CHOOSE(INDEX(lk_kind,3),(g_ox-eq_c1/2)+((s_0+2*s_r))*-0.130526,(eq_a1+eq_c1)+((s_0+2*s_r))*1.000000,eq_a1+eq_c1+(s_0+2*s_r),(eq_a1+eq_c1)+((s_0+2*s_r))*0.000000)),NA())</f>
        <v/>
      </c>
      <c r="BJ17">
        <f>IF(AND(links_on,3&lt;=n_per),IF(circ_int,(g_oy)+(c_1/2+(s_0+2*s_r))*0.992709,CHOOSE(INDEX(lk_kind,3),(g_oy+eq_c2/2)+((s_0+2*s_r))*0.991445,(g_oy-eq_c2/2)+((s_0+2*s_r))*0.000000,0,(eq_a2+eq_c2)+((s_0+2*s_r))*1.000000)),NA())</f>
        <v/>
      </c>
      <c r="BL17">
        <f>IF(AND(AND(links_on,3&lt;=n_per),INDEX(lk_kind,3)=1,14&lt;INDEX(lk_legs,3)),g_ox+IF(((14+0.5)*(4*IF(circ_int,0,eq_c1/2)+4*IF(circ_int,0,eq_c2/2)+2*PI()*(s_0+2*s_r+IF(circ_int,eq_c1/2,0)))/INDEX(lk_legs,3))&lt;(2*IF(circ_int,0,eq_c2/2)),IF(circ_int,0,eq_c1/2)+(s_0+2*s_r+IF(circ_int,eq_c1/2,0)),IF(((14+0.5)*(4*IF(circ_int,0,eq_c1/2)+4*IF(circ_int,0,eq_c2/2)+2*PI()*(s_0+2*s_r+IF(circ_int,eq_c1/2,0)))/INDEX(lk_legs,3))&lt;((2*IF(circ_int,0,eq_c2/2))+(PI()*(s_0+2*s_r+IF(circ_int,eq_c1/2,0))/2)),IF(circ_int,0,eq_c1/2)+(s_0+2*s_r+IF(circ_int,eq_c1/2,0))*COS((((14+0.5)*(4*IF(circ_int,0,eq_c1/2)+4*IF(circ_int,0,eq_c2/2)+2*PI()*(s_0+2*s_r+IF(circ_int,eq_c1/2,0)))/INDEX(lk_legs,3))-(2*IF(circ_int,0,eq_c2/2)))/(s_0+2*s_r+IF(circ_int,eq_c1/2,0))),IF(((14+0.5)*(4*IF(circ_int,0,eq_c1/2)+4*IF(circ_int,0,eq_c2/2)+2*PI()*(s_0+2*s_r+IF(circ_int,eq_c1/2,0)))/INDEX(lk_legs,3))&lt;(((2*IF(circ_int,0,eq_c2/2))+(PI()*(s_0+2*s_r+IF(circ_int,eq_c1/2,0))/2))+2*IF(circ_int,0,eq_c1/2)),IF(circ_int,0,eq_c1/2)-(((14+0.5)*(4*IF(circ_int,0,eq_c1/2)+4*IF(circ_int,0,eq_c2/2)+2*PI()*(s_0+2*s_r+IF(circ_int,eq_c1/2,0)))/INDEX(lk_legs,3))-((2*IF(circ_int,0,eq_c2/2))+(PI()*(s_0+2*s_r+IF(circ_int,eq_c1/2,0))/2))),IF(((14+0.5)*(4*IF(circ_int,0,eq_c1/2)+4*IF(circ_int,0,eq_c2/2)+2*PI()*(s_0+2*s_r+IF(circ_int,eq_c1/2,0)))/INDEX(lk_legs,3))&lt;((((2*IF(circ_int,0,eq_c2/2))+(PI()*(s_0+2*s_r+IF(circ_int,eq_c1/2,0))/2))+2*IF(circ_int,0,eq_c1/2))+(PI()*(s_0+2*s_r+IF(circ_int,eq_c1/2,0))/2)),-IF(circ_int,0,eq_c1/2)+(s_0+2*s_r+IF(circ_int,eq_c1/2,0))*COS(PI()/2+(((14+0.5)*(4*IF(circ_int,0,eq_c1/2)+4*IF(circ_int,0,eq_c2/2)+2*PI()*(s_0+2*s_r+IF(circ_int,eq_c1/2,0)))/INDEX(lk_legs,3))-(((2*IF(circ_int,0,eq_c2/2))+(PI()*(s_0+2*s_r+IF(circ_int,eq_c1/2,0))/2))+2*IF(circ_int,0,eq_c1/2)))/(s_0+2*s_r+IF(circ_int,eq_c1/2,0))),IF(((14+0.5)*(4*IF(circ_int,0,eq_c1/2)+4*IF(circ_int,0,eq_c2/2)+2*PI()*(s_0+2*s_r+IF(circ_int,eq_c1/2,0)))/INDEX(lk_legs,3))&lt;(((((2*IF(circ_int,0,eq_c2/2))+(PI()*(s_0+2*s_r+IF(circ_int,eq_c1/2,0))/2))+2*IF(circ_int,0,eq_c1/2))+(PI()*(s_0+2*s_r+IF(circ_int,eq_c1/2,0))/2))+2*IF(circ_int,0,eq_c2/2)),-IF(circ_int,0,eq_c1/2)-(s_0+2*s_r+IF(circ_int,eq_c1/2,0)),IF(((14+0.5)*(4*IF(circ_int,0,eq_c1/2)+4*IF(circ_int,0,eq_c2/2)+2*PI()*(s_0+2*s_r+IF(circ_int,eq_c1/2,0)))/INDEX(lk_legs,3))&lt;((((((2*IF(circ_int,0,eq_c2/2))+(PI()*(s_0+2*s_r+IF(circ_int,eq_c1/2,0))/2))+2*IF(circ_int,0,eq_c1/2))+(PI()*(s_0+2*s_r+IF(circ_int,eq_c1/2,0))/2))+2*IF(circ_int,0,eq_c2/2))+(PI()*(s_0+2*s_r+IF(circ_int,eq_c1/2,0))/2)),-IF(circ_int,0,eq_c1/2)+(s_0+2*s_r+IF(circ_int,eq_c1/2,0))*COS(PI()+(((14+0.5)*(4*IF(circ_int,0,eq_c1/2)+4*IF(circ_int,0,eq_c2/2)+2*PI()*(s_0+2*s_r+IF(circ_int,eq_c1/2,0)))/INDEX(lk_legs,3))-(((((2*IF(circ_int,0,eq_c2/2))+(PI()*(s_0+2*s_r+IF(circ_int,eq_c1/2,0))/2))+2*IF(circ_int,0,eq_c1/2))+(PI()*(s_0+2*s_r+IF(circ_int,eq_c1/2,0))/2))+2*IF(circ_int,0,eq_c2/2)))/(s_0+2*s_r+IF(circ_int,eq_c1/2,0))),IF(((14+0.5)*(4*IF(circ_int,0,eq_c1/2)+4*IF(circ_int,0,eq_c2/2)+2*PI()*(s_0+2*s_r+IF(circ_int,eq_c1/2,0)))/INDEX(lk_legs,3))&lt;(((((((2*IF(circ_int,0,eq_c2/2))+(PI()*(s_0+2*s_r+IF(circ_int,eq_c1/2,0))/2))+2*IF(circ_int,0,eq_c1/2))+(PI()*(s_0+2*s_r+IF(circ_int,eq_c1/2,0))/2))+2*IF(circ_int,0,eq_c2/2))+(PI()*(s_0+2*s_r+IF(circ_int,eq_c1/2,0))/2))+2*IF(circ_int,0,eq_c1/2)),-IF(circ_int,0,eq_c1/2)+(((14+0.5)*(4*IF(circ_int,0,eq_c1/2)+4*IF(circ_int,0,eq_c2/2)+2*PI()*(s_0+2*s_r+IF(circ_int,eq_c1/2,0)))/INDEX(lk_legs,3))-((((((2*IF(circ_int,0,eq_c2/2))+(PI()*(s_0+2*s_r+IF(circ_int,eq_c1/2,0))/2))+2*IF(circ_int,0,eq_c1/2))+(PI()*(s_0+2*s_r+IF(circ_int,eq_c1/2,0))/2))+2*IF(circ_int,0,eq_c2/2))+(PI()*(s_0+2*s_r+IF(circ_int,eq_c1/2,0))/2))),IF(circ_int,0,eq_c1/2)+(s_0+2*s_r+IF(circ_int,eq_c1/2,0))*COS(3*PI()/2+(((14+0.5)*(4*IF(circ_int,0,eq_c1/2)+4*IF(circ_int,0,eq_c2/2)+2*PI()*(s_0+2*s_r+IF(circ_int,eq_c1/2,0)))/INDEX(lk_legs,3))-(((((((2*IF(circ_int,0,eq_c2/2))+(PI()*(s_0+2*s_r+IF(circ_int,eq_c1/2,0))/2))+2*IF(circ_int,0,eq_c1/2))+(PI()*(s_0+2*s_r+IF(circ_int,eq_c1/2,0))/2))+2*IF(circ_int,0,eq_c2/2))+(PI()*(s_0+2*s_r+IF(circ_int,eq_c1/2,0))/2))+2*IF(circ_int,0,eq_c1/2)))/(s_0+2*s_r+IF(circ_int,eq_c1/2,0)))))))))),NA())</f>
        <v/>
      </c>
      <c r="BM17">
        <f>IF(AND(AND(links_on,3&lt;=n_per),INDEX(lk_kind,3)=1,14&lt;INDEX(lk_legs,3)),g_oy+IF(((14+0.5)*(4*IF(circ_int,0,eq_c1/2)+4*IF(circ_int,0,eq_c2/2)+2*PI()*(s_0+2*s_r+IF(circ_int,eq_c1/2,0)))/INDEX(lk_legs,3))&lt;(2*IF(circ_int,0,eq_c2/2)),-IF(circ_int,0,eq_c2/2)+((14+0.5)*(4*IF(circ_int,0,eq_c1/2)+4*IF(circ_int,0,eq_c2/2)+2*PI()*(s_0+2*s_r+IF(circ_int,eq_c1/2,0)))/INDEX(lk_legs,3)),IF(((14+0.5)*(4*IF(circ_int,0,eq_c1/2)+4*IF(circ_int,0,eq_c2/2)+2*PI()*(s_0+2*s_r+IF(circ_int,eq_c1/2,0)))/INDEX(lk_legs,3))&lt;((2*IF(circ_int,0,eq_c2/2))+(PI()*(s_0+2*s_r+IF(circ_int,eq_c1/2,0))/2)),IF(circ_int,0,eq_c2/2)+(s_0+2*s_r+IF(circ_int,eq_c1/2,0))*SIN((((14+0.5)*(4*IF(circ_int,0,eq_c1/2)+4*IF(circ_int,0,eq_c2/2)+2*PI()*(s_0+2*s_r+IF(circ_int,eq_c1/2,0)))/INDEX(lk_legs,3))-(2*IF(circ_int,0,eq_c2/2)))/(s_0+2*s_r+IF(circ_int,eq_c1/2,0))),IF(((14+0.5)*(4*IF(circ_int,0,eq_c1/2)+4*IF(circ_int,0,eq_c2/2)+2*PI()*(s_0+2*s_r+IF(circ_int,eq_c1/2,0)))/INDEX(lk_legs,3))&lt;(((2*IF(circ_int,0,eq_c2/2))+(PI()*(s_0+2*s_r+IF(circ_int,eq_c1/2,0))/2))+2*IF(circ_int,0,eq_c1/2)),IF(circ_int,0,eq_c2/2)+(s_0+2*s_r+IF(circ_int,eq_c1/2,0)),IF(((14+0.5)*(4*IF(circ_int,0,eq_c1/2)+4*IF(circ_int,0,eq_c2/2)+2*PI()*(s_0+2*s_r+IF(circ_int,eq_c1/2,0)))/INDEX(lk_legs,3))&lt;((((2*IF(circ_int,0,eq_c2/2))+(PI()*(s_0+2*s_r+IF(circ_int,eq_c1/2,0))/2))+2*IF(circ_int,0,eq_c1/2))+(PI()*(s_0+2*s_r+IF(circ_int,eq_c1/2,0))/2)),IF(circ_int,0,eq_c2/2)+(s_0+2*s_r+IF(circ_int,eq_c1/2,0))*SIN(PI()/2+(((14+0.5)*(4*IF(circ_int,0,eq_c1/2)+4*IF(circ_int,0,eq_c2/2)+2*PI()*(s_0+2*s_r+IF(circ_int,eq_c1/2,0)))/INDEX(lk_legs,3))-(((2*IF(circ_int,0,eq_c2/2))+(PI()*(s_0+2*s_r+IF(circ_int,eq_c1/2,0))/2))+2*IF(circ_int,0,eq_c1/2)))/(s_0+2*s_r+IF(circ_int,eq_c1/2,0))),IF(((14+0.5)*(4*IF(circ_int,0,eq_c1/2)+4*IF(circ_int,0,eq_c2/2)+2*PI()*(s_0+2*s_r+IF(circ_int,eq_c1/2,0)))/INDEX(lk_legs,3))&lt;(((((2*IF(circ_int,0,eq_c2/2))+(PI()*(s_0+2*s_r+IF(circ_int,eq_c1/2,0))/2))+2*IF(circ_int,0,eq_c1/2))+(PI()*(s_0+2*s_r+IF(circ_int,eq_c1/2,0))/2))+2*IF(circ_int,0,eq_c2/2)),IF(circ_int,0,eq_c2/2)-(((14+0.5)*(4*IF(circ_int,0,eq_c1/2)+4*IF(circ_int,0,eq_c2/2)+2*PI()*(s_0+2*s_r+IF(circ_int,eq_c1/2,0)))/INDEX(lk_legs,3))-((((2*IF(circ_int,0,eq_c2/2))+(PI()*(s_0+2*s_r+IF(circ_int,eq_c1/2,0))/2))+2*IF(circ_int,0,eq_c1/2))+(PI()*(s_0+2*s_r+IF(circ_int,eq_c1/2,0))/2))),IF(((14+0.5)*(4*IF(circ_int,0,eq_c1/2)+4*IF(circ_int,0,eq_c2/2)+2*PI()*(s_0+2*s_r+IF(circ_int,eq_c1/2,0)))/INDEX(lk_legs,3))&lt;((((((2*IF(circ_int,0,eq_c2/2))+(PI()*(s_0+2*s_r+IF(circ_int,eq_c1/2,0))/2))+2*IF(circ_int,0,eq_c1/2))+(PI()*(s_0+2*s_r+IF(circ_int,eq_c1/2,0))/2))+2*IF(circ_int,0,eq_c2/2))+(PI()*(s_0+2*s_r+IF(circ_int,eq_c1/2,0))/2)),-IF(circ_int,0,eq_c2/2)+(s_0+2*s_r+IF(circ_int,eq_c1/2,0))*SIN(PI()+(((14+0.5)*(4*IF(circ_int,0,eq_c1/2)+4*IF(circ_int,0,eq_c2/2)+2*PI()*(s_0+2*s_r+IF(circ_int,eq_c1/2,0)))/INDEX(lk_legs,3))-(((((2*IF(circ_int,0,eq_c2/2))+(PI()*(s_0+2*s_r+IF(circ_int,eq_c1/2,0))/2))+2*IF(circ_int,0,eq_c1/2))+(PI()*(s_0+2*s_r+IF(circ_int,eq_c1/2,0))/2))+2*IF(circ_int,0,eq_c2/2)))/(s_0+2*s_r+IF(circ_int,eq_c1/2,0))),IF(((14+0.5)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(14+0.5)*(4*IF(circ_int,0,eq_c1/2)+4*IF(circ_int,0,eq_c2/2)+2*PI()*(s_0+2*s_r+IF(circ_int,eq_c1/2,0)))/INDEX(lk_legs,3))-(((((((2*IF(circ_int,0,eq_c2/2))+(PI()*(s_0+2*s_r+IF(circ_int,eq_c1/2,0))/2))+2*IF(circ_int,0,eq_c1/2))+(PI()*(s_0+2*s_r+IF(circ_int,eq_c1/2,0))/2))+2*IF(circ_int,0,eq_c2/2))+(PI()*(s_0+2*s_r+IF(circ_int,eq_c1/2,0))/2))+2*IF(circ_int,0,eq_c1/2)))/(s_0+2*s_r+IF(circ_int,eq_c1/2,0)))))))))),NA())</f>
        <v/>
      </c>
      <c r="BO17">
        <f>IF(AND(links_on,4&lt;=n_per),IF(circ_int,(g_ox)+(c_1/2+(s_0+3*s_r))*-0.120537,CHOOSE(INDEX(lk_kind,4),(g_ox-eq_c1/2)+((s_0+3*s_r))*-0.130526,(eq_a1+eq_c1)+((s_0+3*s_r))*1.000000,eq_a1+eq_c1+(s_0+3*s_r),(eq_a1+eq_c1)+((s_0+3*s_r))*0.000000)),NA())</f>
        <v/>
      </c>
      <c r="BP17">
        <f>IF(AND(links_on,4&lt;=n_per),IF(circ_int,(g_oy)+(c_1/2+(s_0+3*s_r))*0.992709,CHOOSE(INDEX(lk_kind,4),(g_oy+eq_c2/2)+((s_0+3*s_r))*0.991445,(g_oy-eq_c2/2)+((s_0+3*s_r))*0.000000,0,(eq_a2+eq_c2)+((s_0+3*s_r))*1.000000)),NA())</f>
        <v/>
      </c>
      <c r="BR17">
        <f>IF(AND(AND(links_on,4&lt;=n_per),INDEX(lk_kind,4)=1,14&lt;INDEX(lk_legs,4)),g_ox+IF(((14+0.5)*(4*IF(circ_int,0,eq_c1/2)+4*IF(circ_int,0,eq_c2/2)+2*PI()*(s_0+3*s_r+IF(circ_int,eq_c1/2,0)))/INDEX(lk_legs,4))&lt;(2*IF(circ_int,0,eq_c2/2)),IF(circ_int,0,eq_c1/2)+(s_0+3*s_r+IF(circ_int,eq_c1/2,0)),IF(((14+0.5)*(4*IF(circ_int,0,eq_c1/2)+4*IF(circ_int,0,eq_c2/2)+2*PI()*(s_0+3*s_r+IF(circ_int,eq_c1/2,0)))/INDEX(lk_legs,4))&lt;((2*IF(circ_int,0,eq_c2/2))+(PI()*(s_0+3*s_r+IF(circ_int,eq_c1/2,0))/2)),IF(circ_int,0,eq_c1/2)+(s_0+3*s_r+IF(circ_int,eq_c1/2,0))*COS((((14+0.5)*(4*IF(circ_int,0,eq_c1/2)+4*IF(circ_int,0,eq_c2/2)+2*PI()*(s_0+3*s_r+IF(circ_int,eq_c1/2,0)))/INDEX(lk_legs,4))-(2*IF(circ_int,0,eq_c2/2)))/(s_0+3*s_r+IF(circ_int,eq_c1/2,0))),IF(((14+0.5)*(4*IF(circ_int,0,eq_c1/2)+4*IF(circ_int,0,eq_c2/2)+2*PI()*(s_0+3*s_r+IF(circ_int,eq_c1/2,0)))/INDEX(lk_legs,4))&lt;(((2*IF(circ_int,0,eq_c2/2))+(PI()*(s_0+3*s_r+IF(circ_int,eq_c1/2,0))/2))+2*IF(circ_int,0,eq_c1/2)),IF(circ_int,0,eq_c1/2)-(((14+0.5)*(4*IF(circ_int,0,eq_c1/2)+4*IF(circ_int,0,eq_c2/2)+2*PI()*(s_0+3*s_r+IF(circ_int,eq_c1/2,0)))/INDEX(lk_legs,4))-((2*IF(circ_int,0,eq_c2/2))+(PI()*(s_0+3*s_r+IF(circ_int,eq_c1/2,0))/2))),IF(((14+0.5)*(4*IF(circ_int,0,eq_c1/2)+4*IF(circ_int,0,eq_c2/2)+2*PI()*(s_0+3*s_r+IF(circ_int,eq_c1/2,0)))/INDEX(lk_legs,4))&lt;((((2*IF(circ_int,0,eq_c2/2))+(PI()*(s_0+3*s_r+IF(circ_int,eq_c1/2,0))/2))+2*IF(circ_int,0,eq_c1/2))+(PI()*(s_0+3*s_r+IF(circ_int,eq_c1/2,0))/2)),-IF(circ_int,0,eq_c1/2)+(s_0+3*s_r+IF(circ_int,eq_c1/2,0))*COS(PI()/2+(((14+0.5)*(4*IF(circ_int,0,eq_c1/2)+4*IF(circ_int,0,eq_c2/2)+2*PI()*(s_0+3*s_r+IF(circ_int,eq_c1/2,0)))/INDEX(lk_legs,4))-(((2*IF(circ_int,0,eq_c2/2))+(PI()*(s_0+3*s_r+IF(circ_int,eq_c1/2,0))/2))+2*IF(circ_int,0,eq_c1/2)))/(s_0+3*s_r+IF(circ_int,eq_c1/2,0))),IF(((14+0.5)*(4*IF(circ_int,0,eq_c1/2)+4*IF(circ_int,0,eq_c2/2)+2*PI()*(s_0+3*s_r+IF(circ_int,eq_c1/2,0)))/INDEX(lk_legs,4))&lt;(((((2*IF(circ_int,0,eq_c2/2))+(PI()*(s_0+3*s_r+IF(circ_int,eq_c1/2,0))/2))+2*IF(circ_int,0,eq_c1/2))+(PI()*(s_0+3*s_r+IF(circ_int,eq_c1/2,0))/2))+2*IF(circ_int,0,eq_c2/2)),-IF(circ_int,0,eq_c1/2)-(s_0+3*s_r+IF(circ_int,eq_c1/2,0)),IF(((14+0.5)*(4*IF(circ_int,0,eq_c1/2)+4*IF(circ_int,0,eq_c2/2)+2*PI()*(s_0+3*s_r+IF(circ_int,eq_c1/2,0)))/INDEX(lk_legs,4))&lt;((((((2*IF(circ_int,0,eq_c2/2))+(PI()*(s_0+3*s_r+IF(circ_int,eq_c1/2,0))/2))+2*IF(circ_int,0,eq_c1/2))+(PI()*(s_0+3*s_r+IF(circ_int,eq_c1/2,0))/2))+2*IF(circ_int,0,eq_c2/2))+(PI()*(s_0+3*s_r+IF(circ_int,eq_c1/2,0))/2)),-IF(circ_int,0,eq_c1/2)+(s_0+3*s_r+IF(circ_int,eq_c1/2,0))*COS(PI()+(((14+0.5)*(4*IF(circ_int,0,eq_c1/2)+4*IF(circ_int,0,eq_c2/2)+2*PI()*(s_0+3*s_r+IF(circ_int,eq_c1/2,0)))/INDEX(lk_legs,4))-(((((2*IF(circ_int,0,eq_c2/2))+(PI()*(s_0+3*s_r+IF(circ_int,eq_c1/2,0))/2))+2*IF(circ_int,0,eq_c1/2))+(PI()*(s_0+3*s_r+IF(circ_int,eq_c1/2,0))/2))+2*IF(circ_int,0,eq_c2/2)))/(s_0+3*s_r+IF(circ_int,eq_c1/2,0))),IF(((14+0.5)*(4*IF(circ_int,0,eq_c1/2)+4*IF(circ_int,0,eq_c2/2)+2*PI()*(s_0+3*s_r+IF(circ_int,eq_c1/2,0)))/INDEX(lk_legs,4))&lt;(((((((2*IF(circ_int,0,eq_c2/2))+(PI()*(s_0+3*s_r+IF(circ_int,eq_c1/2,0))/2))+2*IF(circ_int,0,eq_c1/2))+(PI()*(s_0+3*s_r+IF(circ_int,eq_c1/2,0))/2))+2*IF(circ_int,0,eq_c2/2))+(PI()*(s_0+3*s_r+IF(circ_int,eq_c1/2,0))/2))+2*IF(circ_int,0,eq_c1/2)),-IF(circ_int,0,eq_c1/2)+(((14+0.5)*(4*IF(circ_int,0,eq_c1/2)+4*IF(circ_int,0,eq_c2/2)+2*PI()*(s_0+3*s_r+IF(circ_int,eq_c1/2,0)))/INDEX(lk_legs,4))-((((((2*IF(circ_int,0,eq_c2/2))+(PI()*(s_0+3*s_r+IF(circ_int,eq_c1/2,0))/2))+2*IF(circ_int,0,eq_c1/2))+(PI()*(s_0+3*s_r+IF(circ_int,eq_c1/2,0))/2))+2*IF(circ_int,0,eq_c2/2))+(PI()*(s_0+3*s_r+IF(circ_int,eq_c1/2,0))/2))),IF(circ_int,0,eq_c1/2)+(s_0+3*s_r+IF(circ_int,eq_c1/2,0))*COS(3*PI()/2+(((14+0.5)*(4*IF(circ_int,0,eq_c1/2)+4*IF(circ_int,0,eq_c2/2)+2*PI()*(s_0+3*s_r+IF(circ_int,eq_c1/2,0)))/INDEX(lk_legs,4))-(((((((2*IF(circ_int,0,eq_c2/2))+(PI()*(s_0+3*s_r+IF(circ_int,eq_c1/2,0))/2))+2*IF(circ_int,0,eq_c1/2))+(PI()*(s_0+3*s_r+IF(circ_int,eq_c1/2,0))/2))+2*IF(circ_int,0,eq_c2/2))+(PI()*(s_0+3*s_r+IF(circ_int,eq_c1/2,0))/2))+2*IF(circ_int,0,eq_c1/2)))/(s_0+3*s_r+IF(circ_int,eq_c1/2,0)))))))))),NA())</f>
        <v/>
      </c>
      <c r="BS17">
        <f>IF(AND(AND(links_on,4&lt;=n_per),INDEX(lk_kind,4)=1,14&lt;INDEX(lk_legs,4)),g_oy+IF(((14+0.5)*(4*IF(circ_int,0,eq_c1/2)+4*IF(circ_int,0,eq_c2/2)+2*PI()*(s_0+3*s_r+IF(circ_int,eq_c1/2,0)))/INDEX(lk_legs,4))&lt;(2*IF(circ_int,0,eq_c2/2)),-IF(circ_int,0,eq_c2/2)+((14+0.5)*(4*IF(circ_int,0,eq_c1/2)+4*IF(circ_int,0,eq_c2/2)+2*PI()*(s_0+3*s_r+IF(circ_int,eq_c1/2,0)))/INDEX(lk_legs,4)),IF(((14+0.5)*(4*IF(circ_int,0,eq_c1/2)+4*IF(circ_int,0,eq_c2/2)+2*PI()*(s_0+3*s_r+IF(circ_int,eq_c1/2,0)))/INDEX(lk_legs,4))&lt;((2*IF(circ_int,0,eq_c2/2))+(PI()*(s_0+3*s_r+IF(circ_int,eq_c1/2,0))/2)),IF(circ_int,0,eq_c2/2)+(s_0+3*s_r+IF(circ_int,eq_c1/2,0))*SIN((((14+0.5)*(4*IF(circ_int,0,eq_c1/2)+4*IF(circ_int,0,eq_c2/2)+2*PI()*(s_0+3*s_r+IF(circ_int,eq_c1/2,0)))/INDEX(lk_legs,4))-(2*IF(circ_int,0,eq_c2/2)))/(s_0+3*s_r+IF(circ_int,eq_c1/2,0))),IF(((14+0.5)*(4*IF(circ_int,0,eq_c1/2)+4*IF(circ_int,0,eq_c2/2)+2*PI()*(s_0+3*s_r+IF(circ_int,eq_c1/2,0)))/INDEX(lk_legs,4))&lt;(((2*IF(circ_int,0,eq_c2/2))+(PI()*(s_0+3*s_r+IF(circ_int,eq_c1/2,0))/2))+2*IF(circ_int,0,eq_c1/2)),IF(circ_int,0,eq_c2/2)+(s_0+3*s_r+IF(circ_int,eq_c1/2,0)),IF(((14+0.5)*(4*IF(circ_int,0,eq_c1/2)+4*IF(circ_int,0,eq_c2/2)+2*PI()*(s_0+3*s_r+IF(circ_int,eq_c1/2,0)))/INDEX(lk_legs,4))&lt;((((2*IF(circ_int,0,eq_c2/2))+(PI()*(s_0+3*s_r+IF(circ_int,eq_c1/2,0))/2))+2*IF(circ_int,0,eq_c1/2))+(PI()*(s_0+3*s_r+IF(circ_int,eq_c1/2,0))/2)),IF(circ_int,0,eq_c2/2)+(s_0+3*s_r+IF(circ_int,eq_c1/2,0))*SIN(PI()/2+(((14+0.5)*(4*IF(circ_int,0,eq_c1/2)+4*IF(circ_int,0,eq_c2/2)+2*PI()*(s_0+3*s_r+IF(circ_int,eq_c1/2,0)))/INDEX(lk_legs,4))-(((2*IF(circ_int,0,eq_c2/2))+(PI()*(s_0+3*s_r+IF(circ_int,eq_c1/2,0))/2))+2*IF(circ_int,0,eq_c1/2)))/(s_0+3*s_r+IF(circ_int,eq_c1/2,0))),IF(((14+0.5)*(4*IF(circ_int,0,eq_c1/2)+4*IF(circ_int,0,eq_c2/2)+2*PI()*(s_0+3*s_r+IF(circ_int,eq_c1/2,0)))/INDEX(lk_legs,4))&lt;(((((2*IF(circ_int,0,eq_c2/2))+(PI()*(s_0+3*s_r+IF(circ_int,eq_c1/2,0))/2))+2*IF(circ_int,0,eq_c1/2))+(PI()*(s_0+3*s_r+IF(circ_int,eq_c1/2,0))/2))+2*IF(circ_int,0,eq_c2/2)),IF(circ_int,0,eq_c2/2)-(((14+0.5)*(4*IF(circ_int,0,eq_c1/2)+4*IF(circ_int,0,eq_c2/2)+2*PI()*(s_0+3*s_r+IF(circ_int,eq_c1/2,0)))/INDEX(lk_legs,4))-((((2*IF(circ_int,0,eq_c2/2))+(PI()*(s_0+3*s_r+IF(circ_int,eq_c1/2,0))/2))+2*IF(circ_int,0,eq_c1/2))+(PI()*(s_0+3*s_r+IF(circ_int,eq_c1/2,0))/2))),IF(((14+0.5)*(4*IF(circ_int,0,eq_c1/2)+4*IF(circ_int,0,eq_c2/2)+2*PI()*(s_0+3*s_r+IF(circ_int,eq_c1/2,0)))/INDEX(lk_legs,4))&lt;((((((2*IF(circ_int,0,eq_c2/2))+(PI()*(s_0+3*s_r+IF(circ_int,eq_c1/2,0))/2))+2*IF(circ_int,0,eq_c1/2))+(PI()*(s_0+3*s_r+IF(circ_int,eq_c1/2,0))/2))+2*IF(circ_int,0,eq_c2/2))+(PI()*(s_0+3*s_r+IF(circ_int,eq_c1/2,0))/2)),-IF(circ_int,0,eq_c2/2)+(s_0+3*s_r+IF(circ_int,eq_c1/2,0))*SIN(PI()+(((14+0.5)*(4*IF(circ_int,0,eq_c1/2)+4*IF(circ_int,0,eq_c2/2)+2*PI()*(s_0+3*s_r+IF(circ_int,eq_c1/2,0)))/INDEX(lk_legs,4))-(((((2*IF(circ_int,0,eq_c2/2))+(PI()*(s_0+3*s_r+IF(circ_int,eq_c1/2,0))/2))+2*IF(circ_int,0,eq_c1/2))+(PI()*(s_0+3*s_r+IF(circ_int,eq_c1/2,0))/2))+2*IF(circ_int,0,eq_c2/2)))/(s_0+3*s_r+IF(circ_int,eq_c1/2,0))),IF(((14+0.5)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(14+0.5)*(4*IF(circ_int,0,eq_c1/2)+4*IF(circ_int,0,eq_c2/2)+2*PI()*(s_0+3*s_r+IF(circ_int,eq_c1/2,0)))/INDEX(lk_legs,4))-(((((((2*IF(circ_int,0,eq_c2/2))+(PI()*(s_0+3*s_r+IF(circ_int,eq_c1/2,0))/2))+2*IF(circ_int,0,eq_c1/2))+(PI()*(s_0+3*s_r+IF(circ_int,eq_c1/2,0))/2))+2*IF(circ_int,0,eq_c2/2))+(PI()*(s_0+3*s_r+IF(circ_int,eq_c1/2,0))/2))+2*IF(circ_int,0,eq_c1/2)))/(s_0+3*s_r+IF(circ_int,eq_c1/2,0)))))))))),NA())</f>
        <v/>
      </c>
      <c r="BU17">
        <f>IF(AND(links_on,5&lt;=n_per),IF(circ_int,(g_ox)+(c_1/2+(s_0+4*s_r))*-0.120537,CHOOSE(INDEX(lk_kind,5),(g_ox-eq_c1/2)+((s_0+4*s_r))*-0.130526,(eq_a1+eq_c1)+((s_0+4*s_r))*1.000000,eq_a1+eq_c1+(s_0+4*s_r),(eq_a1+eq_c1)+((s_0+4*s_r))*0.000000)),NA())</f>
        <v/>
      </c>
      <c r="BV17">
        <f>IF(AND(links_on,5&lt;=n_per),IF(circ_int,(g_oy)+(c_1/2+(s_0+4*s_r))*0.992709,CHOOSE(INDEX(lk_kind,5),(g_oy+eq_c2/2)+((s_0+4*s_r))*0.991445,(g_oy-eq_c2/2)+((s_0+4*s_r))*0.000000,0,(eq_a2+eq_c2)+((s_0+4*s_r))*1.000000)),NA())</f>
        <v/>
      </c>
      <c r="BX17">
        <f>IF(AND(AND(links_on,5&lt;=n_per),INDEX(lk_kind,5)=1,14&lt;INDEX(lk_legs,5)),g_ox+IF(((14+0.5)*(4*IF(circ_int,0,eq_c1/2)+4*IF(circ_int,0,eq_c2/2)+2*PI()*(s_0+4*s_r+IF(circ_int,eq_c1/2,0)))/INDEX(lk_legs,5))&lt;(2*IF(circ_int,0,eq_c2/2)),IF(circ_int,0,eq_c1/2)+(s_0+4*s_r+IF(circ_int,eq_c1/2,0)),IF(((14+0.5)*(4*IF(circ_int,0,eq_c1/2)+4*IF(circ_int,0,eq_c2/2)+2*PI()*(s_0+4*s_r+IF(circ_int,eq_c1/2,0)))/INDEX(lk_legs,5))&lt;((2*IF(circ_int,0,eq_c2/2))+(PI()*(s_0+4*s_r+IF(circ_int,eq_c1/2,0))/2)),IF(circ_int,0,eq_c1/2)+(s_0+4*s_r+IF(circ_int,eq_c1/2,0))*COS((((14+0.5)*(4*IF(circ_int,0,eq_c1/2)+4*IF(circ_int,0,eq_c2/2)+2*PI()*(s_0+4*s_r+IF(circ_int,eq_c1/2,0)))/INDEX(lk_legs,5))-(2*IF(circ_int,0,eq_c2/2)))/(s_0+4*s_r+IF(circ_int,eq_c1/2,0))),IF(((14+0.5)*(4*IF(circ_int,0,eq_c1/2)+4*IF(circ_int,0,eq_c2/2)+2*PI()*(s_0+4*s_r+IF(circ_int,eq_c1/2,0)))/INDEX(lk_legs,5))&lt;(((2*IF(circ_int,0,eq_c2/2))+(PI()*(s_0+4*s_r+IF(circ_int,eq_c1/2,0))/2))+2*IF(circ_int,0,eq_c1/2)),IF(circ_int,0,eq_c1/2)-(((14+0.5)*(4*IF(circ_int,0,eq_c1/2)+4*IF(circ_int,0,eq_c2/2)+2*PI()*(s_0+4*s_r+IF(circ_int,eq_c1/2,0)))/INDEX(lk_legs,5))-((2*IF(circ_int,0,eq_c2/2))+(PI()*(s_0+4*s_r+IF(circ_int,eq_c1/2,0))/2))),IF(((14+0.5)*(4*IF(circ_int,0,eq_c1/2)+4*IF(circ_int,0,eq_c2/2)+2*PI()*(s_0+4*s_r+IF(circ_int,eq_c1/2,0)))/INDEX(lk_legs,5))&lt;((((2*IF(circ_int,0,eq_c2/2))+(PI()*(s_0+4*s_r+IF(circ_int,eq_c1/2,0))/2))+2*IF(circ_int,0,eq_c1/2))+(PI()*(s_0+4*s_r+IF(circ_int,eq_c1/2,0))/2)),-IF(circ_int,0,eq_c1/2)+(s_0+4*s_r+IF(circ_int,eq_c1/2,0))*COS(PI()/2+(((14+0.5)*(4*IF(circ_int,0,eq_c1/2)+4*IF(circ_int,0,eq_c2/2)+2*PI()*(s_0+4*s_r+IF(circ_int,eq_c1/2,0)))/INDEX(lk_legs,5))-(((2*IF(circ_int,0,eq_c2/2))+(PI()*(s_0+4*s_r+IF(circ_int,eq_c1/2,0))/2))+2*IF(circ_int,0,eq_c1/2)))/(s_0+4*s_r+IF(circ_int,eq_c1/2,0))),IF(((14+0.5)*(4*IF(circ_int,0,eq_c1/2)+4*IF(circ_int,0,eq_c2/2)+2*PI()*(s_0+4*s_r+IF(circ_int,eq_c1/2,0)))/INDEX(lk_legs,5))&lt;(((((2*IF(circ_int,0,eq_c2/2))+(PI()*(s_0+4*s_r+IF(circ_int,eq_c1/2,0))/2))+2*IF(circ_int,0,eq_c1/2))+(PI()*(s_0+4*s_r+IF(circ_int,eq_c1/2,0))/2))+2*IF(circ_int,0,eq_c2/2)),-IF(circ_int,0,eq_c1/2)-(s_0+4*s_r+IF(circ_int,eq_c1/2,0)),IF(((14+0.5)*(4*IF(circ_int,0,eq_c1/2)+4*IF(circ_int,0,eq_c2/2)+2*PI()*(s_0+4*s_r+IF(circ_int,eq_c1/2,0)))/INDEX(lk_legs,5))&lt;((((((2*IF(circ_int,0,eq_c2/2))+(PI()*(s_0+4*s_r+IF(circ_int,eq_c1/2,0))/2))+2*IF(circ_int,0,eq_c1/2))+(PI()*(s_0+4*s_r+IF(circ_int,eq_c1/2,0))/2))+2*IF(circ_int,0,eq_c2/2))+(PI()*(s_0+4*s_r+IF(circ_int,eq_c1/2,0))/2)),-IF(circ_int,0,eq_c1/2)+(s_0+4*s_r+IF(circ_int,eq_c1/2,0))*COS(PI()+(((14+0.5)*(4*IF(circ_int,0,eq_c1/2)+4*IF(circ_int,0,eq_c2/2)+2*PI()*(s_0+4*s_r+IF(circ_int,eq_c1/2,0)))/INDEX(lk_legs,5))-(((((2*IF(circ_int,0,eq_c2/2))+(PI()*(s_0+4*s_r+IF(circ_int,eq_c1/2,0))/2))+2*IF(circ_int,0,eq_c1/2))+(PI()*(s_0+4*s_r+IF(circ_int,eq_c1/2,0))/2))+2*IF(circ_int,0,eq_c2/2)))/(s_0+4*s_r+IF(circ_int,eq_c1/2,0))),IF(((14+0.5)*(4*IF(circ_int,0,eq_c1/2)+4*IF(circ_int,0,eq_c2/2)+2*PI()*(s_0+4*s_r+IF(circ_int,eq_c1/2,0)))/INDEX(lk_legs,5))&lt;(((((((2*IF(circ_int,0,eq_c2/2))+(PI()*(s_0+4*s_r+IF(circ_int,eq_c1/2,0))/2))+2*IF(circ_int,0,eq_c1/2))+(PI()*(s_0+4*s_r+IF(circ_int,eq_c1/2,0))/2))+2*IF(circ_int,0,eq_c2/2))+(PI()*(s_0+4*s_r+IF(circ_int,eq_c1/2,0))/2))+2*IF(circ_int,0,eq_c1/2)),-IF(circ_int,0,eq_c1/2)+(((14+0.5)*(4*IF(circ_int,0,eq_c1/2)+4*IF(circ_int,0,eq_c2/2)+2*PI()*(s_0+4*s_r+IF(circ_int,eq_c1/2,0)))/INDEX(lk_legs,5))-((((((2*IF(circ_int,0,eq_c2/2))+(PI()*(s_0+4*s_r+IF(circ_int,eq_c1/2,0))/2))+2*IF(circ_int,0,eq_c1/2))+(PI()*(s_0+4*s_r+IF(circ_int,eq_c1/2,0))/2))+2*IF(circ_int,0,eq_c2/2))+(PI()*(s_0+4*s_r+IF(circ_int,eq_c1/2,0))/2))),IF(circ_int,0,eq_c1/2)+(s_0+4*s_r+IF(circ_int,eq_c1/2,0))*COS(3*PI()/2+(((14+0.5)*(4*IF(circ_int,0,eq_c1/2)+4*IF(circ_int,0,eq_c2/2)+2*PI()*(s_0+4*s_r+IF(circ_int,eq_c1/2,0)))/INDEX(lk_legs,5))-(((((((2*IF(circ_int,0,eq_c2/2))+(PI()*(s_0+4*s_r+IF(circ_int,eq_c1/2,0))/2))+2*IF(circ_int,0,eq_c1/2))+(PI()*(s_0+4*s_r+IF(circ_int,eq_c1/2,0))/2))+2*IF(circ_int,0,eq_c2/2))+(PI()*(s_0+4*s_r+IF(circ_int,eq_c1/2,0))/2))+2*IF(circ_int,0,eq_c1/2)))/(s_0+4*s_r+IF(circ_int,eq_c1/2,0)))))))))),NA())</f>
        <v/>
      </c>
      <c r="BY17">
        <f>IF(AND(AND(links_on,5&lt;=n_per),INDEX(lk_kind,5)=1,14&lt;INDEX(lk_legs,5)),g_oy+IF(((14+0.5)*(4*IF(circ_int,0,eq_c1/2)+4*IF(circ_int,0,eq_c2/2)+2*PI()*(s_0+4*s_r+IF(circ_int,eq_c1/2,0)))/INDEX(lk_legs,5))&lt;(2*IF(circ_int,0,eq_c2/2)),-IF(circ_int,0,eq_c2/2)+((14+0.5)*(4*IF(circ_int,0,eq_c1/2)+4*IF(circ_int,0,eq_c2/2)+2*PI()*(s_0+4*s_r+IF(circ_int,eq_c1/2,0)))/INDEX(lk_legs,5)),IF(((14+0.5)*(4*IF(circ_int,0,eq_c1/2)+4*IF(circ_int,0,eq_c2/2)+2*PI()*(s_0+4*s_r+IF(circ_int,eq_c1/2,0)))/INDEX(lk_legs,5))&lt;((2*IF(circ_int,0,eq_c2/2))+(PI()*(s_0+4*s_r+IF(circ_int,eq_c1/2,0))/2)),IF(circ_int,0,eq_c2/2)+(s_0+4*s_r+IF(circ_int,eq_c1/2,0))*SIN((((14+0.5)*(4*IF(circ_int,0,eq_c1/2)+4*IF(circ_int,0,eq_c2/2)+2*PI()*(s_0+4*s_r+IF(circ_int,eq_c1/2,0)))/INDEX(lk_legs,5))-(2*IF(circ_int,0,eq_c2/2)))/(s_0+4*s_r+IF(circ_int,eq_c1/2,0))),IF(((14+0.5)*(4*IF(circ_int,0,eq_c1/2)+4*IF(circ_int,0,eq_c2/2)+2*PI()*(s_0+4*s_r+IF(circ_int,eq_c1/2,0)))/INDEX(lk_legs,5))&lt;(((2*IF(circ_int,0,eq_c2/2))+(PI()*(s_0+4*s_r+IF(circ_int,eq_c1/2,0))/2))+2*IF(circ_int,0,eq_c1/2)),IF(circ_int,0,eq_c2/2)+(s_0+4*s_r+IF(circ_int,eq_c1/2,0)),IF(((14+0.5)*(4*IF(circ_int,0,eq_c1/2)+4*IF(circ_int,0,eq_c2/2)+2*PI()*(s_0+4*s_r+IF(circ_int,eq_c1/2,0)))/INDEX(lk_legs,5))&lt;((((2*IF(circ_int,0,eq_c2/2))+(PI()*(s_0+4*s_r+IF(circ_int,eq_c1/2,0))/2))+2*IF(circ_int,0,eq_c1/2))+(PI()*(s_0+4*s_r+IF(circ_int,eq_c1/2,0))/2)),IF(circ_int,0,eq_c2/2)+(s_0+4*s_r+IF(circ_int,eq_c1/2,0))*SIN(PI()/2+(((14+0.5)*(4*IF(circ_int,0,eq_c1/2)+4*IF(circ_int,0,eq_c2/2)+2*PI()*(s_0+4*s_r+IF(circ_int,eq_c1/2,0)))/INDEX(lk_legs,5))-(((2*IF(circ_int,0,eq_c2/2))+(PI()*(s_0+4*s_r+IF(circ_int,eq_c1/2,0))/2))+2*IF(circ_int,0,eq_c1/2)))/(s_0+4*s_r+IF(circ_int,eq_c1/2,0))),IF(((14+0.5)*(4*IF(circ_int,0,eq_c1/2)+4*IF(circ_int,0,eq_c2/2)+2*PI()*(s_0+4*s_r+IF(circ_int,eq_c1/2,0)))/INDEX(lk_legs,5))&lt;(((((2*IF(circ_int,0,eq_c2/2))+(PI()*(s_0+4*s_r+IF(circ_int,eq_c1/2,0))/2))+2*IF(circ_int,0,eq_c1/2))+(PI()*(s_0+4*s_r+IF(circ_int,eq_c1/2,0))/2))+2*IF(circ_int,0,eq_c2/2)),IF(circ_int,0,eq_c2/2)-(((14+0.5)*(4*IF(circ_int,0,eq_c1/2)+4*IF(circ_int,0,eq_c2/2)+2*PI()*(s_0+4*s_r+IF(circ_int,eq_c1/2,0)))/INDEX(lk_legs,5))-((((2*IF(circ_int,0,eq_c2/2))+(PI()*(s_0+4*s_r+IF(circ_int,eq_c1/2,0))/2))+2*IF(circ_int,0,eq_c1/2))+(PI()*(s_0+4*s_r+IF(circ_int,eq_c1/2,0))/2))),IF(((14+0.5)*(4*IF(circ_int,0,eq_c1/2)+4*IF(circ_int,0,eq_c2/2)+2*PI()*(s_0+4*s_r+IF(circ_int,eq_c1/2,0)))/INDEX(lk_legs,5))&lt;((((((2*IF(circ_int,0,eq_c2/2))+(PI()*(s_0+4*s_r+IF(circ_int,eq_c1/2,0))/2))+2*IF(circ_int,0,eq_c1/2))+(PI()*(s_0+4*s_r+IF(circ_int,eq_c1/2,0))/2))+2*IF(circ_int,0,eq_c2/2))+(PI()*(s_0+4*s_r+IF(circ_int,eq_c1/2,0))/2)),-IF(circ_int,0,eq_c2/2)+(s_0+4*s_r+IF(circ_int,eq_c1/2,0))*SIN(PI()+(((14+0.5)*(4*IF(circ_int,0,eq_c1/2)+4*IF(circ_int,0,eq_c2/2)+2*PI()*(s_0+4*s_r+IF(circ_int,eq_c1/2,0)))/INDEX(lk_legs,5))-(((((2*IF(circ_int,0,eq_c2/2))+(PI()*(s_0+4*s_r+IF(circ_int,eq_c1/2,0))/2))+2*IF(circ_int,0,eq_c1/2))+(PI()*(s_0+4*s_r+IF(circ_int,eq_c1/2,0))/2))+2*IF(circ_int,0,eq_c2/2)))/(s_0+4*s_r+IF(circ_int,eq_c1/2,0))),IF(((14+0.5)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(14+0.5)*(4*IF(circ_int,0,eq_c1/2)+4*IF(circ_int,0,eq_c2/2)+2*PI()*(s_0+4*s_r+IF(circ_int,eq_c1/2,0)))/INDEX(lk_legs,5))-(((((((2*IF(circ_int,0,eq_c2/2))+(PI()*(s_0+4*s_r+IF(circ_int,eq_c1/2,0))/2))+2*IF(circ_int,0,eq_c1/2))+(PI()*(s_0+4*s_r+IF(circ_int,eq_c1/2,0))/2))+2*IF(circ_int,0,eq_c2/2))+(PI()*(s_0+4*s_r+IF(circ_int,eq_c1/2,0))/2))+2*IF(circ_int,0,eq_c1/2)))/(s_0+4*s_r+IF(circ_int,eq_c1/2,0)))))))))),NA())</f>
        <v/>
      </c>
      <c r="CA17">
        <f>IF(AND(links_on,6&lt;=n_per),IF(circ_int,(g_ox)+(c_1/2+(s_0+5*s_r))*-0.120537,CHOOSE(INDEX(lk_kind,6),(g_ox-eq_c1/2)+((s_0+5*s_r))*-0.130526,(eq_a1+eq_c1)+((s_0+5*s_r))*1.000000,eq_a1+eq_c1+(s_0+5*s_r),(eq_a1+eq_c1)+((s_0+5*s_r))*0.000000)),NA())</f>
        <v/>
      </c>
      <c r="CB17">
        <f>IF(AND(links_on,6&lt;=n_per),IF(circ_int,(g_oy)+(c_1/2+(s_0+5*s_r))*0.992709,CHOOSE(INDEX(lk_kind,6),(g_oy+eq_c2/2)+((s_0+5*s_r))*0.991445,(g_oy-eq_c2/2)+((s_0+5*s_r))*0.000000,0,(eq_a2+eq_c2)+((s_0+5*s_r))*1.000000)),NA())</f>
        <v/>
      </c>
      <c r="CD17">
        <f>IF(AND(AND(links_on,6&lt;=n_per),INDEX(lk_kind,6)=1,14&lt;INDEX(lk_legs,6)),g_ox+IF(((14+0.5)*(4*IF(circ_int,0,eq_c1/2)+4*IF(circ_int,0,eq_c2/2)+2*PI()*(s_0+5*s_r+IF(circ_int,eq_c1/2,0)))/INDEX(lk_legs,6))&lt;(2*IF(circ_int,0,eq_c2/2)),IF(circ_int,0,eq_c1/2)+(s_0+5*s_r+IF(circ_int,eq_c1/2,0)),IF(((14+0.5)*(4*IF(circ_int,0,eq_c1/2)+4*IF(circ_int,0,eq_c2/2)+2*PI()*(s_0+5*s_r+IF(circ_int,eq_c1/2,0)))/INDEX(lk_legs,6))&lt;((2*IF(circ_int,0,eq_c2/2))+(PI()*(s_0+5*s_r+IF(circ_int,eq_c1/2,0))/2)),IF(circ_int,0,eq_c1/2)+(s_0+5*s_r+IF(circ_int,eq_c1/2,0))*COS((((14+0.5)*(4*IF(circ_int,0,eq_c1/2)+4*IF(circ_int,0,eq_c2/2)+2*PI()*(s_0+5*s_r+IF(circ_int,eq_c1/2,0)))/INDEX(lk_legs,6))-(2*IF(circ_int,0,eq_c2/2)))/(s_0+5*s_r+IF(circ_int,eq_c1/2,0))),IF(((14+0.5)*(4*IF(circ_int,0,eq_c1/2)+4*IF(circ_int,0,eq_c2/2)+2*PI()*(s_0+5*s_r+IF(circ_int,eq_c1/2,0)))/INDEX(lk_legs,6))&lt;(((2*IF(circ_int,0,eq_c2/2))+(PI()*(s_0+5*s_r+IF(circ_int,eq_c1/2,0))/2))+2*IF(circ_int,0,eq_c1/2)),IF(circ_int,0,eq_c1/2)-(((14+0.5)*(4*IF(circ_int,0,eq_c1/2)+4*IF(circ_int,0,eq_c2/2)+2*PI()*(s_0+5*s_r+IF(circ_int,eq_c1/2,0)))/INDEX(lk_legs,6))-((2*IF(circ_int,0,eq_c2/2))+(PI()*(s_0+5*s_r+IF(circ_int,eq_c1/2,0))/2))),IF(((14+0.5)*(4*IF(circ_int,0,eq_c1/2)+4*IF(circ_int,0,eq_c2/2)+2*PI()*(s_0+5*s_r+IF(circ_int,eq_c1/2,0)))/INDEX(lk_legs,6))&lt;((((2*IF(circ_int,0,eq_c2/2))+(PI()*(s_0+5*s_r+IF(circ_int,eq_c1/2,0))/2))+2*IF(circ_int,0,eq_c1/2))+(PI()*(s_0+5*s_r+IF(circ_int,eq_c1/2,0))/2)),-IF(circ_int,0,eq_c1/2)+(s_0+5*s_r+IF(circ_int,eq_c1/2,0))*COS(PI()/2+(((14+0.5)*(4*IF(circ_int,0,eq_c1/2)+4*IF(circ_int,0,eq_c2/2)+2*PI()*(s_0+5*s_r+IF(circ_int,eq_c1/2,0)))/INDEX(lk_legs,6))-(((2*IF(circ_int,0,eq_c2/2))+(PI()*(s_0+5*s_r+IF(circ_int,eq_c1/2,0))/2))+2*IF(circ_int,0,eq_c1/2)))/(s_0+5*s_r+IF(circ_int,eq_c1/2,0))),IF(((14+0.5)*(4*IF(circ_int,0,eq_c1/2)+4*IF(circ_int,0,eq_c2/2)+2*PI()*(s_0+5*s_r+IF(circ_int,eq_c1/2,0)))/INDEX(lk_legs,6))&lt;(((((2*IF(circ_int,0,eq_c2/2))+(PI()*(s_0+5*s_r+IF(circ_int,eq_c1/2,0))/2))+2*IF(circ_int,0,eq_c1/2))+(PI()*(s_0+5*s_r+IF(circ_int,eq_c1/2,0))/2))+2*IF(circ_int,0,eq_c2/2)),-IF(circ_int,0,eq_c1/2)-(s_0+5*s_r+IF(circ_int,eq_c1/2,0)),IF(((14+0.5)*(4*IF(circ_int,0,eq_c1/2)+4*IF(circ_int,0,eq_c2/2)+2*PI()*(s_0+5*s_r+IF(circ_int,eq_c1/2,0)))/INDEX(lk_legs,6))&lt;((((((2*IF(circ_int,0,eq_c2/2))+(PI()*(s_0+5*s_r+IF(circ_int,eq_c1/2,0))/2))+2*IF(circ_int,0,eq_c1/2))+(PI()*(s_0+5*s_r+IF(circ_int,eq_c1/2,0))/2))+2*IF(circ_int,0,eq_c2/2))+(PI()*(s_0+5*s_r+IF(circ_int,eq_c1/2,0))/2)),-IF(circ_int,0,eq_c1/2)+(s_0+5*s_r+IF(circ_int,eq_c1/2,0))*COS(PI()+(((14+0.5)*(4*IF(circ_int,0,eq_c1/2)+4*IF(circ_int,0,eq_c2/2)+2*PI()*(s_0+5*s_r+IF(circ_int,eq_c1/2,0)))/INDEX(lk_legs,6))-(((((2*IF(circ_int,0,eq_c2/2))+(PI()*(s_0+5*s_r+IF(circ_int,eq_c1/2,0))/2))+2*IF(circ_int,0,eq_c1/2))+(PI()*(s_0+5*s_r+IF(circ_int,eq_c1/2,0))/2))+2*IF(circ_int,0,eq_c2/2)))/(s_0+5*s_r+IF(circ_int,eq_c1/2,0))),IF(((14+0.5)*(4*IF(circ_int,0,eq_c1/2)+4*IF(circ_int,0,eq_c2/2)+2*PI()*(s_0+5*s_r+IF(circ_int,eq_c1/2,0)))/INDEX(lk_legs,6))&lt;(((((((2*IF(circ_int,0,eq_c2/2))+(PI()*(s_0+5*s_r+IF(circ_int,eq_c1/2,0))/2))+2*IF(circ_int,0,eq_c1/2))+(PI()*(s_0+5*s_r+IF(circ_int,eq_c1/2,0))/2))+2*IF(circ_int,0,eq_c2/2))+(PI()*(s_0+5*s_r+IF(circ_int,eq_c1/2,0))/2))+2*IF(circ_int,0,eq_c1/2)),-IF(circ_int,0,eq_c1/2)+(((14+0.5)*(4*IF(circ_int,0,eq_c1/2)+4*IF(circ_int,0,eq_c2/2)+2*PI()*(s_0+5*s_r+IF(circ_int,eq_c1/2,0)))/INDEX(lk_legs,6))-((((((2*IF(circ_int,0,eq_c2/2))+(PI()*(s_0+5*s_r+IF(circ_int,eq_c1/2,0))/2))+2*IF(circ_int,0,eq_c1/2))+(PI()*(s_0+5*s_r+IF(circ_int,eq_c1/2,0))/2))+2*IF(circ_int,0,eq_c2/2))+(PI()*(s_0+5*s_r+IF(circ_int,eq_c1/2,0))/2))),IF(circ_int,0,eq_c1/2)+(s_0+5*s_r+IF(circ_int,eq_c1/2,0))*COS(3*PI()/2+(((14+0.5)*(4*IF(circ_int,0,eq_c1/2)+4*IF(circ_int,0,eq_c2/2)+2*PI()*(s_0+5*s_r+IF(circ_int,eq_c1/2,0)))/INDEX(lk_legs,6))-(((((((2*IF(circ_int,0,eq_c2/2))+(PI()*(s_0+5*s_r+IF(circ_int,eq_c1/2,0))/2))+2*IF(circ_int,0,eq_c1/2))+(PI()*(s_0+5*s_r+IF(circ_int,eq_c1/2,0))/2))+2*IF(circ_int,0,eq_c2/2))+(PI()*(s_0+5*s_r+IF(circ_int,eq_c1/2,0))/2))+2*IF(circ_int,0,eq_c1/2)))/(s_0+5*s_r+IF(circ_int,eq_c1/2,0)))))))))),NA())</f>
        <v/>
      </c>
      <c r="CE17">
        <f>IF(AND(AND(links_on,6&lt;=n_per),INDEX(lk_kind,6)=1,14&lt;INDEX(lk_legs,6)),g_oy+IF(((14+0.5)*(4*IF(circ_int,0,eq_c1/2)+4*IF(circ_int,0,eq_c2/2)+2*PI()*(s_0+5*s_r+IF(circ_int,eq_c1/2,0)))/INDEX(lk_legs,6))&lt;(2*IF(circ_int,0,eq_c2/2)),-IF(circ_int,0,eq_c2/2)+((14+0.5)*(4*IF(circ_int,0,eq_c1/2)+4*IF(circ_int,0,eq_c2/2)+2*PI()*(s_0+5*s_r+IF(circ_int,eq_c1/2,0)))/INDEX(lk_legs,6)),IF(((14+0.5)*(4*IF(circ_int,0,eq_c1/2)+4*IF(circ_int,0,eq_c2/2)+2*PI()*(s_0+5*s_r+IF(circ_int,eq_c1/2,0)))/INDEX(lk_legs,6))&lt;((2*IF(circ_int,0,eq_c2/2))+(PI()*(s_0+5*s_r+IF(circ_int,eq_c1/2,0))/2)),IF(circ_int,0,eq_c2/2)+(s_0+5*s_r+IF(circ_int,eq_c1/2,0))*SIN((((14+0.5)*(4*IF(circ_int,0,eq_c1/2)+4*IF(circ_int,0,eq_c2/2)+2*PI()*(s_0+5*s_r+IF(circ_int,eq_c1/2,0)))/INDEX(lk_legs,6))-(2*IF(circ_int,0,eq_c2/2)))/(s_0+5*s_r+IF(circ_int,eq_c1/2,0))),IF(((14+0.5)*(4*IF(circ_int,0,eq_c1/2)+4*IF(circ_int,0,eq_c2/2)+2*PI()*(s_0+5*s_r+IF(circ_int,eq_c1/2,0)))/INDEX(lk_legs,6))&lt;(((2*IF(circ_int,0,eq_c2/2))+(PI()*(s_0+5*s_r+IF(circ_int,eq_c1/2,0))/2))+2*IF(circ_int,0,eq_c1/2)),IF(circ_int,0,eq_c2/2)+(s_0+5*s_r+IF(circ_int,eq_c1/2,0)),IF(((14+0.5)*(4*IF(circ_int,0,eq_c1/2)+4*IF(circ_int,0,eq_c2/2)+2*PI()*(s_0+5*s_r+IF(circ_int,eq_c1/2,0)))/INDEX(lk_legs,6))&lt;((((2*IF(circ_int,0,eq_c2/2))+(PI()*(s_0+5*s_r+IF(circ_int,eq_c1/2,0))/2))+2*IF(circ_int,0,eq_c1/2))+(PI()*(s_0+5*s_r+IF(circ_int,eq_c1/2,0))/2)),IF(circ_int,0,eq_c2/2)+(s_0+5*s_r+IF(circ_int,eq_c1/2,0))*SIN(PI()/2+(((14+0.5)*(4*IF(circ_int,0,eq_c1/2)+4*IF(circ_int,0,eq_c2/2)+2*PI()*(s_0+5*s_r+IF(circ_int,eq_c1/2,0)))/INDEX(lk_legs,6))-(((2*IF(circ_int,0,eq_c2/2))+(PI()*(s_0+5*s_r+IF(circ_int,eq_c1/2,0))/2))+2*IF(circ_int,0,eq_c1/2)))/(s_0+5*s_r+IF(circ_int,eq_c1/2,0))),IF(((14+0.5)*(4*IF(circ_int,0,eq_c1/2)+4*IF(circ_int,0,eq_c2/2)+2*PI()*(s_0+5*s_r+IF(circ_int,eq_c1/2,0)))/INDEX(lk_legs,6))&lt;(((((2*IF(circ_int,0,eq_c2/2))+(PI()*(s_0+5*s_r+IF(circ_int,eq_c1/2,0))/2))+2*IF(circ_int,0,eq_c1/2))+(PI()*(s_0+5*s_r+IF(circ_int,eq_c1/2,0))/2))+2*IF(circ_int,0,eq_c2/2)),IF(circ_int,0,eq_c2/2)-(((14+0.5)*(4*IF(circ_int,0,eq_c1/2)+4*IF(circ_int,0,eq_c2/2)+2*PI()*(s_0+5*s_r+IF(circ_int,eq_c1/2,0)))/INDEX(lk_legs,6))-((((2*IF(circ_int,0,eq_c2/2))+(PI()*(s_0+5*s_r+IF(circ_int,eq_c1/2,0))/2))+2*IF(circ_int,0,eq_c1/2))+(PI()*(s_0+5*s_r+IF(circ_int,eq_c1/2,0))/2))),IF(((14+0.5)*(4*IF(circ_int,0,eq_c1/2)+4*IF(circ_int,0,eq_c2/2)+2*PI()*(s_0+5*s_r+IF(circ_int,eq_c1/2,0)))/INDEX(lk_legs,6))&lt;((((((2*IF(circ_int,0,eq_c2/2))+(PI()*(s_0+5*s_r+IF(circ_int,eq_c1/2,0))/2))+2*IF(circ_int,0,eq_c1/2))+(PI()*(s_0+5*s_r+IF(circ_int,eq_c1/2,0))/2))+2*IF(circ_int,0,eq_c2/2))+(PI()*(s_0+5*s_r+IF(circ_int,eq_c1/2,0))/2)),-IF(circ_int,0,eq_c2/2)+(s_0+5*s_r+IF(circ_int,eq_c1/2,0))*SIN(PI()+(((14+0.5)*(4*IF(circ_int,0,eq_c1/2)+4*IF(circ_int,0,eq_c2/2)+2*PI()*(s_0+5*s_r+IF(circ_int,eq_c1/2,0)))/INDEX(lk_legs,6))-(((((2*IF(circ_int,0,eq_c2/2))+(PI()*(s_0+5*s_r+IF(circ_int,eq_c1/2,0))/2))+2*IF(circ_int,0,eq_c1/2))+(PI()*(s_0+5*s_r+IF(circ_int,eq_c1/2,0))/2))+2*IF(circ_int,0,eq_c2/2)))/(s_0+5*s_r+IF(circ_int,eq_c1/2,0))),IF(((14+0.5)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(14+0.5)*(4*IF(circ_int,0,eq_c1/2)+4*IF(circ_int,0,eq_c2/2)+2*PI()*(s_0+5*s_r+IF(circ_int,eq_c1/2,0)))/INDEX(lk_legs,6))-(((((((2*IF(circ_int,0,eq_c2/2))+(PI()*(s_0+5*s_r+IF(circ_int,eq_c1/2,0))/2))+2*IF(circ_int,0,eq_c1/2))+(PI()*(s_0+5*s_r+IF(circ_int,eq_c1/2,0))/2))+2*IF(circ_int,0,eq_c2/2))+(PI()*(s_0+5*s_r+IF(circ_int,eq_c1/2,0))/2))+2*IF(circ_int,0,eq_c1/2)))/(s_0+5*s_r+IF(circ_int,eq_c1/2,0)))))))))),NA())</f>
        <v/>
      </c>
      <c r="CG17">
        <f>IF(AND(links_on,7&lt;=n_per),IF(circ_int,(g_ox)+(c_1/2+(s_0+6*s_r))*-0.120537,CHOOSE(INDEX(lk_kind,7),(g_ox-eq_c1/2)+((s_0+6*s_r))*-0.130526,(eq_a1+eq_c1)+((s_0+6*s_r))*1.000000,eq_a1+eq_c1+(s_0+6*s_r),(eq_a1+eq_c1)+((s_0+6*s_r))*0.000000)),NA())</f>
        <v/>
      </c>
      <c r="CH17">
        <f>IF(AND(links_on,7&lt;=n_per),IF(circ_int,(g_oy)+(c_1/2+(s_0+6*s_r))*0.992709,CHOOSE(INDEX(lk_kind,7),(g_oy+eq_c2/2)+((s_0+6*s_r))*0.991445,(g_oy-eq_c2/2)+((s_0+6*s_r))*0.000000,0,(eq_a2+eq_c2)+((s_0+6*s_r))*1.000000)),NA())</f>
        <v/>
      </c>
      <c r="CJ17">
        <f>IF(AND(AND(links_on,7&lt;=n_per),INDEX(lk_kind,7)=1,14&lt;INDEX(lk_legs,7)),g_ox+IF(((14+0.5)*(4*IF(circ_int,0,eq_c1/2)+4*IF(circ_int,0,eq_c2/2)+2*PI()*(s_0+6*s_r+IF(circ_int,eq_c1/2,0)))/INDEX(lk_legs,7))&lt;(2*IF(circ_int,0,eq_c2/2)),IF(circ_int,0,eq_c1/2)+(s_0+6*s_r+IF(circ_int,eq_c1/2,0)),IF(((14+0.5)*(4*IF(circ_int,0,eq_c1/2)+4*IF(circ_int,0,eq_c2/2)+2*PI()*(s_0+6*s_r+IF(circ_int,eq_c1/2,0)))/INDEX(lk_legs,7))&lt;((2*IF(circ_int,0,eq_c2/2))+(PI()*(s_0+6*s_r+IF(circ_int,eq_c1/2,0))/2)),IF(circ_int,0,eq_c1/2)+(s_0+6*s_r+IF(circ_int,eq_c1/2,0))*COS((((14+0.5)*(4*IF(circ_int,0,eq_c1/2)+4*IF(circ_int,0,eq_c2/2)+2*PI()*(s_0+6*s_r+IF(circ_int,eq_c1/2,0)))/INDEX(lk_legs,7))-(2*IF(circ_int,0,eq_c2/2)))/(s_0+6*s_r+IF(circ_int,eq_c1/2,0))),IF(((14+0.5)*(4*IF(circ_int,0,eq_c1/2)+4*IF(circ_int,0,eq_c2/2)+2*PI()*(s_0+6*s_r+IF(circ_int,eq_c1/2,0)))/INDEX(lk_legs,7))&lt;(((2*IF(circ_int,0,eq_c2/2))+(PI()*(s_0+6*s_r+IF(circ_int,eq_c1/2,0))/2))+2*IF(circ_int,0,eq_c1/2)),IF(circ_int,0,eq_c1/2)-(((14+0.5)*(4*IF(circ_int,0,eq_c1/2)+4*IF(circ_int,0,eq_c2/2)+2*PI()*(s_0+6*s_r+IF(circ_int,eq_c1/2,0)))/INDEX(lk_legs,7))-((2*IF(circ_int,0,eq_c2/2))+(PI()*(s_0+6*s_r+IF(circ_int,eq_c1/2,0))/2))),IF(((14+0.5)*(4*IF(circ_int,0,eq_c1/2)+4*IF(circ_int,0,eq_c2/2)+2*PI()*(s_0+6*s_r+IF(circ_int,eq_c1/2,0)))/INDEX(lk_legs,7))&lt;((((2*IF(circ_int,0,eq_c2/2))+(PI()*(s_0+6*s_r+IF(circ_int,eq_c1/2,0))/2))+2*IF(circ_int,0,eq_c1/2))+(PI()*(s_0+6*s_r+IF(circ_int,eq_c1/2,0))/2)),-IF(circ_int,0,eq_c1/2)+(s_0+6*s_r+IF(circ_int,eq_c1/2,0))*COS(PI()/2+(((14+0.5)*(4*IF(circ_int,0,eq_c1/2)+4*IF(circ_int,0,eq_c2/2)+2*PI()*(s_0+6*s_r+IF(circ_int,eq_c1/2,0)))/INDEX(lk_legs,7))-(((2*IF(circ_int,0,eq_c2/2))+(PI()*(s_0+6*s_r+IF(circ_int,eq_c1/2,0))/2))+2*IF(circ_int,0,eq_c1/2)))/(s_0+6*s_r+IF(circ_int,eq_c1/2,0))),IF(((14+0.5)*(4*IF(circ_int,0,eq_c1/2)+4*IF(circ_int,0,eq_c2/2)+2*PI()*(s_0+6*s_r+IF(circ_int,eq_c1/2,0)))/INDEX(lk_legs,7))&lt;(((((2*IF(circ_int,0,eq_c2/2))+(PI()*(s_0+6*s_r+IF(circ_int,eq_c1/2,0))/2))+2*IF(circ_int,0,eq_c1/2))+(PI()*(s_0+6*s_r+IF(circ_int,eq_c1/2,0))/2))+2*IF(circ_int,0,eq_c2/2)),-IF(circ_int,0,eq_c1/2)-(s_0+6*s_r+IF(circ_int,eq_c1/2,0)),IF(((14+0.5)*(4*IF(circ_int,0,eq_c1/2)+4*IF(circ_int,0,eq_c2/2)+2*PI()*(s_0+6*s_r+IF(circ_int,eq_c1/2,0)))/INDEX(lk_legs,7))&lt;((((((2*IF(circ_int,0,eq_c2/2))+(PI()*(s_0+6*s_r+IF(circ_int,eq_c1/2,0))/2))+2*IF(circ_int,0,eq_c1/2))+(PI()*(s_0+6*s_r+IF(circ_int,eq_c1/2,0))/2))+2*IF(circ_int,0,eq_c2/2))+(PI()*(s_0+6*s_r+IF(circ_int,eq_c1/2,0))/2)),-IF(circ_int,0,eq_c1/2)+(s_0+6*s_r+IF(circ_int,eq_c1/2,0))*COS(PI()+(((14+0.5)*(4*IF(circ_int,0,eq_c1/2)+4*IF(circ_int,0,eq_c2/2)+2*PI()*(s_0+6*s_r+IF(circ_int,eq_c1/2,0)))/INDEX(lk_legs,7))-(((((2*IF(circ_int,0,eq_c2/2))+(PI()*(s_0+6*s_r+IF(circ_int,eq_c1/2,0))/2))+2*IF(circ_int,0,eq_c1/2))+(PI()*(s_0+6*s_r+IF(circ_int,eq_c1/2,0))/2))+2*IF(circ_int,0,eq_c2/2)))/(s_0+6*s_r+IF(circ_int,eq_c1/2,0))),IF(((14+0.5)*(4*IF(circ_int,0,eq_c1/2)+4*IF(circ_int,0,eq_c2/2)+2*PI()*(s_0+6*s_r+IF(circ_int,eq_c1/2,0)))/INDEX(lk_legs,7))&lt;(((((((2*IF(circ_int,0,eq_c2/2))+(PI()*(s_0+6*s_r+IF(circ_int,eq_c1/2,0))/2))+2*IF(circ_int,0,eq_c1/2))+(PI()*(s_0+6*s_r+IF(circ_int,eq_c1/2,0))/2))+2*IF(circ_int,0,eq_c2/2))+(PI()*(s_0+6*s_r+IF(circ_int,eq_c1/2,0))/2))+2*IF(circ_int,0,eq_c1/2)),-IF(circ_int,0,eq_c1/2)+(((14+0.5)*(4*IF(circ_int,0,eq_c1/2)+4*IF(circ_int,0,eq_c2/2)+2*PI()*(s_0+6*s_r+IF(circ_int,eq_c1/2,0)))/INDEX(lk_legs,7))-((((((2*IF(circ_int,0,eq_c2/2))+(PI()*(s_0+6*s_r+IF(circ_int,eq_c1/2,0))/2))+2*IF(circ_int,0,eq_c1/2))+(PI()*(s_0+6*s_r+IF(circ_int,eq_c1/2,0))/2))+2*IF(circ_int,0,eq_c2/2))+(PI()*(s_0+6*s_r+IF(circ_int,eq_c1/2,0))/2))),IF(circ_int,0,eq_c1/2)+(s_0+6*s_r+IF(circ_int,eq_c1/2,0))*COS(3*PI()/2+(((14+0.5)*(4*IF(circ_int,0,eq_c1/2)+4*IF(circ_int,0,eq_c2/2)+2*PI()*(s_0+6*s_r+IF(circ_int,eq_c1/2,0)))/INDEX(lk_legs,7))-(((((((2*IF(circ_int,0,eq_c2/2))+(PI()*(s_0+6*s_r+IF(circ_int,eq_c1/2,0))/2))+2*IF(circ_int,0,eq_c1/2))+(PI()*(s_0+6*s_r+IF(circ_int,eq_c1/2,0))/2))+2*IF(circ_int,0,eq_c2/2))+(PI()*(s_0+6*s_r+IF(circ_int,eq_c1/2,0))/2))+2*IF(circ_int,0,eq_c1/2)))/(s_0+6*s_r+IF(circ_int,eq_c1/2,0)))))))))),NA())</f>
        <v/>
      </c>
      <c r="CK17">
        <f>IF(AND(AND(links_on,7&lt;=n_per),INDEX(lk_kind,7)=1,14&lt;INDEX(lk_legs,7)),g_oy+IF(((14+0.5)*(4*IF(circ_int,0,eq_c1/2)+4*IF(circ_int,0,eq_c2/2)+2*PI()*(s_0+6*s_r+IF(circ_int,eq_c1/2,0)))/INDEX(lk_legs,7))&lt;(2*IF(circ_int,0,eq_c2/2)),-IF(circ_int,0,eq_c2/2)+((14+0.5)*(4*IF(circ_int,0,eq_c1/2)+4*IF(circ_int,0,eq_c2/2)+2*PI()*(s_0+6*s_r+IF(circ_int,eq_c1/2,0)))/INDEX(lk_legs,7)),IF(((14+0.5)*(4*IF(circ_int,0,eq_c1/2)+4*IF(circ_int,0,eq_c2/2)+2*PI()*(s_0+6*s_r+IF(circ_int,eq_c1/2,0)))/INDEX(lk_legs,7))&lt;((2*IF(circ_int,0,eq_c2/2))+(PI()*(s_0+6*s_r+IF(circ_int,eq_c1/2,0))/2)),IF(circ_int,0,eq_c2/2)+(s_0+6*s_r+IF(circ_int,eq_c1/2,0))*SIN((((14+0.5)*(4*IF(circ_int,0,eq_c1/2)+4*IF(circ_int,0,eq_c2/2)+2*PI()*(s_0+6*s_r+IF(circ_int,eq_c1/2,0)))/INDEX(lk_legs,7))-(2*IF(circ_int,0,eq_c2/2)))/(s_0+6*s_r+IF(circ_int,eq_c1/2,0))),IF(((14+0.5)*(4*IF(circ_int,0,eq_c1/2)+4*IF(circ_int,0,eq_c2/2)+2*PI()*(s_0+6*s_r+IF(circ_int,eq_c1/2,0)))/INDEX(lk_legs,7))&lt;(((2*IF(circ_int,0,eq_c2/2))+(PI()*(s_0+6*s_r+IF(circ_int,eq_c1/2,0))/2))+2*IF(circ_int,0,eq_c1/2)),IF(circ_int,0,eq_c2/2)+(s_0+6*s_r+IF(circ_int,eq_c1/2,0)),IF(((14+0.5)*(4*IF(circ_int,0,eq_c1/2)+4*IF(circ_int,0,eq_c2/2)+2*PI()*(s_0+6*s_r+IF(circ_int,eq_c1/2,0)))/INDEX(lk_legs,7))&lt;((((2*IF(circ_int,0,eq_c2/2))+(PI()*(s_0+6*s_r+IF(circ_int,eq_c1/2,0))/2))+2*IF(circ_int,0,eq_c1/2))+(PI()*(s_0+6*s_r+IF(circ_int,eq_c1/2,0))/2)),IF(circ_int,0,eq_c2/2)+(s_0+6*s_r+IF(circ_int,eq_c1/2,0))*SIN(PI()/2+(((14+0.5)*(4*IF(circ_int,0,eq_c1/2)+4*IF(circ_int,0,eq_c2/2)+2*PI()*(s_0+6*s_r+IF(circ_int,eq_c1/2,0)))/INDEX(lk_legs,7))-(((2*IF(circ_int,0,eq_c2/2))+(PI()*(s_0+6*s_r+IF(circ_int,eq_c1/2,0))/2))+2*IF(circ_int,0,eq_c1/2)))/(s_0+6*s_r+IF(circ_int,eq_c1/2,0))),IF(((14+0.5)*(4*IF(circ_int,0,eq_c1/2)+4*IF(circ_int,0,eq_c2/2)+2*PI()*(s_0+6*s_r+IF(circ_int,eq_c1/2,0)))/INDEX(lk_legs,7))&lt;(((((2*IF(circ_int,0,eq_c2/2))+(PI()*(s_0+6*s_r+IF(circ_int,eq_c1/2,0))/2))+2*IF(circ_int,0,eq_c1/2))+(PI()*(s_0+6*s_r+IF(circ_int,eq_c1/2,0))/2))+2*IF(circ_int,0,eq_c2/2)),IF(circ_int,0,eq_c2/2)-(((14+0.5)*(4*IF(circ_int,0,eq_c1/2)+4*IF(circ_int,0,eq_c2/2)+2*PI()*(s_0+6*s_r+IF(circ_int,eq_c1/2,0)))/INDEX(lk_legs,7))-((((2*IF(circ_int,0,eq_c2/2))+(PI()*(s_0+6*s_r+IF(circ_int,eq_c1/2,0))/2))+2*IF(circ_int,0,eq_c1/2))+(PI()*(s_0+6*s_r+IF(circ_int,eq_c1/2,0))/2))),IF(((14+0.5)*(4*IF(circ_int,0,eq_c1/2)+4*IF(circ_int,0,eq_c2/2)+2*PI()*(s_0+6*s_r+IF(circ_int,eq_c1/2,0)))/INDEX(lk_legs,7))&lt;((((((2*IF(circ_int,0,eq_c2/2))+(PI()*(s_0+6*s_r+IF(circ_int,eq_c1/2,0))/2))+2*IF(circ_int,0,eq_c1/2))+(PI()*(s_0+6*s_r+IF(circ_int,eq_c1/2,0))/2))+2*IF(circ_int,0,eq_c2/2))+(PI()*(s_0+6*s_r+IF(circ_int,eq_c1/2,0))/2)),-IF(circ_int,0,eq_c2/2)+(s_0+6*s_r+IF(circ_int,eq_c1/2,0))*SIN(PI()+(((14+0.5)*(4*IF(circ_int,0,eq_c1/2)+4*IF(circ_int,0,eq_c2/2)+2*PI()*(s_0+6*s_r+IF(circ_int,eq_c1/2,0)))/INDEX(lk_legs,7))-(((((2*IF(circ_int,0,eq_c2/2))+(PI()*(s_0+6*s_r+IF(circ_int,eq_c1/2,0))/2))+2*IF(circ_int,0,eq_c1/2))+(PI()*(s_0+6*s_r+IF(circ_int,eq_c1/2,0))/2))+2*IF(circ_int,0,eq_c2/2)))/(s_0+6*s_r+IF(circ_int,eq_c1/2,0))),IF(((14+0.5)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(14+0.5)*(4*IF(circ_int,0,eq_c1/2)+4*IF(circ_int,0,eq_c2/2)+2*PI()*(s_0+6*s_r+IF(circ_int,eq_c1/2,0)))/INDEX(lk_legs,7))-(((((((2*IF(circ_int,0,eq_c2/2))+(PI()*(s_0+6*s_r+IF(circ_int,eq_c1/2,0))/2))+2*IF(circ_int,0,eq_c1/2))+(PI()*(s_0+6*s_r+IF(circ_int,eq_c1/2,0))/2))+2*IF(circ_int,0,eq_c2/2))+(PI()*(s_0+6*s_r+IF(circ_int,eq_c1/2,0))/2))+2*IF(circ_int,0,eq_c1/2)))/(s_0+6*s_r+IF(circ_int,eq_c1/2,0)))))))))),NA())</f>
        <v/>
      </c>
      <c r="CM17">
        <f>IF(AND(links_on,8&lt;=n_per),IF(circ_int,(g_ox)+(c_1/2+(s_0+7*s_r))*-0.120537,CHOOSE(INDEX(lk_kind,8),(g_ox-eq_c1/2)+((s_0+7*s_r))*-0.130526,(eq_a1+eq_c1)+((s_0+7*s_r))*1.000000,eq_a1+eq_c1+(s_0+7*s_r),(eq_a1+eq_c1)+((s_0+7*s_r))*0.000000)),NA())</f>
        <v/>
      </c>
      <c r="CN17">
        <f>IF(AND(links_on,8&lt;=n_per),IF(circ_int,(g_oy)+(c_1/2+(s_0+7*s_r))*0.992709,CHOOSE(INDEX(lk_kind,8),(g_oy+eq_c2/2)+((s_0+7*s_r))*0.991445,(g_oy-eq_c2/2)+((s_0+7*s_r))*0.000000,0,(eq_a2+eq_c2)+((s_0+7*s_r))*1.000000)),NA())</f>
        <v/>
      </c>
      <c r="CP17">
        <f>IF(AND(AND(links_on,8&lt;=n_per),INDEX(lk_kind,8)=1,14&lt;INDEX(lk_legs,8)),g_ox+IF(((14+0.5)*(4*IF(circ_int,0,eq_c1/2)+4*IF(circ_int,0,eq_c2/2)+2*PI()*(s_0+7*s_r+IF(circ_int,eq_c1/2,0)))/INDEX(lk_legs,8))&lt;(2*IF(circ_int,0,eq_c2/2)),IF(circ_int,0,eq_c1/2)+(s_0+7*s_r+IF(circ_int,eq_c1/2,0)),IF(((14+0.5)*(4*IF(circ_int,0,eq_c1/2)+4*IF(circ_int,0,eq_c2/2)+2*PI()*(s_0+7*s_r+IF(circ_int,eq_c1/2,0)))/INDEX(lk_legs,8))&lt;((2*IF(circ_int,0,eq_c2/2))+(PI()*(s_0+7*s_r+IF(circ_int,eq_c1/2,0))/2)),IF(circ_int,0,eq_c1/2)+(s_0+7*s_r+IF(circ_int,eq_c1/2,0))*COS((((14+0.5)*(4*IF(circ_int,0,eq_c1/2)+4*IF(circ_int,0,eq_c2/2)+2*PI()*(s_0+7*s_r+IF(circ_int,eq_c1/2,0)))/INDEX(lk_legs,8))-(2*IF(circ_int,0,eq_c2/2)))/(s_0+7*s_r+IF(circ_int,eq_c1/2,0))),IF(((14+0.5)*(4*IF(circ_int,0,eq_c1/2)+4*IF(circ_int,0,eq_c2/2)+2*PI()*(s_0+7*s_r+IF(circ_int,eq_c1/2,0)))/INDEX(lk_legs,8))&lt;(((2*IF(circ_int,0,eq_c2/2))+(PI()*(s_0+7*s_r+IF(circ_int,eq_c1/2,0))/2))+2*IF(circ_int,0,eq_c1/2)),IF(circ_int,0,eq_c1/2)-(((14+0.5)*(4*IF(circ_int,0,eq_c1/2)+4*IF(circ_int,0,eq_c2/2)+2*PI()*(s_0+7*s_r+IF(circ_int,eq_c1/2,0)))/INDEX(lk_legs,8))-((2*IF(circ_int,0,eq_c2/2))+(PI()*(s_0+7*s_r+IF(circ_int,eq_c1/2,0))/2))),IF(((14+0.5)*(4*IF(circ_int,0,eq_c1/2)+4*IF(circ_int,0,eq_c2/2)+2*PI()*(s_0+7*s_r+IF(circ_int,eq_c1/2,0)))/INDEX(lk_legs,8))&lt;((((2*IF(circ_int,0,eq_c2/2))+(PI()*(s_0+7*s_r+IF(circ_int,eq_c1/2,0))/2))+2*IF(circ_int,0,eq_c1/2))+(PI()*(s_0+7*s_r+IF(circ_int,eq_c1/2,0))/2)),-IF(circ_int,0,eq_c1/2)+(s_0+7*s_r+IF(circ_int,eq_c1/2,0))*COS(PI()/2+(((14+0.5)*(4*IF(circ_int,0,eq_c1/2)+4*IF(circ_int,0,eq_c2/2)+2*PI()*(s_0+7*s_r+IF(circ_int,eq_c1/2,0)))/INDEX(lk_legs,8))-(((2*IF(circ_int,0,eq_c2/2))+(PI()*(s_0+7*s_r+IF(circ_int,eq_c1/2,0))/2))+2*IF(circ_int,0,eq_c1/2)))/(s_0+7*s_r+IF(circ_int,eq_c1/2,0))),IF(((14+0.5)*(4*IF(circ_int,0,eq_c1/2)+4*IF(circ_int,0,eq_c2/2)+2*PI()*(s_0+7*s_r+IF(circ_int,eq_c1/2,0)))/INDEX(lk_legs,8))&lt;(((((2*IF(circ_int,0,eq_c2/2))+(PI()*(s_0+7*s_r+IF(circ_int,eq_c1/2,0))/2))+2*IF(circ_int,0,eq_c1/2))+(PI()*(s_0+7*s_r+IF(circ_int,eq_c1/2,0))/2))+2*IF(circ_int,0,eq_c2/2)),-IF(circ_int,0,eq_c1/2)-(s_0+7*s_r+IF(circ_int,eq_c1/2,0)),IF(((14+0.5)*(4*IF(circ_int,0,eq_c1/2)+4*IF(circ_int,0,eq_c2/2)+2*PI()*(s_0+7*s_r+IF(circ_int,eq_c1/2,0)))/INDEX(lk_legs,8))&lt;((((((2*IF(circ_int,0,eq_c2/2))+(PI()*(s_0+7*s_r+IF(circ_int,eq_c1/2,0))/2))+2*IF(circ_int,0,eq_c1/2))+(PI()*(s_0+7*s_r+IF(circ_int,eq_c1/2,0))/2))+2*IF(circ_int,0,eq_c2/2))+(PI()*(s_0+7*s_r+IF(circ_int,eq_c1/2,0))/2)),-IF(circ_int,0,eq_c1/2)+(s_0+7*s_r+IF(circ_int,eq_c1/2,0))*COS(PI()+(((14+0.5)*(4*IF(circ_int,0,eq_c1/2)+4*IF(circ_int,0,eq_c2/2)+2*PI()*(s_0+7*s_r+IF(circ_int,eq_c1/2,0)))/INDEX(lk_legs,8))-(((((2*IF(circ_int,0,eq_c2/2))+(PI()*(s_0+7*s_r+IF(circ_int,eq_c1/2,0))/2))+2*IF(circ_int,0,eq_c1/2))+(PI()*(s_0+7*s_r+IF(circ_int,eq_c1/2,0))/2))+2*IF(circ_int,0,eq_c2/2)))/(s_0+7*s_r+IF(circ_int,eq_c1/2,0))),IF(((14+0.5)*(4*IF(circ_int,0,eq_c1/2)+4*IF(circ_int,0,eq_c2/2)+2*PI()*(s_0+7*s_r+IF(circ_int,eq_c1/2,0)))/INDEX(lk_legs,8))&lt;(((((((2*IF(circ_int,0,eq_c2/2))+(PI()*(s_0+7*s_r+IF(circ_int,eq_c1/2,0))/2))+2*IF(circ_int,0,eq_c1/2))+(PI()*(s_0+7*s_r+IF(circ_int,eq_c1/2,0))/2))+2*IF(circ_int,0,eq_c2/2))+(PI()*(s_0+7*s_r+IF(circ_int,eq_c1/2,0))/2))+2*IF(circ_int,0,eq_c1/2)),-IF(circ_int,0,eq_c1/2)+(((14+0.5)*(4*IF(circ_int,0,eq_c1/2)+4*IF(circ_int,0,eq_c2/2)+2*PI()*(s_0+7*s_r+IF(circ_int,eq_c1/2,0)))/INDEX(lk_legs,8))-((((((2*IF(circ_int,0,eq_c2/2))+(PI()*(s_0+7*s_r+IF(circ_int,eq_c1/2,0))/2))+2*IF(circ_int,0,eq_c1/2))+(PI()*(s_0+7*s_r+IF(circ_int,eq_c1/2,0))/2))+2*IF(circ_int,0,eq_c2/2))+(PI()*(s_0+7*s_r+IF(circ_int,eq_c1/2,0))/2))),IF(circ_int,0,eq_c1/2)+(s_0+7*s_r+IF(circ_int,eq_c1/2,0))*COS(3*PI()/2+(((14+0.5)*(4*IF(circ_int,0,eq_c1/2)+4*IF(circ_int,0,eq_c2/2)+2*PI()*(s_0+7*s_r+IF(circ_int,eq_c1/2,0)))/INDEX(lk_legs,8))-(((((((2*IF(circ_int,0,eq_c2/2))+(PI()*(s_0+7*s_r+IF(circ_int,eq_c1/2,0))/2))+2*IF(circ_int,0,eq_c1/2))+(PI()*(s_0+7*s_r+IF(circ_int,eq_c1/2,0))/2))+2*IF(circ_int,0,eq_c2/2))+(PI()*(s_0+7*s_r+IF(circ_int,eq_c1/2,0))/2))+2*IF(circ_int,0,eq_c1/2)))/(s_0+7*s_r+IF(circ_int,eq_c1/2,0)))))))))),NA())</f>
        <v/>
      </c>
      <c r="CQ17">
        <f>IF(AND(AND(links_on,8&lt;=n_per),INDEX(lk_kind,8)=1,14&lt;INDEX(lk_legs,8)),g_oy+IF(((14+0.5)*(4*IF(circ_int,0,eq_c1/2)+4*IF(circ_int,0,eq_c2/2)+2*PI()*(s_0+7*s_r+IF(circ_int,eq_c1/2,0)))/INDEX(lk_legs,8))&lt;(2*IF(circ_int,0,eq_c2/2)),-IF(circ_int,0,eq_c2/2)+((14+0.5)*(4*IF(circ_int,0,eq_c1/2)+4*IF(circ_int,0,eq_c2/2)+2*PI()*(s_0+7*s_r+IF(circ_int,eq_c1/2,0)))/INDEX(lk_legs,8)),IF(((14+0.5)*(4*IF(circ_int,0,eq_c1/2)+4*IF(circ_int,0,eq_c2/2)+2*PI()*(s_0+7*s_r+IF(circ_int,eq_c1/2,0)))/INDEX(lk_legs,8))&lt;((2*IF(circ_int,0,eq_c2/2))+(PI()*(s_0+7*s_r+IF(circ_int,eq_c1/2,0))/2)),IF(circ_int,0,eq_c2/2)+(s_0+7*s_r+IF(circ_int,eq_c1/2,0))*SIN((((14+0.5)*(4*IF(circ_int,0,eq_c1/2)+4*IF(circ_int,0,eq_c2/2)+2*PI()*(s_0+7*s_r+IF(circ_int,eq_c1/2,0)))/INDEX(lk_legs,8))-(2*IF(circ_int,0,eq_c2/2)))/(s_0+7*s_r+IF(circ_int,eq_c1/2,0))),IF(((14+0.5)*(4*IF(circ_int,0,eq_c1/2)+4*IF(circ_int,0,eq_c2/2)+2*PI()*(s_0+7*s_r+IF(circ_int,eq_c1/2,0)))/INDEX(lk_legs,8))&lt;(((2*IF(circ_int,0,eq_c2/2))+(PI()*(s_0+7*s_r+IF(circ_int,eq_c1/2,0))/2))+2*IF(circ_int,0,eq_c1/2)),IF(circ_int,0,eq_c2/2)+(s_0+7*s_r+IF(circ_int,eq_c1/2,0)),IF(((14+0.5)*(4*IF(circ_int,0,eq_c1/2)+4*IF(circ_int,0,eq_c2/2)+2*PI()*(s_0+7*s_r+IF(circ_int,eq_c1/2,0)))/INDEX(lk_legs,8))&lt;((((2*IF(circ_int,0,eq_c2/2))+(PI()*(s_0+7*s_r+IF(circ_int,eq_c1/2,0))/2))+2*IF(circ_int,0,eq_c1/2))+(PI()*(s_0+7*s_r+IF(circ_int,eq_c1/2,0))/2)),IF(circ_int,0,eq_c2/2)+(s_0+7*s_r+IF(circ_int,eq_c1/2,0))*SIN(PI()/2+(((14+0.5)*(4*IF(circ_int,0,eq_c1/2)+4*IF(circ_int,0,eq_c2/2)+2*PI()*(s_0+7*s_r+IF(circ_int,eq_c1/2,0)))/INDEX(lk_legs,8))-(((2*IF(circ_int,0,eq_c2/2))+(PI()*(s_0+7*s_r+IF(circ_int,eq_c1/2,0))/2))+2*IF(circ_int,0,eq_c1/2)))/(s_0+7*s_r+IF(circ_int,eq_c1/2,0))),IF(((14+0.5)*(4*IF(circ_int,0,eq_c1/2)+4*IF(circ_int,0,eq_c2/2)+2*PI()*(s_0+7*s_r+IF(circ_int,eq_c1/2,0)))/INDEX(lk_legs,8))&lt;(((((2*IF(circ_int,0,eq_c2/2))+(PI()*(s_0+7*s_r+IF(circ_int,eq_c1/2,0))/2))+2*IF(circ_int,0,eq_c1/2))+(PI()*(s_0+7*s_r+IF(circ_int,eq_c1/2,0))/2))+2*IF(circ_int,0,eq_c2/2)),IF(circ_int,0,eq_c2/2)-(((14+0.5)*(4*IF(circ_int,0,eq_c1/2)+4*IF(circ_int,0,eq_c2/2)+2*PI()*(s_0+7*s_r+IF(circ_int,eq_c1/2,0)))/INDEX(lk_legs,8))-((((2*IF(circ_int,0,eq_c2/2))+(PI()*(s_0+7*s_r+IF(circ_int,eq_c1/2,0))/2))+2*IF(circ_int,0,eq_c1/2))+(PI()*(s_0+7*s_r+IF(circ_int,eq_c1/2,0))/2))),IF(((14+0.5)*(4*IF(circ_int,0,eq_c1/2)+4*IF(circ_int,0,eq_c2/2)+2*PI()*(s_0+7*s_r+IF(circ_int,eq_c1/2,0)))/INDEX(lk_legs,8))&lt;((((((2*IF(circ_int,0,eq_c2/2))+(PI()*(s_0+7*s_r+IF(circ_int,eq_c1/2,0))/2))+2*IF(circ_int,0,eq_c1/2))+(PI()*(s_0+7*s_r+IF(circ_int,eq_c1/2,0))/2))+2*IF(circ_int,0,eq_c2/2))+(PI()*(s_0+7*s_r+IF(circ_int,eq_c1/2,0))/2)),-IF(circ_int,0,eq_c2/2)+(s_0+7*s_r+IF(circ_int,eq_c1/2,0))*SIN(PI()+(((14+0.5)*(4*IF(circ_int,0,eq_c1/2)+4*IF(circ_int,0,eq_c2/2)+2*PI()*(s_0+7*s_r+IF(circ_int,eq_c1/2,0)))/INDEX(lk_legs,8))-(((((2*IF(circ_int,0,eq_c2/2))+(PI()*(s_0+7*s_r+IF(circ_int,eq_c1/2,0))/2))+2*IF(circ_int,0,eq_c1/2))+(PI()*(s_0+7*s_r+IF(circ_int,eq_c1/2,0))/2))+2*IF(circ_int,0,eq_c2/2)))/(s_0+7*s_r+IF(circ_int,eq_c1/2,0))),IF(((14+0.5)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(14+0.5)*(4*IF(circ_int,0,eq_c1/2)+4*IF(circ_int,0,eq_c2/2)+2*PI()*(s_0+7*s_r+IF(circ_int,eq_c1/2,0)))/INDEX(lk_legs,8))-(((((((2*IF(circ_int,0,eq_c2/2))+(PI()*(s_0+7*s_r+IF(circ_int,eq_c1/2,0))/2))+2*IF(circ_int,0,eq_c1/2))+(PI()*(s_0+7*s_r+IF(circ_int,eq_c1/2,0))/2))+2*IF(circ_int,0,eq_c2/2))+(PI()*(s_0+7*s_r+IF(circ_int,eq_c1/2,0))/2))+2*IF(circ_int,0,eq_c1/2)))/(s_0+7*s_r+IF(circ_int,eq_c1/2,0)))))))))),NA())</f>
        <v/>
      </c>
      <c r="CS17">
        <f>IF(AND(links_on,9&lt;=n_per),IF(circ_int,(g_ox)+(c_1/2+(s_0+8*s_r))*-0.120537,CHOOSE(INDEX(lk_kind,9),(g_ox-eq_c1/2)+((s_0+8*s_r))*-0.130526,(eq_a1+eq_c1)+((s_0+8*s_r))*1.000000,eq_a1+eq_c1+(s_0+8*s_r),(eq_a1+eq_c1)+((s_0+8*s_r))*0.000000)),NA())</f>
        <v/>
      </c>
      <c r="CT17">
        <f>IF(AND(links_on,9&lt;=n_per),IF(circ_int,(g_oy)+(c_1/2+(s_0+8*s_r))*0.992709,CHOOSE(INDEX(lk_kind,9),(g_oy+eq_c2/2)+((s_0+8*s_r))*0.991445,(g_oy-eq_c2/2)+((s_0+8*s_r))*0.000000,0,(eq_a2+eq_c2)+((s_0+8*s_r))*1.000000)),NA())</f>
        <v/>
      </c>
      <c r="CV17">
        <f>IF(AND(AND(links_on,9&lt;=n_per),INDEX(lk_kind,9)=1,14&lt;INDEX(lk_legs,9)),g_ox+IF(((14+0.5)*(4*IF(circ_int,0,eq_c1/2)+4*IF(circ_int,0,eq_c2/2)+2*PI()*(s_0+8*s_r+IF(circ_int,eq_c1/2,0)))/INDEX(lk_legs,9))&lt;(2*IF(circ_int,0,eq_c2/2)),IF(circ_int,0,eq_c1/2)+(s_0+8*s_r+IF(circ_int,eq_c1/2,0)),IF(((14+0.5)*(4*IF(circ_int,0,eq_c1/2)+4*IF(circ_int,0,eq_c2/2)+2*PI()*(s_0+8*s_r+IF(circ_int,eq_c1/2,0)))/INDEX(lk_legs,9))&lt;((2*IF(circ_int,0,eq_c2/2))+(PI()*(s_0+8*s_r+IF(circ_int,eq_c1/2,0))/2)),IF(circ_int,0,eq_c1/2)+(s_0+8*s_r+IF(circ_int,eq_c1/2,0))*COS((((14+0.5)*(4*IF(circ_int,0,eq_c1/2)+4*IF(circ_int,0,eq_c2/2)+2*PI()*(s_0+8*s_r+IF(circ_int,eq_c1/2,0)))/INDEX(lk_legs,9))-(2*IF(circ_int,0,eq_c2/2)))/(s_0+8*s_r+IF(circ_int,eq_c1/2,0))),IF(((14+0.5)*(4*IF(circ_int,0,eq_c1/2)+4*IF(circ_int,0,eq_c2/2)+2*PI()*(s_0+8*s_r+IF(circ_int,eq_c1/2,0)))/INDEX(lk_legs,9))&lt;(((2*IF(circ_int,0,eq_c2/2))+(PI()*(s_0+8*s_r+IF(circ_int,eq_c1/2,0))/2))+2*IF(circ_int,0,eq_c1/2)),IF(circ_int,0,eq_c1/2)-(((14+0.5)*(4*IF(circ_int,0,eq_c1/2)+4*IF(circ_int,0,eq_c2/2)+2*PI()*(s_0+8*s_r+IF(circ_int,eq_c1/2,0)))/INDEX(lk_legs,9))-((2*IF(circ_int,0,eq_c2/2))+(PI()*(s_0+8*s_r+IF(circ_int,eq_c1/2,0))/2))),IF(((14+0.5)*(4*IF(circ_int,0,eq_c1/2)+4*IF(circ_int,0,eq_c2/2)+2*PI()*(s_0+8*s_r+IF(circ_int,eq_c1/2,0)))/INDEX(lk_legs,9))&lt;((((2*IF(circ_int,0,eq_c2/2))+(PI()*(s_0+8*s_r+IF(circ_int,eq_c1/2,0))/2))+2*IF(circ_int,0,eq_c1/2))+(PI()*(s_0+8*s_r+IF(circ_int,eq_c1/2,0))/2)),-IF(circ_int,0,eq_c1/2)+(s_0+8*s_r+IF(circ_int,eq_c1/2,0))*COS(PI()/2+(((14+0.5)*(4*IF(circ_int,0,eq_c1/2)+4*IF(circ_int,0,eq_c2/2)+2*PI()*(s_0+8*s_r+IF(circ_int,eq_c1/2,0)))/INDEX(lk_legs,9))-(((2*IF(circ_int,0,eq_c2/2))+(PI()*(s_0+8*s_r+IF(circ_int,eq_c1/2,0))/2))+2*IF(circ_int,0,eq_c1/2)))/(s_0+8*s_r+IF(circ_int,eq_c1/2,0))),IF(((14+0.5)*(4*IF(circ_int,0,eq_c1/2)+4*IF(circ_int,0,eq_c2/2)+2*PI()*(s_0+8*s_r+IF(circ_int,eq_c1/2,0)))/INDEX(lk_legs,9))&lt;(((((2*IF(circ_int,0,eq_c2/2))+(PI()*(s_0+8*s_r+IF(circ_int,eq_c1/2,0))/2))+2*IF(circ_int,0,eq_c1/2))+(PI()*(s_0+8*s_r+IF(circ_int,eq_c1/2,0))/2))+2*IF(circ_int,0,eq_c2/2)),-IF(circ_int,0,eq_c1/2)-(s_0+8*s_r+IF(circ_int,eq_c1/2,0)),IF(((14+0.5)*(4*IF(circ_int,0,eq_c1/2)+4*IF(circ_int,0,eq_c2/2)+2*PI()*(s_0+8*s_r+IF(circ_int,eq_c1/2,0)))/INDEX(lk_legs,9))&lt;((((((2*IF(circ_int,0,eq_c2/2))+(PI()*(s_0+8*s_r+IF(circ_int,eq_c1/2,0))/2))+2*IF(circ_int,0,eq_c1/2))+(PI()*(s_0+8*s_r+IF(circ_int,eq_c1/2,0))/2))+2*IF(circ_int,0,eq_c2/2))+(PI()*(s_0+8*s_r+IF(circ_int,eq_c1/2,0))/2)),-IF(circ_int,0,eq_c1/2)+(s_0+8*s_r+IF(circ_int,eq_c1/2,0))*COS(PI()+(((14+0.5)*(4*IF(circ_int,0,eq_c1/2)+4*IF(circ_int,0,eq_c2/2)+2*PI()*(s_0+8*s_r+IF(circ_int,eq_c1/2,0)))/INDEX(lk_legs,9))-(((((2*IF(circ_int,0,eq_c2/2))+(PI()*(s_0+8*s_r+IF(circ_int,eq_c1/2,0))/2))+2*IF(circ_int,0,eq_c1/2))+(PI()*(s_0+8*s_r+IF(circ_int,eq_c1/2,0))/2))+2*IF(circ_int,0,eq_c2/2)))/(s_0+8*s_r+IF(circ_int,eq_c1/2,0))),IF(((14+0.5)*(4*IF(circ_int,0,eq_c1/2)+4*IF(circ_int,0,eq_c2/2)+2*PI()*(s_0+8*s_r+IF(circ_int,eq_c1/2,0)))/INDEX(lk_legs,9))&lt;(((((((2*IF(circ_int,0,eq_c2/2))+(PI()*(s_0+8*s_r+IF(circ_int,eq_c1/2,0))/2))+2*IF(circ_int,0,eq_c1/2))+(PI()*(s_0+8*s_r+IF(circ_int,eq_c1/2,0))/2))+2*IF(circ_int,0,eq_c2/2))+(PI()*(s_0+8*s_r+IF(circ_int,eq_c1/2,0))/2))+2*IF(circ_int,0,eq_c1/2)),-IF(circ_int,0,eq_c1/2)+(((14+0.5)*(4*IF(circ_int,0,eq_c1/2)+4*IF(circ_int,0,eq_c2/2)+2*PI()*(s_0+8*s_r+IF(circ_int,eq_c1/2,0)))/INDEX(lk_legs,9))-((((((2*IF(circ_int,0,eq_c2/2))+(PI()*(s_0+8*s_r+IF(circ_int,eq_c1/2,0))/2))+2*IF(circ_int,0,eq_c1/2))+(PI()*(s_0+8*s_r+IF(circ_int,eq_c1/2,0))/2))+2*IF(circ_int,0,eq_c2/2))+(PI()*(s_0+8*s_r+IF(circ_int,eq_c1/2,0))/2))),IF(circ_int,0,eq_c1/2)+(s_0+8*s_r+IF(circ_int,eq_c1/2,0))*COS(3*PI()/2+(((14+0.5)*(4*IF(circ_int,0,eq_c1/2)+4*IF(circ_int,0,eq_c2/2)+2*PI()*(s_0+8*s_r+IF(circ_int,eq_c1/2,0)))/INDEX(lk_legs,9))-(((((((2*IF(circ_int,0,eq_c2/2))+(PI()*(s_0+8*s_r+IF(circ_int,eq_c1/2,0))/2))+2*IF(circ_int,0,eq_c1/2))+(PI()*(s_0+8*s_r+IF(circ_int,eq_c1/2,0))/2))+2*IF(circ_int,0,eq_c2/2))+(PI()*(s_0+8*s_r+IF(circ_int,eq_c1/2,0))/2))+2*IF(circ_int,0,eq_c1/2)))/(s_0+8*s_r+IF(circ_int,eq_c1/2,0)))))))))),NA())</f>
        <v/>
      </c>
      <c r="CW17">
        <f>IF(AND(AND(links_on,9&lt;=n_per),INDEX(lk_kind,9)=1,14&lt;INDEX(lk_legs,9)),g_oy+IF(((14+0.5)*(4*IF(circ_int,0,eq_c1/2)+4*IF(circ_int,0,eq_c2/2)+2*PI()*(s_0+8*s_r+IF(circ_int,eq_c1/2,0)))/INDEX(lk_legs,9))&lt;(2*IF(circ_int,0,eq_c2/2)),-IF(circ_int,0,eq_c2/2)+((14+0.5)*(4*IF(circ_int,0,eq_c1/2)+4*IF(circ_int,0,eq_c2/2)+2*PI()*(s_0+8*s_r+IF(circ_int,eq_c1/2,0)))/INDEX(lk_legs,9)),IF(((14+0.5)*(4*IF(circ_int,0,eq_c1/2)+4*IF(circ_int,0,eq_c2/2)+2*PI()*(s_0+8*s_r+IF(circ_int,eq_c1/2,0)))/INDEX(lk_legs,9))&lt;((2*IF(circ_int,0,eq_c2/2))+(PI()*(s_0+8*s_r+IF(circ_int,eq_c1/2,0))/2)),IF(circ_int,0,eq_c2/2)+(s_0+8*s_r+IF(circ_int,eq_c1/2,0))*SIN((((14+0.5)*(4*IF(circ_int,0,eq_c1/2)+4*IF(circ_int,0,eq_c2/2)+2*PI()*(s_0+8*s_r+IF(circ_int,eq_c1/2,0)))/INDEX(lk_legs,9))-(2*IF(circ_int,0,eq_c2/2)))/(s_0+8*s_r+IF(circ_int,eq_c1/2,0))),IF(((14+0.5)*(4*IF(circ_int,0,eq_c1/2)+4*IF(circ_int,0,eq_c2/2)+2*PI()*(s_0+8*s_r+IF(circ_int,eq_c1/2,0)))/INDEX(lk_legs,9))&lt;(((2*IF(circ_int,0,eq_c2/2))+(PI()*(s_0+8*s_r+IF(circ_int,eq_c1/2,0))/2))+2*IF(circ_int,0,eq_c1/2)),IF(circ_int,0,eq_c2/2)+(s_0+8*s_r+IF(circ_int,eq_c1/2,0)),IF(((14+0.5)*(4*IF(circ_int,0,eq_c1/2)+4*IF(circ_int,0,eq_c2/2)+2*PI()*(s_0+8*s_r+IF(circ_int,eq_c1/2,0)))/INDEX(lk_legs,9))&lt;((((2*IF(circ_int,0,eq_c2/2))+(PI()*(s_0+8*s_r+IF(circ_int,eq_c1/2,0))/2))+2*IF(circ_int,0,eq_c1/2))+(PI()*(s_0+8*s_r+IF(circ_int,eq_c1/2,0))/2)),IF(circ_int,0,eq_c2/2)+(s_0+8*s_r+IF(circ_int,eq_c1/2,0))*SIN(PI()/2+(((14+0.5)*(4*IF(circ_int,0,eq_c1/2)+4*IF(circ_int,0,eq_c2/2)+2*PI()*(s_0+8*s_r+IF(circ_int,eq_c1/2,0)))/INDEX(lk_legs,9))-(((2*IF(circ_int,0,eq_c2/2))+(PI()*(s_0+8*s_r+IF(circ_int,eq_c1/2,0))/2))+2*IF(circ_int,0,eq_c1/2)))/(s_0+8*s_r+IF(circ_int,eq_c1/2,0))),IF(((14+0.5)*(4*IF(circ_int,0,eq_c1/2)+4*IF(circ_int,0,eq_c2/2)+2*PI()*(s_0+8*s_r+IF(circ_int,eq_c1/2,0)))/INDEX(lk_legs,9))&lt;(((((2*IF(circ_int,0,eq_c2/2))+(PI()*(s_0+8*s_r+IF(circ_int,eq_c1/2,0))/2))+2*IF(circ_int,0,eq_c1/2))+(PI()*(s_0+8*s_r+IF(circ_int,eq_c1/2,0))/2))+2*IF(circ_int,0,eq_c2/2)),IF(circ_int,0,eq_c2/2)-(((14+0.5)*(4*IF(circ_int,0,eq_c1/2)+4*IF(circ_int,0,eq_c2/2)+2*PI()*(s_0+8*s_r+IF(circ_int,eq_c1/2,0)))/INDEX(lk_legs,9))-((((2*IF(circ_int,0,eq_c2/2))+(PI()*(s_0+8*s_r+IF(circ_int,eq_c1/2,0))/2))+2*IF(circ_int,0,eq_c1/2))+(PI()*(s_0+8*s_r+IF(circ_int,eq_c1/2,0))/2))),IF(((14+0.5)*(4*IF(circ_int,0,eq_c1/2)+4*IF(circ_int,0,eq_c2/2)+2*PI()*(s_0+8*s_r+IF(circ_int,eq_c1/2,0)))/INDEX(lk_legs,9))&lt;((((((2*IF(circ_int,0,eq_c2/2))+(PI()*(s_0+8*s_r+IF(circ_int,eq_c1/2,0))/2))+2*IF(circ_int,0,eq_c1/2))+(PI()*(s_0+8*s_r+IF(circ_int,eq_c1/2,0))/2))+2*IF(circ_int,0,eq_c2/2))+(PI()*(s_0+8*s_r+IF(circ_int,eq_c1/2,0))/2)),-IF(circ_int,0,eq_c2/2)+(s_0+8*s_r+IF(circ_int,eq_c1/2,0))*SIN(PI()+(((14+0.5)*(4*IF(circ_int,0,eq_c1/2)+4*IF(circ_int,0,eq_c2/2)+2*PI()*(s_0+8*s_r+IF(circ_int,eq_c1/2,0)))/INDEX(lk_legs,9))-(((((2*IF(circ_int,0,eq_c2/2))+(PI()*(s_0+8*s_r+IF(circ_int,eq_c1/2,0))/2))+2*IF(circ_int,0,eq_c1/2))+(PI()*(s_0+8*s_r+IF(circ_int,eq_c1/2,0))/2))+2*IF(circ_int,0,eq_c2/2)))/(s_0+8*s_r+IF(circ_int,eq_c1/2,0))),IF(((14+0.5)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(14+0.5)*(4*IF(circ_int,0,eq_c1/2)+4*IF(circ_int,0,eq_c2/2)+2*PI()*(s_0+8*s_r+IF(circ_int,eq_c1/2,0)))/INDEX(lk_legs,9))-(((((((2*IF(circ_int,0,eq_c2/2))+(PI()*(s_0+8*s_r+IF(circ_int,eq_c1/2,0))/2))+2*IF(circ_int,0,eq_c1/2))+(PI()*(s_0+8*s_r+IF(circ_int,eq_c1/2,0))/2))+2*IF(circ_int,0,eq_c2/2))+(PI()*(s_0+8*s_r+IF(circ_int,eq_c1/2,0))/2))+2*IF(circ_int,0,eq_c1/2)))/(s_0+8*s_r+IF(circ_int,eq_c1/2,0)))))))))),NA())</f>
        <v/>
      </c>
      <c r="CY17">
        <f>IF(AND(links_on,10&lt;=n_per),IF(circ_int,(g_ox)+(c_1/2+(s_0+9*s_r))*-0.120537,CHOOSE(INDEX(lk_kind,10),(g_ox-eq_c1/2)+((s_0+9*s_r))*-0.130526,(eq_a1+eq_c1)+((s_0+9*s_r))*1.000000,eq_a1+eq_c1+(s_0+9*s_r),(eq_a1+eq_c1)+((s_0+9*s_r))*0.000000)),NA())</f>
        <v/>
      </c>
      <c r="CZ17">
        <f>IF(AND(links_on,10&lt;=n_per),IF(circ_int,(g_oy)+(c_1/2+(s_0+9*s_r))*0.992709,CHOOSE(INDEX(lk_kind,10),(g_oy+eq_c2/2)+((s_0+9*s_r))*0.991445,(g_oy-eq_c2/2)+((s_0+9*s_r))*0.000000,0,(eq_a2+eq_c2)+((s_0+9*s_r))*1.000000)),NA())</f>
        <v/>
      </c>
      <c r="DB17">
        <f>IF(AND(AND(links_on,10&lt;=n_per),INDEX(lk_kind,10)=1,14&lt;INDEX(lk_legs,10)),g_ox+IF(((14+0.5)*(4*IF(circ_int,0,eq_c1/2)+4*IF(circ_int,0,eq_c2/2)+2*PI()*(s_0+9*s_r+IF(circ_int,eq_c1/2,0)))/INDEX(lk_legs,10))&lt;(2*IF(circ_int,0,eq_c2/2)),IF(circ_int,0,eq_c1/2)+(s_0+9*s_r+IF(circ_int,eq_c1/2,0)),IF(((14+0.5)*(4*IF(circ_int,0,eq_c1/2)+4*IF(circ_int,0,eq_c2/2)+2*PI()*(s_0+9*s_r+IF(circ_int,eq_c1/2,0)))/INDEX(lk_legs,10))&lt;((2*IF(circ_int,0,eq_c2/2))+(PI()*(s_0+9*s_r+IF(circ_int,eq_c1/2,0))/2)),IF(circ_int,0,eq_c1/2)+(s_0+9*s_r+IF(circ_int,eq_c1/2,0))*COS((((14+0.5)*(4*IF(circ_int,0,eq_c1/2)+4*IF(circ_int,0,eq_c2/2)+2*PI()*(s_0+9*s_r+IF(circ_int,eq_c1/2,0)))/INDEX(lk_legs,10))-(2*IF(circ_int,0,eq_c2/2)))/(s_0+9*s_r+IF(circ_int,eq_c1/2,0))),IF(((14+0.5)*(4*IF(circ_int,0,eq_c1/2)+4*IF(circ_int,0,eq_c2/2)+2*PI()*(s_0+9*s_r+IF(circ_int,eq_c1/2,0)))/INDEX(lk_legs,10))&lt;(((2*IF(circ_int,0,eq_c2/2))+(PI()*(s_0+9*s_r+IF(circ_int,eq_c1/2,0))/2))+2*IF(circ_int,0,eq_c1/2)),IF(circ_int,0,eq_c1/2)-(((14+0.5)*(4*IF(circ_int,0,eq_c1/2)+4*IF(circ_int,0,eq_c2/2)+2*PI()*(s_0+9*s_r+IF(circ_int,eq_c1/2,0)))/INDEX(lk_legs,10))-((2*IF(circ_int,0,eq_c2/2))+(PI()*(s_0+9*s_r+IF(circ_int,eq_c1/2,0))/2))),IF(((14+0.5)*(4*IF(circ_int,0,eq_c1/2)+4*IF(circ_int,0,eq_c2/2)+2*PI()*(s_0+9*s_r+IF(circ_int,eq_c1/2,0)))/INDEX(lk_legs,10))&lt;((((2*IF(circ_int,0,eq_c2/2))+(PI()*(s_0+9*s_r+IF(circ_int,eq_c1/2,0))/2))+2*IF(circ_int,0,eq_c1/2))+(PI()*(s_0+9*s_r+IF(circ_int,eq_c1/2,0))/2)),-IF(circ_int,0,eq_c1/2)+(s_0+9*s_r+IF(circ_int,eq_c1/2,0))*COS(PI()/2+(((14+0.5)*(4*IF(circ_int,0,eq_c1/2)+4*IF(circ_int,0,eq_c2/2)+2*PI()*(s_0+9*s_r+IF(circ_int,eq_c1/2,0)))/INDEX(lk_legs,10))-(((2*IF(circ_int,0,eq_c2/2))+(PI()*(s_0+9*s_r+IF(circ_int,eq_c1/2,0))/2))+2*IF(circ_int,0,eq_c1/2)))/(s_0+9*s_r+IF(circ_int,eq_c1/2,0))),IF(((14+0.5)*(4*IF(circ_int,0,eq_c1/2)+4*IF(circ_int,0,eq_c2/2)+2*PI()*(s_0+9*s_r+IF(circ_int,eq_c1/2,0)))/INDEX(lk_legs,10))&lt;(((((2*IF(circ_int,0,eq_c2/2))+(PI()*(s_0+9*s_r+IF(circ_int,eq_c1/2,0))/2))+2*IF(circ_int,0,eq_c1/2))+(PI()*(s_0+9*s_r+IF(circ_int,eq_c1/2,0))/2))+2*IF(circ_int,0,eq_c2/2)),-IF(circ_int,0,eq_c1/2)-(s_0+9*s_r+IF(circ_int,eq_c1/2,0)),IF(((14+0.5)*(4*IF(circ_int,0,eq_c1/2)+4*IF(circ_int,0,eq_c2/2)+2*PI()*(s_0+9*s_r+IF(circ_int,eq_c1/2,0)))/INDEX(lk_legs,10))&lt;((((((2*IF(circ_int,0,eq_c2/2))+(PI()*(s_0+9*s_r+IF(circ_int,eq_c1/2,0))/2))+2*IF(circ_int,0,eq_c1/2))+(PI()*(s_0+9*s_r+IF(circ_int,eq_c1/2,0))/2))+2*IF(circ_int,0,eq_c2/2))+(PI()*(s_0+9*s_r+IF(circ_int,eq_c1/2,0))/2)),-IF(circ_int,0,eq_c1/2)+(s_0+9*s_r+IF(circ_int,eq_c1/2,0))*COS(PI()+(((14+0.5)*(4*IF(circ_int,0,eq_c1/2)+4*IF(circ_int,0,eq_c2/2)+2*PI()*(s_0+9*s_r+IF(circ_int,eq_c1/2,0)))/INDEX(lk_legs,10))-(((((2*IF(circ_int,0,eq_c2/2))+(PI()*(s_0+9*s_r+IF(circ_int,eq_c1/2,0))/2))+2*IF(circ_int,0,eq_c1/2))+(PI()*(s_0+9*s_r+IF(circ_int,eq_c1/2,0))/2))+2*IF(circ_int,0,eq_c2/2)))/(s_0+9*s_r+IF(circ_int,eq_c1/2,0))),IF(((14+0.5)*(4*IF(circ_int,0,eq_c1/2)+4*IF(circ_int,0,eq_c2/2)+2*PI()*(s_0+9*s_r+IF(circ_int,eq_c1/2,0)))/INDEX(lk_legs,10))&lt;(((((((2*IF(circ_int,0,eq_c2/2))+(PI()*(s_0+9*s_r+IF(circ_int,eq_c1/2,0))/2))+2*IF(circ_int,0,eq_c1/2))+(PI()*(s_0+9*s_r+IF(circ_int,eq_c1/2,0))/2))+2*IF(circ_int,0,eq_c2/2))+(PI()*(s_0+9*s_r+IF(circ_int,eq_c1/2,0))/2))+2*IF(circ_int,0,eq_c1/2)),-IF(circ_int,0,eq_c1/2)+(((14+0.5)*(4*IF(circ_int,0,eq_c1/2)+4*IF(circ_int,0,eq_c2/2)+2*PI()*(s_0+9*s_r+IF(circ_int,eq_c1/2,0)))/INDEX(lk_legs,10))-((((((2*IF(circ_int,0,eq_c2/2))+(PI()*(s_0+9*s_r+IF(circ_int,eq_c1/2,0))/2))+2*IF(circ_int,0,eq_c1/2))+(PI()*(s_0+9*s_r+IF(circ_int,eq_c1/2,0))/2))+2*IF(circ_int,0,eq_c2/2))+(PI()*(s_0+9*s_r+IF(circ_int,eq_c1/2,0))/2))),IF(circ_int,0,eq_c1/2)+(s_0+9*s_r+IF(circ_int,eq_c1/2,0))*COS(3*PI()/2+(((14+0.5)*(4*IF(circ_int,0,eq_c1/2)+4*IF(circ_int,0,eq_c2/2)+2*PI()*(s_0+9*s_r+IF(circ_int,eq_c1/2,0)))/INDEX(lk_legs,10))-(((((((2*IF(circ_int,0,eq_c2/2))+(PI()*(s_0+9*s_r+IF(circ_int,eq_c1/2,0))/2))+2*IF(circ_int,0,eq_c1/2))+(PI()*(s_0+9*s_r+IF(circ_int,eq_c1/2,0))/2))+2*IF(circ_int,0,eq_c2/2))+(PI()*(s_0+9*s_r+IF(circ_int,eq_c1/2,0))/2))+2*IF(circ_int,0,eq_c1/2)))/(s_0+9*s_r+IF(circ_int,eq_c1/2,0)))))))))),NA())</f>
        <v/>
      </c>
      <c r="DC17">
        <f>IF(AND(AND(links_on,10&lt;=n_per),INDEX(lk_kind,10)=1,14&lt;INDEX(lk_legs,10)),g_oy+IF(((14+0.5)*(4*IF(circ_int,0,eq_c1/2)+4*IF(circ_int,0,eq_c2/2)+2*PI()*(s_0+9*s_r+IF(circ_int,eq_c1/2,0)))/INDEX(lk_legs,10))&lt;(2*IF(circ_int,0,eq_c2/2)),-IF(circ_int,0,eq_c2/2)+((14+0.5)*(4*IF(circ_int,0,eq_c1/2)+4*IF(circ_int,0,eq_c2/2)+2*PI()*(s_0+9*s_r+IF(circ_int,eq_c1/2,0)))/INDEX(lk_legs,10)),IF(((14+0.5)*(4*IF(circ_int,0,eq_c1/2)+4*IF(circ_int,0,eq_c2/2)+2*PI()*(s_0+9*s_r+IF(circ_int,eq_c1/2,0)))/INDEX(lk_legs,10))&lt;((2*IF(circ_int,0,eq_c2/2))+(PI()*(s_0+9*s_r+IF(circ_int,eq_c1/2,0))/2)),IF(circ_int,0,eq_c2/2)+(s_0+9*s_r+IF(circ_int,eq_c1/2,0))*SIN((((14+0.5)*(4*IF(circ_int,0,eq_c1/2)+4*IF(circ_int,0,eq_c2/2)+2*PI()*(s_0+9*s_r+IF(circ_int,eq_c1/2,0)))/INDEX(lk_legs,10))-(2*IF(circ_int,0,eq_c2/2)))/(s_0+9*s_r+IF(circ_int,eq_c1/2,0))),IF(((14+0.5)*(4*IF(circ_int,0,eq_c1/2)+4*IF(circ_int,0,eq_c2/2)+2*PI()*(s_0+9*s_r+IF(circ_int,eq_c1/2,0)))/INDEX(lk_legs,10))&lt;(((2*IF(circ_int,0,eq_c2/2))+(PI()*(s_0+9*s_r+IF(circ_int,eq_c1/2,0))/2))+2*IF(circ_int,0,eq_c1/2)),IF(circ_int,0,eq_c2/2)+(s_0+9*s_r+IF(circ_int,eq_c1/2,0)),IF(((14+0.5)*(4*IF(circ_int,0,eq_c1/2)+4*IF(circ_int,0,eq_c2/2)+2*PI()*(s_0+9*s_r+IF(circ_int,eq_c1/2,0)))/INDEX(lk_legs,10))&lt;((((2*IF(circ_int,0,eq_c2/2))+(PI()*(s_0+9*s_r+IF(circ_int,eq_c1/2,0))/2))+2*IF(circ_int,0,eq_c1/2))+(PI()*(s_0+9*s_r+IF(circ_int,eq_c1/2,0))/2)),IF(circ_int,0,eq_c2/2)+(s_0+9*s_r+IF(circ_int,eq_c1/2,0))*SIN(PI()/2+(((14+0.5)*(4*IF(circ_int,0,eq_c1/2)+4*IF(circ_int,0,eq_c2/2)+2*PI()*(s_0+9*s_r+IF(circ_int,eq_c1/2,0)))/INDEX(lk_legs,10))-(((2*IF(circ_int,0,eq_c2/2))+(PI()*(s_0+9*s_r+IF(circ_int,eq_c1/2,0))/2))+2*IF(circ_int,0,eq_c1/2)))/(s_0+9*s_r+IF(circ_int,eq_c1/2,0))),IF(((14+0.5)*(4*IF(circ_int,0,eq_c1/2)+4*IF(circ_int,0,eq_c2/2)+2*PI()*(s_0+9*s_r+IF(circ_int,eq_c1/2,0)))/INDEX(lk_legs,10))&lt;(((((2*IF(circ_int,0,eq_c2/2))+(PI()*(s_0+9*s_r+IF(circ_int,eq_c1/2,0))/2))+2*IF(circ_int,0,eq_c1/2))+(PI()*(s_0+9*s_r+IF(circ_int,eq_c1/2,0))/2))+2*IF(circ_int,0,eq_c2/2)),IF(circ_int,0,eq_c2/2)-(((14+0.5)*(4*IF(circ_int,0,eq_c1/2)+4*IF(circ_int,0,eq_c2/2)+2*PI()*(s_0+9*s_r+IF(circ_int,eq_c1/2,0)))/INDEX(lk_legs,10))-((((2*IF(circ_int,0,eq_c2/2))+(PI()*(s_0+9*s_r+IF(circ_int,eq_c1/2,0))/2))+2*IF(circ_int,0,eq_c1/2))+(PI()*(s_0+9*s_r+IF(circ_int,eq_c1/2,0))/2))),IF(((14+0.5)*(4*IF(circ_int,0,eq_c1/2)+4*IF(circ_int,0,eq_c2/2)+2*PI()*(s_0+9*s_r+IF(circ_int,eq_c1/2,0)))/INDEX(lk_legs,10))&lt;((((((2*IF(circ_int,0,eq_c2/2))+(PI()*(s_0+9*s_r+IF(circ_int,eq_c1/2,0))/2))+2*IF(circ_int,0,eq_c1/2))+(PI()*(s_0+9*s_r+IF(circ_int,eq_c1/2,0))/2))+2*IF(circ_int,0,eq_c2/2))+(PI()*(s_0+9*s_r+IF(circ_int,eq_c1/2,0))/2)),-IF(circ_int,0,eq_c2/2)+(s_0+9*s_r+IF(circ_int,eq_c1/2,0))*SIN(PI()+(((14+0.5)*(4*IF(circ_int,0,eq_c1/2)+4*IF(circ_int,0,eq_c2/2)+2*PI()*(s_0+9*s_r+IF(circ_int,eq_c1/2,0)))/INDEX(lk_legs,10))-(((((2*IF(circ_int,0,eq_c2/2))+(PI()*(s_0+9*s_r+IF(circ_int,eq_c1/2,0))/2))+2*IF(circ_int,0,eq_c1/2))+(PI()*(s_0+9*s_r+IF(circ_int,eq_c1/2,0))/2))+2*IF(circ_int,0,eq_c2/2)))/(s_0+9*s_r+IF(circ_int,eq_c1/2,0))),IF(((14+0.5)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(14+0.5)*(4*IF(circ_int,0,eq_c1/2)+4*IF(circ_int,0,eq_c2/2)+2*PI()*(s_0+9*s_r+IF(circ_int,eq_c1/2,0)))/INDEX(lk_legs,10))-(((((((2*IF(circ_int,0,eq_c2/2))+(PI()*(s_0+9*s_r+IF(circ_int,eq_c1/2,0))/2))+2*IF(circ_int,0,eq_c1/2))+(PI()*(s_0+9*s_r+IF(circ_int,eq_c1/2,0))/2))+2*IF(circ_int,0,eq_c2/2))+(PI()*(s_0+9*s_r+IF(circ_int,eq_c1/2,0))/2))+2*IF(circ_int,0,eq_c1/2)))/(s_0+9*s_r+IF(circ_int,eq_c1/2,0)))))))))),NA())</f>
        <v/>
      </c>
      <c r="DE17">
        <f>IF(AND(links_on,11&lt;=n_per),IF(circ_int,(g_ox)+(c_1/2+(s_0+10*s_r))*-0.120537,CHOOSE(INDEX(lk_kind,11),(g_ox-eq_c1/2)+((s_0+10*s_r))*-0.130526,(eq_a1+eq_c1)+((s_0+10*s_r))*1.000000,eq_a1+eq_c1+(s_0+10*s_r),(eq_a1+eq_c1)+((s_0+10*s_r))*0.000000)),NA())</f>
        <v/>
      </c>
      <c r="DF17">
        <f>IF(AND(links_on,11&lt;=n_per),IF(circ_int,(g_oy)+(c_1/2+(s_0+10*s_r))*0.992709,CHOOSE(INDEX(lk_kind,11),(g_oy+eq_c2/2)+((s_0+10*s_r))*0.991445,(g_oy-eq_c2/2)+((s_0+10*s_r))*0.000000,0,(eq_a2+eq_c2)+((s_0+10*s_r))*1.000000)),NA())</f>
        <v/>
      </c>
      <c r="DH17">
        <f>IF(AND(AND(links_on,11&lt;=n_per),INDEX(lk_kind,11)=1,14&lt;INDEX(lk_legs,11)),g_ox+IF(((14+0.5)*(4*IF(circ_int,0,eq_c1/2)+4*IF(circ_int,0,eq_c2/2)+2*PI()*(s_0+10*s_r+IF(circ_int,eq_c1/2,0)))/INDEX(lk_legs,11))&lt;(2*IF(circ_int,0,eq_c2/2)),IF(circ_int,0,eq_c1/2)+(s_0+10*s_r+IF(circ_int,eq_c1/2,0)),IF(((14+0.5)*(4*IF(circ_int,0,eq_c1/2)+4*IF(circ_int,0,eq_c2/2)+2*PI()*(s_0+10*s_r+IF(circ_int,eq_c1/2,0)))/INDEX(lk_legs,11))&lt;((2*IF(circ_int,0,eq_c2/2))+(PI()*(s_0+10*s_r+IF(circ_int,eq_c1/2,0))/2)),IF(circ_int,0,eq_c1/2)+(s_0+10*s_r+IF(circ_int,eq_c1/2,0))*COS((((14+0.5)*(4*IF(circ_int,0,eq_c1/2)+4*IF(circ_int,0,eq_c2/2)+2*PI()*(s_0+10*s_r+IF(circ_int,eq_c1/2,0)))/INDEX(lk_legs,11))-(2*IF(circ_int,0,eq_c2/2)))/(s_0+10*s_r+IF(circ_int,eq_c1/2,0))),IF(((14+0.5)*(4*IF(circ_int,0,eq_c1/2)+4*IF(circ_int,0,eq_c2/2)+2*PI()*(s_0+10*s_r+IF(circ_int,eq_c1/2,0)))/INDEX(lk_legs,11))&lt;(((2*IF(circ_int,0,eq_c2/2))+(PI()*(s_0+10*s_r+IF(circ_int,eq_c1/2,0))/2))+2*IF(circ_int,0,eq_c1/2)),IF(circ_int,0,eq_c1/2)-(((14+0.5)*(4*IF(circ_int,0,eq_c1/2)+4*IF(circ_int,0,eq_c2/2)+2*PI()*(s_0+10*s_r+IF(circ_int,eq_c1/2,0)))/INDEX(lk_legs,11))-((2*IF(circ_int,0,eq_c2/2))+(PI()*(s_0+10*s_r+IF(circ_int,eq_c1/2,0))/2))),IF(((14+0.5)*(4*IF(circ_int,0,eq_c1/2)+4*IF(circ_int,0,eq_c2/2)+2*PI()*(s_0+10*s_r+IF(circ_int,eq_c1/2,0)))/INDEX(lk_legs,11))&lt;((((2*IF(circ_int,0,eq_c2/2))+(PI()*(s_0+10*s_r+IF(circ_int,eq_c1/2,0))/2))+2*IF(circ_int,0,eq_c1/2))+(PI()*(s_0+10*s_r+IF(circ_int,eq_c1/2,0))/2)),-IF(circ_int,0,eq_c1/2)+(s_0+10*s_r+IF(circ_int,eq_c1/2,0))*COS(PI()/2+(((14+0.5)*(4*IF(circ_int,0,eq_c1/2)+4*IF(circ_int,0,eq_c2/2)+2*PI()*(s_0+10*s_r+IF(circ_int,eq_c1/2,0)))/INDEX(lk_legs,11))-(((2*IF(circ_int,0,eq_c2/2))+(PI()*(s_0+10*s_r+IF(circ_int,eq_c1/2,0))/2))+2*IF(circ_int,0,eq_c1/2)))/(s_0+10*s_r+IF(circ_int,eq_c1/2,0))),IF(((14+0.5)*(4*IF(circ_int,0,eq_c1/2)+4*IF(circ_int,0,eq_c2/2)+2*PI()*(s_0+10*s_r+IF(circ_int,eq_c1/2,0)))/INDEX(lk_legs,11))&lt;(((((2*IF(circ_int,0,eq_c2/2))+(PI()*(s_0+10*s_r+IF(circ_int,eq_c1/2,0))/2))+2*IF(circ_int,0,eq_c1/2))+(PI()*(s_0+10*s_r+IF(circ_int,eq_c1/2,0))/2))+2*IF(circ_int,0,eq_c2/2)),-IF(circ_int,0,eq_c1/2)-(s_0+10*s_r+IF(circ_int,eq_c1/2,0)),IF(((14+0.5)*(4*IF(circ_int,0,eq_c1/2)+4*IF(circ_int,0,eq_c2/2)+2*PI()*(s_0+10*s_r+IF(circ_int,eq_c1/2,0)))/INDEX(lk_legs,11))&lt;((((((2*IF(circ_int,0,eq_c2/2))+(PI()*(s_0+10*s_r+IF(circ_int,eq_c1/2,0))/2))+2*IF(circ_int,0,eq_c1/2))+(PI()*(s_0+10*s_r+IF(circ_int,eq_c1/2,0))/2))+2*IF(circ_int,0,eq_c2/2))+(PI()*(s_0+10*s_r+IF(circ_int,eq_c1/2,0))/2)),-IF(circ_int,0,eq_c1/2)+(s_0+10*s_r+IF(circ_int,eq_c1/2,0))*COS(PI()+(((14+0.5)*(4*IF(circ_int,0,eq_c1/2)+4*IF(circ_int,0,eq_c2/2)+2*PI()*(s_0+10*s_r+IF(circ_int,eq_c1/2,0)))/INDEX(lk_legs,11))-(((((2*IF(circ_int,0,eq_c2/2))+(PI()*(s_0+10*s_r+IF(circ_int,eq_c1/2,0))/2))+2*IF(circ_int,0,eq_c1/2))+(PI()*(s_0+10*s_r+IF(circ_int,eq_c1/2,0))/2))+2*IF(circ_int,0,eq_c2/2)))/(s_0+10*s_r+IF(circ_int,eq_c1/2,0))),IF(((14+0.5)*(4*IF(circ_int,0,eq_c1/2)+4*IF(circ_int,0,eq_c2/2)+2*PI()*(s_0+10*s_r+IF(circ_int,eq_c1/2,0)))/INDEX(lk_legs,11))&lt;(((((((2*IF(circ_int,0,eq_c2/2))+(PI()*(s_0+10*s_r+IF(circ_int,eq_c1/2,0))/2))+2*IF(circ_int,0,eq_c1/2))+(PI()*(s_0+10*s_r+IF(circ_int,eq_c1/2,0))/2))+2*IF(circ_int,0,eq_c2/2))+(PI()*(s_0+10*s_r+IF(circ_int,eq_c1/2,0))/2))+2*IF(circ_int,0,eq_c1/2)),-IF(circ_int,0,eq_c1/2)+(((14+0.5)*(4*IF(circ_int,0,eq_c1/2)+4*IF(circ_int,0,eq_c2/2)+2*PI()*(s_0+10*s_r+IF(circ_int,eq_c1/2,0)))/INDEX(lk_legs,11))-((((((2*IF(circ_int,0,eq_c2/2))+(PI()*(s_0+10*s_r+IF(circ_int,eq_c1/2,0))/2))+2*IF(circ_int,0,eq_c1/2))+(PI()*(s_0+10*s_r+IF(circ_int,eq_c1/2,0))/2))+2*IF(circ_int,0,eq_c2/2))+(PI()*(s_0+10*s_r+IF(circ_int,eq_c1/2,0))/2))),IF(circ_int,0,eq_c1/2)+(s_0+10*s_r+IF(circ_int,eq_c1/2,0))*COS(3*PI()/2+(((14+0.5)*(4*IF(circ_int,0,eq_c1/2)+4*IF(circ_int,0,eq_c2/2)+2*PI()*(s_0+10*s_r+IF(circ_int,eq_c1/2,0)))/INDEX(lk_legs,11))-(((((((2*IF(circ_int,0,eq_c2/2))+(PI()*(s_0+10*s_r+IF(circ_int,eq_c1/2,0))/2))+2*IF(circ_int,0,eq_c1/2))+(PI()*(s_0+10*s_r+IF(circ_int,eq_c1/2,0))/2))+2*IF(circ_int,0,eq_c2/2))+(PI()*(s_0+10*s_r+IF(circ_int,eq_c1/2,0))/2))+2*IF(circ_int,0,eq_c1/2)))/(s_0+10*s_r+IF(circ_int,eq_c1/2,0)))))))))),NA())</f>
        <v/>
      </c>
      <c r="DI17">
        <f>IF(AND(AND(links_on,11&lt;=n_per),INDEX(lk_kind,11)=1,14&lt;INDEX(lk_legs,11)),g_oy+IF(((14+0.5)*(4*IF(circ_int,0,eq_c1/2)+4*IF(circ_int,0,eq_c2/2)+2*PI()*(s_0+10*s_r+IF(circ_int,eq_c1/2,0)))/INDEX(lk_legs,11))&lt;(2*IF(circ_int,0,eq_c2/2)),-IF(circ_int,0,eq_c2/2)+((14+0.5)*(4*IF(circ_int,0,eq_c1/2)+4*IF(circ_int,0,eq_c2/2)+2*PI()*(s_0+10*s_r+IF(circ_int,eq_c1/2,0)))/INDEX(lk_legs,11)),IF(((14+0.5)*(4*IF(circ_int,0,eq_c1/2)+4*IF(circ_int,0,eq_c2/2)+2*PI()*(s_0+10*s_r+IF(circ_int,eq_c1/2,0)))/INDEX(lk_legs,11))&lt;((2*IF(circ_int,0,eq_c2/2))+(PI()*(s_0+10*s_r+IF(circ_int,eq_c1/2,0))/2)),IF(circ_int,0,eq_c2/2)+(s_0+10*s_r+IF(circ_int,eq_c1/2,0))*SIN((((14+0.5)*(4*IF(circ_int,0,eq_c1/2)+4*IF(circ_int,0,eq_c2/2)+2*PI()*(s_0+10*s_r+IF(circ_int,eq_c1/2,0)))/INDEX(lk_legs,11))-(2*IF(circ_int,0,eq_c2/2)))/(s_0+10*s_r+IF(circ_int,eq_c1/2,0))),IF(((14+0.5)*(4*IF(circ_int,0,eq_c1/2)+4*IF(circ_int,0,eq_c2/2)+2*PI()*(s_0+10*s_r+IF(circ_int,eq_c1/2,0)))/INDEX(lk_legs,11))&lt;(((2*IF(circ_int,0,eq_c2/2))+(PI()*(s_0+10*s_r+IF(circ_int,eq_c1/2,0))/2))+2*IF(circ_int,0,eq_c1/2)),IF(circ_int,0,eq_c2/2)+(s_0+10*s_r+IF(circ_int,eq_c1/2,0)),IF(((14+0.5)*(4*IF(circ_int,0,eq_c1/2)+4*IF(circ_int,0,eq_c2/2)+2*PI()*(s_0+10*s_r+IF(circ_int,eq_c1/2,0)))/INDEX(lk_legs,11))&lt;((((2*IF(circ_int,0,eq_c2/2))+(PI()*(s_0+10*s_r+IF(circ_int,eq_c1/2,0))/2))+2*IF(circ_int,0,eq_c1/2))+(PI()*(s_0+10*s_r+IF(circ_int,eq_c1/2,0))/2)),IF(circ_int,0,eq_c2/2)+(s_0+10*s_r+IF(circ_int,eq_c1/2,0))*SIN(PI()/2+(((14+0.5)*(4*IF(circ_int,0,eq_c1/2)+4*IF(circ_int,0,eq_c2/2)+2*PI()*(s_0+10*s_r+IF(circ_int,eq_c1/2,0)))/INDEX(lk_legs,11))-(((2*IF(circ_int,0,eq_c2/2))+(PI()*(s_0+10*s_r+IF(circ_int,eq_c1/2,0))/2))+2*IF(circ_int,0,eq_c1/2)))/(s_0+10*s_r+IF(circ_int,eq_c1/2,0))),IF(((14+0.5)*(4*IF(circ_int,0,eq_c1/2)+4*IF(circ_int,0,eq_c2/2)+2*PI()*(s_0+10*s_r+IF(circ_int,eq_c1/2,0)))/INDEX(lk_legs,11))&lt;(((((2*IF(circ_int,0,eq_c2/2))+(PI()*(s_0+10*s_r+IF(circ_int,eq_c1/2,0))/2))+2*IF(circ_int,0,eq_c1/2))+(PI()*(s_0+10*s_r+IF(circ_int,eq_c1/2,0))/2))+2*IF(circ_int,0,eq_c2/2)),IF(circ_int,0,eq_c2/2)-(((14+0.5)*(4*IF(circ_int,0,eq_c1/2)+4*IF(circ_int,0,eq_c2/2)+2*PI()*(s_0+10*s_r+IF(circ_int,eq_c1/2,0)))/INDEX(lk_legs,11))-((((2*IF(circ_int,0,eq_c2/2))+(PI()*(s_0+10*s_r+IF(circ_int,eq_c1/2,0))/2))+2*IF(circ_int,0,eq_c1/2))+(PI()*(s_0+10*s_r+IF(circ_int,eq_c1/2,0))/2))),IF(((14+0.5)*(4*IF(circ_int,0,eq_c1/2)+4*IF(circ_int,0,eq_c2/2)+2*PI()*(s_0+10*s_r+IF(circ_int,eq_c1/2,0)))/INDEX(lk_legs,11))&lt;((((((2*IF(circ_int,0,eq_c2/2))+(PI()*(s_0+10*s_r+IF(circ_int,eq_c1/2,0))/2))+2*IF(circ_int,0,eq_c1/2))+(PI()*(s_0+10*s_r+IF(circ_int,eq_c1/2,0))/2))+2*IF(circ_int,0,eq_c2/2))+(PI()*(s_0+10*s_r+IF(circ_int,eq_c1/2,0))/2)),-IF(circ_int,0,eq_c2/2)+(s_0+10*s_r+IF(circ_int,eq_c1/2,0))*SIN(PI()+(((14+0.5)*(4*IF(circ_int,0,eq_c1/2)+4*IF(circ_int,0,eq_c2/2)+2*PI()*(s_0+10*s_r+IF(circ_int,eq_c1/2,0)))/INDEX(lk_legs,11))-(((((2*IF(circ_int,0,eq_c2/2))+(PI()*(s_0+10*s_r+IF(circ_int,eq_c1/2,0))/2))+2*IF(circ_int,0,eq_c1/2))+(PI()*(s_0+10*s_r+IF(circ_int,eq_c1/2,0))/2))+2*IF(circ_int,0,eq_c2/2)))/(s_0+10*s_r+IF(circ_int,eq_c1/2,0))),IF(((14+0.5)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(14+0.5)*(4*IF(circ_int,0,eq_c1/2)+4*IF(circ_int,0,eq_c2/2)+2*PI()*(s_0+10*s_r+IF(circ_int,eq_c1/2,0)))/INDEX(lk_legs,11))-(((((((2*IF(circ_int,0,eq_c2/2))+(PI()*(s_0+10*s_r+IF(circ_int,eq_c1/2,0))/2))+2*IF(circ_int,0,eq_c1/2))+(PI()*(s_0+10*s_r+IF(circ_int,eq_c1/2,0))/2))+2*IF(circ_int,0,eq_c2/2))+(PI()*(s_0+10*s_r+IF(circ_int,eq_c1/2,0))/2))+2*IF(circ_int,0,eq_c1/2)))/(s_0+10*s_r+IF(circ_int,eq_c1/2,0)))))))))),NA())</f>
        <v/>
      </c>
      <c r="DK17">
        <f>IF(AND(links_on,12&lt;=n_per),IF(circ_int,(g_ox)+(c_1/2+(s_0+11*s_r))*-0.120537,CHOOSE(INDEX(lk_kind,12),(g_ox-eq_c1/2)+((s_0+11*s_r))*-0.130526,(eq_a1+eq_c1)+((s_0+11*s_r))*1.000000,eq_a1+eq_c1+(s_0+11*s_r),(eq_a1+eq_c1)+((s_0+11*s_r))*0.000000)),NA())</f>
        <v/>
      </c>
      <c r="DL17">
        <f>IF(AND(links_on,12&lt;=n_per),IF(circ_int,(g_oy)+(c_1/2+(s_0+11*s_r))*0.992709,CHOOSE(INDEX(lk_kind,12),(g_oy+eq_c2/2)+((s_0+11*s_r))*0.991445,(g_oy-eq_c2/2)+((s_0+11*s_r))*0.000000,0,(eq_a2+eq_c2)+((s_0+11*s_r))*1.000000)),NA())</f>
        <v/>
      </c>
      <c r="DN17">
        <f>IF(AND(AND(links_on,12&lt;=n_per),INDEX(lk_kind,12)=1,14&lt;INDEX(lk_legs,12)),g_ox+IF(((14+0.5)*(4*IF(circ_int,0,eq_c1/2)+4*IF(circ_int,0,eq_c2/2)+2*PI()*(s_0+11*s_r+IF(circ_int,eq_c1/2,0)))/INDEX(lk_legs,12))&lt;(2*IF(circ_int,0,eq_c2/2)),IF(circ_int,0,eq_c1/2)+(s_0+11*s_r+IF(circ_int,eq_c1/2,0)),IF(((14+0.5)*(4*IF(circ_int,0,eq_c1/2)+4*IF(circ_int,0,eq_c2/2)+2*PI()*(s_0+11*s_r+IF(circ_int,eq_c1/2,0)))/INDEX(lk_legs,12))&lt;((2*IF(circ_int,0,eq_c2/2))+(PI()*(s_0+11*s_r+IF(circ_int,eq_c1/2,0))/2)),IF(circ_int,0,eq_c1/2)+(s_0+11*s_r+IF(circ_int,eq_c1/2,0))*COS((((14+0.5)*(4*IF(circ_int,0,eq_c1/2)+4*IF(circ_int,0,eq_c2/2)+2*PI()*(s_0+11*s_r+IF(circ_int,eq_c1/2,0)))/INDEX(lk_legs,12))-(2*IF(circ_int,0,eq_c2/2)))/(s_0+11*s_r+IF(circ_int,eq_c1/2,0))),IF(((14+0.5)*(4*IF(circ_int,0,eq_c1/2)+4*IF(circ_int,0,eq_c2/2)+2*PI()*(s_0+11*s_r+IF(circ_int,eq_c1/2,0)))/INDEX(lk_legs,12))&lt;(((2*IF(circ_int,0,eq_c2/2))+(PI()*(s_0+11*s_r+IF(circ_int,eq_c1/2,0))/2))+2*IF(circ_int,0,eq_c1/2)),IF(circ_int,0,eq_c1/2)-(((14+0.5)*(4*IF(circ_int,0,eq_c1/2)+4*IF(circ_int,0,eq_c2/2)+2*PI()*(s_0+11*s_r+IF(circ_int,eq_c1/2,0)))/INDEX(lk_legs,12))-((2*IF(circ_int,0,eq_c2/2))+(PI()*(s_0+11*s_r+IF(circ_int,eq_c1/2,0))/2))),IF(((14+0.5)*(4*IF(circ_int,0,eq_c1/2)+4*IF(circ_int,0,eq_c2/2)+2*PI()*(s_0+11*s_r+IF(circ_int,eq_c1/2,0)))/INDEX(lk_legs,12))&lt;((((2*IF(circ_int,0,eq_c2/2))+(PI()*(s_0+11*s_r+IF(circ_int,eq_c1/2,0))/2))+2*IF(circ_int,0,eq_c1/2))+(PI()*(s_0+11*s_r+IF(circ_int,eq_c1/2,0))/2)),-IF(circ_int,0,eq_c1/2)+(s_0+11*s_r+IF(circ_int,eq_c1/2,0))*COS(PI()/2+(((14+0.5)*(4*IF(circ_int,0,eq_c1/2)+4*IF(circ_int,0,eq_c2/2)+2*PI()*(s_0+11*s_r+IF(circ_int,eq_c1/2,0)))/INDEX(lk_legs,12))-(((2*IF(circ_int,0,eq_c2/2))+(PI()*(s_0+11*s_r+IF(circ_int,eq_c1/2,0))/2))+2*IF(circ_int,0,eq_c1/2)))/(s_0+11*s_r+IF(circ_int,eq_c1/2,0))),IF(((14+0.5)*(4*IF(circ_int,0,eq_c1/2)+4*IF(circ_int,0,eq_c2/2)+2*PI()*(s_0+11*s_r+IF(circ_int,eq_c1/2,0)))/INDEX(lk_legs,12))&lt;(((((2*IF(circ_int,0,eq_c2/2))+(PI()*(s_0+11*s_r+IF(circ_int,eq_c1/2,0))/2))+2*IF(circ_int,0,eq_c1/2))+(PI()*(s_0+11*s_r+IF(circ_int,eq_c1/2,0))/2))+2*IF(circ_int,0,eq_c2/2)),-IF(circ_int,0,eq_c1/2)-(s_0+11*s_r+IF(circ_int,eq_c1/2,0)),IF(((14+0.5)*(4*IF(circ_int,0,eq_c1/2)+4*IF(circ_int,0,eq_c2/2)+2*PI()*(s_0+11*s_r+IF(circ_int,eq_c1/2,0)))/INDEX(lk_legs,12))&lt;((((((2*IF(circ_int,0,eq_c2/2))+(PI()*(s_0+11*s_r+IF(circ_int,eq_c1/2,0))/2))+2*IF(circ_int,0,eq_c1/2))+(PI()*(s_0+11*s_r+IF(circ_int,eq_c1/2,0))/2))+2*IF(circ_int,0,eq_c2/2))+(PI()*(s_0+11*s_r+IF(circ_int,eq_c1/2,0))/2)),-IF(circ_int,0,eq_c1/2)+(s_0+11*s_r+IF(circ_int,eq_c1/2,0))*COS(PI()+(((14+0.5)*(4*IF(circ_int,0,eq_c1/2)+4*IF(circ_int,0,eq_c2/2)+2*PI()*(s_0+11*s_r+IF(circ_int,eq_c1/2,0)))/INDEX(lk_legs,12))-(((((2*IF(circ_int,0,eq_c2/2))+(PI()*(s_0+11*s_r+IF(circ_int,eq_c1/2,0))/2))+2*IF(circ_int,0,eq_c1/2))+(PI()*(s_0+11*s_r+IF(circ_int,eq_c1/2,0))/2))+2*IF(circ_int,0,eq_c2/2)))/(s_0+11*s_r+IF(circ_int,eq_c1/2,0))),IF(((14+0.5)*(4*IF(circ_int,0,eq_c1/2)+4*IF(circ_int,0,eq_c2/2)+2*PI()*(s_0+11*s_r+IF(circ_int,eq_c1/2,0)))/INDEX(lk_legs,12))&lt;(((((((2*IF(circ_int,0,eq_c2/2))+(PI()*(s_0+11*s_r+IF(circ_int,eq_c1/2,0))/2))+2*IF(circ_int,0,eq_c1/2))+(PI()*(s_0+11*s_r+IF(circ_int,eq_c1/2,0))/2))+2*IF(circ_int,0,eq_c2/2))+(PI()*(s_0+11*s_r+IF(circ_int,eq_c1/2,0))/2))+2*IF(circ_int,0,eq_c1/2)),-IF(circ_int,0,eq_c1/2)+(((14+0.5)*(4*IF(circ_int,0,eq_c1/2)+4*IF(circ_int,0,eq_c2/2)+2*PI()*(s_0+11*s_r+IF(circ_int,eq_c1/2,0)))/INDEX(lk_legs,12))-((((((2*IF(circ_int,0,eq_c2/2))+(PI()*(s_0+11*s_r+IF(circ_int,eq_c1/2,0))/2))+2*IF(circ_int,0,eq_c1/2))+(PI()*(s_0+11*s_r+IF(circ_int,eq_c1/2,0))/2))+2*IF(circ_int,0,eq_c2/2))+(PI()*(s_0+11*s_r+IF(circ_int,eq_c1/2,0))/2))),IF(circ_int,0,eq_c1/2)+(s_0+11*s_r+IF(circ_int,eq_c1/2,0))*COS(3*PI()/2+(((14+0.5)*(4*IF(circ_int,0,eq_c1/2)+4*IF(circ_int,0,eq_c2/2)+2*PI()*(s_0+11*s_r+IF(circ_int,eq_c1/2,0)))/INDEX(lk_legs,12))-(((((((2*IF(circ_int,0,eq_c2/2))+(PI()*(s_0+11*s_r+IF(circ_int,eq_c1/2,0))/2))+2*IF(circ_int,0,eq_c1/2))+(PI()*(s_0+11*s_r+IF(circ_int,eq_c1/2,0))/2))+2*IF(circ_int,0,eq_c2/2))+(PI()*(s_0+11*s_r+IF(circ_int,eq_c1/2,0))/2))+2*IF(circ_int,0,eq_c1/2)))/(s_0+11*s_r+IF(circ_int,eq_c1/2,0)))))))))),NA())</f>
        <v/>
      </c>
      <c r="DO17">
        <f>IF(AND(AND(links_on,12&lt;=n_per),INDEX(lk_kind,12)=1,14&lt;INDEX(lk_legs,12)),g_oy+IF(((14+0.5)*(4*IF(circ_int,0,eq_c1/2)+4*IF(circ_int,0,eq_c2/2)+2*PI()*(s_0+11*s_r+IF(circ_int,eq_c1/2,0)))/INDEX(lk_legs,12))&lt;(2*IF(circ_int,0,eq_c2/2)),-IF(circ_int,0,eq_c2/2)+((14+0.5)*(4*IF(circ_int,0,eq_c1/2)+4*IF(circ_int,0,eq_c2/2)+2*PI()*(s_0+11*s_r+IF(circ_int,eq_c1/2,0)))/INDEX(lk_legs,12)),IF(((14+0.5)*(4*IF(circ_int,0,eq_c1/2)+4*IF(circ_int,0,eq_c2/2)+2*PI()*(s_0+11*s_r+IF(circ_int,eq_c1/2,0)))/INDEX(lk_legs,12))&lt;((2*IF(circ_int,0,eq_c2/2))+(PI()*(s_0+11*s_r+IF(circ_int,eq_c1/2,0))/2)),IF(circ_int,0,eq_c2/2)+(s_0+11*s_r+IF(circ_int,eq_c1/2,0))*SIN((((14+0.5)*(4*IF(circ_int,0,eq_c1/2)+4*IF(circ_int,0,eq_c2/2)+2*PI()*(s_0+11*s_r+IF(circ_int,eq_c1/2,0)))/INDEX(lk_legs,12))-(2*IF(circ_int,0,eq_c2/2)))/(s_0+11*s_r+IF(circ_int,eq_c1/2,0))),IF(((14+0.5)*(4*IF(circ_int,0,eq_c1/2)+4*IF(circ_int,0,eq_c2/2)+2*PI()*(s_0+11*s_r+IF(circ_int,eq_c1/2,0)))/INDEX(lk_legs,12))&lt;(((2*IF(circ_int,0,eq_c2/2))+(PI()*(s_0+11*s_r+IF(circ_int,eq_c1/2,0))/2))+2*IF(circ_int,0,eq_c1/2)),IF(circ_int,0,eq_c2/2)+(s_0+11*s_r+IF(circ_int,eq_c1/2,0)),IF(((14+0.5)*(4*IF(circ_int,0,eq_c1/2)+4*IF(circ_int,0,eq_c2/2)+2*PI()*(s_0+11*s_r+IF(circ_int,eq_c1/2,0)))/INDEX(lk_legs,12))&lt;((((2*IF(circ_int,0,eq_c2/2))+(PI()*(s_0+11*s_r+IF(circ_int,eq_c1/2,0))/2))+2*IF(circ_int,0,eq_c1/2))+(PI()*(s_0+11*s_r+IF(circ_int,eq_c1/2,0))/2)),IF(circ_int,0,eq_c2/2)+(s_0+11*s_r+IF(circ_int,eq_c1/2,0))*SIN(PI()/2+(((14+0.5)*(4*IF(circ_int,0,eq_c1/2)+4*IF(circ_int,0,eq_c2/2)+2*PI()*(s_0+11*s_r+IF(circ_int,eq_c1/2,0)))/INDEX(lk_legs,12))-(((2*IF(circ_int,0,eq_c2/2))+(PI()*(s_0+11*s_r+IF(circ_int,eq_c1/2,0))/2))+2*IF(circ_int,0,eq_c1/2)))/(s_0+11*s_r+IF(circ_int,eq_c1/2,0))),IF(((14+0.5)*(4*IF(circ_int,0,eq_c1/2)+4*IF(circ_int,0,eq_c2/2)+2*PI()*(s_0+11*s_r+IF(circ_int,eq_c1/2,0)))/INDEX(lk_legs,12))&lt;(((((2*IF(circ_int,0,eq_c2/2))+(PI()*(s_0+11*s_r+IF(circ_int,eq_c1/2,0))/2))+2*IF(circ_int,0,eq_c1/2))+(PI()*(s_0+11*s_r+IF(circ_int,eq_c1/2,0))/2))+2*IF(circ_int,0,eq_c2/2)),IF(circ_int,0,eq_c2/2)-(((14+0.5)*(4*IF(circ_int,0,eq_c1/2)+4*IF(circ_int,0,eq_c2/2)+2*PI()*(s_0+11*s_r+IF(circ_int,eq_c1/2,0)))/INDEX(lk_legs,12))-((((2*IF(circ_int,0,eq_c2/2))+(PI()*(s_0+11*s_r+IF(circ_int,eq_c1/2,0))/2))+2*IF(circ_int,0,eq_c1/2))+(PI()*(s_0+11*s_r+IF(circ_int,eq_c1/2,0))/2))),IF(((14+0.5)*(4*IF(circ_int,0,eq_c1/2)+4*IF(circ_int,0,eq_c2/2)+2*PI()*(s_0+11*s_r+IF(circ_int,eq_c1/2,0)))/INDEX(lk_legs,12))&lt;((((((2*IF(circ_int,0,eq_c2/2))+(PI()*(s_0+11*s_r+IF(circ_int,eq_c1/2,0))/2))+2*IF(circ_int,0,eq_c1/2))+(PI()*(s_0+11*s_r+IF(circ_int,eq_c1/2,0))/2))+2*IF(circ_int,0,eq_c2/2))+(PI()*(s_0+11*s_r+IF(circ_int,eq_c1/2,0))/2)),-IF(circ_int,0,eq_c2/2)+(s_0+11*s_r+IF(circ_int,eq_c1/2,0))*SIN(PI()+(((14+0.5)*(4*IF(circ_int,0,eq_c1/2)+4*IF(circ_int,0,eq_c2/2)+2*PI()*(s_0+11*s_r+IF(circ_int,eq_c1/2,0)))/INDEX(lk_legs,12))-(((((2*IF(circ_int,0,eq_c2/2))+(PI()*(s_0+11*s_r+IF(circ_int,eq_c1/2,0))/2))+2*IF(circ_int,0,eq_c1/2))+(PI()*(s_0+11*s_r+IF(circ_int,eq_c1/2,0))/2))+2*IF(circ_int,0,eq_c2/2)))/(s_0+11*s_r+IF(circ_int,eq_c1/2,0))),IF(((14+0.5)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(14+0.5)*(4*IF(circ_int,0,eq_c1/2)+4*IF(circ_int,0,eq_c2/2)+2*PI()*(s_0+11*s_r+IF(circ_int,eq_c1/2,0)))/INDEX(lk_legs,12))-(((((((2*IF(circ_int,0,eq_c2/2))+(PI()*(s_0+11*s_r+IF(circ_int,eq_c1/2,0))/2))+2*IF(circ_int,0,eq_c1/2))+(PI()*(s_0+11*s_r+IF(circ_int,eq_c1/2,0))/2))+2*IF(circ_int,0,eq_c2/2))+(PI()*(s_0+11*s_r+IF(circ_int,eq_c1/2,0))/2))+2*IF(circ_int,0,eq_c1/2)))/(s_0+11*s_r+IF(circ_int,eq_c1/2,0)))))))))),NA())</f>
        <v/>
      </c>
    </row>
    <row r="18">
      <c r="A18">
        <f>IF(shape="Circular",(g_ox)+(c_1/2+0)*-0.239316,CHOOSE(1,(g_ox-eq_c1/2)+(0)*-0.258819,(eq_a1+eq_c1)+(0)*0.991445,eq_a1+eq_c1+0,(eq_a1+eq_c1)+(0)*0.130526))</f>
        <v/>
      </c>
      <c r="B18">
        <f>IF(shape="Circular",(g_oy)+(c_1/2+0)*0.970942,CHOOSE(1,(g_oy+eq_c2/2)+(0)*0.965926,(g_oy-eq_c2/2)+(0)*-0.130526,0,(eq_a2+eq_c2)+(0)*0.991445))</f>
        <v/>
      </c>
      <c r="D18">
        <f>IF(circ_int,(g_ox)+(c_1/2+2*d_eff)*-0.239316,CHOOSE(geo_idx,(g_ox-eq_c1/2)+(2*d_eff)*-0.258819,(eq_a1+eq_c1)+(2*d_eff)*0.991445,eq_a1+eq_c1+2*d_eff,(eq_a1+eq_c1)+(2*d_eff)*0.130526))</f>
        <v/>
      </c>
      <c r="E18">
        <f>IF(circ_int,(g_oy)+(c_1/2+2*d_eff)*0.970942,CHOOSE(geo_idx,(g_oy+eq_c2/2)+(2*d_eff)*0.965926,(g_oy-eq_c2/2)+(2*d_eff)*-0.130526,0,(eq_a2+eq_c2)+(2*d_eff)*0.991445))</f>
        <v/>
      </c>
      <c r="G18">
        <f>IF(AND(inputs_ok,punch_ok,A_sw&gt;0),IF(circ_int,(g_ox)+(c_1/2+r_out)*-0.239316,CHOOSE(kind_out,(g_ox-eq_c1/2)+(r_out)*-0.258819,(eq_a1+eq_c1)+(r_out)*0.991445,eq_a1+eq_c1+r_out,(eq_a1+eq_c1)+(r_out)*0.130526)),NA())</f>
        <v/>
      </c>
      <c r="H18">
        <f>IF(AND(inputs_ok,punch_ok,A_sw&gt;0),IF(circ_int,(g_oy)+(c_1/2+r_out)*0.970942,CHOOSE(kind_out,(g_oy+eq_c2/2)+(r_out)*0.965926,(g_oy-eq_c2/2)+(r_out)*-0.130526,0,(eq_a2+eq_c2)+(r_out)*0.991445)),NA())</f>
        <v/>
      </c>
      <c r="AW18">
        <f>IF(AND(links_on,1&lt;=n_per),IF(circ_int,(g_ox)+(c_1/2+(s_0+0*s_r))*-0.239316,CHOOSE(INDEX(lk_kind,1),(g_ox-eq_c1/2)+((s_0+0*s_r))*-0.258819,(eq_a1+eq_c1)+((s_0+0*s_r))*0.991445,eq_a1+eq_c1+(s_0+0*s_r),(eq_a1+eq_c1)+((s_0+0*s_r))*0.130526)),NA())</f>
        <v/>
      </c>
      <c r="AX18">
        <f>IF(AND(links_on,1&lt;=n_per),IF(circ_int,(g_oy)+(c_1/2+(s_0+0*s_r))*0.970942,CHOOSE(INDEX(lk_kind,1),(g_oy+eq_c2/2)+((s_0+0*s_r))*0.965926,(g_oy-eq_c2/2)+((s_0+0*s_r))*-0.130526,0,(eq_a2+eq_c2)+((s_0+0*s_r))*0.991445)),NA())</f>
        <v/>
      </c>
      <c r="AZ18">
        <f>IF(AND(AND(links_on,1&lt;=n_per),INDEX(lk_kind,1)=1,15&lt;INDEX(lk_legs,1)),g_ox+IF(((15+0.5)*(4*IF(circ_int,0,eq_c1/2)+4*IF(circ_int,0,eq_c2/2)+2*PI()*(s_0+0*s_r+IF(circ_int,eq_c1/2,0)))/INDEX(lk_legs,1))&lt;(2*IF(circ_int,0,eq_c2/2)),IF(circ_int,0,eq_c1/2)+(s_0+0*s_r+IF(circ_int,eq_c1/2,0)),IF(((15+0.5)*(4*IF(circ_int,0,eq_c1/2)+4*IF(circ_int,0,eq_c2/2)+2*PI()*(s_0+0*s_r+IF(circ_int,eq_c1/2,0)))/INDEX(lk_legs,1))&lt;((2*IF(circ_int,0,eq_c2/2))+(PI()*(s_0+0*s_r+IF(circ_int,eq_c1/2,0))/2)),IF(circ_int,0,eq_c1/2)+(s_0+0*s_r+IF(circ_int,eq_c1/2,0))*COS((((15+0.5)*(4*IF(circ_int,0,eq_c1/2)+4*IF(circ_int,0,eq_c2/2)+2*PI()*(s_0+0*s_r+IF(circ_int,eq_c1/2,0)))/INDEX(lk_legs,1))-(2*IF(circ_int,0,eq_c2/2)))/(s_0+0*s_r+IF(circ_int,eq_c1/2,0))),IF(((15+0.5)*(4*IF(circ_int,0,eq_c1/2)+4*IF(circ_int,0,eq_c2/2)+2*PI()*(s_0+0*s_r+IF(circ_int,eq_c1/2,0)))/INDEX(lk_legs,1))&lt;(((2*IF(circ_int,0,eq_c2/2))+(PI()*(s_0+0*s_r+IF(circ_int,eq_c1/2,0))/2))+2*IF(circ_int,0,eq_c1/2)),IF(circ_int,0,eq_c1/2)-(((15+0.5)*(4*IF(circ_int,0,eq_c1/2)+4*IF(circ_int,0,eq_c2/2)+2*PI()*(s_0+0*s_r+IF(circ_int,eq_c1/2,0)))/INDEX(lk_legs,1))-((2*IF(circ_int,0,eq_c2/2))+(PI()*(s_0+0*s_r+IF(circ_int,eq_c1/2,0))/2))),IF(((15+0.5)*(4*IF(circ_int,0,eq_c1/2)+4*IF(circ_int,0,eq_c2/2)+2*PI()*(s_0+0*s_r+IF(circ_int,eq_c1/2,0)))/INDEX(lk_legs,1))&lt;((((2*IF(circ_int,0,eq_c2/2))+(PI()*(s_0+0*s_r+IF(circ_int,eq_c1/2,0))/2))+2*IF(circ_int,0,eq_c1/2))+(PI()*(s_0+0*s_r+IF(circ_int,eq_c1/2,0))/2)),-IF(circ_int,0,eq_c1/2)+(s_0+0*s_r+IF(circ_int,eq_c1/2,0))*COS(PI()/2+(((15+0.5)*(4*IF(circ_int,0,eq_c1/2)+4*IF(circ_int,0,eq_c2/2)+2*PI()*(s_0+0*s_r+IF(circ_int,eq_c1/2,0)))/INDEX(lk_legs,1))-(((2*IF(circ_int,0,eq_c2/2))+(PI()*(s_0+0*s_r+IF(circ_int,eq_c1/2,0))/2))+2*IF(circ_int,0,eq_c1/2)))/(s_0+0*s_r+IF(circ_int,eq_c1/2,0))),IF(((15+0.5)*(4*IF(circ_int,0,eq_c1/2)+4*IF(circ_int,0,eq_c2/2)+2*PI()*(s_0+0*s_r+IF(circ_int,eq_c1/2,0)))/INDEX(lk_legs,1))&lt;(((((2*IF(circ_int,0,eq_c2/2))+(PI()*(s_0+0*s_r+IF(circ_int,eq_c1/2,0))/2))+2*IF(circ_int,0,eq_c1/2))+(PI()*(s_0+0*s_r+IF(circ_int,eq_c1/2,0))/2))+2*IF(circ_int,0,eq_c2/2)),-IF(circ_int,0,eq_c1/2)-(s_0+0*s_r+IF(circ_int,eq_c1/2,0)),IF(((15+0.5)*(4*IF(circ_int,0,eq_c1/2)+4*IF(circ_int,0,eq_c2/2)+2*PI()*(s_0+0*s_r+IF(circ_int,eq_c1/2,0)))/INDEX(lk_legs,1))&lt;((((((2*IF(circ_int,0,eq_c2/2))+(PI()*(s_0+0*s_r+IF(circ_int,eq_c1/2,0))/2))+2*IF(circ_int,0,eq_c1/2))+(PI()*(s_0+0*s_r+IF(circ_int,eq_c1/2,0))/2))+2*IF(circ_int,0,eq_c2/2))+(PI()*(s_0+0*s_r+IF(circ_int,eq_c1/2,0))/2)),-IF(circ_int,0,eq_c1/2)+(s_0+0*s_r+IF(circ_int,eq_c1/2,0))*COS(PI()+(((15+0.5)*(4*IF(circ_int,0,eq_c1/2)+4*IF(circ_int,0,eq_c2/2)+2*PI()*(s_0+0*s_r+IF(circ_int,eq_c1/2,0)))/INDEX(lk_legs,1))-(((((2*IF(circ_int,0,eq_c2/2))+(PI()*(s_0+0*s_r+IF(circ_int,eq_c1/2,0))/2))+2*IF(circ_int,0,eq_c1/2))+(PI()*(s_0+0*s_r+IF(circ_int,eq_c1/2,0))/2))+2*IF(circ_int,0,eq_c2/2)))/(s_0+0*s_r+IF(circ_int,eq_c1/2,0))),IF(((15+0.5)*(4*IF(circ_int,0,eq_c1/2)+4*IF(circ_int,0,eq_c2/2)+2*PI()*(s_0+0*s_r+IF(circ_int,eq_c1/2,0)))/INDEX(lk_legs,1))&lt;(((((((2*IF(circ_int,0,eq_c2/2))+(PI()*(s_0+0*s_r+IF(circ_int,eq_c1/2,0))/2))+2*IF(circ_int,0,eq_c1/2))+(PI()*(s_0+0*s_r+IF(circ_int,eq_c1/2,0))/2))+2*IF(circ_int,0,eq_c2/2))+(PI()*(s_0+0*s_r+IF(circ_int,eq_c1/2,0))/2))+2*IF(circ_int,0,eq_c1/2)),-IF(circ_int,0,eq_c1/2)+(((15+0.5)*(4*IF(circ_int,0,eq_c1/2)+4*IF(circ_int,0,eq_c2/2)+2*PI()*(s_0+0*s_r+IF(circ_int,eq_c1/2,0)))/INDEX(lk_legs,1))-((((((2*IF(circ_int,0,eq_c2/2))+(PI()*(s_0+0*s_r+IF(circ_int,eq_c1/2,0))/2))+2*IF(circ_int,0,eq_c1/2))+(PI()*(s_0+0*s_r+IF(circ_int,eq_c1/2,0))/2))+2*IF(circ_int,0,eq_c2/2))+(PI()*(s_0+0*s_r+IF(circ_int,eq_c1/2,0))/2))),IF(circ_int,0,eq_c1/2)+(s_0+0*s_r+IF(circ_int,eq_c1/2,0))*COS(3*PI()/2+(((15+0.5)*(4*IF(circ_int,0,eq_c1/2)+4*IF(circ_int,0,eq_c2/2)+2*PI()*(s_0+0*s_r+IF(circ_int,eq_c1/2,0)))/INDEX(lk_legs,1))-(((((((2*IF(circ_int,0,eq_c2/2))+(PI()*(s_0+0*s_r+IF(circ_int,eq_c1/2,0))/2))+2*IF(circ_int,0,eq_c1/2))+(PI()*(s_0+0*s_r+IF(circ_int,eq_c1/2,0))/2))+2*IF(circ_int,0,eq_c2/2))+(PI()*(s_0+0*s_r+IF(circ_int,eq_c1/2,0))/2))+2*IF(circ_int,0,eq_c1/2)))/(s_0+0*s_r+IF(circ_int,eq_c1/2,0)))))))))),NA())</f>
        <v/>
      </c>
      <c r="BA18">
        <f>IF(AND(AND(links_on,1&lt;=n_per),INDEX(lk_kind,1)=1,15&lt;INDEX(lk_legs,1)),g_oy+IF(((15+0.5)*(4*IF(circ_int,0,eq_c1/2)+4*IF(circ_int,0,eq_c2/2)+2*PI()*(s_0+0*s_r+IF(circ_int,eq_c1/2,0)))/INDEX(lk_legs,1))&lt;(2*IF(circ_int,0,eq_c2/2)),-IF(circ_int,0,eq_c2/2)+((15+0.5)*(4*IF(circ_int,0,eq_c1/2)+4*IF(circ_int,0,eq_c2/2)+2*PI()*(s_0+0*s_r+IF(circ_int,eq_c1/2,0)))/INDEX(lk_legs,1)),IF(((15+0.5)*(4*IF(circ_int,0,eq_c1/2)+4*IF(circ_int,0,eq_c2/2)+2*PI()*(s_0+0*s_r+IF(circ_int,eq_c1/2,0)))/INDEX(lk_legs,1))&lt;((2*IF(circ_int,0,eq_c2/2))+(PI()*(s_0+0*s_r+IF(circ_int,eq_c1/2,0))/2)),IF(circ_int,0,eq_c2/2)+(s_0+0*s_r+IF(circ_int,eq_c1/2,0))*SIN((((15+0.5)*(4*IF(circ_int,0,eq_c1/2)+4*IF(circ_int,0,eq_c2/2)+2*PI()*(s_0+0*s_r+IF(circ_int,eq_c1/2,0)))/INDEX(lk_legs,1))-(2*IF(circ_int,0,eq_c2/2)))/(s_0+0*s_r+IF(circ_int,eq_c1/2,0))),IF(((15+0.5)*(4*IF(circ_int,0,eq_c1/2)+4*IF(circ_int,0,eq_c2/2)+2*PI()*(s_0+0*s_r+IF(circ_int,eq_c1/2,0)))/INDEX(lk_legs,1))&lt;(((2*IF(circ_int,0,eq_c2/2))+(PI()*(s_0+0*s_r+IF(circ_int,eq_c1/2,0))/2))+2*IF(circ_int,0,eq_c1/2)),IF(circ_int,0,eq_c2/2)+(s_0+0*s_r+IF(circ_int,eq_c1/2,0)),IF(((15+0.5)*(4*IF(circ_int,0,eq_c1/2)+4*IF(circ_int,0,eq_c2/2)+2*PI()*(s_0+0*s_r+IF(circ_int,eq_c1/2,0)))/INDEX(lk_legs,1))&lt;((((2*IF(circ_int,0,eq_c2/2))+(PI()*(s_0+0*s_r+IF(circ_int,eq_c1/2,0))/2))+2*IF(circ_int,0,eq_c1/2))+(PI()*(s_0+0*s_r+IF(circ_int,eq_c1/2,0))/2)),IF(circ_int,0,eq_c2/2)+(s_0+0*s_r+IF(circ_int,eq_c1/2,0))*SIN(PI()/2+(((15+0.5)*(4*IF(circ_int,0,eq_c1/2)+4*IF(circ_int,0,eq_c2/2)+2*PI()*(s_0+0*s_r+IF(circ_int,eq_c1/2,0)))/INDEX(lk_legs,1))-(((2*IF(circ_int,0,eq_c2/2))+(PI()*(s_0+0*s_r+IF(circ_int,eq_c1/2,0))/2))+2*IF(circ_int,0,eq_c1/2)))/(s_0+0*s_r+IF(circ_int,eq_c1/2,0))),IF(((15+0.5)*(4*IF(circ_int,0,eq_c1/2)+4*IF(circ_int,0,eq_c2/2)+2*PI()*(s_0+0*s_r+IF(circ_int,eq_c1/2,0)))/INDEX(lk_legs,1))&lt;(((((2*IF(circ_int,0,eq_c2/2))+(PI()*(s_0+0*s_r+IF(circ_int,eq_c1/2,0))/2))+2*IF(circ_int,0,eq_c1/2))+(PI()*(s_0+0*s_r+IF(circ_int,eq_c1/2,0))/2))+2*IF(circ_int,0,eq_c2/2)),IF(circ_int,0,eq_c2/2)-(((15+0.5)*(4*IF(circ_int,0,eq_c1/2)+4*IF(circ_int,0,eq_c2/2)+2*PI()*(s_0+0*s_r+IF(circ_int,eq_c1/2,0)))/INDEX(lk_legs,1))-((((2*IF(circ_int,0,eq_c2/2))+(PI()*(s_0+0*s_r+IF(circ_int,eq_c1/2,0))/2))+2*IF(circ_int,0,eq_c1/2))+(PI()*(s_0+0*s_r+IF(circ_int,eq_c1/2,0))/2))),IF(((15+0.5)*(4*IF(circ_int,0,eq_c1/2)+4*IF(circ_int,0,eq_c2/2)+2*PI()*(s_0+0*s_r+IF(circ_int,eq_c1/2,0)))/INDEX(lk_legs,1))&lt;((((((2*IF(circ_int,0,eq_c2/2))+(PI()*(s_0+0*s_r+IF(circ_int,eq_c1/2,0))/2))+2*IF(circ_int,0,eq_c1/2))+(PI()*(s_0+0*s_r+IF(circ_int,eq_c1/2,0))/2))+2*IF(circ_int,0,eq_c2/2))+(PI()*(s_0+0*s_r+IF(circ_int,eq_c1/2,0))/2)),-IF(circ_int,0,eq_c2/2)+(s_0+0*s_r+IF(circ_int,eq_c1/2,0))*SIN(PI()+(((15+0.5)*(4*IF(circ_int,0,eq_c1/2)+4*IF(circ_int,0,eq_c2/2)+2*PI()*(s_0+0*s_r+IF(circ_int,eq_c1/2,0)))/INDEX(lk_legs,1))-(((((2*IF(circ_int,0,eq_c2/2))+(PI()*(s_0+0*s_r+IF(circ_int,eq_c1/2,0))/2))+2*IF(circ_int,0,eq_c1/2))+(PI()*(s_0+0*s_r+IF(circ_int,eq_c1/2,0))/2))+2*IF(circ_int,0,eq_c2/2)))/(s_0+0*s_r+IF(circ_int,eq_c1/2,0))),IF(((15+0.5)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(15+0.5)*(4*IF(circ_int,0,eq_c1/2)+4*IF(circ_int,0,eq_c2/2)+2*PI()*(s_0+0*s_r+IF(circ_int,eq_c1/2,0)))/INDEX(lk_legs,1))-(((((((2*IF(circ_int,0,eq_c2/2))+(PI()*(s_0+0*s_r+IF(circ_int,eq_c1/2,0))/2))+2*IF(circ_int,0,eq_c1/2))+(PI()*(s_0+0*s_r+IF(circ_int,eq_c1/2,0))/2))+2*IF(circ_int,0,eq_c2/2))+(PI()*(s_0+0*s_r+IF(circ_int,eq_c1/2,0))/2))+2*IF(circ_int,0,eq_c1/2)))/(s_0+0*s_r+IF(circ_int,eq_c1/2,0)))))))))),NA())</f>
        <v/>
      </c>
      <c r="BC18">
        <f>IF(AND(links_on,2&lt;=n_per),IF(circ_int,(g_ox)+(c_1/2+(s_0+1*s_r))*-0.239316,CHOOSE(INDEX(lk_kind,2),(g_ox-eq_c1/2)+((s_0+1*s_r))*-0.258819,(eq_a1+eq_c1)+((s_0+1*s_r))*0.991445,eq_a1+eq_c1+(s_0+1*s_r),(eq_a1+eq_c1)+((s_0+1*s_r))*0.130526)),NA())</f>
        <v/>
      </c>
      <c r="BD18">
        <f>IF(AND(links_on,2&lt;=n_per),IF(circ_int,(g_oy)+(c_1/2+(s_0+1*s_r))*0.970942,CHOOSE(INDEX(lk_kind,2),(g_oy+eq_c2/2)+((s_0+1*s_r))*0.965926,(g_oy-eq_c2/2)+((s_0+1*s_r))*-0.130526,0,(eq_a2+eq_c2)+((s_0+1*s_r))*0.991445)),NA())</f>
        <v/>
      </c>
      <c r="BF18">
        <f>IF(AND(AND(links_on,2&lt;=n_per),INDEX(lk_kind,2)=1,15&lt;INDEX(lk_legs,2)),g_ox+IF(((15+0.5)*(4*IF(circ_int,0,eq_c1/2)+4*IF(circ_int,0,eq_c2/2)+2*PI()*(s_0+1*s_r+IF(circ_int,eq_c1/2,0)))/INDEX(lk_legs,2))&lt;(2*IF(circ_int,0,eq_c2/2)),IF(circ_int,0,eq_c1/2)+(s_0+1*s_r+IF(circ_int,eq_c1/2,0)),IF(((15+0.5)*(4*IF(circ_int,0,eq_c1/2)+4*IF(circ_int,0,eq_c2/2)+2*PI()*(s_0+1*s_r+IF(circ_int,eq_c1/2,0)))/INDEX(lk_legs,2))&lt;((2*IF(circ_int,0,eq_c2/2))+(PI()*(s_0+1*s_r+IF(circ_int,eq_c1/2,0))/2)),IF(circ_int,0,eq_c1/2)+(s_0+1*s_r+IF(circ_int,eq_c1/2,0))*COS((((15+0.5)*(4*IF(circ_int,0,eq_c1/2)+4*IF(circ_int,0,eq_c2/2)+2*PI()*(s_0+1*s_r+IF(circ_int,eq_c1/2,0)))/INDEX(lk_legs,2))-(2*IF(circ_int,0,eq_c2/2)))/(s_0+1*s_r+IF(circ_int,eq_c1/2,0))),IF(((15+0.5)*(4*IF(circ_int,0,eq_c1/2)+4*IF(circ_int,0,eq_c2/2)+2*PI()*(s_0+1*s_r+IF(circ_int,eq_c1/2,0)))/INDEX(lk_legs,2))&lt;(((2*IF(circ_int,0,eq_c2/2))+(PI()*(s_0+1*s_r+IF(circ_int,eq_c1/2,0))/2))+2*IF(circ_int,0,eq_c1/2)),IF(circ_int,0,eq_c1/2)-(((15+0.5)*(4*IF(circ_int,0,eq_c1/2)+4*IF(circ_int,0,eq_c2/2)+2*PI()*(s_0+1*s_r+IF(circ_int,eq_c1/2,0)))/INDEX(lk_legs,2))-((2*IF(circ_int,0,eq_c2/2))+(PI()*(s_0+1*s_r+IF(circ_int,eq_c1/2,0))/2))),IF(((15+0.5)*(4*IF(circ_int,0,eq_c1/2)+4*IF(circ_int,0,eq_c2/2)+2*PI()*(s_0+1*s_r+IF(circ_int,eq_c1/2,0)))/INDEX(lk_legs,2))&lt;((((2*IF(circ_int,0,eq_c2/2))+(PI()*(s_0+1*s_r+IF(circ_int,eq_c1/2,0))/2))+2*IF(circ_int,0,eq_c1/2))+(PI()*(s_0+1*s_r+IF(circ_int,eq_c1/2,0))/2)),-IF(circ_int,0,eq_c1/2)+(s_0+1*s_r+IF(circ_int,eq_c1/2,0))*COS(PI()/2+(((15+0.5)*(4*IF(circ_int,0,eq_c1/2)+4*IF(circ_int,0,eq_c2/2)+2*PI()*(s_0+1*s_r+IF(circ_int,eq_c1/2,0)))/INDEX(lk_legs,2))-(((2*IF(circ_int,0,eq_c2/2))+(PI()*(s_0+1*s_r+IF(circ_int,eq_c1/2,0))/2))+2*IF(circ_int,0,eq_c1/2)))/(s_0+1*s_r+IF(circ_int,eq_c1/2,0))),IF(((15+0.5)*(4*IF(circ_int,0,eq_c1/2)+4*IF(circ_int,0,eq_c2/2)+2*PI()*(s_0+1*s_r+IF(circ_int,eq_c1/2,0)))/INDEX(lk_legs,2))&lt;(((((2*IF(circ_int,0,eq_c2/2))+(PI()*(s_0+1*s_r+IF(circ_int,eq_c1/2,0))/2))+2*IF(circ_int,0,eq_c1/2))+(PI()*(s_0+1*s_r+IF(circ_int,eq_c1/2,0))/2))+2*IF(circ_int,0,eq_c2/2)),-IF(circ_int,0,eq_c1/2)-(s_0+1*s_r+IF(circ_int,eq_c1/2,0)),IF(((15+0.5)*(4*IF(circ_int,0,eq_c1/2)+4*IF(circ_int,0,eq_c2/2)+2*PI()*(s_0+1*s_r+IF(circ_int,eq_c1/2,0)))/INDEX(lk_legs,2))&lt;((((((2*IF(circ_int,0,eq_c2/2))+(PI()*(s_0+1*s_r+IF(circ_int,eq_c1/2,0))/2))+2*IF(circ_int,0,eq_c1/2))+(PI()*(s_0+1*s_r+IF(circ_int,eq_c1/2,0))/2))+2*IF(circ_int,0,eq_c2/2))+(PI()*(s_0+1*s_r+IF(circ_int,eq_c1/2,0))/2)),-IF(circ_int,0,eq_c1/2)+(s_0+1*s_r+IF(circ_int,eq_c1/2,0))*COS(PI()+(((15+0.5)*(4*IF(circ_int,0,eq_c1/2)+4*IF(circ_int,0,eq_c2/2)+2*PI()*(s_0+1*s_r+IF(circ_int,eq_c1/2,0)))/INDEX(lk_legs,2))-(((((2*IF(circ_int,0,eq_c2/2))+(PI()*(s_0+1*s_r+IF(circ_int,eq_c1/2,0))/2))+2*IF(circ_int,0,eq_c1/2))+(PI()*(s_0+1*s_r+IF(circ_int,eq_c1/2,0))/2))+2*IF(circ_int,0,eq_c2/2)))/(s_0+1*s_r+IF(circ_int,eq_c1/2,0))),IF(((15+0.5)*(4*IF(circ_int,0,eq_c1/2)+4*IF(circ_int,0,eq_c2/2)+2*PI()*(s_0+1*s_r+IF(circ_int,eq_c1/2,0)))/INDEX(lk_legs,2))&lt;(((((((2*IF(circ_int,0,eq_c2/2))+(PI()*(s_0+1*s_r+IF(circ_int,eq_c1/2,0))/2))+2*IF(circ_int,0,eq_c1/2))+(PI()*(s_0+1*s_r+IF(circ_int,eq_c1/2,0))/2))+2*IF(circ_int,0,eq_c2/2))+(PI()*(s_0+1*s_r+IF(circ_int,eq_c1/2,0))/2))+2*IF(circ_int,0,eq_c1/2)),-IF(circ_int,0,eq_c1/2)+(((15+0.5)*(4*IF(circ_int,0,eq_c1/2)+4*IF(circ_int,0,eq_c2/2)+2*PI()*(s_0+1*s_r+IF(circ_int,eq_c1/2,0)))/INDEX(lk_legs,2))-((((((2*IF(circ_int,0,eq_c2/2))+(PI()*(s_0+1*s_r+IF(circ_int,eq_c1/2,0))/2))+2*IF(circ_int,0,eq_c1/2))+(PI()*(s_0+1*s_r+IF(circ_int,eq_c1/2,0))/2))+2*IF(circ_int,0,eq_c2/2))+(PI()*(s_0+1*s_r+IF(circ_int,eq_c1/2,0))/2))),IF(circ_int,0,eq_c1/2)+(s_0+1*s_r+IF(circ_int,eq_c1/2,0))*COS(3*PI()/2+(((15+0.5)*(4*IF(circ_int,0,eq_c1/2)+4*IF(circ_int,0,eq_c2/2)+2*PI()*(s_0+1*s_r+IF(circ_int,eq_c1/2,0)))/INDEX(lk_legs,2))-(((((((2*IF(circ_int,0,eq_c2/2))+(PI()*(s_0+1*s_r+IF(circ_int,eq_c1/2,0))/2))+2*IF(circ_int,0,eq_c1/2))+(PI()*(s_0+1*s_r+IF(circ_int,eq_c1/2,0))/2))+2*IF(circ_int,0,eq_c2/2))+(PI()*(s_0+1*s_r+IF(circ_int,eq_c1/2,0))/2))+2*IF(circ_int,0,eq_c1/2)))/(s_0+1*s_r+IF(circ_int,eq_c1/2,0)))))))))),NA())</f>
        <v/>
      </c>
      <c r="BG18">
        <f>IF(AND(AND(links_on,2&lt;=n_per),INDEX(lk_kind,2)=1,15&lt;INDEX(lk_legs,2)),g_oy+IF(((15+0.5)*(4*IF(circ_int,0,eq_c1/2)+4*IF(circ_int,0,eq_c2/2)+2*PI()*(s_0+1*s_r+IF(circ_int,eq_c1/2,0)))/INDEX(lk_legs,2))&lt;(2*IF(circ_int,0,eq_c2/2)),-IF(circ_int,0,eq_c2/2)+((15+0.5)*(4*IF(circ_int,0,eq_c1/2)+4*IF(circ_int,0,eq_c2/2)+2*PI()*(s_0+1*s_r+IF(circ_int,eq_c1/2,0)))/INDEX(lk_legs,2)),IF(((15+0.5)*(4*IF(circ_int,0,eq_c1/2)+4*IF(circ_int,0,eq_c2/2)+2*PI()*(s_0+1*s_r+IF(circ_int,eq_c1/2,0)))/INDEX(lk_legs,2))&lt;((2*IF(circ_int,0,eq_c2/2))+(PI()*(s_0+1*s_r+IF(circ_int,eq_c1/2,0))/2)),IF(circ_int,0,eq_c2/2)+(s_0+1*s_r+IF(circ_int,eq_c1/2,0))*SIN((((15+0.5)*(4*IF(circ_int,0,eq_c1/2)+4*IF(circ_int,0,eq_c2/2)+2*PI()*(s_0+1*s_r+IF(circ_int,eq_c1/2,0)))/INDEX(lk_legs,2))-(2*IF(circ_int,0,eq_c2/2)))/(s_0+1*s_r+IF(circ_int,eq_c1/2,0))),IF(((15+0.5)*(4*IF(circ_int,0,eq_c1/2)+4*IF(circ_int,0,eq_c2/2)+2*PI()*(s_0+1*s_r+IF(circ_int,eq_c1/2,0)))/INDEX(lk_legs,2))&lt;(((2*IF(circ_int,0,eq_c2/2))+(PI()*(s_0+1*s_r+IF(circ_int,eq_c1/2,0))/2))+2*IF(circ_int,0,eq_c1/2)),IF(circ_int,0,eq_c2/2)+(s_0+1*s_r+IF(circ_int,eq_c1/2,0)),IF(((15+0.5)*(4*IF(circ_int,0,eq_c1/2)+4*IF(circ_int,0,eq_c2/2)+2*PI()*(s_0+1*s_r+IF(circ_int,eq_c1/2,0)))/INDEX(lk_legs,2))&lt;((((2*IF(circ_int,0,eq_c2/2))+(PI()*(s_0+1*s_r+IF(circ_int,eq_c1/2,0))/2))+2*IF(circ_int,0,eq_c1/2))+(PI()*(s_0+1*s_r+IF(circ_int,eq_c1/2,0))/2)),IF(circ_int,0,eq_c2/2)+(s_0+1*s_r+IF(circ_int,eq_c1/2,0))*SIN(PI()/2+(((15+0.5)*(4*IF(circ_int,0,eq_c1/2)+4*IF(circ_int,0,eq_c2/2)+2*PI()*(s_0+1*s_r+IF(circ_int,eq_c1/2,0)))/INDEX(lk_legs,2))-(((2*IF(circ_int,0,eq_c2/2))+(PI()*(s_0+1*s_r+IF(circ_int,eq_c1/2,0))/2))+2*IF(circ_int,0,eq_c1/2)))/(s_0+1*s_r+IF(circ_int,eq_c1/2,0))),IF(((15+0.5)*(4*IF(circ_int,0,eq_c1/2)+4*IF(circ_int,0,eq_c2/2)+2*PI()*(s_0+1*s_r+IF(circ_int,eq_c1/2,0)))/INDEX(lk_legs,2))&lt;(((((2*IF(circ_int,0,eq_c2/2))+(PI()*(s_0+1*s_r+IF(circ_int,eq_c1/2,0))/2))+2*IF(circ_int,0,eq_c1/2))+(PI()*(s_0+1*s_r+IF(circ_int,eq_c1/2,0))/2))+2*IF(circ_int,0,eq_c2/2)),IF(circ_int,0,eq_c2/2)-(((15+0.5)*(4*IF(circ_int,0,eq_c1/2)+4*IF(circ_int,0,eq_c2/2)+2*PI()*(s_0+1*s_r+IF(circ_int,eq_c1/2,0)))/INDEX(lk_legs,2))-((((2*IF(circ_int,0,eq_c2/2))+(PI()*(s_0+1*s_r+IF(circ_int,eq_c1/2,0))/2))+2*IF(circ_int,0,eq_c1/2))+(PI()*(s_0+1*s_r+IF(circ_int,eq_c1/2,0))/2))),IF(((15+0.5)*(4*IF(circ_int,0,eq_c1/2)+4*IF(circ_int,0,eq_c2/2)+2*PI()*(s_0+1*s_r+IF(circ_int,eq_c1/2,0)))/INDEX(lk_legs,2))&lt;((((((2*IF(circ_int,0,eq_c2/2))+(PI()*(s_0+1*s_r+IF(circ_int,eq_c1/2,0))/2))+2*IF(circ_int,0,eq_c1/2))+(PI()*(s_0+1*s_r+IF(circ_int,eq_c1/2,0))/2))+2*IF(circ_int,0,eq_c2/2))+(PI()*(s_0+1*s_r+IF(circ_int,eq_c1/2,0))/2)),-IF(circ_int,0,eq_c2/2)+(s_0+1*s_r+IF(circ_int,eq_c1/2,0))*SIN(PI()+(((15+0.5)*(4*IF(circ_int,0,eq_c1/2)+4*IF(circ_int,0,eq_c2/2)+2*PI()*(s_0+1*s_r+IF(circ_int,eq_c1/2,0)))/INDEX(lk_legs,2))-(((((2*IF(circ_int,0,eq_c2/2))+(PI()*(s_0+1*s_r+IF(circ_int,eq_c1/2,0))/2))+2*IF(circ_int,0,eq_c1/2))+(PI()*(s_0+1*s_r+IF(circ_int,eq_c1/2,0))/2))+2*IF(circ_int,0,eq_c2/2)))/(s_0+1*s_r+IF(circ_int,eq_c1/2,0))),IF(((15+0.5)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(15+0.5)*(4*IF(circ_int,0,eq_c1/2)+4*IF(circ_int,0,eq_c2/2)+2*PI()*(s_0+1*s_r+IF(circ_int,eq_c1/2,0)))/INDEX(lk_legs,2))-(((((((2*IF(circ_int,0,eq_c2/2))+(PI()*(s_0+1*s_r+IF(circ_int,eq_c1/2,0))/2))+2*IF(circ_int,0,eq_c1/2))+(PI()*(s_0+1*s_r+IF(circ_int,eq_c1/2,0))/2))+2*IF(circ_int,0,eq_c2/2))+(PI()*(s_0+1*s_r+IF(circ_int,eq_c1/2,0))/2))+2*IF(circ_int,0,eq_c1/2)))/(s_0+1*s_r+IF(circ_int,eq_c1/2,0)))))))))),NA())</f>
        <v/>
      </c>
      <c r="BI18">
        <f>IF(AND(links_on,3&lt;=n_per),IF(circ_int,(g_ox)+(c_1/2+(s_0+2*s_r))*-0.239316,CHOOSE(INDEX(lk_kind,3),(g_ox-eq_c1/2)+((s_0+2*s_r))*-0.258819,(eq_a1+eq_c1)+((s_0+2*s_r))*0.991445,eq_a1+eq_c1+(s_0+2*s_r),(eq_a1+eq_c1)+((s_0+2*s_r))*0.130526)),NA())</f>
        <v/>
      </c>
      <c r="BJ18">
        <f>IF(AND(links_on,3&lt;=n_per),IF(circ_int,(g_oy)+(c_1/2+(s_0+2*s_r))*0.970942,CHOOSE(INDEX(lk_kind,3),(g_oy+eq_c2/2)+((s_0+2*s_r))*0.965926,(g_oy-eq_c2/2)+((s_0+2*s_r))*-0.130526,0,(eq_a2+eq_c2)+((s_0+2*s_r))*0.991445)),NA())</f>
        <v/>
      </c>
      <c r="BL18">
        <f>IF(AND(AND(links_on,3&lt;=n_per),INDEX(lk_kind,3)=1,15&lt;INDEX(lk_legs,3)),g_ox+IF(((15+0.5)*(4*IF(circ_int,0,eq_c1/2)+4*IF(circ_int,0,eq_c2/2)+2*PI()*(s_0+2*s_r+IF(circ_int,eq_c1/2,0)))/INDEX(lk_legs,3))&lt;(2*IF(circ_int,0,eq_c2/2)),IF(circ_int,0,eq_c1/2)+(s_0+2*s_r+IF(circ_int,eq_c1/2,0)),IF(((15+0.5)*(4*IF(circ_int,0,eq_c1/2)+4*IF(circ_int,0,eq_c2/2)+2*PI()*(s_0+2*s_r+IF(circ_int,eq_c1/2,0)))/INDEX(lk_legs,3))&lt;((2*IF(circ_int,0,eq_c2/2))+(PI()*(s_0+2*s_r+IF(circ_int,eq_c1/2,0))/2)),IF(circ_int,0,eq_c1/2)+(s_0+2*s_r+IF(circ_int,eq_c1/2,0))*COS((((15+0.5)*(4*IF(circ_int,0,eq_c1/2)+4*IF(circ_int,0,eq_c2/2)+2*PI()*(s_0+2*s_r+IF(circ_int,eq_c1/2,0)))/INDEX(lk_legs,3))-(2*IF(circ_int,0,eq_c2/2)))/(s_0+2*s_r+IF(circ_int,eq_c1/2,0))),IF(((15+0.5)*(4*IF(circ_int,0,eq_c1/2)+4*IF(circ_int,0,eq_c2/2)+2*PI()*(s_0+2*s_r+IF(circ_int,eq_c1/2,0)))/INDEX(lk_legs,3))&lt;(((2*IF(circ_int,0,eq_c2/2))+(PI()*(s_0+2*s_r+IF(circ_int,eq_c1/2,0))/2))+2*IF(circ_int,0,eq_c1/2)),IF(circ_int,0,eq_c1/2)-(((15+0.5)*(4*IF(circ_int,0,eq_c1/2)+4*IF(circ_int,0,eq_c2/2)+2*PI()*(s_0+2*s_r+IF(circ_int,eq_c1/2,0)))/INDEX(lk_legs,3))-((2*IF(circ_int,0,eq_c2/2))+(PI()*(s_0+2*s_r+IF(circ_int,eq_c1/2,0))/2))),IF(((15+0.5)*(4*IF(circ_int,0,eq_c1/2)+4*IF(circ_int,0,eq_c2/2)+2*PI()*(s_0+2*s_r+IF(circ_int,eq_c1/2,0)))/INDEX(lk_legs,3))&lt;((((2*IF(circ_int,0,eq_c2/2))+(PI()*(s_0+2*s_r+IF(circ_int,eq_c1/2,0))/2))+2*IF(circ_int,0,eq_c1/2))+(PI()*(s_0+2*s_r+IF(circ_int,eq_c1/2,0))/2)),-IF(circ_int,0,eq_c1/2)+(s_0+2*s_r+IF(circ_int,eq_c1/2,0))*COS(PI()/2+(((15+0.5)*(4*IF(circ_int,0,eq_c1/2)+4*IF(circ_int,0,eq_c2/2)+2*PI()*(s_0+2*s_r+IF(circ_int,eq_c1/2,0)))/INDEX(lk_legs,3))-(((2*IF(circ_int,0,eq_c2/2))+(PI()*(s_0+2*s_r+IF(circ_int,eq_c1/2,0))/2))+2*IF(circ_int,0,eq_c1/2)))/(s_0+2*s_r+IF(circ_int,eq_c1/2,0))),IF(((15+0.5)*(4*IF(circ_int,0,eq_c1/2)+4*IF(circ_int,0,eq_c2/2)+2*PI()*(s_0+2*s_r+IF(circ_int,eq_c1/2,0)))/INDEX(lk_legs,3))&lt;(((((2*IF(circ_int,0,eq_c2/2))+(PI()*(s_0+2*s_r+IF(circ_int,eq_c1/2,0))/2))+2*IF(circ_int,0,eq_c1/2))+(PI()*(s_0+2*s_r+IF(circ_int,eq_c1/2,0))/2))+2*IF(circ_int,0,eq_c2/2)),-IF(circ_int,0,eq_c1/2)-(s_0+2*s_r+IF(circ_int,eq_c1/2,0)),IF(((15+0.5)*(4*IF(circ_int,0,eq_c1/2)+4*IF(circ_int,0,eq_c2/2)+2*PI()*(s_0+2*s_r+IF(circ_int,eq_c1/2,0)))/INDEX(lk_legs,3))&lt;((((((2*IF(circ_int,0,eq_c2/2))+(PI()*(s_0+2*s_r+IF(circ_int,eq_c1/2,0))/2))+2*IF(circ_int,0,eq_c1/2))+(PI()*(s_0+2*s_r+IF(circ_int,eq_c1/2,0))/2))+2*IF(circ_int,0,eq_c2/2))+(PI()*(s_0+2*s_r+IF(circ_int,eq_c1/2,0))/2)),-IF(circ_int,0,eq_c1/2)+(s_0+2*s_r+IF(circ_int,eq_c1/2,0))*COS(PI()+(((15+0.5)*(4*IF(circ_int,0,eq_c1/2)+4*IF(circ_int,0,eq_c2/2)+2*PI()*(s_0+2*s_r+IF(circ_int,eq_c1/2,0)))/INDEX(lk_legs,3))-(((((2*IF(circ_int,0,eq_c2/2))+(PI()*(s_0+2*s_r+IF(circ_int,eq_c1/2,0))/2))+2*IF(circ_int,0,eq_c1/2))+(PI()*(s_0+2*s_r+IF(circ_int,eq_c1/2,0))/2))+2*IF(circ_int,0,eq_c2/2)))/(s_0+2*s_r+IF(circ_int,eq_c1/2,0))),IF(((15+0.5)*(4*IF(circ_int,0,eq_c1/2)+4*IF(circ_int,0,eq_c2/2)+2*PI()*(s_0+2*s_r+IF(circ_int,eq_c1/2,0)))/INDEX(lk_legs,3))&lt;(((((((2*IF(circ_int,0,eq_c2/2))+(PI()*(s_0+2*s_r+IF(circ_int,eq_c1/2,0))/2))+2*IF(circ_int,0,eq_c1/2))+(PI()*(s_0+2*s_r+IF(circ_int,eq_c1/2,0))/2))+2*IF(circ_int,0,eq_c2/2))+(PI()*(s_0+2*s_r+IF(circ_int,eq_c1/2,0))/2))+2*IF(circ_int,0,eq_c1/2)),-IF(circ_int,0,eq_c1/2)+(((15+0.5)*(4*IF(circ_int,0,eq_c1/2)+4*IF(circ_int,0,eq_c2/2)+2*PI()*(s_0+2*s_r+IF(circ_int,eq_c1/2,0)))/INDEX(lk_legs,3))-((((((2*IF(circ_int,0,eq_c2/2))+(PI()*(s_0+2*s_r+IF(circ_int,eq_c1/2,0))/2))+2*IF(circ_int,0,eq_c1/2))+(PI()*(s_0+2*s_r+IF(circ_int,eq_c1/2,0))/2))+2*IF(circ_int,0,eq_c2/2))+(PI()*(s_0+2*s_r+IF(circ_int,eq_c1/2,0))/2))),IF(circ_int,0,eq_c1/2)+(s_0+2*s_r+IF(circ_int,eq_c1/2,0))*COS(3*PI()/2+(((15+0.5)*(4*IF(circ_int,0,eq_c1/2)+4*IF(circ_int,0,eq_c2/2)+2*PI()*(s_0+2*s_r+IF(circ_int,eq_c1/2,0)))/INDEX(lk_legs,3))-(((((((2*IF(circ_int,0,eq_c2/2))+(PI()*(s_0+2*s_r+IF(circ_int,eq_c1/2,0))/2))+2*IF(circ_int,0,eq_c1/2))+(PI()*(s_0+2*s_r+IF(circ_int,eq_c1/2,0))/2))+2*IF(circ_int,0,eq_c2/2))+(PI()*(s_0+2*s_r+IF(circ_int,eq_c1/2,0))/2))+2*IF(circ_int,0,eq_c1/2)))/(s_0+2*s_r+IF(circ_int,eq_c1/2,0)))))))))),NA())</f>
        <v/>
      </c>
      <c r="BM18">
        <f>IF(AND(AND(links_on,3&lt;=n_per),INDEX(lk_kind,3)=1,15&lt;INDEX(lk_legs,3)),g_oy+IF(((15+0.5)*(4*IF(circ_int,0,eq_c1/2)+4*IF(circ_int,0,eq_c2/2)+2*PI()*(s_0+2*s_r+IF(circ_int,eq_c1/2,0)))/INDEX(lk_legs,3))&lt;(2*IF(circ_int,0,eq_c2/2)),-IF(circ_int,0,eq_c2/2)+((15+0.5)*(4*IF(circ_int,0,eq_c1/2)+4*IF(circ_int,0,eq_c2/2)+2*PI()*(s_0+2*s_r+IF(circ_int,eq_c1/2,0)))/INDEX(lk_legs,3)),IF(((15+0.5)*(4*IF(circ_int,0,eq_c1/2)+4*IF(circ_int,0,eq_c2/2)+2*PI()*(s_0+2*s_r+IF(circ_int,eq_c1/2,0)))/INDEX(lk_legs,3))&lt;((2*IF(circ_int,0,eq_c2/2))+(PI()*(s_0+2*s_r+IF(circ_int,eq_c1/2,0))/2)),IF(circ_int,0,eq_c2/2)+(s_0+2*s_r+IF(circ_int,eq_c1/2,0))*SIN((((15+0.5)*(4*IF(circ_int,0,eq_c1/2)+4*IF(circ_int,0,eq_c2/2)+2*PI()*(s_0+2*s_r+IF(circ_int,eq_c1/2,0)))/INDEX(lk_legs,3))-(2*IF(circ_int,0,eq_c2/2)))/(s_0+2*s_r+IF(circ_int,eq_c1/2,0))),IF(((15+0.5)*(4*IF(circ_int,0,eq_c1/2)+4*IF(circ_int,0,eq_c2/2)+2*PI()*(s_0+2*s_r+IF(circ_int,eq_c1/2,0)))/INDEX(lk_legs,3))&lt;(((2*IF(circ_int,0,eq_c2/2))+(PI()*(s_0+2*s_r+IF(circ_int,eq_c1/2,0))/2))+2*IF(circ_int,0,eq_c1/2)),IF(circ_int,0,eq_c2/2)+(s_0+2*s_r+IF(circ_int,eq_c1/2,0)),IF(((15+0.5)*(4*IF(circ_int,0,eq_c1/2)+4*IF(circ_int,0,eq_c2/2)+2*PI()*(s_0+2*s_r+IF(circ_int,eq_c1/2,0)))/INDEX(lk_legs,3))&lt;((((2*IF(circ_int,0,eq_c2/2))+(PI()*(s_0+2*s_r+IF(circ_int,eq_c1/2,0))/2))+2*IF(circ_int,0,eq_c1/2))+(PI()*(s_0+2*s_r+IF(circ_int,eq_c1/2,0))/2)),IF(circ_int,0,eq_c2/2)+(s_0+2*s_r+IF(circ_int,eq_c1/2,0))*SIN(PI()/2+(((15+0.5)*(4*IF(circ_int,0,eq_c1/2)+4*IF(circ_int,0,eq_c2/2)+2*PI()*(s_0+2*s_r+IF(circ_int,eq_c1/2,0)))/INDEX(lk_legs,3))-(((2*IF(circ_int,0,eq_c2/2))+(PI()*(s_0+2*s_r+IF(circ_int,eq_c1/2,0))/2))+2*IF(circ_int,0,eq_c1/2)))/(s_0+2*s_r+IF(circ_int,eq_c1/2,0))),IF(((15+0.5)*(4*IF(circ_int,0,eq_c1/2)+4*IF(circ_int,0,eq_c2/2)+2*PI()*(s_0+2*s_r+IF(circ_int,eq_c1/2,0)))/INDEX(lk_legs,3))&lt;(((((2*IF(circ_int,0,eq_c2/2))+(PI()*(s_0+2*s_r+IF(circ_int,eq_c1/2,0))/2))+2*IF(circ_int,0,eq_c1/2))+(PI()*(s_0+2*s_r+IF(circ_int,eq_c1/2,0))/2))+2*IF(circ_int,0,eq_c2/2)),IF(circ_int,0,eq_c2/2)-(((15+0.5)*(4*IF(circ_int,0,eq_c1/2)+4*IF(circ_int,0,eq_c2/2)+2*PI()*(s_0+2*s_r+IF(circ_int,eq_c1/2,0)))/INDEX(lk_legs,3))-((((2*IF(circ_int,0,eq_c2/2))+(PI()*(s_0+2*s_r+IF(circ_int,eq_c1/2,0))/2))+2*IF(circ_int,0,eq_c1/2))+(PI()*(s_0+2*s_r+IF(circ_int,eq_c1/2,0))/2))),IF(((15+0.5)*(4*IF(circ_int,0,eq_c1/2)+4*IF(circ_int,0,eq_c2/2)+2*PI()*(s_0+2*s_r+IF(circ_int,eq_c1/2,0)))/INDEX(lk_legs,3))&lt;((((((2*IF(circ_int,0,eq_c2/2))+(PI()*(s_0+2*s_r+IF(circ_int,eq_c1/2,0))/2))+2*IF(circ_int,0,eq_c1/2))+(PI()*(s_0+2*s_r+IF(circ_int,eq_c1/2,0))/2))+2*IF(circ_int,0,eq_c2/2))+(PI()*(s_0+2*s_r+IF(circ_int,eq_c1/2,0))/2)),-IF(circ_int,0,eq_c2/2)+(s_0+2*s_r+IF(circ_int,eq_c1/2,0))*SIN(PI()+(((15+0.5)*(4*IF(circ_int,0,eq_c1/2)+4*IF(circ_int,0,eq_c2/2)+2*PI()*(s_0+2*s_r+IF(circ_int,eq_c1/2,0)))/INDEX(lk_legs,3))-(((((2*IF(circ_int,0,eq_c2/2))+(PI()*(s_0+2*s_r+IF(circ_int,eq_c1/2,0))/2))+2*IF(circ_int,0,eq_c1/2))+(PI()*(s_0+2*s_r+IF(circ_int,eq_c1/2,0))/2))+2*IF(circ_int,0,eq_c2/2)))/(s_0+2*s_r+IF(circ_int,eq_c1/2,0))),IF(((15+0.5)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(15+0.5)*(4*IF(circ_int,0,eq_c1/2)+4*IF(circ_int,0,eq_c2/2)+2*PI()*(s_0+2*s_r+IF(circ_int,eq_c1/2,0)))/INDEX(lk_legs,3))-(((((((2*IF(circ_int,0,eq_c2/2))+(PI()*(s_0+2*s_r+IF(circ_int,eq_c1/2,0))/2))+2*IF(circ_int,0,eq_c1/2))+(PI()*(s_0+2*s_r+IF(circ_int,eq_c1/2,0))/2))+2*IF(circ_int,0,eq_c2/2))+(PI()*(s_0+2*s_r+IF(circ_int,eq_c1/2,0))/2))+2*IF(circ_int,0,eq_c1/2)))/(s_0+2*s_r+IF(circ_int,eq_c1/2,0)))))))))),NA())</f>
        <v/>
      </c>
      <c r="BO18">
        <f>IF(AND(links_on,4&lt;=n_per),IF(circ_int,(g_ox)+(c_1/2+(s_0+3*s_r))*-0.239316,CHOOSE(INDEX(lk_kind,4),(g_ox-eq_c1/2)+((s_0+3*s_r))*-0.258819,(eq_a1+eq_c1)+((s_0+3*s_r))*0.991445,eq_a1+eq_c1+(s_0+3*s_r),(eq_a1+eq_c1)+((s_0+3*s_r))*0.130526)),NA())</f>
        <v/>
      </c>
      <c r="BP18">
        <f>IF(AND(links_on,4&lt;=n_per),IF(circ_int,(g_oy)+(c_1/2+(s_0+3*s_r))*0.970942,CHOOSE(INDEX(lk_kind,4),(g_oy+eq_c2/2)+((s_0+3*s_r))*0.965926,(g_oy-eq_c2/2)+((s_0+3*s_r))*-0.130526,0,(eq_a2+eq_c2)+((s_0+3*s_r))*0.991445)),NA())</f>
        <v/>
      </c>
      <c r="BR18">
        <f>IF(AND(AND(links_on,4&lt;=n_per),INDEX(lk_kind,4)=1,15&lt;INDEX(lk_legs,4)),g_ox+IF(((15+0.5)*(4*IF(circ_int,0,eq_c1/2)+4*IF(circ_int,0,eq_c2/2)+2*PI()*(s_0+3*s_r+IF(circ_int,eq_c1/2,0)))/INDEX(lk_legs,4))&lt;(2*IF(circ_int,0,eq_c2/2)),IF(circ_int,0,eq_c1/2)+(s_0+3*s_r+IF(circ_int,eq_c1/2,0)),IF(((15+0.5)*(4*IF(circ_int,0,eq_c1/2)+4*IF(circ_int,0,eq_c2/2)+2*PI()*(s_0+3*s_r+IF(circ_int,eq_c1/2,0)))/INDEX(lk_legs,4))&lt;((2*IF(circ_int,0,eq_c2/2))+(PI()*(s_0+3*s_r+IF(circ_int,eq_c1/2,0))/2)),IF(circ_int,0,eq_c1/2)+(s_0+3*s_r+IF(circ_int,eq_c1/2,0))*COS((((15+0.5)*(4*IF(circ_int,0,eq_c1/2)+4*IF(circ_int,0,eq_c2/2)+2*PI()*(s_0+3*s_r+IF(circ_int,eq_c1/2,0)))/INDEX(lk_legs,4))-(2*IF(circ_int,0,eq_c2/2)))/(s_0+3*s_r+IF(circ_int,eq_c1/2,0))),IF(((15+0.5)*(4*IF(circ_int,0,eq_c1/2)+4*IF(circ_int,0,eq_c2/2)+2*PI()*(s_0+3*s_r+IF(circ_int,eq_c1/2,0)))/INDEX(lk_legs,4))&lt;(((2*IF(circ_int,0,eq_c2/2))+(PI()*(s_0+3*s_r+IF(circ_int,eq_c1/2,0))/2))+2*IF(circ_int,0,eq_c1/2)),IF(circ_int,0,eq_c1/2)-(((15+0.5)*(4*IF(circ_int,0,eq_c1/2)+4*IF(circ_int,0,eq_c2/2)+2*PI()*(s_0+3*s_r+IF(circ_int,eq_c1/2,0)))/INDEX(lk_legs,4))-((2*IF(circ_int,0,eq_c2/2))+(PI()*(s_0+3*s_r+IF(circ_int,eq_c1/2,0))/2))),IF(((15+0.5)*(4*IF(circ_int,0,eq_c1/2)+4*IF(circ_int,0,eq_c2/2)+2*PI()*(s_0+3*s_r+IF(circ_int,eq_c1/2,0)))/INDEX(lk_legs,4))&lt;((((2*IF(circ_int,0,eq_c2/2))+(PI()*(s_0+3*s_r+IF(circ_int,eq_c1/2,0))/2))+2*IF(circ_int,0,eq_c1/2))+(PI()*(s_0+3*s_r+IF(circ_int,eq_c1/2,0))/2)),-IF(circ_int,0,eq_c1/2)+(s_0+3*s_r+IF(circ_int,eq_c1/2,0))*COS(PI()/2+(((15+0.5)*(4*IF(circ_int,0,eq_c1/2)+4*IF(circ_int,0,eq_c2/2)+2*PI()*(s_0+3*s_r+IF(circ_int,eq_c1/2,0)))/INDEX(lk_legs,4))-(((2*IF(circ_int,0,eq_c2/2))+(PI()*(s_0+3*s_r+IF(circ_int,eq_c1/2,0))/2))+2*IF(circ_int,0,eq_c1/2)))/(s_0+3*s_r+IF(circ_int,eq_c1/2,0))),IF(((15+0.5)*(4*IF(circ_int,0,eq_c1/2)+4*IF(circ_int,0,eq_c2/2)+2*PI()*(s_0+3*s_r+IF(circ_int,eq_c1/2,0)))/INDEX(lk_legs,4))&lt;(((((2*IF(circ_int,0,eq_c2/2))+(PI()*(s_0+3*s_r+IF(circ_int,eq_c1/2,0))/2))+2*IF(circ_int,0,eq_c1/2))+(PI()*(s_0+3*s_r+IF(circ_int,eq_c1/2,0))/2))+2*IF(circ_int,0,eq_c2/2)),-IF(circ_int,0,eq_c1/2)-(s_0+3*s_r+IF(circ_int,eq_c1/2,0)),IF(((15+0.5)*(4*IF(circ_int,0,eq_c1/2)+4*IF(circ_int,0,eq_c2/2)+2*PI()*(s_0+3*s_r+IF(circ_int,eq_c1/2,0)))/INDEX(lk_legs,4))&lt;((((((2*IF(circ_int,0,eq_c2/2))+(PI()*(s_0+3*s_r+IF(circ_int,eq_c1/2,0))/2))+2*IF(circ_int,0,eq_c1/2))+(PI()*(s_0+3*s_r+IF(circ_int,eq_c1/2,0))/2))+2*IF(circ_int,0,eq_c2/2))+(PI()*(s_0+3*s_r+IF(circ_int,eq_c1/2,0))/2)),-IF(circ_int,0,eq_c1/2)+(s_0+3*s_r+IF(circ_int,eq_c1/2,0))*COS(PI()+(((15+0.5)*(4*IF(circ_int,0,eq_c1/2)+4*IF(circ_int,0,eq_c2/2)+2*PI()*(s_0+3*s_r+IF(circ_int,eq_c1/2,0)))/INDEX(lk_legs,4))-(((((2*IF(circ_int,0,eq_c2/2))+(PI()*(s_0+3*s_r+IF(circ_int,eq_c1/2,0))/2))+2*IF(circ_int,0,eq_c1/2))+(PI()*(s_0+3*s_r+IF(circ_int,eq_c1/2,0))/2))+2*IF(circ_int,0,eq_c2/2)))/(s_0+3*s_r+IF(circ_int,eq_c1/2,0))),IF(((15+0.5)*(4*IF(circ_int,0,eq_c1/2)+4*IF(circ_int,0,eq_c2/2)+2*PI()*(s_0+3*s_r+IF(circ_int,eq_c1/2,0)))/INDEX(lk_legs,4))&lt;(((((((2*IF(circ_int,0,eq_c2/2))+(PI()*(s_0+3*s_r+IF(circ_int,eq_c1/2,0))/2))+2*IF(circ_int,0,eq_c1/2))+(PI()*(s_0+3*s_r+IF(circ_int,eq_c1/2,0))/2))+2*IF(circ_int,0,eq_c2/2))+(PI()*(s_0+3*s_r+IF(circ_int,eq_c1/2,0))/2))+2*IF(circ_int,0,eq_c1/2)),-IF(circ_int,0,eq_c1/2)+(((15+0.5)*(4*IF(circ_int,0,eq_c1/2)+4*IF(circ_int,0,eq_c2/2)+2*PI()*(s_0+3*s_r+IF(circ_int,eq_c1/2,0)))/INDEX(lk_legs,4))-((((((2*IF(circ_int,0,eq_c2/2))+(PI()*(s_0+3*s_r+IF(circ_int,eq_c1/2,0))/2))+2*IF(circ_int,0,eq_c1/2))+(PI()*(s_0+3*s_r+IF(circ_int,eq_c1/2,0))/2))+2*IF(circ_int,0,eq_c2/2))+(PI()*(s_0+3*s_r+IF(circ_int,eq_c1/2,0))/2))),IF(circ_int,0,eq_c1/2)+(s_0+3*s_r+IF(circ_int,eq_c1/2,0))*COS(3*PI()/2+(((15+0.5)*(4*IF(circ_int,0,eq_c1/2)+4*IF(circ_int,0,eq_c2/2)+2*PI()*(s_0+3*s_r+IF(circ_int,eq_c1/2,0)))/INDEX(lk_legs,4))-(((((((2*IF(circ_int,0,eq_c2/2))+(PI()*(s_0+3*s_r+IF(circ_int,eq_c1/2,0))/2))+2*IF(circ_int,0,eq_c1/2))+(PI()*(s_0+3*s_r+IF(circ_int,eq_c1/2,0))/2))+2*IF(circ_int,0,eq_c2/2))+(PI()*(s_0+3*s_r+IF(circ_int,eq_c1/2,0))/2))+2*IF(circ_int,0,eq_c1/2)))/(s_0+3*s_r+IF(circ_int,eq_c1/2,0)))))))))),NA())</f>
        <v/>
      </c>
      <c r="BS18">
        <f>IF(AND(AND(links_on,4&lt;=n_per),INDEX(lk_kind,4)=1,15&lt;INDEX(lk_legs,4)),g_oy+IF(((15+0.5)*(4*IF(circ_int,0,eq_c1/2)+4*IF(circ_int,0,eq_c2/2)+2*PI()*(s_0+3*s_r+IF(circ_int,eq_c1/2,0)))/INDEX(lk_legs,4))&lt;(2*IF(circ_int,0,eq_c2/2)),-IF(circ_int,0,eq_c2/2)+((15+0.5)*(4*IF(circ_int,0,eq_c1/2)+4*IF(circ_int,0,eq_c2/2)+2*PI()*(s_0+3*s_r+IF(circ_int,eq_c1/2,0)))/INDEX(lk_legs,4)),IF(((15+0.5)*(4*IF(circ_int,0,eq_c1/2)+4*IF(circ_int,0,eq_c2/2)+2*PI()*(s_0+3*s_r+IF(circ_int,eq_c1/2,0)))/INDEX(lk_legs,4))&lt;((2*IF(circ_int,0,eq_c2/2))+(PI()*(s_0+3*s_r+IF(circ_int,eq_c1/2,0))/2)),IF(circ_int,0,eq_c2/2)+(s_0+3*s_r+IF(circ_int,eq_c1/2,0))*SIN((((15+0.5)*(4*IF(circ_int,0,eq_c1/2)+4*IF(circ_int,0,eq_c2/2)+2*PI()*(s_0+3*s_r+IF(circ_int,eq_c1/2,0)))/INDEX(lk_legs,4))-(2*IF(circ_int,0,eq_c2/2)))/(s_0+3*s_r+IF(circ_int,eq_c1/2,0))),IF(((15+0.5)*(4*IF(circ_int,0,eq_c1/2)+4*IF(circ_int,0,eq_c2/2)+2*PI()*(s_0+3*s_r+IF(circ_int,eq_c1/2,0)))/INDEX(lk_legs,4))&lt;(((2*IF(circ_int,0,eq_c2/2))+(PI()*(s_0+3*s_r+IF(circ_int,eq_c1/2,0))/2))+2*IF(circ_int,0,eq_c1/2)),IF(circ_int,0,eq_c2/2)+(s_0+3*s_r+IF(circ_int,eq_c1/2,0)),IF(((15+0.5)*(4*IF(circ_int,0,eq_c1/2)+4*IF(circ_int,0,eq_c2/2)+2*PI()*(s_0+3*s_r+IF(circ_int,eq_c1/2,0)))/INDEX(lk_legs,4))&lt;((((2*IF(circ_int,0,eq_c2/2))+(PI()*(s_0+3*s_r+IF(circ_int,eq_c1/2,0))/2))+2*IF(circ_int,0,eq_c1/2))+(PI()*(s_0+3*s_r+IF(circ_int,eq_c1/2,0))/2)),IF(circ_int,0,eq_c2/2)+(s_0+3*s_r+IF(circ_int,eq_c1/2,0))*SIN(PI()/2+(((15+0.5)*(4*IF(circ_int,0,eq_c1/2)+4*IF(circ_int,0,eq_c2/2)+2*PI()*(s_0+3*s_r+IF(circ_int,eq_c1/2,0)))/INDEX(lk_legs,4))-(((2*IF(circ_int,0,eq_c2/2))+(PI()*(s_0+3*s_r+IF(circ_int,eq_c1/2,0))/2))+2*IF(circ_int,0,eq_c1/2)))/(s_0+3*s_r+IF(circ_int,eq_c1/2,0))),IF(((15+0.5)*(4*IF(circ_int,0,eq_c1/2)+4*IF(circ_int,0,eq_c2/2)+2*PI()*(s_0+3*s_r+IF(circ_int,eq_c1/2,0)))/INDEX(lk_legs,4))&lt;(((((2*IF(circ_int,0,eq_c2/2))+(PI()*(s_0+3*s_r+IF(circ_int,eq_c1/2,0))/2))+2*IF(circ_int,0,eq_c1/2))+(PI()*(s_0+3*s_r+IF(circ_int,eq_c1/2,0))/2))+2*IF(circ_int,0,eq_c2/2)),IF(circ_int,0,eq_c2/2)-(((15+0.5)*(4*IF(circ_int,0,eq_c1/2)+4*IF(circ_int,0,eq_c2/2)+2*PI()*(s_0+3*s_r+IF(circ_int,eq_c1/2,0)))/INDEX(lk_legs,4))-((((2*IF(circ_int,0,eq_c2/2))+(PI()*(s_0+3*s_r+IF(circ_int,eq_c1/2,0))/2))+2*IF(circ_int,0,eq_c1/2))+(PI()*(s_0+3*s_r+IF(circ_int,eq_c1/2,0))/2))),IF(((15+0.5)*(4*IF(circ_int,0,eq_c1/2)+4*IF(circ_int,0,eq_c2/2)+2*PI()*(s_0+3*s_r+IF(circ_int,eq_c1/2,0)))/INDEX(lk_legs,4))&lt;((((((2*IF(circ_int,0,eq_c2/2))+(PI()*(s_0+3*s_r+IF(circ_int,eq_c1/2,0))/2))+2*IF(circ_int,0,eq_c1/2))+(PI()*(s_0+3*s_r+IF(circ_int,eq_c1/2,0))/2))+2*IF(circ_int,0,eq_c2/2))+(PI()*(s_0+3*s_r+IF(circ_int,eq_c1/2,0))/2)),-IF(circ_int,0,eq_c2/2)+(s_0+3*s_r+IF(circ_int,eq_c1/2,0))*SIN(PI()+(((15+0.5)*(4*IF(circ_int,0,eq_c1/2)+4*IF(circ_int,0,eq_c2/2)+2*PI()*(s_0+3*s_r+IF(circ_int,eq_c1/2,0)))/INDEX(lk_legs,4))-(((((2*IF(circ_int,0,eq_c2/2))+(PI()*(s_0+3*s_r+IF(circ_int,eq_c1/2,0))/2))+2*IF(circ_int,0,eq_c1/2))+(PI()*(s_0+3*s_r+IF(circ_int,eq_c1/2,0))/2))+2*IF(circ_int,0,eq_c2/2)))/(s_0+3*s_r+IF(circ_int,eq_c1/2,0))),IF(((15+0.5)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(15+0.5)*(4*IF(circ_int,0,eq_c1/2)+4*IF(circ_int,0,eq_c2/2)+2*PI()*(s_0+3*s_r+IF(circ_int,eq_c1/2,0)))/INDEX(lk_legs,4))-(((((((2*IF(circ_int,0,eq_c2/2))+(PI()*(s_0+3*s_r+IF(circ_int,eq_c1/2,0))/2))+2*IF(circ_int,0,eq_c1/2))+(PI()*(s_0+3*s_r+IF(circ_int,eq_c1/2,0))/2))+2*IF(circ_int,0,eq_c2/2))+(PI()*(s_0+3*s_r+IF(circ_int,eq_c1/2,0))/2))+2*IF(circ_int,0,eq_c1/2)))/(s_0+3*s_r+IF(circ_int,eq_c1/2,0)))))))))),NA())</f>
        <v/>
      </c>
      <c r="BU18">
        <f>IF(AND(links_on,5&lt;=n_per),IF(circ_int,(g_ox)+(c_1/2+(s_0+4*s_r))*-0.239316,CHOOSE(INDEX(lk_kind,5),(g_ox-eq_c1/2)+((s_0+4*s_r))*-0.258819,(eq_a1+eq_c1)+((s_0+4*s_r))*0.991445,eq_a1+eq_c1+(s_0+4*s_r),(eq_a1+eq_c1)+((s_0+4*s_r))*0.130526)),NA())</f>
        <v/>
      </c>
      <c r="BV18">
        <f>IF(AND(links_on,5&lt;=n_per),IF(circ_int,(g_oy)+(c_1/2+(s_0+4*s_r))*0.970942,CHOOSE(INDEX(lk_kind,5),(g_oy+eq_c2/2)+((s_0+4*s_r))*0.965926,(g_oy-eq_c2/2)+((s_0+4*s_r))*-0.130526,0,(eq_a2+eq_c2)+((s_0+4*s_r))*0.991445)),NA())</f>
        <v/>
      </c>
      <c r="BX18">
        <f>IF(AND(AND(links_on,5&lt;=n_per),INDEX(lk_kind,5)=1,15&lt;INDEX(lk_legs,5)),g_ox+IF(((15+0.5)*(4*IF(circ_int,0,eq_c1/2)+4*IF(circ_int,0,eq_c2/2)+2*PI()*(s_0+4*s_r+IF(circ_int,eq_c1/2,0)))/INDEX(lk_legs,5))&lt;(2*IF(circ_int,0,eq_c2/2)),IF(circ_int,0,eq_c1/2)+(s_0+4*s_r+IF(circ_int,eq_c1/2,0)),IF(((15+0.5)*(4*IF(circ_int,0,eq_c1/2)+4*IF(circ_int,0,eq_c2/2)+2*PI()*(s_0+4*s_r+IF(circ_int,eq_c1/2,0)))/INDEX(lk_legs,5))&lt;((2*IF(circ_int,0,eq_c2/2))+(PI()*(s_0+4*s_r+IF(circ_int,eq_c1/2,0))/2)),IF(circ_int,0,eq_c1/2)+(s_0+4*s_r+IF(circ_int,eq_c1/2,0))*COS((((15+0.5)*(4*IF(circ_int,0,eq_c1/2)+4*IF(circ_int,0,eq_c2/2)+2*PI()*(s_0+4*s_r+IF(circ_int,eq_c1/2,0)))/INDEX(lk_legs,5))-(2*IF(circ_int,0,eq_c2/2)))/(s_0+4*s_r+IF(circ_int,eq_c1/2,0))),IF(((15+0.5)*(4*IF(circ_int,0,eq_c1/2)+4*IF(circ_int,0,eq_c2/2)+2*PI()*(s_0+4*s_r+IF(circ_int,eq_c1/2,0)))/INDEX(lk_legs,5))&lt;(((2*IF(circ_int,0,eq_c2/2))+(PI()*(s_0+4*s_r+IF(circ_int,eq_c1/2,0))/2))+2*IF(circ_int,0,eq_c1/2)),IF(circ_int,0,eq_c1/2)-(((15+0.5)*(4*IF(circ_int,0,eq_c1/2)+4*IF(circ_int,0,eq_c2/2)+2*PI()*(s_0+4*s_r+IF(circ_int,eq_c1/2,0)))/INDEX(lk_legs,5))-((2*IF(circ_int,0,eq_c2/2))+(PI()*(s_0+4*s_r+IF(circ_int,eq_c1/2,0))/2))),IF(((15+0.5)*(4*IF(circ_int,0,eq_c1/2)+4*IF(circ_int,0,eq_c2/2)+2*PI()*(s_0+4*s_r+IF(circ_int,eq_c1/2,0)))/INDEX(lk_legs,5))&lt;((((2*IF(circ_int,0,eq_c2/2))+(PI()*(s_0+4*s_r+IF(circ_int,eq_c1/2,0))/2))+2*IF(circ_int,0,eq_c1/2))+(PI()*(s_0+4*s_r+IF(circ_int,eq_c1/2,0))/2)),-IF(circ_int,0,eq_c1/2)+(s_0+4*s_r+IF(circ_int,eq_c1/2,0))*COS(PI()/2+(((15+0.5)*(4*IF(circ_int,0,eq_c1/2)+4*IF(circ_int,0,eq_c2/2)+2*PI()*(s_0+4*s_r+IF(circ_int,eq_c1/2,0)))/INDEX(lk_legs,5))-(((2*IF(circ_int,0,eq_c2/2))+(PI()*(s_0+4*s_r+IF(circ_int,eq_c1/2,0))/2))+2*IF(circ_int,0,eq_c1/2)))/(s_0+4*s_r+IF(circ_int,eq_c1/2,0))),IF(((15+0.5)*(4*IF(circ_int,0,eq_c1/2)+4*IF(circ_int,0,eq_c2/2)+2*PI()*(s_0+4*s_r+IF(circ_int,eq_c1/2,0)))/INDEX(lk_legs,5))&lt;(((((2*IF(circ_int,0,eq_c2/2))+(PI()*(s_0+4*s_r+IF(circ_int,eq_c1/2,0))/2))+2*IF(circ_int,0,eq_c1/2))+(PI()*(s_0+4*s_r+IF(circ_int,eq_c1/2,0))/2))+2*IF(circ_int,0,eq_c2/2)),-IF(circ_int,0,eq_c1/2)-(s_0+4*s_r+IF(circ_int,eq_c1/2,0)),IF(((15+0.5)*(4*IF(circ_int,0,eq_c1/2)+4*IF(circ_int,0,eq_c2/2)+2*PI()*(s_0+4*s_r+IF(circ_int,eq_c1/2,0)))/INDEX(lk_legs,5))&lt;((((((2*IF(circ_int,0,eq_c2/2))+(PI()*(s_0+4*s_r+IF(circ_int,eq_c1/2,0))/2))+2*IF(circ_int,0,eq_c1/2))+(PI()*(s_0+4*s_r+IF(circ_int,eq_c1/2,0))/2))+2*IF(circ_int,0,eq_c2/2))+(PI()*(s_0+4*s_r+IF(circ_int,eq_c1/2,0))/2)),-IF(circ_int,0,eq_c1/2)+(s_0+4*s_r+IF(circ_int,eq_c1/2,0))*COS(PI()+(((15+0.5)*(4*IF(circ_int,0,eq_c1/2)+4*IF(circ_int,0,eq_c2/2)+2*PI()*(s_0+4*s_r+IF(circ_int,eq_c1/2,0)))/INDEX(lk_legs,5))-(((((2*IF(circ_int,0,eq_c2/2))+(PI()*(s_0+4*s_r+IF(circ_int,eq_c1/2,0))/2))+2*IF(circ_int,0,eq_c1/2))+(PI()*(s_0+4*s_r+IF(circ_int,eq_c1/2,0))/2))+2*IF(circ_int,0,eq_c2/2)))/(s_0+4*s_r+IF(circ_int,eq_c1/2,0))),IF(((15+0.5)*(4*IF(circ_int,0,eq_c1/2)+4*IF(circ_int,0,eq_c2/2)+2*PI()*(s_0+4*s_r+IF(circ_int,eq_c1/2,0)))/INDEX(lk_legs,5))&lt;(((((((2*IF(circ_int,0,eq_c2/2))+(PI()*(s_0+4*s_r+IF(circ_int,eq_c1/2,0))/2))+2*IF(circ_int,0,eq_c1/2))+(PI()*(s_0+4*s_r+IF(circ_int,eq_c1/2,0))/2))+2*IF(circ_int,0,eq_c2/2))+(PI()*(s_0+4*s_r+IF(circ_int,eq_c1/2,0))/2))+2*IF(circ_int,0,eq_c1/2)),-IF(circ_int,0,eq_c1/2)+(((15+0.5)*(4*IF(circ_int,0,eq_c1/2)+4*IF(circ_int,0,eq_c2/2)+2*PI()*(s_0+4*s_r+IF(circ_int,eq_c1/2,0)))/INDEX(lk_legs,5))-((((((2*IF(circ_int,0,eq_c2/2))+(PI()*(s_0+4*s_r+IF(circ_int,eq_c1/2,0))/2))+2*IF(circ_int,0,eq_c1/2))+(PI()*(s_0+4*s_r+IF(circ_int,eq_c1/2,0))/2))+2*IF(circ_int,0,eq_c2/2))+(PI()*(s_0+4*s_r+IF(circ_int,eq_c1/2,0))/2))),IF(circ_int,0,eq_c1/2)+(s_0+4*s_r+IF(circ_int,eq_c1/2,0))*COS(3*PI()/2+(((15+0.5)*(4*IF(circ_int,0,eq_c1/2)+4*IF(circ_int,0,eq_c2/2)+2*PI()*(s_0+4*s_r+IF(circ_int,eq_c1/2,0)))/INDEX(lk_legs,5))-(((((((2*IF(circ_int,0,eq_c2/2))+(PI()*(s_0+4*s_r+IF(circ_int,eq_c1/2,0))/2))+2*IF(circ_int,0,eq_c1/2))+(PI()*(s_0+4*s_r+IF(circ_int,eq_c1/2,0))/2))+2*IF(circ_int,0,eq_c2/2))+(PI()*(s_0+4*s_r+IF(circ_int,eq_c1/2,0))/2))+2*IF(circ_int,0,eq_c1/2)))/(s_0+4*s_r+IF(circ_int,eq_c1/2,0)))))))))),NA())</f>
        <v/>
      </c>
      <c r="BY18">
        <f>IF(AND(AND(links_on,5&lt;=n_per),INDEX(lk_kind,5)=1,15&lt;INDEX(lk_legs,5)),g_oy+IF(((15+0.5)*(4*IF(circ_int,0,eq_c1/2)+4*IF(circ_int,0,eq_c2/2)+2*PI()*(s_0+4*s_r+IF(circ_int,eq_c1/2,0)))/INDEX(lk_legs,5))&lt;(2*IF(circ_int,0,eq_c2/2)),-IF(circ_int,0,eq_c2/2)+((15+0.5)*(4*IF(circ_int,0,eq_c1/2)+4*IF(circ_int,0,eq_c2/2)+2*PI()*(s_0+4*s_r+IF(circ_int,eq_c1/2,0)))/INDEX(lk_legs,5)),IF(((15+0.5)*(4*IF(circ_int,0,eq_c1/2)+4*IF(circ_int,0,eq_c2/2)+2*PI()*(s_0+4*s_r+IF(circ_int,eq_c1/2,0)))/INDEX(lk_legs,5))&lt;((2*IF(circ_int,0,eq_c2/2))+(PI()*(s_0+4*s_r+IF(circ_int,eq_c1/2,0))/2)),IF(circ_int,0,eq_c2/2)+(s_0+4*s_r+IF(circ_int,eq_c1/2,0))*SIN((((15+0.5)*(4*IF(circ_int,0,eq_c1/2)+4*IF(circ_int,0,eq_c2/2)+2*PI()*(s_0+4*s_r+IF(circ_int,eq_c1/2,0)))/INDEX(lk_legs,5))-(2*IF(circ_int,0,eq_c2/2)))/(s_0+4*s_r+IF(circ_int,eq_c1/2,0))),IF(((15+0.5)*(4*IF(circ_int,0,eq_c1/2)+4*IF(circ_int,0,eq_c2/2)+2*PI()*(s_0+4*s_r+IF(circ_int,eq_c1/2,0)))/INDEX(lk_legs,5))&lt;(((2*IF(circ_int,0,eq_c2/2))+(PI()*(s_0+4*s_r+IF(circ_int,eq_c1/2,0))/2))+2*IF(circ_int,0,eq_c1/2)),IF(circ_int,0,eq_c2/2)+(s_0+4*s_r+IF(circ_int,eq_c1/2,0)),IF(((15+0.5)*(4*IF(circ_int,0,eq_c1/2)+4*IF(circ_int,0,eq_c2/2)+2*PI()*(s_0+4*s_r+IF(circ_int,eq_c1/2,0)))/INDEX(lk_legs,5))&lt;((((2*IF(circ_int,0,eq_c2/2))+(PI()*(s_0+4*s_r+IF(circ_int,eq_c1/2,0))/2))+2*IF(circ_int,0,eq_c1/2))+(PI()*(s_0+4*s_r+IF(circ_int,eq_c1/2,0))/2)),IF(circ_int,0,eq_c2/2)+(s_0+4*s_r+IF(circ_int,eq_c1/2,0))*SIN(PI()/2+(((15+0.5)*(4*IF(circ_int,0,eq_c1/2)+4*IF(circ_int,0,eq_c2/2)+2*PI()*(s_0+4*s_r+IF(circ_int,eq_c1/2,0)))/INDEX(lk_legs,5))-(((2*IF(circ_int,0,eq_c2/2))+(PI()*(s_0+4*s_r+IF(circ_int,eq_c1/2,0))/2))+2*IF(circ_int,0,eq_c1/2)))/(s_0+4*s_r+IF(circ_int,eq_c1/2,0))),IF(((15+0.5)*(4*IF(circ_int,0,eq_c1/2)+4*IF(circ_int,0,eq_c2/2)+2*PI()*(s_0+4*s_r+IF(circ_int,eq_c1/2,0)))/INDEX(lk_legs,5))&lt;(((((2*IF(circ_int,0,eq_c2/2))+(PI()*(s_0+4*s_r+IF(circ_int,eq_c1/2,0))/2))+2*IF(circ_int,0,eq_c1/2))+(PI()*(s_0+4*s_r+IF(circ_int,eq_c1/2,0))/2))+2*IF(circ_int,0,eq_c2/2)),IF(circ_int,0,eq_c2/2)-(((15+0.5)*(4*IF(circ_int,0,eq_c1/2)+4*IF(circ_int,0,eq_c2/2)+2*PI()*(s_0+4*s_r+IF(circ_int,eq_c1/2,0)))/INDEX(lk_legs,5))-((((2*IF(circ_int,0,eq_c2/2))+(PI()*(s_0+4*s_r+IF(circ_int,eq_c1/2,0))/2))+2*IF(circ_int,0,eq_c1/2))+(PI()*(s_0+4*s_r+IF(circ_int,eq_c1/2,0))/2))),IF(((15+0.5)*(4*IF(circ_int,0,eq_c1/2)+4*IF(circ_int,0,eq_c2/2)+2*PI()*(s_0+4*s_r+IF(circ_int,eq_c1/2,0)))/INDEX(lk_legs,5))&lt;((((((2*IF(circ_int,0,eq_c2/2))+(PI()*(s_0+4*s_r+IF(circ_int,eq_c1/2,0))/2))+2*IF(circ_int,0,eq_c1/2))+(PI()*(s_0+4*s_r+IF(circ_int,eq_c1/2,0))/2))+2*IF(circ_int,0,eq_c2/2))+(PI()*(s_0+4*s_r+IF(circ_int,eq_c1/2,0))/2)),-IF(circ_int,0,eq_c2/2)+(s_0+4*s_r+IF(circ_int,eq_c1/2,0))*SIN(PI()+(((15+0.5)*(4*IF(circ_int,0,eq_c1/2)+4*IF(circ_int,0,eq_c2/2)+2*PI()*(s_0+4*s_r+IF(circ_int,eq_c1/2,0)))/INDEX(lk_legs,5))-(((((2*IF(circ_int,0,eq_c2/2))+(PI()*(s_0+4*s_r+IF(circ_int,eq_c1/2,0))/2))+2*IF(circ_int,0,eq_c1/2))+(PI()*(s_0+4*s_r+IF(circ_int,eq_c1/2,0))/2))+2*IF(circ_int,0,eq_c2/2)))/(s_0+4*s_r+IF(circ_int,eq_c1/2,0))),IF(((15+0.5)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(15+0.5)*(4*IF(circ_int,0,eq_c1/2)+4*IF(circ_int,0,eq_c2/2)+2*PI()*(s_0+4*s_r+IF(circ_int,eq_c1/2,0)))/INDEX(lk_legs,5))-(((((((2*IF(circ_int,0,eq_c2/2))+(PI()*(s_0+4*s_r+IF(circ_int,eq_c1/2,0))/2))+2*IF(circ_int,0,eq_c1/2))+(PI()*(s_0+4*s_r+IF(circ_int,eq_c1/2,0))/2))+2*IF(circ_int,0,eq_c2/2))+(PI()*(s_0+4*s_r+IF(circ_int,eq_c1/2,0))/2))+2*IF(circ_int,0,eq_c1/2)))/(s_0+4*s_r+IF(circ_int,eq_c1/2,0)))))))))),NA())</f>
        <v/>
      </c>
      <c r="CA18">
        <f>IF(AND(links_on,6&lt;=n_per),IF(circ_int,(g_ox)+(c_1/2+(s_0+5*s_r))*-0.239316,CHOOSE(INDEX(lk_kind,6),(g_ox-eq_c1/2)+((s_0+5*s_r))*-0.258819,(eq_a1+eq_c1)+((s_0+5*s_r))*0.991445,eq_a1+eq_c1+(s_0+5*s_r),(eq_a1+eq_c1)+((s_0+5*s_r))*0.130526)),NA())</f>
        <v/>
      </c>
      <c r="CB18">
        <f>IF(AND(links_on,6&lt;=n_per),IF(circ_int,(g_oy)+(c_1/2+(s_0+5*s_r))*0.970942,CHOOSE(INDEX(lk_kind,6),(g_oy+eq_c2/2)+((s_0+5*s_r))*0.965926,(g_oy-eq_c2/2)+((s_0+5*s_r))*-0.130526,0,(eq_a2+eq_c2)+((s_0+5*s_r))*0.991445)),NA())</f>
        <v/>
      </c>
      <c r="CD18">
        <f>IF(AND(AND(links_on,6&lt;=n_per),INDEX(lk_kind,6)=1,15&lt;INDEX(lk_legs,6)),g_ox+IF(((15+0.5)*(4*IF(circ_int,0,eq_c1/2)+4*IF(circ_int,0,eq_c2/2)+2*PI()*(s_0+5*s_r+IF(circ_int,eq_c1/2,0)))/INDEX(lk_legs,6))&lt;(2*IF(circ_int,0,eq_c2/2)),IF(circ_int,0,eq_c1/2)+(s_0+5*s_r+IF(circ_int,eq_c1/2,0)),IF(((15+0.5)*(4*IF(circ_int,0,eq_c1/2)+4*IF(circ_int,0,eq_c2/2)+2*PI()*(s_0+5*s_r+IF(circ_int,eq_c1/2,0)))/INDEX(lk_legs,6))&lt;((2*IF(circ_int,0,eq_c2/2))+(PI()*(s_0+5*s_r+IF(circ_int,eq_c1/2,0))/2)),IF(circ_int,0,eq_c1/2)+(s_0+5*s_r+IF(circ_int,eq_c1/2,0))*COS((((15+0.5)*(4*IF(circ_int,0,eq_c1/2)+4*IF(circ_int,0,eq_c2/2)+2*PI()*(s_0+5*s_r+IF(circ_int,eq_c1/2,0)))/INDEX(lk_legs,6))-(2*IF(circ_int,0,eq_c2/2)))/(s_0+5*s_r+IF(circ_int,eq_c1/2,0))),IF(((15+0.5)*(4*IF(circ_int,0,eq_c1/2)+4*IF(circ_int,0,eq_c2/2)+2*PI()*(s_0+5*s_r+IF(circ_int,eq_c1/2,0)))/INDEX(lk_legs,6))&lt;(((2*IF(circ_int,0,eq_c2/2))+(PI()*(s_0+5*s_r+IF(circ_int,eq_c1/2,0))/2))+2*IF(circ_int,0,eq_c1/2)),IF(circ_int,0,eq_c1/2)-(((15+0.5)*(4*IF(circ_int,0,eq_c1/2)+4*IF(circ_int,0,eq_c2/2)+2*PI()*(s_0+5*s_r+IF(circ_int,eq_c1/2,0)))/INDEX(lk_legs,6))-((2*IF(circ_int,0,eq_c2/2))+(PI()*(s_0+5*s_r+IF(circ_int,eq_c1/2,0))/2))),IF(((15+0.5)*(4*IF(circ_int,0,eq_c1/2)+4*IF(circ_int,0,eq_c2/2)+2*PI()*(s_0+5*s_r+IF(circ_int,eq_c1/2,0)))/INDEX(lk_legs,6))&lt;((((2*IF(circ_int,0,eq_c2/2))+(PI()*(s_0+5*s_r+IF(circ_int,eq_c1/2,0))/2))+2*IF(circ_int,0,eq_c1/2))+(PI()*(s_0+5*s_r+IF(circ_int,eq_c1/2,0))/2)),-IF(circ_int,0,eq_c1/2)+(s_0+5*s_r+IF(circ_int,eq_c1/2,0))*COS(PI()/2+(((15+0.5)*(4*IF(circ_int,0,eq_c1/2)+4*IF(circ_int,0,eq_c2/2)+2*PI()*(s_0+5*s_r+IF(circ_int,eq_c1/2,0)))/INDEX(lk_legs,6))-(((2*IF(circ_int,0,eq_c2/2))+(PI()*(s_0+5*s_r+IF(circ_int,eq_c1/2,0))/2))+2*IF(circ_int,0,eq_c1/2)))/(s_0+5*s_r+IF(circ_int,eq_c1/2,0))),IF(((15+0.5)*(4*IF(circ_int,0,eq_c1/2)+4*IF(circ_int,0,eq_c2/2)+2*PI()*(s_0+5*s_r+IF(circ_int,eq_c1/2,0)))/INDEX(lk_legs,6))&lt;(((((2*IF(circ_int,0,eq_c2/2))+(PI()*(s_0+5*s_r+IF(circ_int,eq_c1/2,0))/2))+2*IF(circ_int,0,eq_c1/2))+(PI()*(s_0+5*s_r+IF(circ_int,eq_c1/2,0))/2))+2*IF(circ_int,0,eq_c2/2)),-IF(circ_int,0,eq_c1/2)-(s_0+5*s_r+IF(circ_int,eq_c1/2,0)),IF(((15+0.5)*(4*IF(circ_int,0,eq_c1/2)+4*IF(circ_int,0,eq_c2/2)+2*PI()*(s_0+5*s_r+IF(circ_int,eq_c1/2,0)))/INDEX(lk_legs,6))&lt;((((((2*IF(circ_int,0,eq_c2/2))+(PI()*(s_0+5*s_r+IF(circ_int,eq_c1/2,0))/2))+2*IF(circ_int,0,eq_c1/2))+(PI()*(s_0+5*s_r+IF(circ_int,eq_c1/2,0))/2))+2*IF(circ_int,0,eq_c2/2))+(PI()*(s_0+5*s_r+IF(circ_int,eq_c1/2,0))/2)),-IF(circ_int,0,eq_c1/2)+(s_0+5*s_r+IF(circ_int,eq_c1/2,0))*COS(PI()+(((15+0.5)*(4*IF(circ_int,0,eq_c1/2)+4*IF(circ_int,0,eq_c2/2)+2*PI()*(s_0+5*s_r+IF(circ_int,eq_c1/2,0)))/INDEX(lk_legs,6))-(((((2*IF(circ_int,0,eq_c2/2))+(PI()*(s_0+5*s_r+IF(circ_int,eq_c1/2,0))/2))+2*IF(circ_int,0,eq_c1/2))+(PI()*(s_0+5*s_r+IF(circ_int,eq_c1/2,0))/2))+2*IF(circ_int,0,eq_c2/2)))/(s_0+5*s_r+IF(circ_int,eq_c1/2,0))),IF(((15+0.5)*(4*IF(circ_int,0,eq_c1/2)+4*IF(circ_int,0,eq_c2/2)+2*PI()*(s_0+5*s_r+IF(circ_int,eq_c1/2,0)))/INDEX(lk_legs,6))&lt;(((((((2*IF(circ_int,0,eq_c2/2))+(PI()*(s_0+5*s_r+IF(circ_int,eq_c1/2,0))/2))+2*IF(circ_int,0,eq_c1/2))+(PI()*(s_0+5*s_r+IF(circ_int,eq_c1/2,0))/2))+2*IF(circ_int,0,eq_c2/2))+(PI()*(s_0+5*s_r+IF(circ_int,eq_c1/2,0))/2))+2*IF(circ_int,0,eq_c1/2)),-IF(circ_int,0,eq_c1/2)+(((15+0.5)*(4*IF(circ_int,0,eq_c1/2)+4*IF(circ_int,0,eq_c2/2)+2*PI()*(s_0+5*s_r+IF(circ_int,eq_c1/2,0)))/INDEX(lk_legs,6))-((((((2*IF(circ_int,0,eq_c2/2))+(PI()*(s_0+5*s_r+IF(circ_int,eq_c1/2,0))/2))+2*IF(circ_int,0,eq_c1/2))+(PI()*(s_0+5*s_r+IF(circ_int,eq_c1/2,0))/2))+2*IF(circ_int,0,eq_c2/2))+(PI()*(s_0+5*s_r+IF(circ_int,eq_c1/2,0))/2))),IF(circ_int,0,eq_c1/2)+(s_0+5*s_r+IF(circ_int,eq_c1/2,0))*COS(3*PI()/2+(((15+0.5)*(4*IF(circ_int,0,eq_c1/2)+4*IF(circ_int,0,eq_c2/2)+2*PI()*(s_0+5*s_r+IF(circ_int,eq_c1/2,0)))/INDEX(lk_legs,6))-(((((((2*IF(circ_int,0,eq_c2/2))+(PI()*(s_0+5*s_r+IF(circ_int,eq_c1/2,0))/2))+2*IF(circ_int,0,eq_c1/2))+(PI()*(s_0+5*s_r+IF(circ_int,eq_c1/2,0))/2))+2*IF(circ_int,0,eq_c2/2))+(PI()*(s_0+5*s_r+IF(circ_int,eq_c1/2,0))/2))+2*IF(circ_int,0,eq_c1/2)))/(s_0+5*s_r+IF(circ_int,eq_c1/2,0)))))))))),NA())</f>
        <v/>
      </c>
      <c r="CE18">
        <f>IF(AND(AND(links_on,6&lt;=n_per),INDEX(lk_kind,6)=1,15&lt;INDEX(lk_legs,6)),g_oy+IF(((15+0.5)*(4*IF(circ_int,0,eq_c1/2)+4*IF(circ_int,0,eq_c2/2)+2*PI()*(s_0+5*s_r+IF(circ_int,eq_c1/2,0)))/INDEX(lk_legs,6))&lt;(2*IF(circ_int,0,eq_c2/2)),-IF(circ_int,0,eq_c2/2)+((15+0.5)*(4*IF(circ_int,0,eq_c1/2)+4*IF(circ_int,0,eq_c2/2)+2*PI()*(s_0+5*s_r+IF(circ_int,eq_c1/2,0)))/INDEX(lk_legs,6)),IF(((15+0.5)*(4*IF(circ_int,0,eq_c1/2)+4*IF(circ_int,0,eq_c2/2)+2*PI()*(s_0+5*s_r+IF(circ_int,eq_c1/2,0)))/INDEX(lk_legs,6))&lt;((2*IF(circ_int,0,eq_c2/2))+(PI()*(s_0+5*s_r+IF(circ_int,eq_c1/2,0))/2)),IF(circ_int,0,eq_c2/2)+(s_0+5*s_r+IF(circ_int,eq_c1/2,0))*SIN((((15+0.5)*(4*IF(circ_int,0,eq_c1/2)+4*IF(circ_int,0,eq_c2/2)+2*PI()*(s_0+5*s_r+IF(circ_int,eq_c1/2,0)))/INDEX(lk_legs,6))-(2*IF(circ_int,0,eq_c2/2)))/(s_0+5*s_r+IF(circ_int,eq_c1/2,0))),IF(((15+0.5)*(4*IF(circ_int,0,eq_c1/2)+4*IF(circ_int,0,eq_c2/2)+2*PI()*(s_0+5*s_r+IF(circ_int,eq_c1/2,0)))/INDEX(lk_legs,6))&lt;(((2*IF(circ_int,0,eq_c2/2))+(PI()*(s_0+5*s_r+IF(circ_int,eq_c1/2,0))/2))+2*IF(circ_int,0,eq_c1/2)),IF(circ_int,0,eq_c2/2)+(s_0+5*s_r+IF(circ_int,eq_c1/2,0)),IF(((15+0.5)*(4*IF(circ_int,0,eq_c1/2)+4*IF(circ_int,0,eq_c2/2)+2*PI()*(s_0+5*s_r+IF(circ_int,eq_c1/2,0)))/INDEX(lk_legs,6))&lt;((((2*IF(circ_int,0,eq_c2/2))+(PI()*(s_0+5*s_r+IF(circ_int,eq_c1/2,0))/2))+2*IF(circ_int,0,eq_c1/2))+(PI()*(s_0+5*s_r+IF(circ_int,eq_c1/2,0))/2)),IF(circ_int,0,eq_c2/2)+(s_0+5*s_r+IF(circ_int,eq_c1/2,0))*SIN(PI()/2+(((15+0.5)*(4*IF(circ_int,0,eq_c1/2)+4*IF(circ_int,0,eq_c2/2)+2*PI()*(s_0+5*s_r+IF(circ_int,eq_c1/2,0)))/INDEX(lk_legs,6))-(((2*IF(circ_int,0,eq_c2/2))+(PI()*(s_0+5*s_r+IF(circ_int,eq_c1/2,0))/2))+2*IF(circ_int,0,eq_c1/2)))/(s_0+5*s_r+IF(circ_int,eq_c1/2,0))),IF(((15+0.5)*(4*IF(circ_int,0,eq_c1/2)+4*IF(circ_int,0,eq_c2/2)+2*PI()*(s_0+5*s_r+IF(circ_int,eq_c1/2,0)))/INDEX(lk_legs,6))&lt;(((((2*IF(circ_int,0,eq_c2/2))+(PI()*(s_0+5*s_r+IF(circ_int,eq_c1/2,0))/2))+2*IF(circ_int,0,eq_c1/2))+(PI()*(s_0+5*s_r+IF(circ_int,eq_c1/2,0))/2))+2*IF(circ_int,0,eq_c2/2)),IF(circ_int,0,eq_c2/2)-(((15+0.5)*(4*IF(circ_int,0,eq_c1/2)+4*IF(circ_int,0,eq_c2/2)+2*PI()*(s_0+5*s_r+IF(circ_int,eq_c1/2,0)))/INDEX(lk_legs,6))-((((2*IF(circ_int,0,eq_c2/2))+(PI()*(s_0+5*s_r+IF(circ_int,eq_c1/2,0))/2))+2*IF(circ_int,0,eq_c1/2))+(PI()*(s_0+5*s_r+IF(circ_int,eq_c1/2,0))/2))),IF(((15+0.5)*(4*IF(circ_int,0,eq_c1/2)+4*IF(circ_int,0,eq_c2/2)+2*PI()*(s_0+5*s_r+IF(circ_int,eq_c1/2,0)))/INDEX(lk_legs,6))&lt;((((((2*IF(circ_int,0,eq_c2/2))+(PI()*(s_0+5*s_r+IF(circ_int,eq_c1/2,0))/2))+2*IF(circ_int,0,eq_c1/2))+(PI()*(s_0+5*s_r+IF(circ_int,eq_c1/2,0))/2))+2*IF(circ_int,0,eq_c2/2))+(PI()*(s_0+5*s_r+IF(circ_int,eq_c1/2,0))/2)),-IF(circ_int,0,eq_c2/2)+(s_0+5*s_r+IF(circ_int,eq_c1/2,0))*SIN(PI()+(((15+0.5)*(4*IF(circ_int,0,eq_c1/2)+4*IF(circ_int,0,eq_c2/2)+2*PI()*(s_0+5*s_r+IF(circ_int,eq_c1/2,0)))/INDEX(lk_legs,6))-(((((2*IF(circ_int,0,eq_c2/2))+(PI()*(s_0+5*s_r+IF(circ_int,eq_c1/2,0))/2))+2*IF(circ_int,0,eq_c1/2))+(PI()*(s_0+5*s_r+IF(circ_int,eq_c1/2,0))/2))+2*IF(circ_int,0,eq_c2/2)))/(s_0+5*s_r+IF(circ_int,eq_c1/2,0))),IF(((15+0.5)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(15+0.5)*(4*IF(circ_int,0,eq_c1/2)+4*IF(circ_int,0,eq_c2/2)+2*PI()*(s_0+5*s_r+IF(circ_int,eq_c1/2,0)))/INDEX(lk_legs,6))-(((((((2*IF(circ_int,0,eq_c2/2))+(PI()*(s_0+5*s_r+IF(circ_int,eq_c1/2,0))/2))+2*IF(circ_int,0,eq_c1/2))+(PI()*(s_0+5*s_r+IF(circ_int,eq_c1/2,0))/2))+2*IF(circ_int,0,eq_c2/2))+(PI()*(s_0+5*s_r+IF(circ_int,eq_c1/2,0))/2))+2*IF(circ_int,0,eq_c1/2)))/(s_0+5*s_r+IF(circ_int,eq_c1/2,0)))))))))),NA())</f>
        <v/>
      </c>
      <c r="CG18">
        <f>IF(AND(links_on,7&lt;=n_per),IF(circ_int,(g_ox)+(c_1/2+(s_0+6*s_r))*-0.239316,CHOOSE(INDEX(lk_kind,7),(g_ox-eq_c1/2)+((s_0+6*s_r))*-0.258819,(eq_a1+eq_c1)+((s_0+6*s_r))*0.991445,eq_a1+eq_c1+(s_0+6*s_r),(eq_a1+eq_c1)+((s_0+6*s_r))*0.130526)),NA())</f>
        <v/>
      </c>
      <c r="CH18">
        <f>IF(AND(links_on,7&lt;=n_per),IF(circ_int,(g_oy)+(c_1/2+(s_0+6*s_r))*0.970942,CHOOSE(INDEX(lk_kind,7),(g_oy+eq_c2/2)+((s_0+6*s_r))*0.965926,(g_oy-eq_c2/2)+((s_0+6*s_r))*-0.130526,0,(eq_a2+eq_c2)+((s_0+6*s_r))*0.991445)),NA())</f>
        <v/>
      </c>
      <c r="CJ18">
        <f>IF(AND(AND(links_on,7&lt;=n_per),INDEX(lk_kind,7)=1,15&lt;INDEX(lk_legs,7)),g_ox+IF(((15+0.5)*(4*IF(circ_int,0,eq_c1/2)+4*IF(circ_int,0,eq_c2/2)+2*PI()*(s_0+6*s_r+IF(circ_int,eq_c1/2,0)))/INDEX(lk_legs,7))&lt;(2*IF(circ_int,0,eq_c2/2)),IF(circ_int,0,eq_c1/2)+(s_0+6*s_r+IF(circ_int,eq_c1/2,0)),IF(((15+0.5)*(4*IF(circ_int,0,eq_c1/2)+4*IF(circ_int,0,eq_c2/2)+2*PI()*(s_0+6*s_r+IF(circ_int,eq_c1/2,0)))/INDEX(lk_legs,7))&lt;((2*IF(circ_int,0,eq_c2/2))+(PI()*(s_0+6*s_r+IF(circ_int,eq_c1/2,0))/2)),IF(circ_int,0,eq_c1/2)+(s_0+6*s_r+IF(circ_int,eq_c1/2,0))*COS((((15+0.5)*(4*IF(circ_int,0,eq_c1/2)+4*IF(circ_int,0,eq_c2/2)+2*PI()*(s_0+6*s_r+IF(circ_int,eq_c1/2,0)))/INDEX(lk_legs,7))-(2*IF(circ_int,0,eq_c2/2)))/(s_0+6*s_r+IF(circ_int,eq_c1/2,0))),IF(((15+0.5)*(4*IF(circ_int,0,eq_c1/2)+4*IF(circ_int,0,eq_c2/2)+2*PI()*(s_0+6*s_r+IF(circ_int,eq_c1/2,0)))/INDEX(lk_legs,7))&lt;(((2*IF(circ_int,0,eq_c2/2))+(PI()*(s_0+6*s_r+IF(circ_int,eq_c1/2,0))/2))+2*IF(circ_int,0,eq_c1/2)),IF(circ_int,0,eq_c1/2)-(((15+0.5)*(4*IF(circ_int,0,eq_c1/2)+4*IF(circ_int,0,eq_c2/2)+2*PI()*(s_0+6*s_r+IF(circ_int,eq_c1/2,0)))/INDEX(lk_legs,7))-((2*IF(circ_int,0,eq_c2/2))+(PI()*(s_0+6*s_r+IF(circ_int,eq_c1/2,0))/2))),IF(((15+0.5)*(4*IF(circ_int,0,eq_c1/2)+4*IF(circ_int,0,eq_c2/2)+2*PI()*(s_0+6*s_r+IF(circ_int,eq_c1/2,0)))/INDEX(lk_legs,7))&lt;((((2*IF(circ_int,0,eq_c2/2))+(PI()*(s_0+6*s_r+IF(circ_int,eq_c1/2,0))/2))+2*IF(circ_int,0,eq_c1/2))+(PI()*(s_0+6*s_r+IF(circ_int,eq_c1/2,0))/2)),-IF(circ_int,0,eq_c1/2)+(s_0+6*s_r+IF(circ_int,eq_c1/2,0))*COS(PI()/2+(((15+0.5)*(4*IF(circ_int,0,eq_c1/2)+4*IF(circ_int,0,eq_c2/2)+2*PI()*(s_0+6*s_r+IF(circ_int,eq_c1/2,0)))/INDEX(lk_legs,7))-(((2*IF(circ_int,0,eq_c2/2))+(PI()*(s_0+6*s_r+IF(circ_int,eq_c1/2,0))/2))+2*IF(circ_int,0,eq_c1/2)))/(s_0+6*s_r+IF(circ_int,eq_c1/2,0))),IF(((15+0.5)*(4*IF(circ_int,0,eq_c1/2)+4*IF(circ_int,0,eq_c2/2)+2*PI()*(s_0+6*s_r+IF(circ_int,eq_c1/2,0)))/INDEX(lk_legs,7))&lt;(((((2*IF(circ_int,0,eq_c2/2))+(PI()*(s_0+6*s_r+IF(circ_int,eq_c1/2,0))/2))+2*IF(circ_int,0,eq_c1/2))+(PI()*(s_0+6*s_r+IF(circ_int,eq_c1/2,0))/2))+2*IF(circ_int,0,eq_c2/2)),-IF(circ_int,0,eq_c1/2)-(s_0+6*s_r+IF(circ_int,eq_c1/2,0)),IF(((15+0.5)*(4*IF(circ_int,0,eq_c1/2)+4*IF(circ_int,0,eq_c2/2)+2*PI()*(s_0+6*s_r+IF(circ_int,eq_c1/2,0)))/INDEX(lk_legs,7))&lt;((((((2*IF(circ_int,0,eq_c2/2))+(PI()*(s_0+6*s_r+IF(circ_int,eq_c1/2,0))/2))+2*IF(circ_int,0,eq_c1/2))+(PI()*(s_0+6*s_r+IF(circ_int,eq_c1/2,0))/2))+2*IF(circ_int,0,eq_c2/2))+(PI()*(s_0+6*s_r+IF(circ_int,eq_c1/2,0))/2)),-IF(circ_int,0,eq_c1/2)+(s_0+6*s_r+IF(circ_int,eq_c1/2,0))*COS(PI()+(((15+0.5)*(4*IF(circ_int,0,eq_c1/2)+4*IF(circ_int,0,eq_c2/2)+2*PI()*(s_0+6*s_r+IF(circ_int,eq_c1/2,0)))/INDEX(lk_legs,7))-(((((2*IF(circ_int,0,eq_c2/2))+(PI()*(s_0+6*s_r+IF(circ_int,eq_c1/2,0))/2))+2*IF(circ_int,0,eq_c1/2))+(PI()*(s_0+6*s_r+IF(circ_int,eq_c1/2,0))/2))+2*IF(circ_int,0,eq_c2/2)))/(s_0+6*s_r+IF(circ_int,eq_c1/2,0))),IF(((15+0.5)*(4*IF(circ_int,0,eq_c1/2)+4*IF(circ_int,0,eq_c2/2)+2*PI()*(s_0+6*s_r+IF(circ_int,eq_c1/2,0)))/INDEX(lk_legs,7))&lt;(((((((2*IF(circ_int,0,eq_c2/2))+(PI()*(s_0+6*s_r+IF(circ_int,eq_c1/2,0))/2))+2*IF(circ_int,0,eq_c1/2))+(PI()*(s_0+6*s_r+IF(circ_int,eq_c1/2,0))/2))+2*IF(circ_int,0,eq_c2/2))+(PI()*(s_0+6*s_r+IF(circ_int,eq_c1/2,0))/2))+2*IF(circ_int,0,eq_c1/2)),-IF(circ_int,0,eq_c1/2)+(((15+0.5)*(4*IF(circ_int,0,eq_c1/2)+4*IF(circ_int,0,eq_c2/2)+2*PI()*(s_0+6*s_r+IF(circ_int,eq_c1/2,0)))/INDEX(lk_legs,7))-((((((2*IF(circ_int,0,eq_c2/2))+(PI()*(s_0+6*s_r+IF(circ_int,eq_c1/2,0))/2))+2*IF(circ_int,0,eq_c1/2))+(PI()*(s_0+6*s_r+IF(circ_int,eq_c1/2,0))/2))+2*IF(circ_int,0,eq_c2/2))+(PI()*(s_0+6*s_r+IF(circ_int,eq_c1/2,0))/2))),IF(circ_int,0,eq_c1/2)+(s_0+6*s_r+IF(circ_int,eq_c1/2,0))*COS(3*PI()/2+(((15+0.5)*(4*IF(circ_int,0,eq_c1/2)+4*IF(circ_int,0,eq_c2/2)+2*PI()*(s_0+6*s_r+IF(circ_int,eq_c1/2,0)))/INDEX(lk_legs,7))-(((((((2*IF(circ_int,0,eq_c2/2))+(PI()*(s_0+6*s_r+IF(circ_int,eq_c1/2,0))/2))+2*IF(circ_int,0,eq_c1/2))+(PI()*(s_0+6*s_r+IF(circ_int,eq_c1/2,0))/2))+2*IF(circ_int,0,eq_c2/2))+(PI()*(s_0+6*s_r+IF(circ_int,eq_c1/2,0))/2))+2*IF(circ_int,0,eq_c1/2)))/(s_0+6*s_r+IF(circ_int,eq_c1/2,0)))))))))),NA())</f>
        <v/>
      </c>
      <c r="CK18">
        <f>IF(AND(AND(links_on,7&lt;=n_per),INDEX(lk_kind,7)=1,15&lt;INDEX(lk_legs,7)),g_oy+IF(((15+0.5)*(4*IF(circ_int,0,eq_c1/2)+4*IF(circ_int,0,eq_c2/2)+2*PI()*(s_0+6*s_r+IF(circ_int,eq_c1/2,0)))/INDEX(lk_legs,7))&lt;(2*IF(circ_int,0,eq_c2/2)),-IF(circ_int,0,eq_c2/2)+((15+0.5)*(4*IF(circ_int,0,eq_c1/2)+4*IF(circ_int,0,eq_c2/2)+2*PI()*(s_0+6*s_r+IF(circ_int,eq_c1/2,0)))/INDEX(lk_legs,7)),IF(((15+0.5)*(4*IF(circ_int,0,eq_c1/2)+4*IF(circ_int,0,eq_c2/2)+2*PI()*(s_0+6*s_r+IF(circ_int,eq_c1/2,0)))/INDEX(lk_legs,7))&lt;((2*IF(circ_int,0,eq_c2/2))+(PI()*(s_0+6*s_r+IF(circ_int,eq_c1/2,0))/2)),IF(circ_int,0,eq_c2/2)+(s_0+6*s_r+IF(circ_int,eq_c1/2,0))*SIN((((15+0.5)*(4*IF(circ_int,0,eq_c1/2)+4*IF(circ_int,0,eq_c2/2)+2*PI()*(s_0+6*s_r+IF(circ_int,eq_c1/2,0)))/INDEX(lk_legs,7))-(2*IF(circ_int,0,eq_c2/2)))/(s_0+6*s_r+IF(circ_int,eq_c1/2,0))),IF(((15+0.5)*(4*IF(circ_int,0,eq_c1/2)+4*IF(circ_int,0,eq_c2/2)+2*PI()*(s_0+6*s_r+IF(circ_int,eq_c1/2,0)))/INDEX(lk_legs,7))&lt;(((2*IF(circ_int,0,eq_c2/2))+(PI()*(s_0+6*s_r+IF(circ_int,eq_c1/2,0))/2))+2*IF(circ_int,0,eq_c1/2)),IF(circ_int,0,eq_c2/2)+(s_0+6*s_r+IF(circ_int,eq_c1/2,0)),IF(((15+0.5)*(4*IF(circ_int,0,eq_c1/2)+4*IF(circ_int,0,eq_c2/2)+2*PI()*(s_0+6*s_r+IF(circ_int,eq_c1/2,0)))/INDEX(lk_legs,7))&lt;((((2*IF(circ_int,0,eq_c2/2))+(PI()*(s_0+6*s_r+IF(circ_int,eq_c1/2,0))/2))+2*IF(circ_int,0,eq_c1/2))+(PI()*(s_0+6*s_r+IF(circ_int,eq_c1/2,0))/2)),IF(circ_int,0,eq_c2/2)+(s_0+6*s_r+IF(circ_int,eq_c1/2,0))*SIN(PI()/2+(((15+0.5)*(4*IF(circ_int,0,eq_c1/2)+4*IF(circ_int,0,eq_c2/2)+2*PI()*(s_0+6*s_r+IF(circ_int,eq_c1/2,0)))/INDEX(lk_legs,7))-(((2*IF(circ_int,0,eq_c2/2))+(PI()*(s_0+6*s_r+IF(circ_int,eq_c1/2,0))/2))+2*IF(circ_int,0,eq_c1/2)))/(s_0+6*s_r+IF(circ_int,eq_c1/2,0))),IF(((15+0.5)*(4*IF(circ_int,0,eq_c1/2)+4*IF(circ_int,0,eq_c2/2)+2*PI()*(s_0+6*s_r+IF(circ_int,eq_c1/2,0)))/INDEX(lk_legs,7))&lt;(((((2*IF(circ_int,0,eq_c2/2))+(PI()*(s_0+6*s_r+IF(circ_int,eq_c1/2,0))/2))+2*IF(circ_int,0,eq_c1/2))+(PI()*(s_0+6*s_r+IF(circ_int,eq_c1/2,0))/2))+2*IF(circ_int,0,eq_c2/2)),IF(circ_int,0,eq_c2/2)-(((15+0.5)*(4*IF(circ_int,0,eq_c1/2)+4*IF(circ_int,0,eq_c2/2)+2*PI()*(s_0+6*s_r+IF(circ_int,eq_c1/2,0)))/INDEX(lk_legs,7))-((((2*IF(circ_int,0,eq_c2/2))+(PI()*(s_0+6*s_r+IF(circ_int,eq_c1/2,0))/2))+2*IF(circ_int,0,eq_c1/2))+(PI()*(s_0+6*s_r+IF(circ_int,eq_c1/2,0))/2))),IF(((15+0.5)*(4*IF(circ_int,0,eq_c1/2)+4*IF(circ_int,0,eq_c2/2)+2*PI()*(s_0+6*s_r+IF(circ_int,eq_c1/2,0)))/INDEX(lk_legs,7))&lt;((((((2*IF(circ_int,0,eq_c2/2))+(PI()*(s_0+6*s_r+IF(circ_int,eq_c1/2,0))/2))+2*IF(circ_int,0,eq_c1/2))+(PI()*(s_0+6*s_r+IF(circ_int,eq_c1/2,0))/2))+2*IF(circ_int,0,eq_c2/2))+(PI()*(s_0+6*s_r+IF(circ_int,eq_c1/2,0))/2)),-IF(circ_int,0,eq_c2/2)+(s_0+6*s_r+IF(circ_int,eq_c1/2,0))*SIN(PI()+(((15+0.5)*(4*IF(circ_int,0,eq_c1/2)+4*IF(circ_int,0,eq_c2/2)+2*PI()*(s_0+6*s_r+IF(circ_int,eq_c1/2,0)))/INDEX(lk_legs,7))-(((((2*IF(circ_int,0,eq_c2/2))+(PI()*(s_0+6*s_r+IF(circ_int,eq_c1/2,0))/2))+2*IF(circ_int,0,eq_c1/2))+(PI()*(s_0+6*s_r+IF(circ_int,eq_c1/2,0))/2))+2*IF(circ_int,0,eq_c2/2)))/(s_0+6*s_r+IF(circ_int,eq_c1/2,0))),IF(((15+0.5)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(15+0.5)*(4*IF(circ_int,0,eq_c1/2)+4*IF(circ_int,0,eq_c2/2)+2*PI()*(s_0+6*s_r+IF(circ_int,eq_c1/2,0)))/INDEX(lk_legs,7))-(((((((2*IF(circ_int,0,eq_c2/2))+(PI()*(s_0+6*s_r+IF(circ_int,eq_c1/2,0))/2))+2*IF(circ_int,0,eq_c1/2))+(PI()*(s_0+6*s_r+IF(circ_int,eq_c1/2,0))/2))+2*IF(circ_int,0,eq_c2/2))+(PI()*(s_0+6*s_r+IF(circ_int,eq_c1/2,0))/2))+2*IF(circ_int,0,eq_c1/2)))/(s_0+6*s_r+IF(circ_int,eq_c1/2,0)))))))))),NA())</f>
        <v/>
      </c>
      <c r="CM18">
        <f>IF(AND(links_on,8&lt;=n_per),IF(circ_int,(g_ox)+(c_1/2+(s_0+7*s_r))*-0.239316,CHOOSE(INDEX(lk_kind,8),(g_ox-eq_c1/2)+((s_0+7*s_r))*-0.258819,(eq_a1+eq_c1)+((s_0+7*s_r))*0.991445,eq_a1+eq_c1+(s_0+7*s_r),(eq_a1+eq_c1)+((s_0+7*s_r))*0.130526)),NA())</f>
        <v/>
      </c>
      <c r="CN18">
        <f>IF(AND(links_on,8&lt;=n_per),IF(circ_int,(g_oy)+(c_1/2+(s_0+7*s_r))*0.970942,CHOOSE(INDEX(lk_kind,8),(g_oy+eq_c2/2)+((s_0+7*s_r))*0.965926,(g_oy-eq_c2/2)+((s_0+7*s_r))*-0.130526,0,(eq_a2+eq_c2)+((s_0+7*s_r))*0.991445)),NA())</f>
        <v/>
      </c>
      <c r="CP18">
        <f>IF(AND(AND(links_on,8&lt;=n_per),INDEX(lk_kind,8)=1,15&lt;INDEX(lk_legs,8)),g_ox+IF(((15+0.5)*(4*IF(circ_int,0,eq_c1/2)+4*IF(circ_int,0,eq_c2/2)+2*PI()*(s_0+7*s_r+IF(circ_int,eq_c1/2,0)))/INDEX(lk_legs,8))&lt;(2*IF(circ_int,0,eq_c2/2)),IF(circ_int,0,eq_c1/2)+(s_0+7*s_r+IF(circ_int,eq_c1/2,0)),IF(((15+0.5)*(4*IF(circ_int,0,eq_c1/2)+4*IF(circ_int,0,eq_c2/2)+2*PI()*(s_0+7*s_r+IF(circ_int,eq_c1/2,0)))/INDEX(lk_legs,8))&lt;((2*IF(circ_int,0,eq_c2/2))+(PI()*(s_0+7*s_r+IF(circ_int,eq_c1/2,0))/2)),IF(circ_int,0,eq_c1/2)+(s_0+7*s_r+IF(circ_int,eq_c1/2,0))*COS((((15+0.5)*(4*IF(circ_int,0,eq_c1/2)+4*IF(circ_int,0,eq_c2/2)+2*PI()*(s_0+7*s_r+IF(circ_int,eq_c1/2,0)))/INDEX(lk_legs,8))-(2*IF(circ_int,0,eq_c2/2)))/(s_0+7*s_r+IF(circ_int,eq_c1/2,0))),IF(((15+0.5)*(4*IF(circ_int,0,eq_c1/2)+4*IF(circ_int,0,eq_c2/2)+2*PI()*(s_0+7*s_r+IF(circ_int,eq_c1/2,0)))/INDEX(lk_legs,8))&lt;(((2*IF(circ_int,0,eq_c2/2))+(PI()*(s_0+7*s_r+IF(circ_int,eq_c1/2,0))/2))+2*IF(circ_int,0,eq_c1/2)),IF(circ_int,0,eq_c1/2)-(((15+0.5)*(4*IF(circ_int,0,eq_c1/2)+4*IF(circ_int,0,eq_c2/2)+2*PI()*(s_0+7*s_r+IF(circ_int,eq_c1/2,0)))/INDEX(lk_legs,8))-((2*IF(circ_int,0,eq_c2/2))+(PI()*(s_0+7*s_r+IF(circ_int,eq_c1/2,0))/2))),IF(((15+0.5)*(4*IF(circ_int,0,eq_c1/2)+4*IF(circ_int,0,eq_c2/2)+2*PI()*(s_0+7*s_r+IF(circ_int,eq_c1/2,0)))/INDEX(lk_legs,8))&lt;((((2*IF(circ_int,0,eq_c2/2))+(PI()*(s_0+7*s_r+IF(circ_int,eq_c1/2,0))/2))+2*IF(circ_int,0,eq_c1/2))+(PI()*(s_0+7*s_r+IF(circ_int,eq_c1/2,0))/2)),-IF(circ_int,0,eq_c1/2)+(s_0+7*s_r+IF(circ_int,eq_c1/2,0))*COS(PI()/2+(((15+0.5)*(4*IF(circ_int,0,eq_c1/2)+4*IF(circ_int,0,eq_c2/2)+2*PI()*(s_0+7*s_r+IF(circ_int,eq_c1/2,0)))/INDEX(lk_legs,8))-(((2*IF(circ_int,0,eq_c2/2))+(PI()*(s_0+7*s_r+IF(circ_int,eq_c1/2,0))/2))+2*IF(circ_int,0,eq_c1/2)))/(s_0+7*s_r+IF(circ_int,eq_c1/2,0))),IF(((15+0.5)*(4*IF(circ_int,0,eq_c1/2)+4*IF(circ_int,0,eq_c2/2)+2*PI()*(s_0+7*s_r+IF(circ_int,eq_c1/2,0)))/INDEX(lk_legs,8))&lt;(((((2*IF(circ_int,0,eq_c2/2))+(PI()*(s_0+7*s_r+IF(circ_int,eq_c1/2,0))/2))+2*IF(circ_int,0,eq_c1/2))+(PI()*(s_0+7*s_r+IF(circ_int,eq_c1/2,0))/2))+2*IF(circ_int,0,eq_c2/2)),-IF(circ_int,0,eq_c1/2)-(s_0+7*s_r+IF(circ_int,eq_c1/2,0)),IF(((15+0.5)*(4*IF(circ_int,0,eq_c1/2)+4*IF(circ_int,0,eq_c2/2)+2*PI()*(s_0+7*s_r+IF(circ_int,eq_c1/2,0)))/INDEX(lk_legs,8))&lt;((((((2*IF(circ_int,0,eq_c2/2))+(PI()*(s_0+7*s_r+IF(circ_int,eq_c1/2,0))/2))+2*IF(circ_int,0,eq_c1/2))+(PI()*(s_0+7*s_r+IF(circ_int,eq_c1/2,0))/2))+2*IF(circ_int,0,eq_c2/2))+(PI()*(s_0+7*s_r+IF(circ_int,eq_c1/2,0))/2)),-IF(circ_int,0,eq_c1/2)+(s_0+7*s_r+IF(circ_int,eq_c1/2,0))*COS(PI()+(((15+0.5)*(4*IF(circ_int,0,eq_c1/2)+4*IF(circ_int,0,eq_c2/2)+2*PI()*(s_0+7*s_r+IF(circ_int,eq_c1/2,0)))/INDEX(lk_legs,8))-(((((2*IF(circ_int,0,eq_c2/2))+(PI()*(s_0+7*s_r+IF(circ_int,eq_c1/2,0))/2))+2*IF(circ_int,0,eq_c1/2))+(PI()*(s_0+7*s_r+IF(circ_int,eq_c1/2,0))/2))+2*IF(circ_int,0,eq_c2/2)))/(s_0+7*s_r+IF(circ_int,eq_c1/2,0))),IF(((15+0.5)*(4*IF(circ_int,0,eq_c1/2)+4*IF(circ_int,0,eq_c2/2)+2*PI()*(s_0+7*s_r+IF(circ_int,eq_c1/2,0)))/INDEX(lk_legs,8))&lt;(((((((2*IF(circ_int,0,eq_c2/2))+(PI()*(s_0+7*s_r+IF(circ_int,eq_c1/2,0))/2))+2*IF(circ_int,0,eq_c1/2))+(PI()*(s_0+7*s_r+IF(circ_int,eq_c1/2,0))/2))+2*IF(circ_int,0,eq_c2/2))+(PI()*(s_0+7*s_r+IF(circ_int,eq_c1/2,0))/2))+2*IF(circ_int,0,eq_c1/2)),-IF(circ_int,0,eq_c1/2)+(((15+0.5)*(4*IF(circ_int,0,eq_c1/2)+4*IF(circ_int,0,eq_c2/2)+2*PI()*(s_0+7*s_r+IF(circ_int,eq_c1/2,0)))/INDEX(lk_legs,8))-((((((2*IF(circ_int,0,eq_c2/2))+(PI()*(s_0+7*s_r+IF(circ_int,eq_c1/2,0))/2))+2*IF(circ_int,0,eq_c1/2))+(PI()*(s_0+7*s_r+IF(circ_int,eq_c1/2,0))/2))+2*IF(circ_int,0,eq_c2/2))+(PI()*(s_0+7*s_r+IF(circ_int,eq_c1/2,0))/2))),IF(circ_int,0,eq_c1/2)+(s_0+7*s_r+IF(circ_int,eq_c1/2,0))*COS(3*PI()/2+(((15+0.5)*(4*IF(circ_int,0,eq_c1/2)+4*IF(circ_int,0,eq_c2/2)+2*PI()*(s_0+7*s_r+IF(circ_int,eq_c1/2,0)))/INDEX(lk_legs,8))-(((((((2*IF(circ_int,0,eq_c2/2))+(PI()*(s_0+7*s_r+IF(circ_int,eq_c1/2,0))/2))+2*IF(circ_int,0,eq_c1/2))+(PI()*(s_0+7*s_r+IF(circ_int,eq_c1/2,0))/2))+2*IF(circ_int,0,eq_c2/2))+(PI()*(s_0+7*s_r+IF(circ_int,eq_c1/2,0))/2))+2*IF(circ_int,0,eq_c1/2)))/(s_0+7*s_r+IF(circ_int,eq_c1/2,0)))))))))),NA())</f>
        <v/>
      </c>
      <c r="CQ18">
        <f>IF(AND(AND(links_on,8&lt;=n_per),INDEX(lk_kind,8)=1,15&lt;INDEX(lk_legs,8)),g_oy+IF(((15+0.5)*(4*IF(circ_int,0,eq_c1/2)+4*IF(circ_int,0,eq_c2/2)+2*PI()*(s_0+7*s_r+IF(circ_int,eq_c1/2,0)))/INDEX(lk_legs,8))&lt;(2*IF(circ_int,0,eq_c2/2)),-IF(circ_int,0,eq_c2/2)+((15+0.5)*(4*IF(circ_int,0,eq_c1/2)+4*IF(circ_int,0,eq_c2/2)+2*PI()*(s_0+7*s_r+IF(circ_int,eq_c1/2,0)))/INDEX(lk_legs,8)),IF(((15+0.5)*(4*IF(circ_int,0,eq_c1/2)+4*IF(circ_int,0,eq_c2/2)+2*PI()*(s_0+7*s_r+IF(circ_int,eq_c1/2,0)))/INDEX(lk_legs,8))&lt;((2*IF(circ_int,0,eq_c2/2))+(PI()*(s_0+7*s_r+IF(circ_int,eq_c1/2,0))/2)),IF(circ_int,0,eq_c2/2)+(s_0+7*s_r+IF(circ_int,eq_c1/2,0))*SIN((((15+0.5)*(4*IF(circ_int,0,eq_c1/2)+4*IF(circ_int,0,eq_c2/2)+2*PI()*(s_0+7*s_r+IF(circ_int,eq_c1/2,0)))/INDEX(lk_legs,8))-(2*IF(circ_int,0,eq_c2/2)))/(s_0+7*s_r+IF(circ_int,eq_c1/2,0))),IF(((15+0.5)*(4*IF(circ_int,0,eq_c1/2)+4*IF(circ_int,0,eq_c2/2)+2*PI()*(s_0+7*s_r+IF(circ_int,eq_c1/2,0)))/INDEX(lk_legs,8))&lt;(((2*IF(circ_int,0,eq_c2/2))+(PI()*(s_0+7*s_r+IF(circ_int,eq_c1/2,0))/2))+2*IF(circ_int,0,eq_c1/2)),IF(circ_int,0,eq_c2/2)+(s_0+7*s_r+IF(circ_int,eq_c1/2,0)),IF(((15+0.5)*(4*IF(circ_int,0,eq_c1/2)+4*IF(circ_int,0,eq_c2/2)+2*PI()*(s_0+7*s_r+IF(circ_int,eq_c1/2,0)))/INDEX(lk_legs,8))&lt;((((2*IF(circ_int,0,eq_c2/2))+(PI()*(s_0+7*s_r+IF(circ_int,eq_c1/2,0))/2))+2*IF(circ_int,0,eq_c1/2))+(PI()*(s_0+7*s_r+IF(circ_int,eq_c1/2,0))/2)),IF(circ_int,0,eq_c2/2)+(s_0+7*s_r+IF(circ_int,eq_c1/2,0))*SIN(PI()/2+(((15+0.5)*(4*IF(circ_int,0,eq_c1/2)+4*IF(circ_int,0,eq_c2/2)+2*PI()*(s_0+7*s_r+IF(circ_int,eq_c1/2,0)))/INDEX(lk_legs,8))-(((2*IF(circ_int,0,eq_c2/2))+(PI()*(s_0+7*s_r+IF(circ_int,eq_c1/2,0))/2))+2*IF(circ_int,0,eq_c1/2)))/(s_0+7*s_r+IF(circ_int,eq_c1/2,0))),IF(((15+0.5)*(4*IF(circ_int,0,eq_c1/2)+4*IF(circ_int,0,eq_c2/2)+2*PI()*(s_0+7*s_r+IF(circ_int,eq_c1/2,0)))/INDEX(lk_legs,8))&lt;(((((2*IF(circ_int,0,eq_c2/2))+(PI()*(s_0+7*s_r+IF(circ_int,eq_c1/2,0))/2))+2*IF(circ_int,0,eq_c1/2))+(PI()*(s_0+7*s_r+IF(circ_int,eq_c1/2,0))/2))+2*IF(circ_int,0,eq_c2/2)),IF(circ_int,0,eq_c2/2)-(((15+0.5)*(4*IF(circ_int,0,eq_c1/2)+4*IF(circ_int,0,eq_c2/2)+2*PI()*(s_0+7*s_r+IF(circ_int,eq_c1/2,0)))/INDEX(lk_legs,8))-((((2*IF(circ_int,0,eq_c2/2))+(PI()*(s_0+7*s_r+IF(circ_int,eq_c1/2,0))/2))+2*IF(circ_int,0,eq_c1/2))+(PI()*(s_0+7*s_r+IF(circ_int,eq_c1/2,0))/2))),IF(((15+0.5)*(4*IF(circ_int,0,eq_c1/2)+4*IF(circ_int,0,eq_c2/2)+2*PI()*(s_0+7*s_r+IF(circ_int,eq_c1/2,0)))/INDEX(lk_legs,8))&lt;((((((2*IF(circ_int,0,eq_c2/2))+(PI()*(s_0+7*s_r+IF(circ_int,eq_c1/2,0))/2))+2*IF(circ_int,0,eq_c1/2))+(PI()*(s_0+7*s_r+IF(circ_int,eq_c1/2,0))/2))+2*IF(circ_int,0,eq_c2/2))+(PI()*(s_0+7*s_r+IF(circ_int,eq_c1/2,0))/2)),-IF(circ_int,0,eq_c2/2)+(s_0+7*s_r+IF(circ_int,eq_c1/2,0))*SIN(PI()+(((15+0.5)*(4*IF(circ_int,0,eq_c1/2)+4*IF(circ_int,0,eq_c2/2)+2*PI()*(s_0+7*s_r+IF(circ_int,eq_c1/2,0)))/INDEX(lk_legs,8))-(((((2*IF(circ_int,0,eq_c2/2))+(PI()*(s_0+7*s_r+IF(circ_int,eq_c1/2,0))/2))+2*IF(circ_int,0,eq_c1/2))+(PI()*(s_0+7*s_r+IF(circ_int,eq_c1/2,0))/2))+2*IF(circ_int,0,eq_c2/2)))/(s_0+7*s_r+IF(circ_int,eq_c1/2,0))),IF(((15+0.5)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(15+0.5)*(4*IF(circ_int,0,eq_c1/2)+4*IF(circ_int,0,eq_c2/2)+2*PI()*(s_0+7*s_r+IF(circ_int,eq_c1/2,0)))/INDEX(lk_legs,8))-(((((((2*IF(circ_int,0,eq_c2/2))+(PI()*(s_0+7*s_r+IF(circ_int,eq_c1/2,0))/2))+2*IF(circ_int,0,eq_c1/2))+(PI()*(s_0+7*s_r+IF(circ_int,eq_c1/2,0))/2))+2*IF(circ_int,0,eq_c2/2))+(PI()*(s_0+7*s_r+IF(circ_int,eq_c1/2,0))/2))+2*IF(circ_int,0,eq_c1/2)))/(s_0+7*s_r+IF(circ_int,eq_c1/2,0)))))))))),NA())</f>
        <v/>
      </c>
      <c r="CS18">
        <f>IF(AND(links_on,9&lt;=n_per),IF(circ_int,(g_ox)+(c_1/2+(s_0+8*s_r))*-0.239316,CHOOSE(INDEX(lk_kind,9),(g_ox-eq_c1/2)+((s_0+8*s_r))*-0.258819,(eq_a1+eq_c1)+((s_0+8*s_r))*0.991445,eq_a1+eq_c1+(s_0+8*s_r),(eq_a1+eq_c1)+((s_0+8*s_r))*0.130526)),NA())</f>
        <v/>
      </c>
      <c r="CT18">
        <f>IF(AND(links_on,9&lt;=n_per),IF(circ_int,(g_oy)+(c_1/2+(s_0+8*s_r))*0.970942,CHOOSE(INDEX(lk_kind,9),(g_oy+eq_c2/2)+((s_0+8*s_r))*0.965926,(g_oy-eq_c2/2)+((s_0+8*s_r))*-0.130526,0,(eq_a2+eq_c2)+((s_0+8*s_r))*0.991445)),NA())</f>
        <v/>
      </c>
      <c r="CV18">
        <f>IF(AND(AND(links_on,9&lt;=n_per),INDEX(lk_kind,9)=1,15&lt;INDEX(lk_legs,9)),g_ox+IF(((15+0.5)*(4*IF(circ_int,0,eq_c1/2)+4*IF(circ_int,0,eq_c2/2)+2*PI()*(s_0+8*s_r+IF(circ_int,eq_c1/2,0)))/INDEX(lk_legs,9))&lt;(2*IF(circ_int,0,eq_c2/2)),IF(circ_int,0,eq_c1/2)+(s_0+8*s_r+IF(circ_int,eq_c1/2,0)),IF(((15+0.5)*(4*IF(circ_int,0,eq_c1/2)+4*IF(circ_int,0,eq_c2/2)+2*PI()*(s_0+8*s_r+IF(circ_int,eq_c1/2,0)))/INDEX(lk_legs,9))&lt;((2*IF(circ_int,0,eq_c2/2))+(PI()*(s_0+8*s_r+IF(circ_int,eq_c1/2,0))/2)),IF(circ_int,0,eq_c1/2)+(s_0+8*s_r+IF(circ_int,eq_c1/2,0))*COS((((15+0.5)*(4*IF(circ_int,0,eq_c1/2)+4*IF(circ_int,0,eq_c2/2)+2*PI()*(s_0+8*s_r+IF(circ_int,eq_c1/2,0)))/INDEX(lk_legs,9))-(2*IF(circ_int,0,eq_c2/2)))/(s_0+8*s_r+IF(circ_int,eq_c1/2,0))),IF(((15+0.5)*(4*IF(circ_int,0,eq_c1/2)+4*IF(circ_int,0,eq_c2/2)+2*PI()*(s_0+8*s_r+IF(circ_int,eq_c1/2,0)))/INDEX(lk_legs,9))&lt;(((2*IF(circ_int,0,eq_c2/2))+(PI()*(s_0+8*s_r+IF(circ_int,eq_c1/2,0))/2))+2*IF(circ_int,0,eq_c1/2)),IF(circ_int,0,eq_c1/2)-(((15+0.5)*(4*IF(circ_int,0,eq_c1/2)+4*IF(circ_int,0,eq_c2/2)+2*PI()*(s_0+8*s_r+IF(circ_int,eq_c1/2,0)))/INDEX(lk_legs,9))-((2*IF(circ_int,0,eq_c2/2))+(PI()*(s_0+8*s_r+IF(circ_int,eq_c1/2,0))/2))),IF(((15+0.5)*(4*IF(circ_int,0,eq_c1/2)+4*IF(circ_int,0,eq_c2/2)+2*PI()*(s_0+8*s_r+IF(circ_int,eq_c1/2,0)))/INDEX(lk_legs,9))&lt;((((2*IF(circ_int,0,eq_c2/2))+(PI()*(s_0+8*s_r+IF(circ_int,eq_c1/2,0))/2))+2*IF(circ_int,0,eq_c1/2))+(PI()*(s_0+8*s_r+IF(circ_int,eq_c1/2,0))/2)),-IF(circ_int,0,eq_c1/2)+(s_0+8*s_r+IF(circ_int,eq_c1/2,0))*COS(PI()/2+(((15+0.5)*(4*IF(circ_int,0,eq_c1/2)+4*IF(circ_int,0,eq_c2/2)+2*PI()*(s_0+8*s_r+IF(circ_int,eq_c1/2,0)))/INDEX(lk_legs,9))-(((2*IF(circ_int,0,eq_c2/2))+(PI()*(s_0+8*s_r+IF(circ_int,eq_c1/2,0))/2))+2*IF(circ_int,0,eq_c1/2)))/(s_0+8*s_r+IF(circ_int,eq_c1/2,0))),IF(((15+0.5)*(4*IF(circ_int,0,eq_c1/2)+4*IF(circ_int,0,eq_c2/2)+2*PI()*(s_0+8*s_r+IF(circ_int,eq_c1/2,0)))/INDEX(lk_legs,9))&lt;(((((2*IF(circ_int,0,eq_c2/2))+(PI()*(s_0+8*s_r+IF(circ_int,eq_c1/2,0))/2))+2*IF(circ_int,0,eq_c1/2))+(PI()*(s_0+8*s_r+IF(circ_int,eq_c1/2,0))/2))+2*IF(circ_int,0,eq_c2/2)),-IF(circ_int,0,eq_c1/2)-(s_0+8*s_r+IF(circ_int,eq_c1/2,0)),IF(((15+0.5)*(4*IF(circ_int,0,eq_c1/2)+4*IF(circ_int,0,eq_c2/2)+2*PI()*(s_0+8*s_r+IF(circ_int,eq_c1/2,0)))/INDEX(lk_legs,9))&lt;((((((2*IF(circ_int,0,eq_c2/2))+(PI()*(s_0+8*s_r+IF(circ_int,eq_c1/2,0))/2))+2*IF(circ_int,0,eq_c1/2))+(PI()*(s_0+8*s_r+IF(circ_int,eq_c1/2,0))/2))+2*IF(circ_int,0,eq_c2/2))+(PI()*(s_0+8*s_r+IF(circ_int,eq_c1/2,0))/2)),-IF(circ_int,0,eq_c1/2)+(s_0+8*s_r+IF(circ_int,eq_c1/2,0))*COS(PI()+(((15+0.5)*(4*IF(circ_int,0,eq_c1/2)+4*IF(circ_int,0,eq_c2/2)+2*PI()*(s_0+8*s_r+IF(circ_int,eq_c1/2,0)))/INDEX(lk_legs,9))-(((((2*IF(circ_int,0,eq_c2/2))+(PI()*(s_0+8*s_r+IF(circ_int,eq_c1/2,0))/2))+2*IF(circ_int,0,eq_c1/2))+(PI()*(s_0+8*s_r+IF(circ_int,eq_c1/2,0))/2))+2*IF(circ_int,0,eq_c2/2)))/(s_0+8*s_r+IF(circ_int,eq_c1/2,0))),IF(((15+0.5)*(4*IF(circ_int,0,eq_c1/2)+4*IF(circ_int,0,eq_c2/2)+2*PI()*(s_0+8*s_r+IF(circ_int,eq_c1/2,0)))/INDEX(lk_legs,9))&lt;(((((((2*IF(circ_int,0,eq_c2/2))+(PI()*(s_0+8*s_r+IF(circ_int,eq_c1/2,0))/2))+2*IF(circ_int,0,eq_c1/2))+(PI()*(s_0+8*s_r+IF(circ_int,eq_c1/2,0))/2))+2*IF(circ_int,0,eq_c2/2))+(PI()*(s_0+8*s_r+IF(circ_int,eq_c1/2,0))/2))+2*IF(circ_int,0,eq_c1/2)),-IF(circ_int,0,eq_c1/2)+(((15+0.5)*(4*IF(circ_int,0,eq_c1/2)+4*IF(circ_int,0,eq_c2/2)+2*PI()*(s_0+8*s_r+IF(circ_int,eq_c1/2,0)))/INDEX(lk_legs,9))-((((((2*IF(circ_int,0,eq_c2/2))+(PI()*(s_0+8*s_r+IF(circ_int,eq_c1/2,0))/2))+2*IF(circ_int,0,eq_c1/2))+(PI()*(s_0+8*s_r+IF(circ_int,eq_c1/2,0))/2))+2*IF(circ_int,0,eq_c2/2))+(PI()*(s_0+8*s_r+IF(circ_int,eq_c1/2,0))/2))),IF(circ_int,0,eq_c1/2)+(s_0+8*s_r+IF(circ_int,eq_c1/2,0))*COS(3*PI()/2+(((15+0.5)*(4*IF(circ_int,0,eq_c1/2)+4*IF(circ_int,0,eq_c2/2)+2*PI()*(s_0+8*s_r+IF(circ_int,eq_c1/2,0)))/INDEX(lk_legs,9))-(((((((2*IF(circ_int,0,eq_c2/2))+(PI()*(s_0+8*s_r+IF(circ_int,eq_c1/2,0))/2))+2*IF(circ_int,0,eq_c1/2))+(PI()*(s_0+8*s_r+IF(circ_int,eq_c1/2,0))/2))+2*IF(circ_int,0,eq_c2/2))+(PI()*(s_0+8*s_r+IF(circ_int,eq_c1/2,0))/2))+2*IF(circ_int,0,eq_c1/2)))/(s_0+8*s_r+IF(circ_int,eq_c1/2,0)))))))))),NA())</f>
        <v/>
      </c>
      <c r="CW18">
        <f>IF(AND(AND(links_on,9&lt;=n_per),INDEX(lk_kind,9)=1,15&lt;INDEX(lk_legs,9)),g_oy+IF(((15+0.5)*(4*IF(circ_int,0,eq_c1/2)+4*IF(circ_int,0,eq_c2/2)+2*PI()*(s_0+8*s_r+IF(circ_int,eq_c1/2,0)))/INDEX(lk_legs,9))&lt;(2*IF(circ_int,0,eq_c2/2)),-IF(circ_int,0,eq_c2/2)+((15+0.5)*(4*IF(circ_int,0,eq_c1/2)+4*IF(circ_int,0,eq_c2/2)+2*PI()*(s_0+8*s_r+IF(circ_int,eq_c1/2,0)))/INDEX(lk_legs,9)),IF(((15+0.5)*(4*IF(circ_int,0,eq_c1/2)+4*IF(circ_int,0,eq_c2/2)+2*PI()*(s_0+8*s_r+IF(circ_int,eq_c1/2,0)))/INDEX(lk_legs,9))&lt;((2*IF(circ_int,0,eq_c2/2))+(PI()*(s_0+8*s_r+IF(circ_int,eq_c1/2,0))/2)),IF(circ_int,0,eq_c2/2)+(s_0+8*s_r+IF(circ_int,eq_c1/2,0))*SIN((((15+0.5)*(4*IF(circ_int,0,eq_c1/2)+4*IF(circ_int,0,eq_c2/2)+2*PI()*(s_0+8*s_r+IF(circ_int,eq_c1/2,0)))/INDEX(lk_legs,9))-(2*IF(circ_int,0,eq_c2/2)))/(s_0+8*s_r+IF(circ_int,eq_c1/2,0))),IF(((15+0.5)*(4*IF(circ_int,0,eq_c1/2)+4*IF(circ_int,0,eq_c2/2)+2*PI()*(s_0+8*s_r+IF(circ_int,eq_c1/2,0)))/INDEX(lk_legs,9))&lt;(((2*IF(circ_int,0,eq_c2/2))+(PI()*(s_0+8*s_r+IF(circ_int,eq_c1/2,0))/2))+2*IF(circ_int,0,eq_c1/2)),IF(circ_int,0,eq_c2/2)+(s_0+8*s_r+IF(circ_int,eq_c1/2,0)),IF(((15+0.5)*(4*IF(circ_int,0,eq_c1/2)+4*IF(circ_int,0,eq_c2/2)+2*PI()*(s_0+8*s_r+IF(circ_int,eq_c1/2,0)))/INDEX(lk_legs,9))&lt;((((2*IF(circ_int,0,eq_c2/2))+(PI()*(s_0+8*s_r+IF(circ_int,eq_c1/2,0))/2))+2*IF(circ_int,0,eq_c1/2))+(PI()*(s_0+8*s_r+IF(circ_int,eq_c1/2,0))/2)),IF(circ_int,0,eq_c2/2)+(s_0+8*s_r+IF(circ_int,eq_c1/2,0))*SIN(PI()/2+(((15+0.5)*(4*IF(circ_int,0,eq_c1/2)+4*IF(circ_int,0,eq_c2/2)+2*PI()*(s_0+8*s_r+IF(circ_int,eq_c1/2,0)))/INDEX(lk_legs,9))-(((2*IF(circ_int,0,eq_c2/2))+(PI()*(s_0+8*s_r+IF(circ_int,eq_c1/2,0))/2))+2*IF(circ_int,0,eq_c1/2)))/(s_0+8*s_r+IF(circ_int,eq_c1/2,0))),IF(((15+0.5)*(4*IF(circ_int,0,eq_c1/2)+4*IF(circ_int,0,eq_c2/2)+2*PI()*(s_0+8*s_r+IF(circ_int,eq_c1/2,0)))/INDEX(lk_legs,9))&lt;(((((2*IF(circ_int,0,eq_c2/2))+(PI()*(s_0+8*s_r+IF(circ_int,eq_c1/2,0))/2))+2*IF(circ_int,0,eq_c1/2))+(PI()*(s_0+8*s_r+IF(circ_int,eq_c1/2,0))/2))+2*IF(circ_int,0,eq_c2/2)),IF(circ_int,0,eq_c2/2)-(((15+0.5)*(4*IF(circ_int,0,eq_c1/2)+4*IF(circ_int,0,eq_c2/2)+2*PI()*(s_0+8*s_r+IF(circ_int,eq_c1/2,0)))/INDEX(lk_legs,9))-((((2*IF(circ_int,0,eq_c2/2))+(PI()*(s_0+8*s_r+IF(circ_int,eq_c1/2,0))/2))+2*IF(circ_int,0,eq_c1/2))+(PI()*(s_0+8*s_r+IF(circ_int,eq_c1/2,0))/2))),IF(((15+0.5)*(4*IF(circ_int,0,eq_c1/2)+4*IF(circ_int,0,eq_c2/2)+2*PI()*(s_0+8*s_r+IF(circ_int,eq_c1/2,0)))/INDEX(lk_legs,9))&lt;((((((2*IF(circ_int,0,eq_c2/2))+(PI()*(s_0+8*s_r+IF(circ_int,eq_c1/2,0))/2))+2*IF(circ_int,0,eq_c1/2))+(PI()*(s_0+8*s_r+IF(circ_int,eq_c1/2,0))/2))+2*IF(circ_int,0,eq_c2/2))+(PI()*(s_0+8*s_r+IF(circ_int,eq_c1/2,0))/2)),-IF(circ_int,0,eq_c2/2)+(s_0+8*s_r+IF(circ_int,eq_c1/2,0))*SIN(PI()+(((15+0.5)*(4*IF(circ_int,0,eq_c1/2)+4*IF(circ_int,0,eq_c2/2)+2*PI()*(s_0+8*s_r+IF(circ_int,eq_c1/2,0)))/INDEX(lk_legs,9))-(((((2*IF(circ_int,0,eq_c2/2))+(PI()*(s_0+8*s_r+IF(circ_int,eq_c1/2,0))/2))+2*IF(circ_int,0,eq_c1/2))+(PI()*(s_0+8*s_r+IF(circ_int,eq_c1/2,0))/2))+2*IF(circ_int,0,eq_c2/2)))/(s_0+8*s_r+IF(circ_int,eq_c1/2,0))),IF(((15+0.5)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(15+0.5)*(4*IF(circ_int,0,eq_c1/2)+4*IF(circ_int,0,eq_c2/2)+2*PI()*(s_0+8*s_r+IF(circ_int,eq_c1/2,0)))/INDEX(lk_legs,9))-(((((((2*IF(circ_int,0,eq_c2/2))+(PI()*(s_0+8*s_r+IF(circ_int,eq_c1/2,0))/2))+2*IF(circ_int,0,eq_c1/2))+(PI()*(s_0+8*s_r+IF(circ_int,eq_c1/2,0))/2))+2*IF(circ_int,0,eq_c2/2))+(PI()*(s_0+8*s_r+IF(circ_int,eq_c1/2,0))/2))+2*IF(circ_int,0,eq_c1/2)))/(s_0+8*s_r+IF(circ_int,eq_c1/2,0)))))))))),NA())</f>
        <v/>
      </c>
      <c r="CY18">
        <f>IF(AND(links_on,10&lt;=n_per),IF(circ_int,(g_ox)+(c_1/2+(s_0+9*s_r))*-0.239316,CHOOSE(INDEX(lk_kind,10),(g_ox-eq_c1/2)+((s_0+9*s_r))*-0.258819,(eq_a1+eq_c1)+((s_0+9*s_r))*0.991445,eq_a1+eq_c1+(s_0+9*s_r),(eq_a1+eq_c1)+((s_0+9*s_r))*0.130526)),NA())</f>
        <v/>
      </c>
      <c r="CZ18">
        <f>IF(AND(links_on,10&lt;=n_per),IF(circ_int,(g_oy)+(c_1/2+(s_0+9*s_r))*0.970942,CHOOSE(INDEX(lk_kind,10),(g_oy+eq_c2/2)+((s_0+9*s_r))*0.965926,(g_oy-eq_c2/2)+((s_0+9*s_r))*-0.130526,0,(eq_a2+eq_c2)+((s_0+9*s_r))*0.991445)),NA())</f>
        <v/>
      </c>
      <c r="DB18">
        <f>IF(AND(AND(links_on,10&lt;=n_per),INDEX(lk_kind,10)=1,15&lt;INDEX(lk_legs,10)),g_ox+IF(((15+0.5)*(4*IF(circ_int,0,eq_c1/2)+4*IF(circ_int,0,eq_c2/2)+2*PI()*(s_0+9*s_r+IF(circ_int,eq_c1/2,0)))/INDEX(lk_legs,10))&lt;(2*IF(circ_int,0,eq_c2/2)),IF(circ_int,0,eq_c1/2)+(s_0+9*s_r+IF(circ_int,eq_c1/2,0)),IF(((15+0.5)*(4*IF(circ_int,0,eq_c1/2)+4*IF(circ_int,0,eq_c2/2)+2*PI()*(s_0+9*s_r+IF(circ_int,eq_c1/2,0)))/INDEX(lk_legs,10))&lt;((2*IF(circ_int,0,eq_c2/2))+(PI()*(s_0+9*s_r+IF(circ_int,eq_c1/2,0))/2)),IF(circ_int,0,eq_c1/2)+(s_0+9*s_r+IF(circ_int,eq_c1/2,0))*COS((((15+0.5)*(4*IF(circ_int,0,eq_c1/2)+4*IF(circ_int,0,eq_c2/2)+2*PI()*(s_0+9*s_r+IF(circ_int,eq_c1/2,0)))/INDEX(lk_legs,10))-(2*IF(circ_int,0,eq_c2/2)))/(s_0+9*s_r+IF(circ_int,eq_c1/2,0))),IF(((15+0.5)*(4*IF(circ_int,0,eq_c1/2)+4*IF(circ_int,0,eq_c2/2)+2*PI()*(s_0+9*s_r+IF(circ_int,eq_c1/2,0)))/INDEX(lk_legs,10))&lt;(((2*IF(circ_int,0,eq_c2/2))+(PI()*(s_0+9*s_r+IF(circ_int,eq_c1/2,0))/2))+2*IF(circ_int,0,eq_c1/2)),IF(circ_int,0,eq_c1/2)-(((15+0.5)*(4*IF(circ_int,0,eq_c1/2)+4*IF(circ_int,0,eq_c2/2)+2*PI()*(s_0+9*s_r+IF(circ_int,eq_c1/2,0)))/INDEX(lk_legs,10))-((2*IF(circ_int,0,eq_c2/2))+(PI()*(s_0+9*s_r+IF(circ_int,eq_c1/2,0))/2))),IF(((15+0.5)*(4*IF(circ_int,0,eq_c1/2)+4*IF(circ_int,0,eq_c2/2)+2*PI()*(s_0+9*s_r+IF(circ_int,eq_c1/2,0)))/INDEX(lk_legs,10))&lt;((((2*IF(circ_int,0,eq_c2/2))+(PI()*(s_0+9*s_r+IF(circ_int,eq_c1/2,0))/2))+2*IF(circ_int,0,eq_c1/2))+(PI()*(s_0+9*s_r+IF(circ_int,eq_c1/2,0))/2)),-IF(circ_int,0,eq_c1/2)+(s_0+9*s_r+IF(circ_int,eq_c1/2,0))*COS(PI()/2+(((15+0.5)*(4*IF(circ_int,0,eq_c1/2)+4*IF(circ_int,0,eq_c2/2)+2*PI()*(s_0+9*s_r+IF(circ_int,eq_c1/2,0)))/INDEX(lk_legs,10))-(((2*IF(circ_int,0,eq_c2/2))+(PI()*(s_0+9*s_r+IF(circ_int,eq_c1/2,0))/2))+2*IF(circ_int,0,eq_c1/2)))/(s_0+9*s_r+IF(circ_int,eq_c1/2,0))),IF(((15+0.5)*(4*IF(circ_int,0,eq_c1/2)+4*IF(circ_int,0,eq_c2/2)+2*PI()*(s_0+9*s_r+IF(circ_int,eq_c1/2,0)))/INDEX(lk_legs,10))&lt;(((((2*IF(circ_int,0,eq_c2/2))+(PI()*(s_0+9*s_r+IF(circ_int,eq_c1/2,0))/2))+2*IF(circ_int,0,eq_c1/2))+(PI()*(s_0+9*s_r+IF(circ_int,eq_c1/2,0))/2))+2*IF(circ_int,0,eq_c2/2)),-IF(circ_int,0,eq_c1/2)-(s_0+9*s_r+IF(circ_int,eq_c1/2,0)),IF(((15+0.5)*(4*IF(circ_int,0,eq_c1/2)+4*IF(circ_int,0,eq_c2/2)+2*PI()*(s_0+9*s_r+IF(circ_int,eq_c1/2,0)))/INDEX(lk_legs,10))&lt;((((((2*IF(circ_int,0,eq_c2/2))+(PI()*(s_0+9*s_r+IF(circ_int,eq_c1/2,0))/2))+2*IF(circ_int,0,eq_c1/2))+(PI()*(s_0+9*s_r+IF(circ_int,eq_c1/2,0))/2))+2*IF(circ_int,0,eq_c2/2))+(PI()*(s_0+9*s_r+IF(circ_int,eq_c1/2,0))/2)),-IF(circ_int,0,eq_c1/2)+(s_0+9*s_r+IF(circ_int,eq_c1/2,0))*COS(PI()+(((15+0.5)*(4*IF(circ_int,0,eq_c1/2)+4*IF(circ_int,0,eq_c2/2)+2*PI()*(s_0+9*s_r+IF(circ_int,eq_c1/2,0)))/INDEX(lk_legs,10))-(((((2*IF(circ_int,0,eq_c2/2))+(PI()*(s_0+9*s_r+IF(circ_int,eq_c1/2,0))/2))+2*IF(circ_int,0,eq_c1/2))+(PI()*(s_0+9*s_r+IF(circ_int,eq_c1/2,0))/2))+2*IF(circ_int,0,eq_c2/2)))/(s_0+9*s_r+IF(circ_int,eq_c1/2,0))),IF(((15+0.5)*(4*IF(circ_int,0,eq_c1/2)+4*IF(circ_int,0,eq_c2/2)+2*PI()*(s_0+9*s_r+IF(circ_int,eq_c1/2,0)))/INDEX(lk_legs,10))&lt;(((((((2*IF(circ_int,0,eq_c2/2))+(PI()*(s_0+9*s_r+IF(circ_int,eq_c1/2,0))/2))+2*IF(circ_int,0,eq_c1/2))+(PI()*(s_0+9*s_r+IF(circ_int,eq_c1/2,0))/2))+2*IF(circ_int,0,eq_c2/2))+(PI()*(s_0+9*s_r+IF(circ_int,eq_c1/2,0))/2))+2*IF(circ_int,0,eq_c1/2)),-IF(circ_int,0,eq_c1/2)+(((15+0.5)*(4*IF(circ_int,0,eq_c1/2)+4*IF(circ_int,0,eq_c2/2)+2*PI()*(s_0+9*s_r+IF(circ_int,eq_c1/2,0)))/INDEX(lk_legs,10))-((((((2*IF(circ_int,0,eq_c2/2))+(PI()*(s_0+9*s_r+IF(circ_int,eq_c1/2,0))/2))+2*IF(circ_int,0,eq_c1/2))+(PI()*(s_0+9*s_r+IF(circ_int,eq_c1/2,0))/2))+2*IF(circ_int,0,eq_c2/2))+(PI()*(s_0+9*s_r+IF(circ_int,eq_c1/2,0))/2))),IF(circ_int,0,eq_c1/2)+(s_0+9*s_r+IF(circ_int,eq_c1/2,0))*COS(3*PI()/2+(((15+0.5)*(4*IF(circ_int,0,eq_c1/2)+4*IF(circ_int,0,eq_c2/2)+2*PI()*(s_0+9*s_r+IF(circ_int,eq_c1/2,0)))/INDEX(lk_legs,10))-(((((((2*IF(circ_int,0,eq_c2/2))+(PI()*(s_0+9*s_r+IF(circ_int,eq_c1/2,0))/2))+2*IF(circ_int,0,eq_c1/2))+(PI()*(s_0+9*s_r+IF(circ_int,eq_c1/2,0))/2))+2*IF(circ_int,0,eq_c2/2))+(PI()*(s_0+9*s_r+IF(circ_int,eq_c1/2,0))/2))+2*IF(circ_int,0,eq_c1/2)))/(s_0+9*s_r+IF(circ_int,eq_c1/2,0)))))))))),NA())</f>
        <v/>
      </c>
      <c r="DC18">
        <f>IF(AND(AND(links_on,10&lt;=n_per),INDEX(lk_kind,10)=1,15&lt;INDEX(lk_legs,10)),g_oy+IF(((15+0.5)*(4*IF(circ_int,0,eq_c1/2)+4*IF(circ_int,0,eq_c2/2)+2*PI()*(s_0+9*s_r+IF(circ_int,eq_c1/2,0)))/INDEX(lk_legs,10))&lt;(2*IF(circ_int,0,eq_c2/2)),-IF(circ_int,0,eq_c2/2)+((15+0.5)*(4*IF(circ_int,0,eq_c1/2)+4*IF(circ_int,0,eq_c2/2)+2*PI()*(s_0+9*s_r+IF(circ_int,eq_c1/2,0)))/INDEX(lk_legs,10)),IF(((15+0.5)*(4*IF(circ_int,0,eq_c1/2)+4*IF(circ_int,0,eq_c2/2)+2*PI()*(s_0+9*s_r+IF(circ_int,eq_c1/2,0)))/INDEX(lk_legs,10))&lt;((2*IF(circ_int,0,eq_c2/2))+(PI()*(s_0+9*s_r+IF(circ_int,eq_c1/2,0))/2)),IF(circ_int,0,eq_c2/2)+(s_0+9*s_r+IF(circ_int,eq_c1/2,0))*SIN((((15+0.5)*(4*IF(circ_int,0,eq_c1/2)+4*IF(circ_int,0,eq_c2/2)+2*PI()*(s_0+9*s_r+IF(circ_int,eq_c1/2,0)))/INDEX(lk_legs,10))-(2*IF(circ_int,0,eq_c2/2)))/(s_0+9*s_r+IF(circ_int,eq_c1/2,0))),IF(((15+0.5)*(4*IF(circ_int,0,eq_c1/2)+4*IF(circ_int,0,eq_c2/2)+2*PI()*(s_0+9*s_r+IF(circ_int,eq_c1/2,0)))/INDEX(lk_legs,10))&lt;(((2*IF(circ_int,0,eq_c2/2))+(PI()*(s_0+9*s_r+IF(circ_int,eq_c1/2,0))/2))+2*IF(circ_int,0,eq_c1/2)),IF(circ_int,0,eq_c2/2)+(s_0+9*s_r+IF(circ_int,eq_c1/2,0)),IF(((15+0.5)*(4*IF(circ_int,0,eq_c1/2)+4*IF(circ_int,0,eq_c2/2)+2*PI()*(s_0+9*s_r+IF(circ_int,eq_c1/2,0)))/INDEX(lk_legs,10))&lt;((((2*IF(circ_int,0,eq_c2/2))+(PI()*(s_0+9*s_r+IF(circ_int,eq_c1/2,0))/2))+2*IF(circ_int,0,eq_c1/2))+(PI()*(s_0+9*s_r+IF(circ_int,eq_c1/2,0))/2)),IF(circ_int,0,eq_c2/2)+(s_0+9*s_r+IF(circ_int,eq_c1/2,0))*SIN(PI()/2+(((15+0.5)*(4*IF(circ_int,0,eq_c1/2)+4*IF(circ_int,0,eq_c2/2)+2*PI()*(s_0+9*s_r+IF(circ_int,eq_c1/2,0)))/INDEX(lk_legs,10))-(((2*IF(circ_int,0,eq_c2/2))+(PI()*(s_0+9*s_r+IF(circ_int,eq_c1/2,0))/2))+2*IF(circ_int,0,eq_c1/2)))/(s_0+9*s_r+IF(circ_int,eq_c1/2,0))),IF(((15+0.5)*(4*IF(circ_int,0,eq_c1/2)+4*IF(circ_int,0,eq_c2/2)+2*PI()*(s_0+9*s_r+IF(circ_int,eq_c1/2,0)))/INDEX(lk_legs,10))&lt;(((((2*IF(circ_int,0,eq_c2/2))+(PI()*(s_0+9*s_r+IF(circ_int,eq_c1/2,0))/2))+2*IF(circ_int,0,eq_c1/2))+(PI()*(s_0+9*s_r+IF(circ_int,eq_c1/2,0))/2))+2*IF(circ_int,0,eq_c2/2)),IF(circ_int,0,eq_c2/2)-(((15+0.5)*(4*IF(circ_int,0,eq_c1/2)+4*IF(circ_int,0,eq_c2/2)+2*PI()*(s_0+9*s_r+IF(circ_int,eq_c1/2,0)))/INDEX(lk_legs,10))-((((2*IF(circ_int,0,eq_c2/2))+(PI()*(s_0+9*s_r+IF(circ_int,eq_c1/2,0))/2))+2*IF(circ_int,0,eq_c1/2))+(PI()*(s_0+9*s_r+IF(circ_int,eq_c1/2,0))/2))),IF(((15+0.5)*(4*IF(circ_int,0,eq_c1/2)+4*IF(circ_int,0,eq_c2/2)+2*PI()*(s_0+9*s_r+IF(circ_int,eq_c1/2,0)))/INDEX(lk_legs,10))&lt;((((((2*IF(circ_int,0,eq_c2/2))+(PI()*(s_0+9*s_r+IF(circ_int,eq_c1/2,0))/2))+2*IF(circ_int,0,eq_c1/2))+(PI()*(s_0+9*s_r+IF(circ_int,eq_c1/2,0))/2))+2*IF(circ_int,0,eq_c2/2))+(PI()*(s_0+9*s_r+IF(circ_int,eq_c1/2,0))/2)),-IF(circ_int,0,eq_c2/2)+(s_0+9*s_r+IF(circ_int,eq_c1/2,0))*SIN(PI()+(((15+0.5)*(4*IF(circ_int,0,eq_c1/2)+4*IF(circ_int,0,eq_c2/2)+2*PI()*(s_0+9*s_r+IF(circ_int,eq_c1/2,0)))/INDEX(lk_legs,10))-(((((2*IF(circ_int,0,eq_c2/2))+(PI()*(s_0+9*s_r+IF(circ_int,eq_c1/2,0))/2))+2*IF(circ_int,0,eq_c1/2))+(PI()*(s_0+9*s_r+IF(circ_int,eq_c1/2,0))/2))+2*IF(circ_int,0,eq_c2/2)))/(s_0+9*s_r+IF(circ_int,eq_c1/2,0))),IF(((15+0.5)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(15+0.5)*(4*IF(circ_int,0,eq_c1/2)+4*IF(circ_int,0,eq_c2/2)+2*PI()*(s_0+9*s_r+IF(circ_int,eq_c1/2,0)))/INDEX(lk_legs,10))-(((((((2*IF(circ_int,0,eq_c2/2))+(PI()*(s_0+9*s_r+IF(circ_int,eq_c1/2,0))/2))+2*IF(circ_int,0,eq_c1/2))+(PI()*(s_0+9*s_r+IF(circ_int,eq_c1/2,0))/2))+2*IF(circ_int,0,eq_c2/2))+(PI()*(s_0+9*s_r+IF(circ_int,eq_c1/2,0))/2))+2*IF(circ_int,0,eq_c1/2)))/(s_0+9*s_r+IF(circ_int,eq_c1/2,0)))))))))),NA())</f>
        <v/>
      </c>
      <c r="DE18">
        <f>IF(AND(links_on,11&lt;=n_per),IF(circ_int,(g_ox)+(c_1/2+(s_0+10*s_r))*-0.239316,CHOOSE(INDEX(lk_kind,11),(g_ox-eq_c1/2)+((s_0+10*s_r))*-0.258819,(eq_a1+eq_c1)+((s_0+10*s_r))*0.991445,eq_a1+eq_c1+(s_0+10*s_r),(eq_a1+eq_c1)+((s_0+10*s_r))*0.130526)),NA())</f>
        <v/>
      </c>
      <c r="DF18">
        <f>IF(AND(links_on,11&lt;=n_per),IF(circ_int,(g_oy)+(c_1/2+(s_0+10*s_r))*0.970942,CHOOSE(INDEX(lk_kind,11),(g_oy+eq_c2/2)+((s_0+10*s_r))*0.965926,(g_oy-eq_c2/2)+((s_0+10*s_r))*-0.130526,0,(eq_a2+eq_c2)+((s_0+10*s_r))*0.991445)),NA())</f>
        <v/>
      </c>
      <c r="DH18">
        <f>IF(AND(AND(links_on,11&lt;=n_per),INDEX(lk_kind,11)=1,15&lt;INDEX(lk_legs,11)),g_ox+IF(((15+0.5)*(4*IF(circ_int,0,eq_c1/2)+4*IF(circ_int,0,eq_c2/2)+2*PI()*(s_0+10*s_r+IF(circ_int,eq_c1/2,0)))/INDEX(lk_legs,11))&lt;(2*IF(circ_int,0,eq_c2/2)),IF(circ_int,0,eq_c1/2)+(s_0+10*s_r+IF(circ_int,eq_c1/2,0)),IF(((15+0.5)*(4*IF(circ_int,0,eq_c1/2)+4*IF(circ_int,0,eq_c2/2)+2*PI()*(s_0+10*s_r+IF(circ_int,eq_c1/2,0)))/INDEX(lk_legs,11))&lt;((2*IF(circ_int,0,eq_c2/2))+(PI()*(s_0+10*s_r+IF(circ_int,eq_c1/2,0))/2)),IF(circ_int,0,eq_c1/2)+(s_0+10*s_r+IF(circ_int,eq_c1/2,0))*COS((((15+0.5)*(4*IF(circ_int,0,eq_c1/2)+4*IF(circ_int,0,eq_c2/2)+2*PI()*(s_0+10*s_r+IF(circ_int,eq_c1/2,0)))/INDEX(lk_legs,11))-(2*IF(circ_int,0,eq_c2/2)))/(s_0+10*s_r+IF(circ_int,eq_c1/2,0))),IF(((15+0.5)*(4*IF(circ_int,0,eq_c1/2)+4*IF(circ_int,0,eq_c2/2)+2*PI()*(s_0+10*s_r+IF(circ_int,eq_c1/2,0)))/INDEX(lk_legs,11))&lt;(((2*IF(circ_int,0,eq_c2/2))+(PI()*(s_0+10*s_r+IF(circ_int,eq_c1/2,0))/2))+2*IF(circ_int,0,eq_c1/2)),IF(circ_int,0,eq_c1/2)-(((15+0.5)*(4*IF(circ_int,0,eq_c1/2)+4*IF(circ_int,0,eq_c2/2)+2*PI()*(s_0+10*s_r+IF(circ_int,eq_c1/2,0)))/INDEX(lk_legs,11))-((2*IF(circ_int,0,eq_c2/2))+(PI()*(s_0+10*s_r+IF(circ_int,eq_c1/2,0))/2))),IF(((15+0.5)*(4*IF(circ_int,0,eq_c1/2)+4*IF(circ_int,0,eq_c2/2)+2*PI()*(s_0+10*s_r+IF(circ_int,eq_c1/2,0)))/INDEX(lk_legs,11))&lt;((((2*IF(circ_int,0,eq_c2/2))+(PI()*(s_0+10*s_r+IF(circ_int,eq_c1/2,0))/2))+2*IF(circ_int,0,eq_c1/2))+(PI()*(s_0+10*s_r+IF(circ_int,eq_c1/2,0))/2)),-IF(circ_int,0,eq_c1/2)+(s_0+10*s_r+IF(circ_int,eq_c1/2,0))*COS(PI()/2+(((15+0.5)*(4*IF(circ_int,0,eq_c1/2)+4*IF(circ_int,0,eq_c2/2)+2*PI()*(s_0+10*s_r+IF(circ_int,eq_c1/2,0)))/INDEX(lk_legs,11))-(((2*IF(circ_int,0,eq_c2/2))+(PI()*(s_0+10*s_r+IF(circ_int,eq_c1/2,0))/2))+2*IF(circ_int,0,eq_c1/2)))/(s_0+10*s_r+IF(circ_int,eq_c1/2,0))),IF(((15+0.5)*(4*IF(circ_int,0,eq_c1/2)+4*IF(circ_int,0,eq_c2/2)+2*PI()*(s_0+10*s_r+IF(circ_int,eq_c1/2,0)))/INDEX(lk_legs,11))&lt;(((((2*IF(circ_int,0,eq_c2/2))+(PI()*(s_0+10*s_r+IF(circ_int,eq_c1/2,0))/2))+2*IF(circ_int,0,eq_c1/2))+(PI()*(s_0+10*s_r+IF(circ_int,eq_c1/2,0))/2))+2*IF(circ_int,0,eq_c2/2)),-IF(circ_int,0,eq_c1/2)-(s_0+10*s_r+IF(circ_int,eq_c1/2,0)),IF(((15+0.5)*(4*IF(circ_int,0,eq_c1/2)+4*IF(circ_int,0,eq_c2/2)+2*PI()*(s_0+10*s_r+IF(circ_int,eq_c1/2,0)))/INDEX(lk_legs,11))&lt;((((((2*IF(circ_int,0,eq_c2/2))+(PI()*(s_0+10*s_r+IF(circ_int,eq_c1/2,0))/2))+2*IF(circ_int,0,eq_c1/2))+(PI()*(s_0+10*s_r+IF(circ_int,eq_c1/2,0))/2))+2*IF(circ_int,0,eq_c2/2))+(PI()*(s_0+10*s_r+IF(circ_int,eq_c1/2,0))/2)),-IF(circ_int,0,eq_c1/2)+(s_0+10*s_r+IF(circ_int,eq_c1/2,0))*COS(PI()+(((15+0.5)*(4*IF(circ_int,0,eq_c1/2)+4*IF(circ_int,0,eq_c2/2)+2*PI()*(s_0+10*s_r+IF(circ_int,eq_c1/2,0)))/INDEX(lk_legs,11))-(((((2*IF(circ_int,0,eq_c2/2))+(PI()*(s_0+10*s_r+IF(circ_int,eq_c1/2,0))/2))+2*IF(circ_int,0,eq_c1/2))+(PI()*(s_0+10*s_r+IF(circ_int,eq_c1/2,0))/2))+2*IF(circ_int,0,eq_c2/2)))/(s_0+10*s_r+IF(circ_int,eq_c1/2,0))),IF(((15+0.5)*(4*IF(circ_int,0,eq_c1/2)+4*IF(circ_int,0,eq_c2/2)+2*PI()*(s_0+10*s_r+IF(circ_int,eq_c1/2,0)))/INDEX(lk_legs,11))&lt;(((((((2*IF(circ_int,0,eq_c2/2))+(PI()*(s_0+10*s_r+IF(circ_int,eq_c1/2,0))/2))+2*IF(circ_int,0,eq_c1/2))+(PI()*(s_0+10*s_r+IF(circ_int,eq_c1/2,0))/2))+2*IF(circ_int,0,eq_c2/2))+(PI()*(s_0+10*s_r+IF(circ_int,eq_c1/2,0))/2))+2*IF(circ_int,0,eq_c1/2)),-IF(circ_int,0,eq_c1/2)+(((15+0.5)*(4*IF(circ_int,0,eq_c1/2)+4*IF(circ_int,0,eq_c2/2)+2*PI()*(s_0+10*s_r+IF(circ_int,eq_c1/2,0)))/INDEX(lk_legs,11))-((((((2*IF(circ_int,0,eq_c2/2))+(PI()*(s_0+10*s_r+IF(circ_int,eq_c1/2,0))/2))+2*IF(circ_int,0,eq_c1/2))+(PI()*(s_0+10*s_r+IF(circ_int,eq_c1/2,0))/2))+2*IF(circ_int,0,eq_c2/2))+(PI()*(s_0+10*s_r+IF(circ_int,eq_c1/2,0))/2))),IF(circ_int,0,eq_c1/2)+(s_0+10*s_r+IF(circ_int,eq_c1/2,0))*COS(3*PI()/2+(((15+0.5)*(4*IF(circ_int,0,eq_c1/2)+4*IF(circ_int,0,eq_c2/2)+2*PI()*(s_0+10*s_r+IF(circ_int,eq_c1/2,0)))/INDEX(lk_legs,11))-(((((((2*IF(circ_int,0,eq_c2/2))+(PI()*(s_0+10*s_r+IF(circ_int,eq_c1/2,0))/2))+2*IF(circ_int,0,eq_c1/2))+(PI()*(s_0+10*s_r+IF(circ_int,eq_c1/2,0))/2))+2*IF(circ_int,0,eq_c2/2))+(PI()*(s_0+10*s_r+IF(circ_int,eq_c1/2,0))/2))+2*IF(circ_int,0,eq_c1/2)))/(s_0+10*s_r+IF(circ_int,eq_c1/2,0)))))))))),NA())</f>
        <v/>
      </c>
      <c r="DI18">
        <f>IF(AND(AND(links_on,11&lt;=n_per),INDEX(lk_kind,11)=1,15&lt;INDEX(lk_legs,11)),g_oy+IF(((15+0.5)*(4*IF(circ_int,0,eq_c1/2)+4*IF(circ_int,0,eq_c2/2)+2*PI()*(s_0+10*s_r+IF(circ_int,eq_c1/2,0)))/INDEX(lk_legs,11))&lt;(2*IF(circ_int,0,eq_c2/2)),-IF(circ_int,0,eq_c2/2)+((15+0.5)*(4*IF(circ_int,0,eq_c1/2)+4*IF(circ_int,0,eq_c2/2)+2*PI()*(s_0+10*s_r+IF(circ_int,eq_c1/2,0)))/INDEX(lk_legs,11)),IF(((15+0.5)*(4*IF(circ_int,0,eq_c1/2)+4*IF(circ_int,0,eq_c2/2)+2*PI()*(s_0+10*s_r+IF(circ_int,eq_c1/2,0)))/INDEX(lk_legs,11))&lt;((2*IF(circ_int,0,eq_c2/2))+(PI()*(s_0+10*s_r+IF(circ_int,eq_c1/2,0))/2)),IF(circ_int,0,eq_c2/2)+(s_0+10*s_r+IF(circ_int,eq_c1/2,0))*SIN((((15+0.5)*(4*IF(circ_int,0,eq_c1/2)+4*IF(circ_int,0,eq_c2/2)+2*PI()*(s_0+10*s_r+IF(circ_int,eq_c1/2,0)))/INDEX(lk_legs,11))-(2*IF(circ_int,0,eq_c2/2)))/(s_0+10*s_r+IF(circ_int,eq_c1/2,0))),IF(((15+0.5)*(4*IF(circ_int,0,eq_c1/2)+4*IF(circ_int,0,eq_c2/2)+2*PI()*(s_0+10*s_r+IF(circ_int,eq_c1/2,0)))/INDEX(lk_legs,11))&lt;(((2*IF(circ_int,0,eq_c2/2))+(PI()*(s_0+10*s_r+IF(circ_int,eq_c1/2,0))/2))+2*IF(circ_int,0,eq_c1/2)),IF(circ_int,0,eq_c2/2)+(s_0+10*s_r+IF(circ_int,eq_c1/2,0)),IF(((15+0.5)*(4*IF(circ_int,0,eq_c1/2)+4*IF(circ_int,0,eq_c2/2)+2*PI()*(s_0+10*s_r+IF(circ_int,eq_c1/2,0)))/INDEX(lk_legs,11))&lt;((((2*IF(circ_int,0,eq_c2/2))+(PI()*(s_0+10*s_r+IF(circ_int,eq_c1/2,0))/2))+2*IF(circ_int,0,eq_c1/2))+(PI()*(s_0+10*s_r+IF(circ_int,eq_c1/2,0))/2)),IF(circ_int,0,eq_c2/2)+(s_0+10*s_r+IF(circ_int,eq_c1/2,0))*SIN(PI()/2+(((15+0.5)*(4*IF(circ_int,0,eq_c1/2)+4*IF(circ_int,0,eq_c2/2)+2*PI()*(s_0+10*s_r+IF(circ_int,eq_c1/2,0)))/INDEX(lk_legs,11))-(((2*IF(circ_int,0,eq_c2/2))+(PI()*(s_0+10*s_r+IF(circ_int,eq_c1/2,0))/2))+2*IF(circ_int,0,eq_c1/2)))/(s_0+10*s_r+IF(circ_int,eq_c1/2,0))),IF(((15+0.5)*(4*IF(circ_int,0,eq_c1/2)+4*IF(circ_int,0,eq_c2/2)+2*PI()*(s_0+10*s_r+IF(circ_int,eq_c1/2,0)))/INDEX(lk_legs,11))&lt;(((((2*IF(circ_int,0,eq_c2/2))+(PI()*(s_0+10*s_r+IF(circ_int,eq_c1/2,0))/2))+2*IF(circ_int,0,eq_c1/2))+(PI()*(s_0+10*s_r+IF(circ_int,eq_c1/2,0))/2))+2*IF(circ_int,0,eq_c2/2)),IF(circ_int,0,eq_c2/2)-(((15+0.5)*(4*IF(circ_int,0,eq_c1/2)+4*IF(circ_int,0,eq_c2/2)+2*PI()*(s_0+10*s_r+IF(circ_int,eq_c1/2,0)))/INDEX(lk_legs,11))-((((2*IF(circ_int,0,eq_c2/2))+(PI()*(s_0+10*s_r+IF(circ_int,eq_c1/2,0))/2))+2*IF(circ_int,0,eq_c1/2))+(PI()*(s_0+10*s_r+IF(circ_int,eq_c1/2,0))/2))),IF(((15+0.5)*(4*IF(circ_int,0,eq_c1/2)+4*IF(circ_int,0,eq_c2/2)+2*PI()*(s_0+10*s_r+IF(circ_int,eq_c1/2,0)))/INDEX(lk_legs,11))&lt;((((((2*IF(circ_int,0,eq_c2/2))+(PI()*(s_0+10*s_r+IF(circ_int,eq_c1/2,0))/2))+2*IF(circ_int,0,eq_c1/2))+(PI()*(s_0+10*s_r+IF(circ_int,eq_c1/2,0))/2))+2*IF(circ_int,0,eq_c2/2))+(PI()*(s_0+10*s_r+IF(circ_int,eq_c1/2,0))/2)),-IF(circ_int,0,eq_c2/2)+(s_0+10*s_r+IF(circ_int,eq_c1/2,0))*SIN(PI()+(((15+0.5)*(4*IF(circ_int,0,eq_c1/2)+4*IF(circ_int,0,eq_c2/2)+2*PI()*(s_0+10*s_r+IF(circ_int,eq_c1/2,0)))/INDEX(lk_legs,11))-(((((2*IF(circ_int,0,eq_c2/2))+(PI()*(s_0+10*s_r+IF(circ_int,eq_c1/2,0))/2))+2*IF(circ_int,0,eq_c1/2))+(PI()*(s_0+10*s_r+IF(circ_int,eq_c1/2,0))/2))+2*IF(circ_int,0,eq_c2/2)))/(s_0+10*s_r+IF(circ_int,eq_c1/2,0))),IF(((15+0.5)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(15+0.5)*(4*IF(circ_int,0,eq_c1/2)+4*IF(circ_int,0,eq_c2/2)+2*PI()*(s_0+10*s_r+IF(circ_int,eq_c1/2,0)))/INDEX(lk_legs,11))-(((((((2*IF(circ_int,0,eq_c2/2))+(PI()*(s_0+10*s_r+IF(circ_int,eq_c1/2,0))/2))+2*IF(circ_int,0,eq_c1/2))+(PI()*(s_0+10*s_r+IF(circ_int,eq_c1/2,0))/2))+2*IF(circ_int,0,eq_c2/2))+(PI()*(s_0+10*s_r+IF(circ_int,eq_c1/2,0))/2))+2*IF(circ_int,0,eq_c1/2)))/(s_0+10*s_r+IF(circ_int,eq_c1/2,0)))))))))),NA())</f>
        <v/>
      </c>
      <c r="DK18">
        <f>IF(AND(links_on,12&lt;=n_per),IF(circ_int,(g_ox)+(c_1/2+(s_0+11*s_r))*-0.239316,CHOOSE(INDEX(lk_kind,12),(g_ox-eq_c1/2)+((s_0+11*s_r))*-0.258819,(eq_a1+eq_c1)+((s_0+11*s_r))*0.991445,eq_a1+eq_c1+(s_0+11*s_r),(eq_a1+eq_c1)+((s_0+11*s_r))*0.130526)),NA())</f>
        <v/>
      </c>
      <c r="DL18">
        <f>IF(AND(links_on,12&lt;=n_per),IF(circ_int,(g_oy)+(c_1/2+(s_0+11*s_r))*0.970942,CHOOSE(INDEX(lk_kind,12),(g_oy+eq_c2/2)+((s_0+11*s_r))*0.965926,(g_oy-eq_c2/2)+((s_0+11*s_r))*-0.130526,0,(eq_a2+eq_c2)+((s_0+11*s_r))*0.991445)),NA())</f>
        <v/>
      </c>
      <c r="DN18">
        <f>IF(AND(AND(links_on,12&lt;=n_per),INDEX(lk_kind,12)=1,15&lt;INDEX(lk_legs,12)),g_ox+IF(((15+0.5)*(4*IF(circ_int,0,eq_c1/2)+4*IF(circ_int,0,eq_c2/2)+2*PI()*(s_0+11*s_r+IF(circ_int,eq_c1/2,0)))/INDEX(lk_legs,12))&lt;(2*IF(circ_int,0,eq_c2/2)),IF(circ_int,0,eq_c1/2)+(s_0+11*s_r+IF(circ_int,eq_c1/2,0)),IF(((15+0.5)*(4*IF(circ_int,0,eq_c1/2)+4*IF(circ_int,0,eq_c2/2)+2*PI()*(s_0+11*s_r+IF(circ_int,eq_c1/2,0)))/INDEX(lk_legs,12))&lt;((2*IF(circ_int,0,eq_c2/2))+(PI()*(s_0+11*s_r+IF(circ_int,eq_c1/2,0))/2)),IF(circ_int,0,eq_c1/2)+(s_0+11*s_r+IF(circ_int,eq_c1/2,0))*COS((((15+0.5)*(4*IF(circ_int,0,eq_c1/2)+4*IF(circ_int,0,eq_c2/2)+2*PI()*(s_0+11*s_r+IF(circ_int,eq_c1/2,0)))/INDEX(lk_legs,12))-(2*IF(circ_int,0,eq_c2/2)))/(s_0+11*s_r+IF(circ_int,eq_c1/2,0))),IF(((15+0.5)*(4*IF(circ_int,0,eq_c1/2)+4*IF(circ_int,0,eq_c2/2)+2*PI()*(s_0+11*s_r+IF(circ_int,eq_c1/2,0)))/INDEX(lk_legs,12))&lt;(((2*IF(circ_int,0,eq_c2/2))+(PI()*(s_0+11*s_r+IF(circ_int,eq_c1/2,0))/2))+2*IF(circ_int,0,eq_c1/2)),IF(circ_int,0,eq_c1/2)-(((15+0.5)*(4*IF(circ_int,0,eq_c1/2)+4*IF(circ_int,0,eq_c2/2)+2*PI()*(s_0+11*s_r+IF(circ_int,eq_c1/2,0)))/INDEX(lk_legs,12))-((2*IF(circ_int,0,eq_c2/2))+(PI()*(s_0+11*s_r+IF(circ_int,eq_c1/2,0))/2))),IF(((15+0.5)*(4*IF(circ_int,0,eq_c1/2)+4*IF(circ_int,0,eq_c2/2)+2*PI()*(s_0+11*s_r+IF(circ_int,eq_c1/2,0)))/INDEX(lk_legs,12))&lt;((((2*IF(circ_int,0,eq_c2/2))+(PI()*(s_0+11*s_r+IF(circ_int,eq_c1/2,0))/2))+2*IF(circ_int,0,eq_c1/2))+(PI()*(s_0+11*s_r+IF(circ_int,eq_c1/2,0))/2)),-IF(circ_int,0,eq_c1/2)+(s_0+11*s_r+IF(circ_int,eq_c1/2,0))*COS(PI()/2+(((15+0.5)*(4*IF(circ_int,0,eq_c1/2)+4*IF(circ_int,0,eq_c2/2)+2*PI()*(s_0+11*s_r+IF(circ_int,eq_c1/2,0)))/INDEX(lk_legs,12))-(((2*IF(circ_int,0,eq_c2/2))+(PI()*(s_0+11*s_r+IF(circ_int,eq_c1/2,0))/2))+2*IF(circ_int,0,eq_c1/2)))/(s_0+11*s_r+IF(circ_int,eq_c1/2,0))),IF(((15+0.5)*(4*IF(circ_int,0,eq_c1/2)+4*IF(circ_int,0,eq_c2/2)+2*PI()*(s_0+11*s_r+IF(circ_int,eq_c1/2,0)))/INDEX(lk_legs,12))&lt;(((((2*IF(circ_int,0,eq_c2/2))+(PI()*(s_0+11*s_r+IF(circ_int,eq_c1/2,0))/2))+2*IF(circ_int,0,eq_c1/2))+(PI()*(s_0+11*s_r+IF(circ_int,eq_c1/2,0))/2))+2*IF(circ_int,0,eq_c2/2)),-IF(circ_int,0,eq_c1/2)-(s_0+11*s_r+IF(circ_int,eq_c1/2,0)),IF(((15+0.5)*(4*IF(circ_int,0,eq_c1/2)+4*IF(circ_int,0,eq_c2/2)+2*PI()*(s_0+11*s_r+IF(circ_int,eq_c1/2,0)))/INDEX(lk_legs,12))&lt;((((((2*IF(circ_int,0,eq_c2/2))+(PI()*(s_0+11*s_r+IF(circ_int,eq_c1/2,0))/2))+2*IF(circ_int,0,eq_c1/2))+(PI()*(s_0+11*s_r+IF(circ_int,eq_c1/2,0))/2))+2*IF(circ_int,0,eq_c2/2))+(PI()*(s_0+11*s_r+IF(circ_int,eq_c1/2,0))/2)),-IF(circ_int,0,eq_c1/2)+(s_0+11*s_r+IF(circ_int,eq_c1/2,0))*COS(PI()+(((15+0.5)*(4*IF(circ_int,0,eq_c1/2)+4*IF(circ_int,0,eq_c2/2)+2*PI()*(s_0+11*s_r+IF(circ_int,eq_c1/2,0)))/INDEX(lk_legs,12))-(((((2*IF(circ_int,0,eq_c2/2))+(PI()*(s_0+11*s_r+IF(circ_int,eq_c1/2,0))/2))+2*IF(circ_int,0,eq_c1/2))+(PI()*(s_0+11*s_r+IF(circ_int,eq_c1/2,0))/2))+2*IF(circ_int,0,eq_c2/2)))/(s_0+11*s_r+IF(circ_int,eq_c1/2,0))),IF(((15+0.5)*(4*IF(circ_int,0,eq_c1/2)+4*IF(circ_int,0,eq_c2/2)+2*PI()*(s_0+11*s_r+IF(circ_int,eq_c1/2,0)))/INDEX(lk_legs,12))&lt;(((((((2*IF(circ_int,0,eq_c2/2))+(PI()*(s_0+11*s_r+IF(circ_int,eq_c1/2,0))/2))+2*IF(circ_int,0,eq_c1/2))+(PI()*(s_0+11*s_r+IF(circ_int,eq_c1/2,0))/2))+2*IF(circ_int,0,eq_c2/2))+(PI()*(s_0+11*s_r+IF(circ_int,eq_c1/2,0))/2))+2*IF(circ_int,0,eq_c1/2)),-IF(circ_int,0,eq_c1/2)+(((15+0.5)*(4*IF(circ_int,0,eq_c1/2)+4*IF(circ_int,0,eq_c2/2)+2*PI()*(s_0+11*s_r+IF(circ_int,eq_c1/2,0)))/INDEX(lk_legs,12))-((((((2*IF(circ_int,0,eq_c2/2))+(PI()*(s_0+11*s_r+IF(circ_int,eq_c1/2,0))/2))+2*IF(circ_int,0,eq_c1/2))+(PI()*(s_0+11*s_r+IF(circ_int,eq_c1/2,0))/2))+2*IF(circ_int,0,eq_c2/2))+(PI()*(s_0+11*s_r+IF(circ_int,eq_c1/2,0))/2))),IF(circ_int,0,eq_c1/2)+(s_0+11*s_r+IF(circ_int,eq_c1/2,0))*COS(3*PI()/2+(((15+0.5)*(4*IF(circ_int,0,eq_c1/2)+4*IF(circ_int,0,eq_c2/2)+2*PI()*(s_0+11*s_r+IF(circ_int,eq_c1/2,0)))/INDEX(lk_legs,12))-(((((((2*IF(circ_int,0,eq_c2/2))+(PI()*(s_0+11*s_r+IF(circ_int,eq_c1/2,0))/2))+2*IF(circ_int,0,eq_c1/2))+(PI()*(s_0+11*s_r+IF(circ_int,eq_c1/2,0))/2))+2*IF(circ_int,0,eq_c2/2))+(PI()*(s_0+11*s_r+IF(circ_int,eq_c1/2,0))/2))+2*IF(circ_int,0,eq_c1/2)))/(s_0+11*s_r+IF(circ_int,eq_c1/2,0)))))))))),NA())</f>
        <v/>
      </c>
      <c r="DO18">
        <f>IF(AND(AND(links_on,12&lt;=n_per),INDEX(lk_kind,12)=1,15&lt;INDEX(lk_legs,12)),g_oy+IF(((15+0.5)*(4*IF(circ_int,0,eq_c1/2)+4*IF(circ_int,0,eq_c2/2)+2*PI()*(s_0+11*s_r+IF(circ_int,eq_c1/2,0)))/INDEX(lk_legs,12))&lt;(2*IF(circ_int,0,eq_c2/2)),-IF(circ_int,0,eq_c2/2)+((15+0.5)*(4*IF(circ_int,0,eq_c1/2)+4*IF(circ_int,0,eq_c2/2)+2*PI()*(s_0+11*s_r+IF(circ_int,eq_c1/2,0)))/INDEX(lk_legs,12)),IF(((15+0.5)*(4*IF(circ_int,0,eq_c1/2)+4*IF(circ_int,0,eq_c2/2)+2*PI()*(s_0+11*s_r+IF(circ_int,eq_c1/2,0)))/INDEX(lk_legs,12))&lt;((2*IF(circ_int,0,eq_c2/2))+(PI()*(s_0+11*s_r+IF(circ_int,eq_c1/2,0))/2)),IF(circ_int,0,eq_c2/2)+(s_0+11*s_r+IF(circ_int,eq_c1/2,0))*SIN((((15+0.5)*(4*IF(circ_int,0,eq_c1/2)+4*IF(circ_int,0,eq_c2/2)+2*PI()*(s_0+11*s_r+IF(circ_int,eq_c1/2,0)))/INDEX(lk_legs,12))-(2*IF(circ_int,0,eq_c2/2)))/(s_0+11*s_r+IF(circ_int,eq_c1/2,0))),IF(((15+0.5)*(4*IF(circ_int,0,eq_c1/2)+4*IF(circ_int,0,eq_c2/2)+2*PI()*(s_0+11*s_r+IF(circ_int,eq_c1/2,0)))/INDEX(lk_legs,12))&lt;(((2*IF(circ_int,0,eq_c2/2))+(PI()*(s_0+11*s_r+IF(circ_int,eq_c1/2,0))/2))+2*IF(circ_int,0,eq_c1/2)),IF(circ_int,0,eq_c2/2)+(s_0+11*s_r+IF(circ_int,eq_c1/2,0)),IF(((15+0.5)*(4*IF(circ_int,0,eq_c1/2)+4*IF(circ_int,0,eq_c2/2)+2*PI()*(s_0+11*s_r+IF(circ_int,eq_c1/2,0)))/INDEX(lk_legs,12))&lt;((((2*IF(circ_int,0,eq_c2/2))+(PI()*(s_0+11*s_r+IF(circ_int,eq_c1/2,0))/2))+2*IF(circ_int,0,eq_c1/2))+(PI()*(s_0+11*s_r+IF(circ_int,eq_c1/2,0))/2)),IF(circ_int,0,eq_c2/2)+(s_0+11*s_r+IF(circ_int,eq_c1/2,0))*SIN(PI()/2+(((15+0.5)*(4*IF(circ_int,0,eq_c1/2)+4*IF(circ_int,0,eq_c2/2)+2*PI()*(s_0+11*s_r+IF(circ_int,eq_c1/2,0)))/INDEX(lk_legs,12))-(((2*IF(circ_int,0,eq_c2/2))+(PI()*(s_0+11*s_r+IF(circ_int,eq_c1/2,0))/2))+2*IF(circ_int,0,eq_c1/2)))/(s_0+11*s_r+IF(circ_int,eq_c1/2,0))),IF(((15+0.5)*(4*IF(circ_int,0,eq_c1/2)+4*IF(circ_int,0,eq_c2/2)+2*PI()*(s_0+11*s_r+IF(circ_int,eq_c1/2,0)))/INDEX(lk_legs,12))&lt;(((((2*IF(circ_int,0,eq_c2/2))+(PI()*(s_0+11*s_r+IF(circ_int,eq_c1/2,0))/2))+2*IF(circ_int,0,eq_c1/2))+(PI()*(s_0+11*s_r+IF(circ_int,eq_c1/2,0))/2))+2*IF(circ_int,0,eq_c2/2)),IF(circ_int,0,eq_c2/2)-(((15+0.5)*(4*IF(circ_int,0,eq_c1/2)+4*IF(circ_int,0,eq_c2/2)+2*PI()*(s_0+11*s_r+IF(circ_int,eq_c1/2,0)))/INDEX(lk_legs,12))-((((2*IF(circ_int,0,eq_c2/2))+(PI()*(s_0+11*s_r+IF(circ_int,eq_c1/2,0))/2))+2*IF(circ_int,0,eq_c1/2))+(PI()*(s_0+11*s_r+IF(circ_int,eq_c1/2,0))/2))),IF(((15+0.5)*(4*IF(circ_int,0,eq_c1/2)+4*IF(circ_int,0,eq_c2/2)+2*PI()*(s_0+11*s_r+IF(circ_int,eq_c1/2,0)))/INDEX(lk_legs,12))&lt;((((((2*IF(circ_int,0,eq_c2/2))+(PI()*(s_0+11*s_r+IF(circ_int,eq_c1/2,0))/2))+2*IF(circ_int,0,eq_c1/2))+(PI()*(s_0+11*s_r+IF(circ_int,eq_c1/2,0))/2))+2*IF(circ_int,0,eq_c2/2))+(PI()*(s_0+11*s_r+IF(circ_int,eq_c1/2,0))/2)),-IF(circ_int,0,eq_c2/2)+(s_0+11*s_r+IF(circ_int,eq_c1/2,0))*SIN(PI()+(((15+0.5)*(4*IF(circ_int,0,eq_c1/2)+4*IF(circ_int,0,eq_c2/2)+2*PI()*(s_0+11*s_r+IF(circ_int,eq_c1/2,0)))/INDEX(lk_legs,12))-(((((2*IF(circ_int,0,eq_c2/2))+(PI()*(s_0+11*s_r+IF(circ_int,eq_c1/2,0))/2))+2*IF(circ_int,0,eq_c1/2))+(PI()*(s_0+11*s_r+IF(circ_int,eq_c1/2,0))/2))+2*IF(circ_int,0,eq_c2/2)))/(s_0+11*s_r+IF(circ_int,eq_c1/2,0))),IF(((15+0.5)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(15+0.5)*(4*IF(circ_int,0,eq_c1/2)+4*IF(circ_int,0,eq_c2/2)+2*PI()*(s_0+11*s_r+IF(circ_int,eq_c1/2,0)))/INDEX(lk_legs,12))-(((((((2*IF(circ_int,0,eq_c2/2))+(PI()*(s_0+11*s_r+IF(circ_int,eq_c1/2,0))/2))+2*IF(circ_int,0,eq_c1/2))+(PI()*(s_0+11*s_r+IF(circ_int,eq_c1/2,0))/2))+2*IF(circ_int,0,eq_c2/2))+(PI()*(s_0+11*s_r+IF(circ_int,eq_c1/2,0))/2))+2*IF(circ_int,0,eq_c1/2)))/(s_0+11*s_r+IF(circ_int,eq_c1/2,0)))))))))),NA())</f>
        <v/>
      </c>
    </row>
    <row r="19">
      <c r="A19">
        <f>IF(shape="Circular",(g_ox)+(c_1/2+0)*-0.354605,CHOOSE(1,(g_ox-eq_c1/2)+(0)*-0.382683,(eq_a1+eq_c1)+(0)*0.965926,eq_a1+eq_c1+0,(eq_a1+eq_c1)+(0)*0.258819))</f>
        <v/>
      </c>
      <c r="B19">
        <f>IF(shape="Circular",(g_oy)+(c_1/2+0)*0.935016,CHOOSE(1,(g_oy+eq_c2/2)+(0)*0.923880,(g_oy-eq_c2/2)+(0)*-0.258819,0,(eq_a2+eq_c2)+(0)*0.965926))</f>
        <v/>
      </c>
      <c r="D19">
        <f>IF(circ_int,(g_ox)+(c_1/2+2*d_eff)*-0.354605,CHOOSE(geo_idx,(g_ox-eq_c1/2)+(2*d_eff)*-0.382683,(eq_a1+eq_c1)+(2*d_eff)*0.965926,eq_a1+eq_c1+2*d_eff,(eq_a1+eq_c1)+(2*d_eff)*0.258819))</f>
        <v/>
      </c>
      <c r="E19">
        <f>IF(circ_int,(g_oy)+(c_1/2+2*d_eff)*0.935016,CHOOSE(geo_idx,(g_oy+eq_c2/2)+(2*d_eff)*0.923880,(g_oy-eq_c2/2)+(2*d_eff)*-0.258819,0,(eq_a2+eq_c2)+(2*d_eff)*0.965926))</f>
        <v/>
      </c>
      <c r="G19">
        <f>IF(AND(inputs_ok,punch_ok,A_sw&gt;0),IF(circ_int,(g_ox)+(c_1/2+r_out)*-0.354605,CHOOSE(kind_out,(g_ox-eq_c1/2)+(r_out)*-0.382683,(eq_a1+eq_c1)+(r_out)*0.965926,eq_a1+eq_c1+r_out,(eq_a1+eq_c1)+(r_out)*0.258819)),NA())</f>
        <v/>
      </c>
      <c r="H19">
        <f>IF(AND(inputs_ok,punch_ok,A_sw&gt;0),IF(circ_int,(g_oy)+(c_1/2+r_out)*0.935016,CHOOSE(kind_out,(g_oy+eq_c2/2)+(r_out)*0.923880,(g_oy-eq_c2/2)+(r_out)*-0.258819,0,(eq_a2+eq_c2)+(r_out)*0.965926)),NA())</f>
        <v/>
      </c>
      <c r="AW19">
        <f>IF(AND(links_on,1&lt;=n_per),IF(circ_int,(g_ox)+(c_1/2+(s_0+0*s_r))*-0.354605,CHOOSE(INDEX(lk_kind,1),(g_ox-eq_c1/2)+((s_0+0*s_r))*-0.382683,(eq_a1+eq_c1)+((s_0+0*s_r))*0.965926,eq_a1+eq_c1+(s_0+0*s_r),(eq_a1+eq_c1)+((s_0+0*s_r))*0.258819)),NA())</f>
        <v/>
      </c>
      <c r="AX19">
        <f>IF(AND(links_on,1&lt;=n_per),IF(circ_int,(g_oy)+(c_1/2+(s_0+0*s_r))*0.935016,CHOOSE(INDEX(lk_kind,1),(g_oy+eq_c2/2)+((s_0+0*s_r))*0.923880,(g_oy-eq_c2/2)+((s_0+0*s_r))*-0.258819,0,(eq_a2+eq_c2)+((s_0+0*s_r))*0.965926)),NA())</f>
        <v/>
      </c>
      <c r="AZ19">
        <f>IF(AND(AND(links_on,1&lt;=n_per),INDEX(lk_kind,1)=1,16&lt;INDEX(lk_legs,1)),g_ox+IF(((16+0.5)*(4*IF(circ_int,0,eq_c1/2)+4*IF(circ_int,0,eq_c2/2)+2*PI()*(s_0+0*s_r+IF(circ_int,eq_c1/2,0)))/INDEX(lk_legs,1))&lt;(2*IF(circ_int,0,eq_c2/2)),IF(circ_int,0,eq_c1/2)+(s_0+0*s_r+IF(circ_int,eq_c1/2,0)),IF(((16+0.5)*(4*IF(circ_int,0,eq_c1/2)+4*IF(circ_int,0,eq_c2/2)+2*PI()*(s_0+0*s_r+IF(circ_int,eq_c1/2,0)))/INDEX(lk_legs,1))&lt;((2*IF(circ_int,0,eq_c2/2))+(PI()*(s_0+0*s_r+IF(circ_int,eq_c1/2,0))/2)),IF(circ_int,0,eq_c1/2)+(s_0+0*s_r+IF(circ_int,eq_c1/2,0))*COS((((16+0.5)*(4*IF(circ_int,0,eq_c1/2)+4*IF(circ_int,0,eq_c2/2)+2*PI()*(s_0+0*s_r+IF(circ_int,eq_c1/2,0)))/INDEX(lk_legs,1))-(2*IF(circ_int,0,eq_c2/2)))/(s_0+0*s_r+IF(circ_int,eq_c1/2,0))),IF(((16+0.5)*(4*IF(circ_int,0,eq_c1/2)+4*IF(circ_int,0,eq_c2/2)+2*PI()*(s_0+0*s_r+IF(circ_int,eq_c1/2,0)))/INDEX(lk_legs,1))&lt;(((2*IF(circ_int,0,eq_c2/2))+(PI()*(s_0+0*s_r+IF(circ_int,eq_c1/2,0))/2))+2*IF(circ_int,0,eq_c1/2)),IF(circ_int,0,eq_c1/2)-(((16+0.5)*(4*IF(circ_int,0,eq_c1/2)+4*IF(circ_int,0,eq_c2/2)+2*PI()*(s_0+0*s_r+IF(circ_int,eq_c1/2,0)))/INDEX(lk_legs,1))-((2*IF(circ_int,0,eq_c2/2))+(PI()*(s_0+0*s_r+IF(circ_int,eq_c1/2,0))/2))),IF(((16+0.5)*(4*IF(circ_int,0,eq_c1/2)+4*IF(circ_int,0,eq_c2/2)+2*PI()*(s_0+0*s_r+IF(circ_int,eq_c1/2,0)))/INDEX(lk_legs,1))&lt;((((2*IF(circ_int,0,eq_c2/2))+(PI()*(s_0+0*s_r+IF(circ_int,eq_c1/2,0))/2))+2*IF(circ_int,0,eq_c1/2))+(PI()*(s_0+0*s_r+IF(circ_int,eq_c1/2,0))/2)),-IF(circ_int,0,eq_c1/2)+(s_0+0*s_r+IF(circ_int,eq_c1/2,0))*COS(PI()/2+(((16+0.5)*(4*IF(circ_int,0,eq_c1/2)+4*IF(circ_int,0,eq_c2/2)+2*PI()*(s_0+0*s_r+IF(circ_int,eq_c1/2,0)))/INDEX(lk_legs,1))-(((2*IF(circ_int,0,eq_c2/2))+(PI()*(s_0+0*s_r+IF(circ_int,eq_c1/2,0))/2))+2*IF(circ_int,0,eq_c1/2)))/(s_0+0*s_r+IF(circ_int,eq_c1/2,0))),IF(((16+0.5)*(4*IF(circ_int,0,eq_c1/2)+4*IF(circ_int,0,eq_c2/2)+2*PI()*(s_0+0*s_r+IF(circ_int,eq_c1/2,0)))/INDEX(lk_legs,1))&lt;(((((2*IF(circ_int,0,eq_c2/2))+(PI()*(s_0+0*s_r+IF(circ_int,eq_c1/2,0))/2))+2*IF(circ_int,0,eq_c1/2))+(PI()*(s_0+0*s_r+IF(circ_int,eq_c1/2,0))/2))+2*IF(circ_int,0,eq_c2/2)),-IF(circ_int,0,eq_c1/2)-(s_0+0*s_r+IF(circ_int,eq_c1/2,0)),IF(((16+0.5)*(4*IF(circ_int,0,eq_c1/2)+4*IF(circ_int,0,eq_c2/2)+2*PI()*(s_0+0*s_r+IF(circ_int,eq_c1/2,0)))/INDEX(lk_legs,1))&lt;((((((2*IF(circ_int,0,eq_c2/2))+(PI()*(s_0+0*s_r+IF(circ_int,eq_c1/2,0))/2))+2*IF(circ_int,0,eq_c1/2))+(PI()*(s_0+0*s_r+IF(circ_int,eq_c1/2,0))/2))+2*IF(circ_int,0,eq_c2/2))+(PI()*(s_0+0*s_r+IF(circ_int,eq_c1/2,0))/2)),-IF(circ_int,0,eq_c1/2)+(s_0+0*s_r+IF(circ_int,eq_c1/2,0))*COS(PI()+(((16+0.5)*(4*IF(circ_int,0,eq_c1/2)+4*IF(circ_int,0,eq_c2/2)+2*PI()*(s_0+0*s_r+IF(circ_int,eq_c1/2,0)))/INDEX(lk_legs,1))-(((((2*IF(circ_int,0,eq_c2/2))+(PI()*(s_0+0*s_r+IF(circ_int,eq_c1/2,0))/2))+2*IF(circ_int,0,eq_c1/2))+(PI()*(s_0+0*s_r+IF(circ_int,eq_c1/2,0))/2))+2*IF(circ_int,0,eq_c2/2)))/(s_0+0*s_r+IF(circ_int,eq_c1/2,0))),IF(((16+0.5)*(4*IF(circ_int,0,eq_c1/2)+4*IF(circ_int,0,eq_c2/2)+2*PI()*(s_0+0*s_r+IF(circ_int,eq_c1/2,0)))/INDEX(lk_legs,1))&lt;(((((((2*IF(circ_int,0,eq_c2/2))+(PI()*(s_0+0*s_r+IF(circ_int,eq_c1/2,0))/2))+2*IF(circ_int,0,eq_c1/2))+(PI()*(s_0+0*s_r+IF(circ_int,eq_c1/2,0))/2))+2*IF(circ_int,0,eq_c2/2))+(PI()*(s_0+0*s_r+IF(circ_int,eq_c1/2,0))/2))+2*IF(circ_int,0,eq_c1/2)),-IF(circ_int,0,eq_c1/2)+(((16+0.5)*(4*IF(circ_int,0,eq_c1/2)+4*IF(circ_int,0,eq_c2/2)+2*PI()*(s_0+0*s_r+IF(circ_int,eq_c1/2,0)))/INDEX(lk_legs,1))-((((((2*IF(circ_int,0,eq_c2/2))+(PI()*(s_0+0*s_r+IF(circ_int,eq_c1/2,0))/2))+2*IF(circ_int,0,eq_c1/2))+(PI()*(s_0+0*s_r+IF(circ_int,eq_c1/2,0))/2))+2*IF(circ_int,0,eq_c2/2))+(PI()*(s_0+0*s_r+IF(circ_int,eq_c1/2,0))/2))),IF(circ_int,0,eq_c1/2)+(s_0+0*s_r+IF(circ_int,eq_c1/2,0))*COS(3*PI()/2+(((16+0.5)*(4*IF(circ_int,0,eq_c1/2)+4*IF(circ_int,0,eq_c2/2)+2*PI()*(s_0+0*s_r+IF(circ_int,eq_c1/2,0)))/INDEX(lk_legs,1))-(((((((2*IF(circ_int,0,eq_c2/2))+(PI()*(s_0+0*s_r+IF(circ_int,eq_c1/2,0))/2))+2*IF(circ_int,0,eq_c1/2))+(PI()*(s_0+0*s_r+IF(circ_int,eq_c1/2,0))/2))+2*IF(circ_int,0,eq_c2/2))+(PI()*(s_0+0*s_r+IF(circ_int,eq_c1/2,0))/2))+2*IF(circ_int,0,eq_c1/2)))/(s_0+0*s_r+IF(circ_int,eq_c1/2,0)))))))))),NA())</f>
        <v/>
      </c>
      <c r="BA19">
        <f>IF(AND(AND(links_on,1&lt;=n_per),INDEX(lk_kind,1)=1,16&lt;INDEX(lk_legs,1)),g_oy+IF(((16+0.5)*(4*IF(circ_int,0,eq_c1/2)+4*IF(circ_int,0,eq_c2/2)+2*PI()*(s_0+0*s_r+IF(circ_int,eq_c1/2,0)))/INDEX(lk_legs,1))&lt;(2*IF(circ_int,0,eq_c2/2)),-IF(circ_int,0,eq_c2/2)+((16+0.5)*(4*IF(circ_int,0,eq_c1/2)+4*IF(circ_int,0,eq_c2/2)+2*PI()*(s_0+0*s_r+IF(circ_int,eq_c1/2,0)))/INDEX(lk_legs,1)),IF(((16+0.5)*(4*IF(circ_int,0,eq_c1/2)+4*IF(circ_int,0,eq_c2/2)+2*PI()*(s_0+0*s_r+IF(circ_int,eq_c1/2,0)))/INDEX(lk_legs,1))&lt;((2*IF(circ_int,0,eq_c2/2))+(PI()*(s_0+0*s_r+IF(circ_int,eq_c1/2,0))/2)),IF(circ_int,0,eq_c2/2)+(s_0+0*s_r+IF(circ_int,eq_c1/2,0))*SIN((((16+0.5)*(4*IF(circ_int,0,eq_c1/2)+4*IF(circ_int,0,eq_c2/2)+2*PI()*(s_0+0*s_r+IF(circ_int,eq_c1/2,0)))/INDEX(lk_legs,1))-(2*IF(circ_int,0,eq_c2/2)))/(s_0+0*s_r+IF(circ_int,eq_c1/2,0))),IF(((16+0.5)*(4*IF(circ_int,0,eq_c1/2)+4*IF(circ_int,0,eq_c2/2)+2*PI()*(s_0+0*s_r+IF(circ_int,eq_c1/2,0)))/INDEX(lk_legs,1))&lt;(((2*IF(circ_int,0,eq_c2/2))+(PI()*(s_0+0*s_r+IF(circ_int,eq_c1/2,0))/2))+2*IF(circ_int,0,eq_c1/2)),IF(circ_int,0,eq_c2/2)+(s_0+0*s_r+IF(circ_int,eq_c1/2,0)),IF(((16+0.5)*(4*IF(circ_int,0,eq_c1/2)+4*IF(circ_int,0,eq_c2/2)+2*PI()*(s_0+0*s_r+IF(circ_int,eq_c1/2,0)))/INDEX(lk_legs,1))&lt;((((2*IF(circ_int,0,eq_c2/2))+(PI()*(s_0+0*s_r+IF(circ_int,eq_c1/2,0))/2))+2*IF(circ_int,0,eq_c1/2))+(PI()*(s_0+0*s_r+IF(circ_int,eq_c1/2,0))/2)),IF(circ_int,0,eq_c2/2)+(s_0+0*s_r+IF(circ_int,eq_c1/2,0))*SIN(PI()/2+(((16+0.5)*(4*IF(circ_int,0,eq_c1/2)+4*IF(circ_int,0,eq_c2/2)+2*PI()*(s_0+0*s_r+IF(circ_int,eq_c1/2,0)))/INDEX(lk_legs,1))-(((2*IF(circ_int,0,eq_c2/2))+(PI()*(s_0+0*s_r+IF(circ_int,eq_c1/2,0))/2))+2*IF(circ_int,0,eq_c1/2)))/(s_0+0*s_r+IF(circ_int,eq_c1/2,0))),IF(((16+0.5)*(4*IF(circ_int,0,eq_c1/2)+4*IF(circ_int,0,eq_c2/2)+2*PI()*(s_0+0*s_r+IF(circ_int,eq_c1/2,0)))/INDEX(lk_legs,1))&lt;(((((2*IF(circ_int,0,eq_c2/2))+(PI()*(s_0+0*s_r+IF(circ_int,eq_c1/2,0))/2))+2*IF(circ_int,0,eq_c1/2))+(PI()*(s_0+0*s_r+IF(circ_int,eq_c1/2,0))/2))+2*IF(circ_int,0,eq_c2/2)),IF(circ_int,0,eq_c2/2)-(((16+0.5)*(4*IF(circ_int,0,eq_c1/2)+4*IF(circ_int,0,eq_c2/2)+2*PI()*(s_0+0*s_r+IF(circ_int,eq_c1/2,0)))/INDEX(lk_legs,1))-((((2*IF(circ_int,0,eq_c2/2))+(PI()*(s_0+0*s_r+IF(circ_int,eq_c1/2,0))/2))+2*IF(circ_int,0,eq_c1/2))+(PI()*(s_0+0*s_r+IF(circ_int,eq_c1/2,0))/2))),IF(((16+0.5)*(4*IF(circ_int,0,eq_c1/2)+4*IF(circ_int,0,eq_c2/2)+2*PI()*(s_0+0*s_r+IF(circ_int,eq_c1/2,0)))/INDEX(lk_legs,1))&lt;((((((2*IF(circ_int,0,eq_c2/2))+(PI()*(s_0+0*s_r+IF(circ_int,eq_c1/2,0))/2))+2*IF(circ_int,0,eq_c1/2))+(PI()*(s_0+0*s_r+IF(circ_int,eq_c1/2,0))/2))+2*IF(circ_int,0,eq_c2/2))+(PI()*(s_0+0*s_r+IF(circ_int,eq_c1/2,0))/2)),-IF(circ_int,0,eq_c2/2)+(s_0+0*s_r+IF(circ_int,eq_c1/2,0))*SIN(PI()+(((16+0.5)*(4*IF(circ_int,0,eq_c1/2)+4*IF(circ_int,0,eq_c2/2)+2*PI()*(s_0+0*s_r+IF(circ_int,eq_c1/2,0)))/INDEX(lk_legs,1))-(((((2*IF(circ_int,0,eq_c2/2))+(PI()*(s_0+0*s_r+IF(circ_int,eq_c1/2,0))/2))+2*IF(circ_int,0,eq_c1/2))+(PI()*(s_0+0*s_r+IF(circ_int,eq_c1/2,0))/2))+2*IF(circ_int,0,eq_c2/2)))/(s_0+0*s_r+IF(circ_int,eq_c1/2,0))),IF(((16+0.5)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(16+0.5)*(4*IF(circ_int,0,eq_c1/2)+4*IF(circ_int,0,eq_c2/2)+2*PI()*(s_0+0*s_r+IF(circ_int,eq_c1/2,0)))/INDEX(lk_legs,1))-(((((((2*IF(circ_int,0,eq_c2/2))+(PI()*(s_0+0*s_r+IF(circ_int,eq_c1/2,0))/2))+2*IF(circ_int,0,eq_c1/2))+(PI()*(s_0+0*s_r+IF(circ_int,eq_c1/2,0))/2))+2*IF(circ_int,0,eq_c2/2))+(PI()*(s_0+0*s_r+IF(circ_int,eq_c1/2,0))/2))+2*IF(circ_int,0,eq_c1/2)))/(s_0+0*s_r+IF(circ_int,eq_c1/2,0)))))))))),NA())</f>
        <v/>
      </c>
      <c r="BC19">
        <f>IF(AND(links_on,2&lt;=n_per),IF(circ_int,(g_ox)+(c_1/2+(s_0+1*s_r))*-0.354605,CHOOSE(INDEX(lk_kind,2),(g_ox-eq_c1/2)+((s_0+1*s_r))*-0.382683,(eq_a1+eq_c1)+((s_0+1*s_r))*0.965926,eq_a1+eq_c1+(s_0+1*s_r),(eq_a1+eq_c1)+((s_0+1*s_r))*0.258819)),NA())</f>
        <v/>
      </c>
      <c r="BD19">
        <f>IF(AND(links_on,2&lt;=n_per),IF(circ_int,(g_oy)+(c_1/2+(s_0+1*s_r))*0.935016,CHOOSE(INDEX(lk_kind,2),(g_oy+eq_c2/2)+((s_0+1*s_r))*0.923880,(g_oy-eq_c2/2)+((s_0+1*s_r))*-0.258819,0,(eq_a2+eq_c2)+((s_0+1*s_r))*0.965926)),NA())</f>
        <v/>
      </c>
      <c r="BF19">
        <f>IF(AND(AND(links_on,2&lt;=n_per),INDEX(lk_kind,2)=1,16&lt;INDEX(lk_legs,2)),g_ox+IF(((16+0.5)*(4*IF(circ_int,0,eq_c1/2)+4*IF(circ_int,0,eq_c2/2)+2*PI()*(s_0+1*s_r+IF(circ_int,eq_c1/2,0)))/INDEX(lk_legs,2))&lt;(2*IF(circ_int,0,eq_c2/2)),IF(circ_int,0,eq_c1/2)+(s_0+1*s_r+IF(circ_int,eq_c1/2,0)),IF(((16+0.5)*(4*IF(circ_int,0,eq_c1/2)+4*IF(circ_int,0,eq_c2/2)+2*PI()*(s_0+1*s_r+IF(circ_int,eq_c1/2,0)))/INDEX(lk_legs,2))&lt;((2*IF(circ_int,0,eq_c2/2))+(PI()*(s_0+1*s_r+IF(circ_int,eq_c1/2,0))/2)),IF(circ_int,0,eq_c1/2)+(s_0+1*s_r+IF(circ_int,eq_c1/2,0))*COS((((16+0.5)*(4*IF(circ_int,0,eq_c1/2)+4*IF(circ_int,0,eq_c2/2)+2*PI()*(s_0+1*s_r+IF(circ_int,eq_c1/2,0)))/INDEX(lk_legs,2))-(2*IF(circ_int,0,eq_c2/2)))/(s_0+1*s_r+IF(circ_int,eq_c1/2,0))),IF(((16+0.5)*(4*IF(circ_int,0,eq_c1/2)+4*IF(circ_int,0,eq_c2/2)+2*PI()*(s_0+1*s_r+IF(circ_int,eq_c1/2,0)))/INDEX(lk_legs,2))&lt;(((2*IF(circ_int,0,eq_c2/2))+(PI()*(s_0+1*s_r+IF(circ_int,eq_c1/2,0))/2))+2*IF(circ_int,0,eq_c1/2)),IF(circ_int,0,eq_c1/2)-(((16+0.5)*(4*IF(circ_int,0,eq_c1/2)+4*IF(circ_int,0,eq_c2/2)+2*PI()*(s_0+1*s_r+IF(circ_int,eq_c1/2,0)))/INDEX(lk_legs,2))-((2*IF(circ_int,0,eq_c2/2))+(PI()*(s_0+1*s_r+IF(circ_int,eq_c1/2,0))/2))),IF(((16+0.5)*(4*IF(circ_int,0,eq_c1/2)+4*IF(circ_int,0,eq_c2/2)+2*PI()*(s_0+1*s_r+IF(circ_int,eq_c1/2,0)))/INDEX(lk_legs,2))&lt;((((2*IF(circ_int,0,eq_c2/2))+(PI()*(s_0+1*s_r+IF(circ_int,eq_c1/2,0))/2))+2*IF(circ_int,0,eq_c1/2))+(PI()*(s_0+1*s_r+IF(circ_int,eq_c1/2,0))/2)),-IF(circ_int,0,eq_c1/2)+(s_0+1*s_r+IF(circ_int,eq_c1/2,0))*COS(PI()/2+(((16+0.5)*(4*IF(circ_int,0,eq_c1/2)+4*IF(circ_int,0,eq_c2/2)+2*PI()*(s_0+1*s_r+IF(circ_int,eq_c1/2,0)))/INDEX(lk_legs,2))-(((2*IF(circ_int,0,eq_c2/2))+(PI()*(s_0+1*s_r+IF(circ_int,eq_c1/2,0))/2))+2*IF(circ_int,0,eq_c1/2)))/(s_0+1*s_r+IF(circ_int,eq_c1/2,0))),IF(((16+0.5)*(4*IF(circ_int,0,eq_c1/2)+4*IF(circ_int,0,eq_c2/2)+2*PI()*(s_0+1*s_r+IF(circ_int,eq_c1/2,0)))/INDEX(lk_legs,2))&lt;(((((2*IF(circ_int,0,eq_c2/2))+(PI()*(s_0+1*s_r+IF(circ_int,eq_c1/2,0))/2))+2*IF(circ_int,0,eq_c1/2))+(PI()*(s_0+1*s_r+IF(circ_int,eq_c1/2,0))/2))+2*IF(circ_int,0,eq_c2/2)),-IF(circ_int,0,eq_c1/2)-(s_0+1*s_r+IF(circ_int,eq_c1/2,0)),IF(((16+0.5)*(4*IF(circ_int,0,eq_c1/2)+4*IF(circ_int,0,eq_c2/2)+2*PI()*(s_0+1*s_r+IF(circ_int,eq_c1/2,0)))/INDEX(lk_legs,2))&lt;((((((2*IF(circ_int,0,eq_c2/2))+(PI()*(s_0+1*s_r+IF(circ_int,eq_c1/2,0))/2))+2*IF(circ_int,0,eq_c1/2))+(PI()*(s_0+1*s_r+IF(circ_int,eq_c1/2,0))/2))+2*IF(circ_int,0,eq_c2/2))+(PI()*(s_0+1*s_r+IF(circ_int,eq_c1/2,0))/2)),-IF(circ_int,0,eq_c1/2)+(s_0+1*s_r+IF(circ_int,eq_c1/2,0))*COS(PI()+(((16+0.5)*(4*IF(circ_int,0,eq_c1/2)+4*IF(circ_int,0,eq_c2/2)+2*PI()*(s_0+1*s_r+IF(circ_int,eq_c1/2,0)))/INDEX(lk_legs,2))-(((((2*IF(circ_int,0,eq_c2/2))+(PI()*(s_0+1*s_r+IF(circ_int,eq_c1/2,0))/2))+2*IF(circ_int,0,eq_c1/2))+(PI()*(s_0+1*s_r+IF(circ_int,eq_c1/2,0))/2))+2*IF(circ_int,0,eq_c2/2)))/(s_0+1*s_r+IF(circ_int,eq_c1/2,0))),IF(((16+0.5)*(4*IF(circ_int,0,eq_c1/2)+4*IF(circ_int,0,eq_c2/2)+2*PI()*(s_0+1*s_r+IF(circ_int,eq_c1/2,0)))/INDEX(lk_legs,2))&lt;(((((((2*IF(circ_int,0,eq_c2/2))+(PI()*(s_0+1*s_r+IF(circ_int,eq_c1/2,0))/2))+2*IF(circ_int,0,eq_c1/2))+(PI()*(s_0+1*s_r+IF(circ_int,eq_c1/2,0))/2))+2*IF(circ_int,0,eq_c2/2))+(PI()*(s_0+1*s_r+IF(circ_int,eq_c1/2,0))/2))+2*IF(circ_int,0,eq_c1/2)),-IF(circ_int,0,eq_c1/2)+(((16+0.5)*(4*IF(circ_int,0,eq_c1/2)+4*IF(circ_int,0,eq_c2/2)+2*PI()*(s_0+1*s_r+IF(circ_int,eq_c1/2,0)))/INDEX(lk_legs,2))-((((((2*IF(circ_int,0,eq_c2/2))+(PI()*(s_0+1*s_r+IF(circ_int,eq_c1/2,0))/2))+2*IF(circ_int,0,eq_c1/2))+(PI()*(s_0+1*s_r+IF(circ_int,eq_c1/2,0))/2))+2*IF(circ_int,0,eq_c2/2))+(PI()*(s_0+1*s_r+IF(circ_int,eq_c1/2,0))/2))),IF(circ_int,0,eq_c1/2)+(s_0+1*s_r+IF(circ_int,eq_c1/2,0))*COS(3*PI()/2+(((16+0.5)*(4*IF(circ_int,0,eq_c1/2)+4*IF(circ_int,0,eq_c2/2)+2*PI()*(s_0+1*s_r+IF(circ_int,eq_c1/2,0)))/INDEX(lk_legs,2))-(((((((2*IF(circ_int,0,eq_c2/2))+(PI()*(s_0+1*s_r+IF(circ_int,eq_c1/2,0))/2))+2*IF(circ_int,0,eq_c1/2))+(PI()*(s_0+1*s_r+IF(circ_int,eq_c1/2,0))/2))+2*IF(circ_int,0,eq_c2/2))+(PI()*(s_0+1*s_r+IF(circ_int,eq_c1/2,0))/2))+2*IF(circ_int,0,eq_c1/2)))/(s_0+1*s_r+IF(circ_int,eq_c1/2,0)))))))))),NA())</f>
        <v/>
      </c>
      <c r="BG19">
        <f>IF(AND(AND(links_on,2&lt;=n_per),INDEX(lk_kind,2)=1,16&lt;INDEX(lk_legs,2)),g_oy+IF(((16+0.5)*(4*IF(circ_int,0,eq_c1/2)+4*IF(circ_int,0,eq_c2/2)+2*PI()*(s_0+1*s_r+IF(circ_int,eq_c1/2,0)))/INDEX(lk_legs,2))&lt;(2*IF(circ_int,0,eq_c2/2)),-IF(circ_int,0,eq_c2/2)+((16+0.5)*(4*IF(circ_int,0,eq_c1/2)+4*IF(circ_int,0,eq_c2/2)+2*PI()*(s_0+1*s_r+IF(circ_int,eq_c1/2,0)))/INDEX(lk_legs,2)),IF(((16+0.5)*(4*IF(circ_int,0,eq_c1/2)+4*IF(circ_int,0,eq_c2/2)+2*PI()*(s_0+1*s_r+IF(circ_int,eq_c1/2,0)))/INDEX(lk_legs,2))&lt;((2*IF(circ_int,0,eq_c2/2))+(PI()*(s_0+1*s_r+IF(circ_int,eq_c1/2,0))/2)),IF(circ_int,0,eq_c2/2)+(s_0+1*s_r+IF(circ_int,eq_c1/2,0))*SIN((((16+0.5)*(4*IF(circ_int,0,eq_c1/2)+4*IF(circ_int,0,eq_c2/2)+2*PI()*(s_0+1*s_r+IF(circ_int,eq_c1/2,0)))/INDEX(lk_legs,2))-(2*IF(circ_int,0,eq_c2/2)))/(s_0+1*s_r+IF(circ_int,eq_c1/2,0))),IF(((16+0.5)*(4*IF(circ_int,0,eq_c1/2)+4*IF(circ_int,0,eq_c2/2)+2*PI()*(s_0+1*s_r+IF(circ_int,eq_c1/2,0)))/INDEX(lk_legs,2))&lt;(((2*IF(circ_int,0,eq_c2/2))+(PI()*(s_0+1*s_r+IF(circ_int,eq_c1/2,0))/2))+2*IF(circ_int,0,eq_c1/2)),IF(circ_int,0,eq_c2/2)+(s_0+1*s_r+IF(circ_int,eq_c1/2,0)),IF(((16+0.5)*(4*IF(circ_int,0,eq_c1/2)+4*IF(circ_int,0,eq_c2/2)+2*PI()*(s_0+1*s_r+IF(circ_int,eq_c1/2,0)))/INDEX(lk_legs,2))&lt;((((2*IF(circ_int,0,eq_c2/2))+(PI()*(s_0+1*s_r+IF(circ_int,eq_c1/2,0))/2))+2*IF(circ_int,0,eq_c1/2))+(PI()*(s_0+1*s_r+IF(circ_int,eq_c1/2,0))/2)),IF(circ_int,0,eq_c2/2)+(s_0+1*s_r+IF(circ_int,eq_c1/2,0))*SIN(PI()/2+(((16+0.5)*(4*IF(circ_int,0,eq_c1/2)+4*IF(circ_int,0,eq_c2/2)+2*PI()*(s_0+1*s_r+IF(circ_int,eq_c1/2,0)))/INDEX(lk_legs,2))-(((2*IF(circ_int,0,eq_c2/2))+(PI()*(s_0+1*s_r+IF(circ_int,eq_c1/2,0))/2))+2*IF(circ_int,0,eq_c1/2)))/(s_0+1*s_r+IF(circ_int,eq_c1/2,0))),IF(((16+0.5)*(4*IF(circ_int,0,eq_c1/2)+4*IF(circ_int,0,eq_c2/2)+2*PI()*(s_0+1*s_r+IF(circ_int,eq_c1/2,0)))/INDEX(lk_legs,2))&lt;(((((2*IF(circ_int,0,eq_c2/2))+(PI()*(s_0+1*s_r+IF(circ_int,eq_c1/2,0))/2))+2*IF(circ_int,0,eq_c1/2))+(PI()*(s_0+1*s_r+IF(circ_int,eq_c1/2,0))/2))+2*IF(circ_int,0,eq_c2/2)),IF(circ_int,0,eq_c2/2)-(((16+0.5)*(4*IF(circ_int,0,eq_c1/2)+4*IF(circ_int,0,eq_c2/2)+2*PI()*(s_0+1*s_r+IF(circ_int,eq_c1/2,0)))/INDEX(lk_legs,2))-((((2*IF(circ_int,0,eq_c2/2))+(PI()*(s_0+1*s_r+IF(circ_int,eq_c1/2,0))/2))+2*IF(circ_int,0,eq_c1/2))+(PI()*(s_0+1*s_r+IF(circ_int,eq_c1/2,0))/2))),IF(((16+0.5)*(4*IF(circ_int,0,eq_c1/2)+4*IF(circ_int,0,eq_c2/2)+2*PI()*(s_0+1*s_r+IF(circ_int,eq_c1/2,0)))/INDEX(lk_legs,2))&lt;((((((2*IF(circ_int,0,eq_c2/2))+(PI()*(s_0+1*s_r+IF(circ_int,eq_c1/2,0))/2))+2*IF(circ_int,0,eq_c1/2))+(PI()*(s_0+1*s_r+IF(circ_int,eq_c1/2,0))/2))+2*IF(circ_int,0,eq_c2/2))+(PI()*(s_0+1*s_r+IF(circ_int,eq_c1/2,0))/2)),-IF(circ_int,0,eq_c2/2)+(s_0+1*s_r+IF(circ_int,eq_c1/2,0))*SIN(PI()+(((16+0.5)*(4*IF(circ_int,0,eq_c1/2)+4*IF(circ_int,0,eq_c2/2)+2*PI()*(s_0+1*s_r+IF(circ_int,eq_c1/2,0)))/INDEX(lk_legs,2))-(((((2*IF(circ_int,0,eq_c2/2))+(PI()*(s_0+1*s_r+IF(circ_int,eq_c1/2,0))/2))+2*IF(circ_int,0,eq_c1/2))+(PI()*(s_0+1*s_r+IF(circ_int,eq_c1/2,0))/2))+2*IF(circ_int,0,eq_c2/2)))/(s_0+1*s_r+IF(circ_int,eq_c1/2,0))),IF(((16+0.5)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(16+0.5)*(4*IF(circ_int,0,eq_c1/2)+4*IF(circ_int,0,eq_c2/2)+2*PI()*(s_0+1*s_r+IF(circ_int,eq_c1/2,0)))/INDEX(lk_legs,2))-(((((((2*IF(circ_int,0,eq_c2/2))+(PI()*(s_0+1*s_r+IF(circ_int,eq_c1/2,0))/2))+2*IF(circ_int,0,eq_c1/2))+(PI()*(s_0+1*s_r+IF(circ_int,eq_c1/2,0))/2))+2*IF(circ_int,0,eq_c2/2))+(PI()*(s_0+1*s_r+IF(circ_int,eq_c1/2,0))/2))+2*IF(circ_int,0,eq_c1/2)))/(s_0+1*s_r+IF(circ_int,eq_c1/2,0)))))))))),NA())</f>
        <v/>
      </c>
      <c r="BI19">
        <f>IF(AND(links_on,3&lt;=n_per),IF(circ_int,(g_ox)+(c_1/2+(s_0+2*s_r))*-0.354605,CHOOSE(INDEX(lk_kind,3),(g_ox-eq_c1/2)+((s_0+2*s_r))*-0.382683,(eq_a1+eq_c1)+((s_0+2*s_r))*0.965926,eq_a1+eq_c1+(s_0+2*s_r),(eq_a1+eq_c1)+((s_0+2*s_r))*0.258819)),NA())</f>
        <v/>
      </c>
      <c r="BJ19">
        <f>IF(AND(links_on,3&lt;=n_per),IF(circ_int,(g_oy)+(c_1/2+(s_0+2*s_r))*0.935016,CHOOSE(INDEX(lk_kind,3),(g_oy+eq_c2/2)+((s_0+2*s_r))*0.923880,(g_oy-eq_c2/2)+((s_0+2*s_r))*-0.258819,0,(eq_a2+eq_c2)+((s_0+2*s_r))*0.965926)),NA())</f>
        <v/>
      </c>
      <c r="BL19">
        <f>IF(AND(AND(links_on,3&lt;=n_per),INDEX(lk_kind,3)=1,16&lt;INDEX(lk_legs,3)),g_ox+IF(((16+0.5)*(4*IF(circ_int,0,eq_c1/2)+4*IF(circ_int,0,eq_c2/2)+2*PI()*(s_0+2*s_r+IF(circ_int,eq_c1/2,0)))/INDEX(lk_legs,3))&lt;(2*IF(circ_int,0,eq_c2/2)),IF(circ_int,0,eq_c1/2)+(s_0+2*s_r+IF(circ_int,eq_c1/2,0)),IF(((16+0.5)*(4*IF(circ_int,0,eq_c1/2)+4*IF(circ_int,0,eq_c2/2)+2*PI()*(s_0+2*s_r+IF(circ_int,eq_c1/2,0)))/INDEX(lk_legs,3))&lt;((2*IF(circ_int,0,eq_c2/2))+(PI()*(s_0+2*s_r+IF(circ_int,eq_c1/2,0))/2)),IF(circ_int,0,eq_c1/2)+(s_0+2*s_r+IF(circ_int,eq_c1/2,0))*COS((((16+0.5)*(4*IF(circ_int,0,eq_c1/2)+4*IF(circ_int,0,eq_c2/2)+2*PI()*(s_0+2*s_r+IF(circ_int,eq_c1/2,0)))/INDEX(lk_legs,3))-(2*IF(circ_int,0,eq_c2/2)))/(s_0+2*s_r+IF(circ_int,eq_c1/2,0))),IF(((16+0.5)*(4*IF(circ_int,0,eq_c1/2)+4*IF(circ_int,0,eq_c2/2)+2*PI()*(s_0+2*s_r+IF(circ_int,eq_c1/2,0)))/INDEX(lk_legs,3))&lt;(((2*IF(circ_int,0,eq_c2/2))+(PI()*(s_0+2*s_r+IF(circ_int,eq_c1/2,0))/2))+2*IF(circ_int,0,eq_c1/2)),IF(circ_int,0,eq_c1/2)-(((16+0.5)*(4*IF(circ_int,0,eq_c1/2)+4*IF(circ_int,0,eq_c2/2)+2*PI()*(s_0+2*s_r+IF(circ_int,eq_c1/2,0)))/INDEX(lk_legs,3))-((2*IF(circ_int,0,eq_c2/2))+(PI()*(s_0+2*s_r+IF(circ_int,eq_c1/2,0))/2))),IF(((16+0.5)*(4*IF(circ_int,0,eq_c1/2)+4*IF(circ_int,0,eq_c2/2)+2*PI()*(s_0+2*s_r+IF(circ_int,eq_c1/2,0)))/INDEX(lk_legs,3))&lt;((((2*IF(circ_int,0,eq_c2/2))+(PI()*(s_0+2*s_r+IF(circ_int,eq_c1/2,0))/2))+2*IF(circ_int,0,eq_c1/2))+(PI()*(s_0+2*s_r+IF(circ_int,eq_c1/2,0))/2)),-IF(circ_int,0,eq_c1/2)+(s_0+2*s_r+IF(circ_int,eq_c1/2,0))*COS(PI()/2+(((16+0.5)*(4*IF(circ_int,0,eq_c1/2)+4*IF(circ_int,0,eq_c2/2)+2*PI()*(s_0+2*s_r+IF(circ_int,eq_c1/2,0)))/INDEX(lk_legs,3))-(((2*IF(circ_int,0,eq_c2/2))+(PI()*(s_0+2*s_r+IF(circ_int,eq_c1/2,0))/2))+2*IF(circ_int,0,eq_c1/2)))/(s_0+2*s_r+IF(circ_int,eq_c1/2,0))),IF(((16+0.5)*(4*IF(circ_int,0,eq_c1/2)+4*IF(circ_int,0,eq_c2/2)+2*PI()*(s_0+2*s_r+IF(circ_int,eq_c1/2,0)))/INDEX(lk_legs,3))&lt;(((((2*IF(circ_int,0,eq_c2/2))+(PI()*(s_0+2*s_r+IF(circ_int,eq_c1/2,0))/2))+2*IF(circ_int,0,eq_c1/2))+(PI()*(s_0+2*s_r+IF(circ_int,eq_c1/2,0))/2))+2*IF(circ_int,0,eq_c2/2)),-IF(circ_int,0,eq_c1/2)-(s_0+2*s_r+IF(circ_int,eq_c1/2,0)),IF(((16+0.5)*(4*IF(circ_int,0,eq_c1/2)+4*IF(circ_int,0,eq_c2/2)+2*PI()*(s_0+2*s_r+IF(circ_int,eq_c1/2,0)))/INDEX(lk_legs,3))&lt;((((((2*IF(circ_int,0,eq_c2/2))+(PI()*(s_0+2*s_r+IF(circ_int,eq_c1/2,0))/2))+2*IF(circ_int,0,eq_c1/2))+(PI()*(s_0+2*s_r+IF(circ_int,eq_c1/2,0))/2))+2*IF(circ_int,0,eq_c2/2))+(PI()*(s_0+2*s_r+IF(circ_int,eq_c1/2,0))/2)),-IF(circ_int,0,eq_c1/2)+(s_0+2*s_r+IF(circ_int,eq_c1/2,0))*COS(PI()+(((16+0.5)*(4*IF(circ_int,0,eq_c1/2)+4*IF(circ_int,0,eq_c2/2)+2*PI()*(s_0+2*s_r+IF(circ_int,eq_c1/2,0)))/INDEX(lk_legs,3))-(((((2*IF(circ_int,0,eq_c2/2))+(PI()*(s_0+2*s_r+IF(circ_int,eq_c1/2,0))/2))+2*IF(circ_int,0,eq_c1/2))+(PI()*(s_0+2*s_r+IF(circ_int,eq_c1/2,0))/2))+2*IF(circ_int,0,eq_c2/2)))/(s_0+2*s_r+IF(circ_int,eq_c1/2,0))),IF(((16+0.5)*(4*IF(circ_int,0,eq_c1/2)+4*IF(circ_int,0,eq_c2/2)+2*PI()*(s_0+2*s_r+IF(circ_int,eq_c1/2,0)))/INDEX(lk_legs,3))&lt;(((((((2*IF(circ_int,0,eq_c2/2))+(PI()*(s_0+2*s_r+IF(circ_int,eq_c1/2,0))/2))+2*IF(circ_int,0,eq_c1/2))+(PI()*(s_0+2*s_r+IF(circ_int,eq_c1/2,0))/2))+2*IF(circ_int,0,eq_c2/2))+(PI()*(s_0+2*s_r+IF(circ_int,eq_c1/2,0))/2))+2*IF(circ_int,0,eq_c1/2)),-IF(circ_int,0,eq_c1/2)+(((16+0.5)*(4*IF(circ_int,0,eq_c1/2)+4*IF(circ_int,0,eq_c2/2)+2*PI()*(s_0+2*s_r+IF(circ_int,eq_c1/2,0)))/INDEX(lk_legs,3))-((((((2*IF(circ_int,0,eq_c2/2))+(PI()*(s_0+2*s_r+IF(circ_int,eq_c1/2,0))/2))+2*IF(circ_int,0,eq_c1/2))+(PI()*(s_0+2*s_r+IF(circ_int,eq_c1/2,0))/2))+2*IF(circ_int,0,eq_c2/2))+(PI()*(s_0+2*s_r+IF(circ_int,eq_c1/2,0))/2))),IF(circ_int,0,eq_c1/2)+(s_0+2*s_r+IF(circ_int,eq_c1/2,0))*COS(3*PI()/2+(((16+0.5)*(4*IF(circ_int,0,eq_c1/2)+4*IF(circ_int,0,eq_c2/2)+2*PI()*(s_0+2*s_r+IF(circ_int,eq_c1/2,0)))/INDEX(lk_legs,3))-(((((((2*IF(circ_int,0,eq_c2/2))+(PI()*(s_0+2*s_r+IF(circ_int,eq_c1/2,0))/2))+2*IF(circ_int,0,eq_c1/2))+(PI()*(s_0+2*s_r+IF(circ_int,eq_c1/2,0))/2))+2*IF(circ_int,0,eq_c2/2))+(PI()*(s_0+2*s_r+IF(circ_int,eq_c1/2,0))/2))+2*IF(circ_int,0,eq_c1/2)))/(s_0+2*s_r+IF(circ_int,eq_c1/2,0)))))))))),NA())</f>
        <v/>
      </c>
      <c r="BM19">
        <f>IF(AND(AND(links_on,3&lt;=n_per),INDEX(lk_kind,3)=1,16&lt;INDEX(lk_legs,3)),g_oy+IF(((16+0.5)*(4*IF(circ_int,0,eq_c1/2)+4*IF(circ_int,0,eq_c2/2)+2*PI()*(s_0+2*s_r+IF(circ_int,eq_c1/2,0)))/INDEX(lk_legs,3))&lt;(2*IF(circ_int,0,eq_c2/2)),-IF(circ_int,0,eq_c2/2)+((16+0.5)*(4*IF(circ_int,0,eq_c1/2)+4*IF(circ_int,0,eq_c2/2)+2*PI()*(s_0+2*s_r+IF(circ_int,eq_c1/2,0)))/INDEX(lk_legs,3)),IF(((16+0.5)*(4*IF(circ_int,0,eq_c1/2)+4*IF(circ_int,0,eq_c2/2)+2*PI()*(s_0+2*s_r+IF(circ_int,eq_c1/2,0)))/INDEX(lk_legs,3))&lt;((2*IF(circ_int,0,eq_c2/2))+(PI()*(s_0+2*s_r+IF(circ_int,eq_c1/2,0))/2)),IF(circ_int,0,eq_c2/2)+(s_0+2*s_r+IF(circ_int,eq_c1/2,0))*SIN((((16+0.5)*(4*IF(circ_int,0,eq_c1/2)+4*IF(circ_int,0,eq_c2/2)+2*PI()*(s_0+2*s_r+IF(circ_int,eq_c1/2,0)))/INDEX(lk_legs,3))-(2*IF(circ_int,0,eq_c2/2)))/(s_0+2*s_r+IF(circ_int,eq_c1/2,0))),IF(((16+0.5)*(4*IF(circ_int,0,eq_c1/2)+4*IF(circ_int,0,eq_c2/2)+2*PI()*(s_0+2*s_r+IF(circ_int,eq_c1/2,0)))/INDEX(lk_legs,3))&lt;(((2*IF(circ_int,0,eq_c2/2))+(PI()*(s_0+2*s_r+IF(circ_int,eq_c1/2,0))/2))+2*IF(circ_int,0,eq_c1/2)),IF(circ_int,0,eq_c2/2)+(s_0+2*s_r+IF(circ_int,eq_c1/2,0)),IF(((16+0.5)*(4*IF(circ_int,0,eq_c1/2)+4*IF(circ_int,0,eq_c2/2)+2*PI()*(s_0+2*s_r+IF(circ_int,eq_c1/2,0)))/INDEX(lk_legs,3))&lt;((((2*IF(circ_int,0,eq_c2/2))+(PI()*(s_0+2*s_r+IF(circ_int,eq_c1/2,0))/2))+2*IF(circ_int,0,eq_c1/2))+(PI()*(s_0+2*s_r+IF(circ_int,eq_c1/2,0))/2)),IF(circ_int,0,eq_c2/2)+(s_0+2*s_r+IF(circ_int,eq_c1/2,0))*SIN(PI()/2+(((16+0.5)*(4*IF(circ_int,0,eq_c1/2)+4*IF(circ_int,0,eq_c2/2)+2*PI()*(s_0+2*s_r+IF(circ_int,eq_c1/2,0)))/INDEX(lk_legs,3))-(((2*IF(circ_int,0,eq_c2/2))+(PI()*(s_0+2*s_r+IF(circ_int,eq_c1/2,0))/2))+2*IF(circ_int,0,eq_c1/2)))/(s_0+2*s_r+IF(circ_int,eq_c1/2,0))),IF(((16+0.5)*(4*IF(circ_int,0,eq_c1/2)+4*IF(circ_int,0,eq_c2/2)+2*PI()*(s_0+2*s_r+IF(circ_int,eq_c1/2,0)))/INDEX(lk_legs,3))&lt;(((((2*IF(circ_int,0,eq_c2/2))+(PI()*(s_0+2*s_r+IF(circ_int,eq_c1/2,0))/2))+2*IF(circ_int,0,eq_c1/2))+(PI()*(s_0+2*s_r+IF(circ_int,eq_c1/2,0))/2))+2*IF(circ_int,0,eq_c2/2)),IF(circ_int,0,eq_c2/2)-(((16+0.5)*(4*IF(circ_int,0,eq_c1/2)+4*IF(circ_int,0,eq_c2/2)+2*PI()*(s_0+2*s_r+IF(circ_int,eq_c1/2,0)))/INDEX(lk_legs,3))-((((2*IF(circ_int,0,eq_c2/2))+(PI()*(s_0+2*s_r+IF(circ_int,eq_c1/2,0))/2))+2*IF(circ_int,0,eq_c1/2))+(PI()*(s_0+2*s_r+IF(circ_int,eq_c1/2,0))/2))),IF(((16+0.5)*(4*IF(circ_int,0,eq_c1/2)+4*IF(circ_int,0,eq_c2/2)+2*PI()*(s_0+2*s_r+IF(circ_int,eq_c1/2,0)))/INDEX(lk_legs,3))&lt;((((((2*IF(circ_int,0,eq_c2/2))+(PI()*(s_0+2*s_r+IF(circ_int,eq_c1/2,0))/2))+2*IF(circ_int,0,eq_c1/2))+(PI()*(s_0+2*s_r+IF(circ_int,eq_c1/2,0))/2))+2*IF(circ_int,0,eq_c2/2))+(PI()*(s_0+2*s_r+IF(circ_int,eq_c1/2,0))/2)),-IF(circ_int,0,eq_c2/2)+(s_0+2*s_r+IF(circ_int,eq_c1/2,0))*SIN(PI()+(((16+0.5)*(4*IF(circ_int,0,eq_c1/2)+4*IF(circ_int,0,eq_c2/2)+2*PI()*(s_0+2*s_r+IF(circ_int,eq_c1/2,0)))/INDEX(lk_legs,3))-(((((2*IF(circ_int,0,eq_c2/2))+(PI()*(s_0+2*s_r+IF(circ_int,eq_c1/2,0))/2))+2*IF(circ_int,0,eq_c1/2))+(PI()*(s_0+2*s_r+IF(circ_int,eq_c1/2,0))/2))+2*IF(circ_int,0,eq_c2/2)))/(s_0+2*s_r+IF(circ_int,eq_c1/2,0))),IF(((16+0.5)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(16+0.5)*(4*IF(circ_int,0,eq_c1/2)+4*IF(circ_int,0,eq_c2/2)+2*PI()*(s_0+2*s_r+IF(circ_int,eq_c1/2,0)))/INDEX(lk_legs,3))-(((((((2*IF(circ_int,0,eq_c2/2))+(PI()*(s_0+2*s_r+IF(circ_int,eq_c1/2,0))/2))+2*IF(circ_int,0,eq_c1/2))+(PI()*(s_0+2*s_r+IF(circ_int,eq_c1/2,0))/2))+2*IF(circ_int,0,eq_c2/2))+(PI()*(s_0+2*s_r+IF(circ_int,eq_c1/2,0))/2))+2*IF(circ_int,0,eq_c1/2)))/(s_0+2*s_r+IF(circ_int,eq_c1/2,0)))))))))),NA())</f>
        <v/>
      </c>
      <c r="BO19">
        <f>IF(AND(links_on,4&lt;=n_per),IF(circ_int,(g_ox)+(c_1/2+(s_0+3*s_r))*-0.354605,CHOOSE(INDEX(lk_kind,4),(g_ox-eq_c1/2)+((s_0+3*s_r))*-0.382683,(eq_a1+eq_c1)+((s_0+3*s_r))*0.965926,eq_a1+eq_c1+(s_0+3*s_r),(eq_a1+eq_c1)+((s_0+3*s_r))*0.258819)),NA())</f>
        <v/>
      </c>
      <c r="BP19">
        <f>IF(AND(links_on,4&lt;=n_per),IF(circ_int,(g_oy)+(c_1/2+(s_0+3*s_r))*0.935016,CHOOSE(INDEX(lk_kind,4),(g_oy+eq_c2/2)+((s_0+3*s_r))*0.923880,(g_oy-eq_c2/2)+((s_0+3*s_r))*-0.258819,0,(eq_a2+eq_c2)+((s_0+3*s_r))*0.965926)),NA())</f>
        <v/>
      </c>
      <c r="BR19">
        <f>IF(AND(AND(links_on,4&lt;=n_per),INDEX(lk_kind,4)=1,16&lt;INDEX(lk_legs,4)),g_ox+IF(((16+0.5)*(4*IF(circ_int,0,eq_c1/2)+4*IF(circ_int,0,eq_c2/2)+2*PI()*(s_0+3*s_r+IF(circ_int,eq_c1/2,0)))/INDEX(lk_legs,4))&lt;(2*IF(circ_int,0,eq_c2/2)),IF(circ_int,0,eq_c1/2)+(s_0+3*s_r+IF(circ_int,eq_c1/2,0)),IF(((16+0.5)*(4*IF(circ_int,0,eq_c1/2)+4*IF(circ_int,0,eq_c2/2)+2*PI()*(s_0+3*s_r+IF(circ_int,eq_c1/2,0)))/INDEX(lk_legs,4))&lt;((2*IF(circ_int,0,eq_c2/2))+(PI()*(s_0+3*s_r+IF(circ_int,eq_c1/2,0))/2)),IF(circ_int,0,eq_c1/2)+(s_0+3*s_r+IF(circ_int,eq_c1/2,0))*COS((((16+0.5)*(4*IF(circ_int,0,eq_c1/2)+4*IF(circ_int,0,eq_c2/2)+2*PI()*(s_0+3*s_r+IF(circ_int,eq_c1/2,0)))/INDEX(lk_legs,4))-(2*IF(circ_int,0,eq_c2/2)))/(s_0+3*s_r+IF(circ_int,eq_c1/2,0))),IF(((16+0.5)*(4*IF(circ_int,0,eq_c1/2)+4*IF(circ_int,0,eq_c2/2)+2*PI()*(s_0+3*s_r+IF(circ_int,eq_c1/2,0)))/INDEX(lk_legs,4))&lt;(((2*IF(circ_int,0,eq_c2/2))+(PI()*(s_0+3*s_r+IF(circ_int,eq_c1/2,0))/2))+2*IF(circ_int,0,eq_c1/2)),IF(circ_int,0,eq_c1/2)-(((16+0.5)*(4*IF(circ_int,0,eq_c1/2)+4*IF(circ_int,0,eq_c2/2)+2*PI()*(s_0+3*s_r+IF(circ_int,eq_c1/2,0)))/INDEX(lk_legs,4))-((2*IF(circ_int,0,eq_c2/2))+(PI()*(s_0+3*s_r+IF(circ_int,eq_c1/2,0))/2))),IF(((16+0.5)*(4*IF(circ_int,0,eq_c1/2)+4*IF(circ_int,0,eq_c2/2)+2*PI()*(s_0+3*s_r+IF(circ_int,eq_c1/2,0)))/INDEX(lk_legs,4))&lt;((((2*IF(circ_int,0,eq_c2/2))+(PI()*(s_0+3*s_r+IF(circ_int,eq_c1/2,0))/2))+2*IF(circ_int,0,eq_c1/2))+(PI()*(s_0+3*s_r+IF(circ_int,eq_c1/2,0))/2)),-IF(circ_int,0,eq_c1/2)+(s_0+3*s_r+IF(circ_int,eq_c1/2,0))*COS(PI()/2+(((16+0.5)*(4*IF(circ_int,0,eq_c1/2)+4*IF(circ_int,0,eq_c2/2)+2*PI()*(s_0+3*s_r+IF(circ_int,eq_c1/2,0)))/INDEX(lk_legs,4))-(((2*IF(circ_int,0,eq_c2/2))+(PI()*(s_0+3*s_r+IF(circ_int,eq_c1/2,0))/2))+2*IF(circ_int,0,eq_c1/2)))/(s_0+3*s_r+IF(circ_int,eq_c1/2,0))),IF(((16+0.5)*(4*IF(circ_int,0,eq_c1/2)+4*IF(circ_int,0,eq_c2/2)+2*PI()*(s_0+3*s_r+IF(circ_int,eq_c1/2,0)))/INDEX(lk_legs,4))&lt;(((((2*IF(circ_int,0,eq_c2/2))+(PI()*(s_0+3*s_r+IF(circ_int,eq_c1/2,0))/2))+2*IF(circ_int,0,eq_c1/2))+(PI()*(s_0+3*s_r+IF(circ_int,eq_c1/2,0))/2))+2*IF(circ_int,0,eq_c2/2)),-IF(circ_int,0,eq_c1/2)-(s_0+3*s_r+IF(circ_int,eq_c1/2,0)),IF(((16+0.5)*(4*IF(circ_int,0,eq_c1/2)+4*IF(circ_int,0,eq_c2/2)+2*PI()*(s_0+3*s_r+IF(circ_int,eq_c1/2,0)))/INDEX(lk_legs,4))&lt;((((((2*IF(circ_int,0,eq_c2/2))+(PI()*(s_0+3*s_r+IF(circ_int,eq_c1/2,0))/2))+2*IF(circ_int,0,eq_c1/2))+(PI()*(s_0+3*s_r+IF(circ_int,eq_c1/2,0))/2))+2*IF(circ_int,0,eq_c2/2))+(PI()*(s_0+3*s_r+IF(circ_int,eq_c1/2,0))/2)),-IF(circ_int,0,eq_c1/2)+(s_0+3*s_r+IF(circ_int,eq_c1/2,0))*COS(PI()+(((16+0.5)*(4*IF(circ_int,0,eq_c1/2)+4*IF(circ_int,0,eq_c2/2)+2*PI()*(s_0+3*s_r+IF(circ_int,eq_c1/2,0)))/INDEX(lk_legs,4))-(((((2*IF(circ_int,0,eq_c2/2))+(PI()*(s_0+3*s_r+IF(circ_int,eq_c1/2,0))/2))+2*IF(circ_int,0,eq_c1/2))+(PI()*(s_0+3*s_r+IF(circ_int,eq_c1/2,0))/2))+2*IF(circ_int,0,eq_c2/2)))/(s_0+3*s_r+IF(circ_int,eq_c1/2,0))),IF(((16+0.5)*(4*IF(circ_int,0,eq_c1/2)+4*IF(circ_int,0,eq_c2/2)+2*PI()*(s_0+3*s_r+IF(circ_int,eq_c1/2,0)))/INDEX(lk_legs,4))&lt;(((((((2*IF(circ_int,0,eq_c2/2))+(PI()*(s_0+3*s_r+IF(circ_int,eq_c1/2,0))/2))+2*IF(circ_int,0,eq_c1/2))+(PI()*(s_0+3*s_r+IF(circ_int,eq_c1/2,0))/2))+2*IF(circ_int,0,eq_c2/2))+(PI()*(s_0+3*s_r+IF(circ_int,eq_c1/2,0))/2))+2*IF(circ_int,0,eq_c1/2)),-IF(circ_int,0,eq_c1/2)+(((16+0.5)*(4*IF(circ_int,0,eq_c1/2)+4*IF(circ_int,0,eq_c2/2)+2*PI()*(s_0+3*s_r+IF(circ_int,eq_c1/2,0)))/INDEX(lk_legs,4))-((((((2*IF(circ_int,0,eq_c2/2))+(PI()*(s_0+3*s_r+IF(circ_int,eq_c1/2,0))/2))+2*IF(circ_int,0,eq_c1/2))+(PI()*(s_0+3*s_r+IF(circ_int,eq_c1/2,0))/2))+2*IF(circ_int,0,eq_c2/2))+(PI()*(s_0+3*s_r+IF(circ_int,eq_c1/2,0))/2))),IF(circ_int,0,eq_c1/2)+(s_0+3*s_r+IF(circ_int,eq_c1/2,0))*COS(3*PI()/2+(((16+0.5)*(4*IF(circ_int,0,eq_c1/2)+4*IF(circ_int,0,eq_c2/2)+2*PI()*(s_0+3*s_r+IF(circ_int,eq_c1/2,0)))/INDEX(lk_legs,4))-(((((((2*IF(circ_int,0,eq_c2/2))+(PI()*(s_0+3*s_r+IF(circ_int,eq_c1/2,0))/2))+2*IF(circ_int,0,eq_c1/2))+(PI()*(s_0+3*s_r+IF(circ_int,eq_c1/2,0))/2))+2*IF(circ_int,0,eq_c2/2))+(PI()*(s_0+3*s_r+IF(circ_int,eq_c1/2,0))/2))+2*IF(circ_int,0,eq_c1/2)))/(s_0+3*s_r+IF(circ_int,eq_c1/2,0)))))))))),NA())</f>
        <v/>
      </c>
      <c r="BS19">
        <f>IF(AND(AND(links_on,4&lt;=n_per),INDEX(lk_kind,4)=1,16&lt;INDEX(lk_legs,4)),g_oy+IF(((16+0.5)*(4*IF(circ_int,0,eq_c1/2)+4*IF(circ_int,0,eq_c2/2)+2*PI()*(s_0+3*s_r+IF(circ_int,eq_c1/2,0)))/INDEX(lk_legs,4))&lt;(2*IF(circ_int,0,eq_c2/2)),-IF(circ_int,0,eq_c2/2)+((16+0.5)*(4*IF(circ_int,0,eq_c1/2)+4*IF(circ_int,0,eq_c2/2)+2*PI()*(s_0+3*s_r+IF(circ_int,eq_c1/2,0)))/INDEX(lk_legs,4)),IF(((16+0.5)*(4*IF(circ_int,0,eq_c1/2)+4*IF(circ_int,0,eq_c2/2)+2*PI()*(s_0+3*s_r+IF(circ_int,eq_c1/2,0)))/INDEX(lk_legs,4))&lt;((2*IF(circ_int,0,eq_c2/2))+(PI()*(s_0+3*s_r+IF(circ_int,eq_c1/2,0))/2)),IF(circ_int,0,eq_c2/2)+(s_0+3*s_r+IF(circ_int,eq_c1/2,0))*SIN((((16+0.5)*(4*IF(circ_int,0,eq_c1/2)+4*IF(circ_int,0,eq_c2/2)+2*PI()*(s_0+3*s_r+IF(circ_int,eq_c1/2,0)))/INDEX(lk_legs,4))-(2*IF(circ_int,0,eq_c2/2)))/(s_0+3*s_r+IF(circ_int,eq_c1/2,0))),IF(((16+0.5)*(4*IF(circ_int,0,eq_c1/2)+4*IF(circ_int,0,eq_c2/2)+2*PI()*(s_0+3*s_r+IF(circ_int,eq_c1/2,0)))/INDEX(lk_legs,4))&lt;(((2*IF(circ_int,0,eq_c2/2))+(PI()*(s_0+3*s_r+IF(circ_int,eq_c1/2,0))/2))+2*IF(circ_int,0,eq_c1/2)),IF(circ_int,0,eq_c2/2)+(s_0+3*s_r+IF(circ_int,eq_c1/2,0)),IF(((16+0.5)*(4*IF(circ_int,0,eq_c1/2)+4*IF(circ_int,0,eq_c2/2)+2*PI()*(s_0+3*s_r+IF(circ_int,eq_c1/2,0)))/INDEX(lk_legs,4))&lt;((((2*IF(circ_int,0,eq_c2/2))+(PI()*(s_0+3*s_r+IF(circ_int,eq_c1/2,0))/2))+2*IF(circ_int,0,eq_c1/2))+(PI()*(s_0+3*s_r+IF(circ_int,eq_c1/2,0))/2)),IF(circ_int,0,eq_c2/2)+(s_0+3*s_r+IF(circ_int,eq_c1/2,0))*SIN(PI()/2+(((16+0.5)*(4*IF(circ_int,0,eq_c1/2)+4*IF(circ_int,0,eq_c2/2)+2*PI()*(s_0+3*s_r+IF(circ_int,eq_c1/2,0)))/INDEX(lk_legs,4))-(((2*IF(circ_int,0,eq_c2/2))+(PI()*(s_0+3*s_r+IF(circ_int,eq_c1/2,0))/2))+2*IF(circ_int,0,eq_c1/2)))/(s_0+3*s_r+IF(circ_int,eq_c1/2,0))),IF(((16+0.5)*(4*IF(circ_int,0,eq_c1/2)+4*IF(circ_int,0,eq_c2/2)+2*PI()*(s_0+3*s_r+IF(circ_int,eq_c1/2,0)))/INDEX(lk_legs,4))&lt;(((((2*IF(circ_int,0,eq_c2/2))+(PI()*(s_0+3*s_r+IF(circ_int,eq_c1/2,0))/2))+2*IF(circ_int,0,eq_c1/2))+(PI()*(s_0+3*s_r+IF(circ_int,eq_c1/2,0))/2))+2*IF(circ_int,0,eq_c2/2)),IF(circ_int,0,eq_c2/2)-(((16+0.5)*(4*IF(circ_int,0,eq_c1/2)+4*IF(circ_int,0,eq_c2/2)+2*PI()*(s_0+3*s_r+IF(circ_int,eq_c1/2,0)))/INDEX(lk_legs,4))-((((2*IF(circ_int,0,eq_c2/2))+(PI()*(s_0+3*s_r+IF(circ_int,eq_c1/2,0))/2))+2*IF(circ_int,0,eq_c1/2))+(PI()*(s_0+3*s_r+IF(circ_int,eq_c1/2,0))/2))),IF(((16+0.5)*(4*IF(circ_int,0,eq_c1/2)+4*IF(circ_int,0,eq_c2/2)+2*PI()*(s_0+3*s_r+IF(circ_int,eq_c1/2,0)))/INDEX(lk_legs,4))&lt;((((((2*IF(circ_int,0,eq_c2/2))+(PI()*(s_0+3*s_r+IF(circ_int,eq_c1/2,0))/2))+2*IF(circ_int,0,eq_c1/2))+(PI()*(s_0+3*s_r+IF(circ_int,eq_c1/2,0))/2))+2*IF(circ_int,0,eq_c2/2))+(PI()*(s_0+3*s_r+IF(circ_int,eq_c1/2,0))/2)),-IF(circ_int,0,eq_c2/2)+(s_0+3*s_r+IF(circ_int,eq_c1/2,0))*SIN(PI()+(((16+0.5)*(4*IF(circ_int,0,eq_c1/2)+4*IF(circ_int,0,eq_c2/2)+2*PI()*(s_0+3*s_r+IF(circ_int,eq_c1/2,0)))/INDEX(lk_legs,4))-(((((2*IF(circ_int,0,eq_c2/2))+(PI()*(s_0+3*s_r+IF(circ_int,eq_c1/2,0))/2))+2*IF(circ_int,0,eq_c1/2))+(PI()*(s_0+3*s_r+IF(circ_int,eq_c1/2,0))/2))+2*IF(circ_int,0,eq_c2/2)))/(s_0+3*s_r+IF(circ_int,eq_c1/2,0))),IF(((16+0.5)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(16+0.5)*(4*IF(circ_int,0,eq_c1/2)+4*IF(circ_int,0,eq_c2/2)+2*PI()*(s_0+3*s_r+IF(circ_int,eq_c1/2,0)))/INDEX(lk_legs,4))-(((((((2*IF(circ_int,0,eq_c2/2))+(PI()*(s_0+3*s_r+IF(circ_int,eq_c1/2,0))/2))+2*IF(circ_int,0,eq_c1/2))+(PI()*(s_0+3*s_r+IF(circ_int,eq_c1/2,0))/2))+2*IF(circ_int,0,eq_c2/2))+(PI()*(s_0+3*s_r+IF(circ_int,eq_c1/2,0))/2))+2*IF(circ_int,0,eq_c1/2)))/(s_0+3*s_r+IF(circ_int,eq_c1/2,0)))))))))),NA())</f>
        <v/>
      </c>
      <c r="BU19">
        <f>IF(AND(links_on,5&lt;=n_per),IF(circ_int,(g_ox)+(c_1/2+(s_0+4*s_r))*-0.354605,CHOOSE(INDEX(lk_kind,5),(g_ox-eq_c1/2)+((s_0+4*s_r))*-0.382683,(eq_a1+eq_c1)+((s_0+4*s_r))*0.965926,eq_a1+eq_c1+(s_0+4*s_r),(eq_a1+eq_c1)+((s_0+4*s_r))*0.258819)),NA())</f>
        <v/>
      </c>
      <c r="BV19">
        <f>IF(AND(links_on,5&lt;=n_per),IF(circ_int,(g_oy)+(c_1/2+(s_0+4*s_r))*0.935016,CHOOSE(INDEX(lk_kind,5),(g_oy+eq_c2/2)+((s_0+4*s_r))*0.923880,(g_oy-eq_c2/2)+((s_0+4*s_r))*-0.258819,0,(eq_a2+eq_c2)+((s_0+4*s_r))*0.965926)),NA())</f>
        <v/>
      </c>
      <c r="BX19">
        <f>IF(AND(AND(links_on,5&lt;=n_per),INDEX(lk_kind,5)=1,16&lt;INDEX(lk_legs,5)),g_ox+IF(((16+0.5)*(4*IF(circ_int,0,eq_c1/2)+4*IF(circ_int,0,eq_c2/2)+2*PI()*(s_0+4*s_r+IF(circ_int,eq_c1/2,0)))/INDEX(lk_legs,5))&lt;(2*IF(circ_int,0,eq_c2/2)),IF(circ_int,0,eq_c1/2)+(s_0+4*s_r+IF(circ_int,eq_c1/2,0)),IF(((16+0.5)*(4*IF(circ_int,0,eq_c1/2)+4*IF(circ_int,0,eq_c2/2)+2*PI()*(s_0+4*s_r+IF(circ_int,eq_c1/2,0)))/INDEX(lk_legs,5))&lt;((2*IF(circ_int,0,eq_c2/2))+(PI()*(s_0+4*s_r+IF(circ_int,eq_c1/2,0))/2)),IF(circ_int,0,eq_c1/2)+(s_0+4*s_r+IF(circ_int,eq_c1/2,0))*COS((((16+0.5)*(4*IF(circ_int,0,eq_c1/2)+4*IF(circ_int,0,eq_c2/2)+2*PI()*(s_0+4*s_r+IF(circ_int,eq_c1/2,0)))/INDEX(lk_legs,5))-(2*IF(circ_int,0,eq_c2/2)))/(s_0+4*s_r+IF(circ_int,eq_c1/2,0))),IF(((16+0.5)*(4*IF(circ_int,0,eq_c1/2)+4*IF(circ_int,0,eq_c2/2)+2*PI()*(s_0+4*s_r+IF(circ_int,eq_c1/2,0)))/INDEX(lk_legs,5))&lt;(((2*IF(circ_int,0,eq_c2/2))+(PI()*(s_0+4*s_r+IF(circ_int,eq_c1/2,0))/2))+2*IF(circ_int,0,eq_c1/2)),IF(circ_int,0,eq_c1/2)-(((16+0.5)*(4*IF(circ_int,0,eq_c1/2)+4*IF(circ_int,0,eq_c2/2)+2*PI()*(s_0+4*s_r+IF(circ_int,eq_c1/2,0)))/INDEX(lk_legs,5))-((2*IF(circ_int,0,eq_c2/2))+(PI()*(s_0+4*s_r+IF(circ_int,eq_c1/2,0))/2))),IF(((16+0.5)*(4*IF(circ_int,0,eq_c1/2)+4*IF(circ_int,0,eq_c2/2)+2*PI()*(s_0+4*s_r+IF(circ_int,eq_c1/2,0)))/INDEX(lk_legs,5))&lt;((((2*IF(circ_int,0,eq_c2/2))+(PI()*(s_0+4*s_r+IF(circ_int,eq_c1/2,0))/2))+2*IF(circ_int,0,eq_c1/2))+(PI()*(s_0+4*s_r+IF(circ_int,eq_c1/2,0))/2)),-IF(circ_int,0,eq_c1/2)+(s_0+4*s_r+IF(circ_int,eq_c1/2,0))*COS(PI()/2+(((16+0.5)*(4*IF(circ_int,0,eq_c1/2)+4*IF(circ_int,0,eq_c2/2)+2*PI()*(s_0+4*s_r+IF(circ_int,eq_c1/2,0)))/INDEX(lk_legs,5))-(((2*IF(circ_int,0,eq_c2/2))+(PI()*(s_0+4*s_r+IF(circ_int,eq_c1/2,0))/2))+2*IF(circ_int,0,eq_c1/2)))/(s_0+4*s_r+IF(circ_int,eq_c1/2,0))),IF(((16+0.5)*(4*IF(circ_int,0,eq_c1/2)+4*IF(circ_int,0,eq_c2/2)+2*PI()*(s_0+4*s_r+IF(circ_int,eq_c1/2,0)))/INDEX(lk_legs,5))&lt;(((((2*IF(circ_int,0,eq_c2/2))+(PI()*(s_0+4*s_r+IF(circ_int,eq_c1/2,0))/2))+2*IF(circ_int,0,eq_c1/2))+(PI()*(s_0+4*s_r+IF(circ_int,eq_c1/2,0))/2))+2*IF(circ_int,0,eq_c2/2)),-IF(circ_int,0,eq_c1/2)-(s_0+4*s_r+IF(circ_int,eq_c1/2,0)),IF(((16+0.5)*(4*IF(circ_int,0,eq_c1/2)+4*IF(circ_int,0,eq_c2/2)+2*PI()*(s_0+4*s_r+IF(circ_int,eq_c1/2,0)))/INDEX(lk_legs,5))&lt;((((((2*IF(circ_int,0,eq_c2/2))+(PI()*(s_0+4*s_r+IF(circ_int,eq_c1/2,0))/2))+2*IF(circ_int,0,eq_c1/2))+(PI()*(s_0+4*s_r+IF(circ_int,eq_c1/2,0))/2))+2*IF(circ_int,0,eq_c2/2))+(PI()*(s_0+4*s_r+IF(circ_int,eq_c1/2,0))/2)),-IF(circ_int,0,eq_c1/2)+(s_0+4*s_r+IF(circ_int,eq_c1/2,0))*COS(PI()+(((16+0.5)*(4*IF(circ_int,0,eq_c1/2)+4*IF(circ_int,0,eq_c2/2)+2*PI()*(s_0+4*s_r+IF(circ_int,eq_c1/2,0)))/INDEX(lk_legs,5))-(((((2*IF(circ_int,0,eq_c2/2))+(PI()*(s_0+4*s_r+IF(circ_int,eq_c1/2,0))/2))+2*IF(circ_int,0,eq_c1/2))+(PI()*(s_0+4*s_r+IF(circ_int,eq_c1/2,0))/2))+2*IF(circ_int,0,eq_c2/2)))/(s_0+4*s_r+IF(circ_int,eq_c1/2,0))),IF(((16+0.5)*(4*IF(circ_int,0,eq_c1/2)+4*IF(circ_int,0,eq_c2/2)+2*PI()*(s_0+4*s_r+IF(circ_int,eq_c1/2,0)))/INDEX(lk_legs,5))&lt;(((((((2*IF(circ_int,0,eq_c2/2))+(PI()*(s_0+4*s_r+IF(circ_int,eq_c1/2,0))/2))+2*IF(circ_int,0,eq_c1/2))+(PI()*(s_0+4*s_r+IF(circ_int,eq_c1/2,0))/2))+2*IF(circ_int,0,eq_c2/2))+(PI()*(s_0+4*s_r+IF(circ_int,eq_c1/2,0))/2))+2*IF(circ_int,0,eq_c1/2)),-IF(circ_int,0,eq_c1/2)+(((16+0.5)*(4*IF(circ_int,0,eq_c1/2)+4*IF(circ_int,0,eq_c2/2)+2*PI()*(s_0+4*s_r+IF(circ_int,eq_c1/2,0)))/INDEX(lk_legs,5))-((((((2*IF(circ_int,0,eq_c2/2))+(PI()*(s_0+4*s_r+IF(circ_int,eq_c1/2,0))/2))+2*IF(circ_int,0,eq_c1/2))+(PI()*(s_0+4*s_r+IF(circ_int,eq_c1/2,0))/2))+2*IF(circ_int,0,eq_c2/2))+(PI()*(s_0+4*s_r+IF(circ_int,eq_c1/2,0))/2))),IF(circ_int,0,eq_c1/2)+(s_0+4*s_r+IF(circ_int,eq_c1/2,0))*COS(3*PI()/2+(((16+0.5)*(4*IF(circ_int,0,eq_c1/2)+4*IF(circ_int,0,eq_c2/2)+2*PI()*(s_0+4*s_r+IF(circ_int,eq_c1/2,0)))/INDEX(lk_legs,5))-(((((((2*IF(circ_int,0,eq_c2/2))+(PI()*(s_0+4*s_r+IF(circ_int,eq_c1/2,0))/2))+2*IF(circ_int,0,eq_c1/2))+(PI()*(s_0+4*s_r+IF(circ_int,eq_c1/2,0))/2))+2*IF(circ_int,0,eq_c2/2))+(PI()*(s_0+4*s_r+IF(circ_int,eq_c1/2,0))/2))+2*IF(circ_int,0,eq_c1/2)))/(s_0+4*s_r+IF(circ_int,eq_c1/2,0)))))))))),NA())</f>
        <v/>
      </c>
      <c r="BY19">
        <f>IF(AND(AND(links_on,5&lt;=n_per),INDEX(lk_kind,5)=1,16&lt;INDEX(lk_legs,5)),g_oy+IF(((16+0.5)*(4*IF(circ_int,0,eq_c1/2)+4*IF(circ_int,0,eq_c2/2)+2*PI()*(s_0+4*s_r+IF(circ_int,eq_c1/2,0)))/INDEX(lk_legs,5))&lt;(2*IF(circ_int,0,eq_c2/2)),-IF(circ_int,0,eq_c2/2)+((16+0.5)*(4*IF(circ_int,0,eq_c1/2)+4*IF(circ_int,0,eq_c2/2)+2*PI()*(s_0+4*s_r+IF(circ_int,eq_c1/2,0)))/INDEX(lk_legs,5)),IF(((16+0.5)*(4*IF(circ_int,0,eq_c1/2)+4*IF(circ_int,0,eq_c2/2)+2*PI()*(s_0+4*s_r+IF(circ_int,eq_c1/2,0)))/INDEX(lk_legs,5))&lt;((2*IF(circ_int,0,eq_c2/2))+(PI()*(s_0+4*s_r+IF(circ_int,eq_c1/2,0))/2)),IF(circ_int,0,eq_c2/2)+(s_0+4*s_r+IF(circ_int,eq_c1/2,0))*SIN((((16+0.5)*(4*IF(circ_int,0,eq_c1/2)+4*IF(circ_int,0,eq_c2/2)+2*PI()*(s_0+4*s_r+IF(circ_int,eq_c1/2,0)))/INDEX(lk_legs,5))-(2*IF(circ_int,0,eq_c2/2)))/(s_0+4*s_r+IF(circ_int,eq_c1/2,0))),IF(((16+0.5)*(4*IF(circ_int,0,eq_c1/2)+4*IF(circ_int,0,eq_c2/2)+2*PI()*(s_0+4*s_r+IF(circ_int,eq_c1/2,0)))/INDEX(lk_legs,5))&lt;(((2*IF(circ_int,0,eq_c2/2))+(PI()*(s_0+4*s_r+IF(circ_int,eq_c1/2,0))/2))+2*IF(circ_int,0,eq_c1/2)),IF(circ_int,0,eq_c2/2)+(s_0+4*s_r+IF(circ_int,eq_c1/2,0)),IF(((16+0.5)*(4*IF(circ_int,0,eq_c1/2)+4*IF(circ_int,0,eq_c2/2)+2*PI()*(s_0+4*s_r+IF(circ_int,eq_c1/2,0)))/INDEX(lk_legs,5))&lt;((((2*IF(circ_int,0,eq_c2/2))+(PI()*(s_0+4*s_r+IF(circ_int,eq_c1/2,0))/2))+2*IF(circ_int,0,eq_c1/2))+(PI()*(s_0+4*s_r+IF(circ_int,eq_c1/2,0))/2)),IF(circ_int,0,eq_c2/2)+(s_0+4*s_r+IF(circ_int,eq_c1/2,0))*SIN(PI()/2+(((16+0.5)*(4*IF(circ_int,0,eq_c1/2)+4*IF(circ_int,0,eq_c2/2)+2*PI()*(s_0+4*s_r+IF(circ_int,eq_c1/2,0)))/INDEX(lk_legs,5))-(((2*IF(circ_int,0,eq_c2/2))+(PI()*(s_0+4*s_r+IF(circ_int,eq_c1/2,0))/2))+2*IF(circ_int,0,eq_c1/2)))/(s_0+4*s_r+IF(circ_int,eq_c1/2,0))),IF(((16+0.5)*(4*IF(circ_int,0,eq_c1/2)+4*IF(circ_int,0,eq_c2/2)+2*PI()*(s_0+4*s_r+IF(circ_int,eq_c1/2,0)))/INDEX(lk_legs,5))&lt;(((((2*IF(circ_int,0,eq_c2/2))+(PI()*(s_0+4*s_r+IF(circ_int,eq_c1/2,0))/2))+2*IF(circ_int,0,eq_c1/2))+(PI()*(s_0+4*s_r+IF(circ_int,eq_c1/2,0))/2))+2*IF(circ_int,0,eq_c2/2)),IF(circ_int,0,eq_c2/2)-(((16+0.5)*(4*IF(circ_int,0,eq_c1/2)+4*IF(circ_int,0,eq_c2/2)+2*PI()*(s_0+4*s_r+IF(circ_int,eq_c1/2,0)))/INDEX(lk_legs,5))-((((2*IF(circ_int,0,eq_c2/2))+(PI()*(s_0+4*s_r+IF(circ_int,eq_c1/2,0))/2))+2*IF(circ_int,0,eq_c1/2))+(PI()*(s_0+4*s_r+IF(circ_int,eq_c1/2,0))/2))),IF(((16+0.5)*(4*IF(circ_int,0,eq_c1/2)+4*IF(circ_int,0,eq_c2/2)+2*PI()*(s_0+4*s_r+IF(circ_int,eq_c1/2,0)))/INDEX(lk_legs,5))&lt;((((((2*IF(circ_int,0,eq_c2/2))+(PI()*(s_0+4*s_r+IF(circ_int,eq_c1/2,0))/2))+2*IF(circ_int,0,eq_c1/2))+(PI()*(s_0+4*s_r+IF(circ_int,eq_c1/2,0))/2))+2*IF(circ_int,0,eq_c2/2))+(PI()*(s_0+4*s_r+IF(circ_int,eq_c1/2,0))/2)),-IF(circ_int,0,eq_c2/2)+(s_0+4*s_r+IF(circ_int,eq_c1/2,0))*SIN(PI()+(((16+0.5)*(4*IF(circ_int,0,eq_c1/2)+4*IF(circ_int,0,eq_c2/2)+2*PI()*(s_0+4*s_r+IF(circ_int,eq_c1/2,0)))/INDEX(lk_legs,5))-(((((2*IF(circ_int,0,eq_c2/2))+(PI()*(s_0+4*s_r+IF(circ_int,eq_c1/2,0))/2))+2*IF(circ_int,0,eq_c1/2))+(PI()*(s_0+4*s_r+IF(circ_int,eq_c1/2,0))/2))+2*IF(circ_int,0,eq_c2/2)))/(s_0+4*s_r+IF(circ_int,eq_c1/2,0))),IF(((16+0.5)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(16+0.5)*(4*IF(circ_int,0,eq_c1/2)+4*IF(circ_int,0,eq_c2/2)+2*PI()*(s_0+4*s_r+IF(circ_int,eq_c1/2,0)))/INDEX(lk_legs,5))-(((((((2*IF(circ_int,0,eq_c2/2))+(PI()*(s_0+4*s_r+IF(circ_int,eq_c1/2,0))/2))+2*IF(circ_int,0,eq_c1/2))+(PI()*(s_0+4*s_r+IF(circ_int,eq_c1/2,0))/2))+2*IF(circ_int,0,eq_c2/2))+(PI()*(s_0+4*s_r+IF(circ_int,eq_c1/2,0))/2))+2*IF(circ_int,0,eq_c1/2)))/(s_0+4*s_r+IF(circ_int,eq_c1/2,0)))))))))),NA())</f>
        <v/>
      </c>
      <c r="CA19">
        <f>IF(AND(links_on,6&lt;=n_per),IF(circ_int,(g_ox)+(c_1/2+(s_0+5*s_r))*-0.354605,CHOOSE(INDEX(lk_kind,6),(g_ox-eq_c1/2)+((s_0+5*s_r))*-0.382683,(eq_a1+eq_c1)+((s_0+5*s_r))*0.965926,eq_a1+eq_c1+(s_0+5*s_r),(eq_a1+eq_c1)+((s_0+5*s_r))*0.258819)),NA())</f>
        <v/>
      </c>
      <c r="CB19">
        <f>IF(AND(links_on,6&lt;=n_per),IF(circ_int,(g_oy)+(c_1/2+(s_0+5*s_r))*0.935016,CHOOSE(INDEX(lk_kind,6),(g_oy+eq_c2/2)+((s_0+5*s_r))*0.923880,(g_oy-eq_c2/2)+((s_0+5*s_r))*-0.258819,0,(eq_a2+eq_c2)+((s_0+5*s_r))*0.965926)),NA())</f>
        <v/>
      </c>
      <c r="CD19">
        <f>IF(AND(AND(links_on,6&lt;=n_per),INDEX(lk_kind,6)=1,16&lt;INDEX(lk_legs,6)),g_ox+IF(((16+0.5)*(4*IF(circ_int,0,eq_c1/2)+4*IF(circ_int,0,eq_c2/2)+2*PI()*(s_0+5*s_r+IF(circ_int,eq_c1/2,0)))/INDEX(lk_legs,6))&lt;(2*IF(circ_int,0,eq_c2/2)),IF(circ_int,0,eq_c1/2)+(s_0+5*s_r+IF(circ_int,eq_c1/2,0)),IF(((16+0.5)*(4*IF(circ_int,0,eq_c1/2)+4*IF(circ_int,0,eq_c2/2)+2*PI()*(s_0+5*s_r+IF(circ_int,eq_c1/2,0)))/INDEX(lk_legs,6))&lt;((2*IF(circ_int,0,eq_c2/2))+(PI()*(s_0+5*s_r+IF(circ_int,eq_c1/2,0))/2)),IF(circ_int,0,eq_c1/2)+(s_0+5*s_r+IF(circ_int,eq_c1/2,0))*COS((((16+0.5)*(4*IF(circ_int,0,eq_c1/2)+4*IF(circ_int,0,eq_c2/2)+2*PI()*(s_0+5*s_r+IF(circ_int,eq_c1/2,0)))/INDEX(lk_legs,6))-(2*IF(circ_int,0,eq_c2/2)))/(s_0+5*s_r+IF(circ_int,eq_c1/2,0))),IF(((16+0.5)*(4*IF(circ_int,0,eq_c1/2)+4*IF(circ_int,0,eq_c2/2)+2*PI()*(s_0+5*s_r+IF(circ_int,eq_c1/2,0)))/INDEX(lk_legs,6))&lt;(((2*IF(circ_int,0,eq_c2/2))+(PI()*(s_0+5*s_r+IF(circ_int,eq_c1/2,0))/2))+2*IF(circ_int,0,eq_c1/2)),IF(circ_int,0,eq_c1/2)-(((16+0.5)*(4*IF(circ_int,0,eq_c1/2)+4*IF(circ_int,0,eq_c2/2)+2*PI()*(s_0+5*s_r+IF(circ_int,eq_c1/2,0)))/INDEX(lk_legs,6))-((2*IF(circ_int,0,eq_c2/2))+(PI()*(s_0+5*s_r+IF(circ_int,eq_c1/2,0))/2))),IF(((16+0.5)*(4*IF(circ_int,0,eq_c1/2)+4*IF(circ_int,0,eq_c2/2)+2*PI()*(s_0+5*s_r+IF(circ_int,eq_c1/2,0)))/INDEX(lk_legs,6))&lt;((((2*IF(circ_int,0,eq_c2/2))+(PI()*(s_0+5*s_r+IF(circ_int,eq_c1/2,0))/2))+2*IF(circ_int,0,eq_c1/2))+(PI()*(s_0+5*s_r+IF(circ_int,eq_c1/2,0))/2)),-IF(circ_int,0,eq_c1/2)+(s_0+5*s_r+IF(circ_int,eq_c1/2,0))*COS(PI()/2+(((16+0.5)*(4*IF(circ_int,0,eq_c1/2)+4*IF(circ_int,0,eq_c2/2)+2*PI()*(s_0+5*s_r+IF(circ_int,eq_c1/2,0)))/INDEX(lk_legs,6))-(((2*IF(circ_int,0,eq_c2/2))+(PI()*(s_0+5*s_r+IF(circ_int,eq_c1/2,0))/2))+2*IF(circ_int,0,eq_c1/2)))/(s_0+5*s_r+IF(circ_int,eq_c1/2,0))),IF(((16+0.5)*(4*IF(circ_int,0,eq_c1/2)+4*IF(circ_int,0,eq_c2/2)+2*PI()*(s_0+5*s_r+IF(circ_int,eq_c1/2,0)))/INDEX(lk_legs,6))&lt;(((((2*IF(circ_int,0,eq_c2/2))+(PI()*(s_0+5*s_r+IF(circ_int,eq_c1/2,0))/2))+2*IF(circ_int,0,eq_c1/2))+(PI()*(s_0+5*s_r+IF(circ_int,eq_c1/2,0))/2))+2*IF(circ_int,0,eq_c2/2)),-IF(circ_int,0,eq_c1/2)-(s_0+5*s_r+IF(circ_int,eq_c1/2,0)),IF(((16+0.5)*(4*IF(circ_int,0,eq_c1/2)+4*IF(circ_int,0,eq_c2/2)+2*PI()*(s_0+5*s_r+IF(circ_int,eq_c1/2,0)))/INDEX(lk_legs,6))&lt;((((((2*IF(circ_int,0,eq_c2/2))+(PI()*(s_0+5*s_r+IF(circ_int,eq_c1/2,0))/2))+2*IF(circ_int,0,eq_c1/2))+(PI()*(s_0+5*s_r+IF(circ_int,eq_c1/2,0))/2))+2*IF(circ_int,0,eq_c2/2))+(PI()*(s_0+5*s_r+IF(circ_int,eq_c1/2,0))/2)),-IF(circ_int,0,eq_c1/2)+(s_0+5*s_r+IF(circ_int,eq_c1/2,0))*COS(PI()+(((16+0.5)*(4*IF(circ_int,0,eq_c1/2)+4*IF(circ_int,0,eq_c2/2)+2*PI()*(s_0+5*s_r+IF(circ_int,eq_c1/2,0)))/INDEX(lk_legs,6))-(((((2*IF(circ_int,0,eq_c2/2))+(PI()*(s_0+5*s_r+IF(circ_int,eq_c1/2,0))/2))+2*IF(circ_int,0,eq_c1/2))+(PI()*(s_0+5*s_r+IF(circ_int,eq_c1/2,0))/2))+2*IF(circ_int,0,eq_c2/2)))/(s_0+5*s_r+IF(circ_int,eq_c1/2,0))),IF(((16+0.5)*(4*IF(circ_int,0,eq_c1/2)+4*IF(circ_int,0,eq_c2/2)+2*PI()*(s_0+5*s_r+IF(circ_int,eq_c1/2,0)))/INDEX(lk_legs,6))&lt;(((((((2*IF(circ_int,0,eq_c2/2))+(PI()*(s_0+5*s_r+IF(circ_int,eq_c1/2,0))/2))+2*IF(circ_int,0,eq_c1/2))+(PI()*(s_0+5*s_r+IF(circ_int,eq_c1/2,0))/2))+2*IF(circ_int,0,eq_c2/2))+(PI()*(s_0+5*s_r+IF(circ_int,eq_c1/2,0))/2))+2*IF(circ_int,0,eq_c1/2)),-IF(circ_int,0,eq_c1/2)+(((16+0.5)*(4*IF(circ_int,0,eq_c1/2)+4*IF(circ_int,0,eq_c2/2)+2*PI()*(s_0+5*s_r+IF(circ_int,eq_c1/2,0)))/INDEX(lk_legs,6))-((((((2*IF(circ_int,0,eq_c2/2))+(PI()*(s_0+5*s_r+IF(circ_int,eq_c1/2,0))/2))+2*IF(circ_int,0,eq_c1/2))+(PI()*(s_0+5*s_r+IF(circ_int,eq_c1/2,0))/2))+2*IF(circ_int,0,eq_c2/2))+(PI()*(s_0+5*s_r+IF(circ_int,eq_c1/2,0))/2))),IF(circ_int,0,eq_c1/2)+(s_0+5*s_r+IF(circ_int,eq_c1/2,0))*COS(3*PI()/2+(((16+0.5)*(4*IF(circ_int,0,eq_c1/2)+4*IF(circ_int,0,eq_c2/2)+2*PI()*(s_0+5*s_r+IF(circ_int,eq_c1/2,0)))/INDEX(lk_legs,6))-(((((((2*IF(circ_int,0,eq_c2/2))+(PI()*(s_0+5*s_r+IF(circ_int,eq_c1/2,0))/2))+2*IF(circ_int,0,eq_c1/2))+(PI()*(s_0+5*s_r+IF(circ_int,eq_c1/2,0))/2))+2*IF(circ_int,0,eq_c2/2))+(PI()*(s_0+5*s_r+IF(circ_int,eq_c1/2,0))/2))+2*IF(circ_int,0,eq_c1/2)))/(s_0+5*s_r+IF(circ_int,eq_c1/2,0)))))))))),NA())</f>
        <v/>
      </c>
      <c r="CE19">
        <f>IF(AND(AND(links_on,6&lt;=n_per),INDEX(lk_kind,6)=1,16&lt;INDEX(lk_legs,6)),g_oy+IF(((16+0.5)*(4*IF(circ_int,0,eq_c1/2)+4*IF(circ_int,0,eq_c2/2)+2*PI()*(s_0+5*s_r+IF(circ_int,eq_c1/2,0)))/INDEX(lk_legs,6))&lt;(2*IF(circ_int,0,eq_c2/2)),-IF(circ_int,0,eq_c2/2)+((16+0.5)*(4*IF(circ_int,0,eq_c1/2)+4*IF(circ_int,0,eq_c2/2)+2*PI()*(s_0+5*s_r+IF(circ_int,eq_c1/2,0)))/INDEX(lk_legs,6)),IF(((16+0.5)*(4*IF(circ_int,0,eq_c1/2)+4*IF(circ_int,0,eq_c2/2)+2*PI()*(s_0+5*s_r+IF(circ_int,eq_c1/2,0)))/INDEX(lk_legs,6))&lt;((2*IF(circ_int,0,eq_c2/2))+(PI()*(s_0+5*s_r+IF(circ_int,eq_c1/2,0))/2)),IF(circ_int,0,eq_c2/2)+(s_0+5*s_r+IF(circ_int,eq_c1/2,0))*SIN((((16+0.5)*(4*IF(circ_int,0,eq_c1/2)+4*IF(circ_int,0,eq_c2/2)+2*PI()*(s_0+5*s_r+IF(circ_int,eq_c1/2,0)))/INDEX(lk_legs,6))-(2*IF(circ_int,0,eq_c2/2)))/(s_0+5*s_r+IF(circ_int,eq_c1/2,0))),IF(((16+0.5)*(4*IF(circ_int,0,eq_c1/2)+4*IF(circ_int,0,eq_c2/2)+2*PI()*(s_0+5*s_r+IF(circ_int,eq_c1/2,0)))/INDEX(lk_legs,6))&lt;(((2*IF(circ_int,0,eq_c2/2))+(PI()*(s_0+5*s_r+IF(circ_int,eq_c1/2,0))/2))+2*IF(circ_int,0,eq_c1/2)),IF(circ_int,0,eq_c2/2)+(s_0+5*s_r+IF(circ_int,eq_c1/2,0)),IF(((16+0.5)*(4*IF(circ_int,0,eq_c1/2)+4*IF(circ_int,0,eq_c2/2)+2*PI()*(s_0+5*s_r+IF(circ_int,eq_c1/2,0)))/INDEX(lk_legs,6))&lt;((((2*IF(circ_int,0,eq_c2/2))+(PI()*(s_0+5*s_r+IF(circ_int,eq_c1/2,0))/2))+2*IF(circ_int,0,eq_c1/2))+(PI()*(s_0+5*s_r+IF(circ_int,eq_c1/2,0))/2)),IF(circ_int,0,eq_c2/2)+(s_0+5*s_r+IF(circ_int,eq_c1/2,0))*SIN(PI()/2+(((16+0.5)*(4*IF(circ_int,0,eq_c1/2)+4*IF(circ_int,0,eq_c2/2)+2*PI()*(s_0+5*s_r+IF(circ_int,eq_c1/2,0)))/INDEX(lk_legs,6))-(((2*IF(circ_int,0,eq_c2/2))+(PI()*(s_0+5*s_r+IF(circ_int,eq_c1/2,0))/2))+2*IF(circ_int,0,eq_c1/2)))/(s_0+5*s_r+IF(circ_int,eq_c1/2,0))),IF(((16+0.5)*(4*IF(circ_int,0,eq_c1/2)+4*IF(circ_int,0,eq_c2/2)+2*PI()*(s_0+5*s_r+IF(circ_int,eq_c1/2,0)))/INDEX(lk_legs,6))&lt;(((((2*IF(circ_int,0,eq_c2/2))+(PI()*(s_0+5*s_r+IF(circ_int,eq_c1/2,0))/2))+2*IF(circ_int,0,eq_c1/2))+(PI()*(s_0+5*s_r+IF(circ_int,eq_c1/2,0))/2))+2*IF(circ_int,0,eq_c2/2)),IF(circ_int,0,eq_c2/2)-(((16+0.5)*(4*IF(circ_int,0,eq_c1/2)+4*IF(circ_int,0,eq_c2/2)+2*PI()*(s_0+5*s_r+IF(circ_int,eq_c1/2,0)))/INDEX(lk_legs,6))-((((2*IF(circ_int,0,eq_c2/2))+(PI()*(s_0+5*s_r+IF(circ_int,eq_c1/2,0))/2))+2*IF(circ_int,0,eq_c1/2))+(PI()*(s_0+5*s_r+IF(circ_int,eq_c1/2,0))/2))),IF(((16+0.5)*(4*IF(circ_int,0,eq_c1/2)+4*IF(circ_int,0,eq_c2/2)+2*PI()*(s_0+5*s_r+IF(circ_int,eq_c1/2,0)))/INDEX(lk_legs,6))&lt;((((((2*IF(circ_int,0,eq_c2/2))+(PI()*(s_0+5*s_r+IF(circ_int,eq_c1/2,0))/2))+2*IF(circ_int,0,eq_c1/2))+(PI()*(s_0+5*s_r+IF(circ_int,eq_c1/2,0))/2))+2*IF(circ_int,0,eq_c2/2))+(PI()*(s_0+5*s_r+IF(circ_int,eq_c1/2,0))/2)),-IF(circ_int,0,eq_c2/2)+(s_0+5*s_r+IF(circ_int,eq_c1/2,0))*SIN(PI()+(((16+0.5)*(4*IF(circ_int,0,eq_c1/2)+4*IF(circ_int,0,eq_c2/2)+2*PI()*(s_0+5*s_r+IF(circ_int,eq_c1/2,0)))/INDEX(lk_legs,6))-(((((2*IF(circ_int,0,eq_c2/2))+(PI()*(s_0+5*s_r+IF(circ_int,eq_c1/2,0))/2))+2*IF(circ_int,0,eq_c1/2))+(PI()*(s_0+5*s_r+IF(circ_int,eq_c1/2,0))/2))+2*IF(circ_int,0,eq_c2/2)))/(s_0+5*s_r+IF(circ_int,eq_c1/2,0))),IF(((16+0.5)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(16+0.5)*(4*IF(circ_int,0,eq_c1/2)+4*IF(circ_int,0,eq_c2/2)+2*PI()*(s_0+5*s_r+IF(circ_int,eq_c1/2,0)))/INDEX(lk_legs,6))-(((((((2*IF(circ_int,0,eq_c2/2))+(PI()*(s_0+5*s_r+IF(circ_int,eq_c1/2,0))/2))+2*IF(circ_int,0,eq_c1/2))+(PI()*(s_0+5*s_r+IF(circ_int,eq_c1/2,0))/2))+2*IF(circ_int,0,eq_c2/2))+(PI()*(s_0+5*s_r+IF(circ_int,eq_c1/2,0))/2))+2*IF(circ_int,0,eq_c1/2)))/(s_0+5*s_r+IF(circ_int,eq_c1/2,0)))))))))),NA())</f>
        <v/>
      </c>
      <c r="CG19">
        <f>IF(AND(links_on,7&lt;=n_per),IF(circ_int,(g_ox)+(c_1/2+(s_0+6*s_r))*-0.354605,CHOOSE(INDEX(lk_kind,7),(g_ox-eq_c1/2)+((s_0+6*s_r))*-0.382683,(eq_a1+eq_c1)+((s_0+6*s_r))*0.965926,eq_a1+eq_c1+(s_0+6*s_r),(eq_a1+eq_c1)+((s_0+6*s_r))*0.258819)),NA())</f>
        <v/>
      </c>
      <c r="CH19">
        <f>IF(AND(links_on,7&lt;=n_per),IF(circ_int,(g_oy)+(c_1/2+(s_0+6*s_r))*0.935016,CHOOSE(INDEX(lk_kind,7),(g_oy+eq_c2/2)+((s_0+6*s_r))*0.923880,(g_oy-eq_c2/2)+((s_0+6*s_r))*-0.258819,0,(eq_a2+eq_c2)+((s_0+6*s_r))*0.965926)),NA())</f>
        <v/>
      </c>
      <c r="CJ19">
        <f>IF(AND(AND(links_on,7&lt;=n_per),INDEX(lk_kind,7)=1,16&lt;INDEX(lk_legs,7)),g_ox+IF(((16+0.5)*(4*IF(circ_int,0,eq_c1/2)+4*IF(circ_int,0,eq_c2/2)+2*PI()*(s_0+6*s_r+IF(circ_int,eq_c1/2,0)))/INDEX(lk_legs,7))&lt;(2*IF(circ_int,0,eq_c2/2)),IF(circ_int,0,eq_c1/2)+(s_0+6*s_r+IF(circ_int,eq_c1/2,0)),IF(((16+0.5)*(4*IF(circ_int,0,eq_c1/2)+4*IF(circ_int,0,eq_c2/2)+2*PI()*(s_0+6*s_r+IF(circ_int,eq_c1/2,0)))/INDEX(lk_legs,7))&lt;((2*IF(circ_int,0,eq_c2/2))+(PI()*(s_0+6*s_r+IF(circ_int,eq_c1/2,0))/2)),IF(circ_int,0,eq_c1/2)+(s_0+6*s_r+IF(circ_int,eq_c1/2,0))*COS((((16+0.5)*(4*IF(circ_int,0,eq_c1/2)+4*IF(circ_int,0,eq_c2/2)+2*PI()*(s_0+6*s_r+IF(circ_int,eq_c1/2,0)))/INDEX(lk_legs,7))-(2*IF(circ_int,0,eq_c2/2)))/(s_0+6*s_r+IF(circ_int,eq_c1/2,0))),IF(((16+0.5)*(4*IF(circ_int,0,eq_c1/2)+4*IF(circ_int,0,eq_c2/2)+2*PI()*(s_0+6*s_r+IF(circ_int,eq_c1/2,0)))/INDEX(lk_legs,7))&lt;(((2*IF(circ_int,0,eq_c2/2))+(PI()*(s_0+6*s_r+IF(circ_int,eq_c1/2,0))/2))+2*IF(circ_int,0,eq_c1/2)),IF(circ_int,0,eq_c1/2)-(((16+0.5)*(4*IF(circ_int,0,eq_c1/2)+4*IF(circ_int,0,eq_c2/2)+2*PI()*(s_0+6*s_r+IF(circ_int,eq_c1/2,0)))/INDEX(lk_legs,7))-((2*IF(circ_int,0,eq_c2/2))+(PI()*(s_0+6*s_r+IF(circ_int,eq_c1/2,0))/2))),IF(((16+0.5)*(4*IF(circ_int,0,eq_c1/2)+4*IF(circ_int,0,eq_c2/2)+2*PI()*(s_0+6*s_r+IF(circ_int,eq_c1/2,0)))/INDEX(lk_legs,7))&lt;((((2*IF(circ_int,0,eq_c2/2))+(PI()*(s_0+6*s_r+IF(circ_int,eq_c1/2,0))/2))+2*IF(circ_int,0,eq_c1/2))+(PI()*(s_0+6*s_r+IF(circ_int,eq_c1/2,0))/2)),-IF(circ_int,0,eq_c1/2)+(s_0+6*s_r+IF(circ_int,eq_c1/2,0))*COS(PI()/2+(((16+0.5)*(4*IF(circ_int,0,eq_c1/2)+4*IF(circ_int,0,eq_c2/2)+2*PI()*(s_0+6*s_r+IF(circ_int,eq_c1/2,0)))/INDEX(lk_legs,7))-(((2*IF(circ_int,0,eq_c2/2))+(PI()*(s_0+6*s_r+IF(circ_int,eq_c1/2,0))/2))+2*IF(circ_int,0,eq_c1/2)))/(s_0+6*s_r+IF(circ_int,eq_c1/2,0))),IF(((16+0.5)*(4*IF(circ_int,0,eq_c1/2)+4*IF(circ_int,0,eq_c2/2)+2*PI()*(s_0+6*s_r+IF(circ_int,eq_c1/2,0)))/INDEX(lk_legs,7))&lt;(((((2*IF(circ_int,0,eq_c2/2))+(PI()*(s_0+6*s_r+IF(circ_int,eq_c1/2,0))/2))+2*IF(circ_int,0,eq_c1/2))+(PI()*(s_0+6*s_r+IF(circ_int,eq_c1/2,0))/2))+2*IF(circ_int,0,eq_c2/2)),-IF(circ_int,0,eq_c1/2)-(s_0+6*s_r+IF(circ_int,eq_c1/2,0)),IF(((16+0.5)*(4*IF(circ_int,0,eq_c1/2)+4*IF(circ_int,0,eq_c2/2)+2*PI()*(s_0+6*s_r+IF(circ_int,eq_c1/2,0)))/INDEX(lk_legs,7))&lt;((((((2*IF(circ_int,0,eq_c2/2))+(PI()*(s_0+6*s_r+IF(circ_int,eq_c1/2,0))/2))+2*IF(circ_int,0,eq_c1/2))+(PI()*(s_0+6*s_r+IF(circ_int,eq_c1/2,0))/2))+2*IF(circ_int,0,eq_c2/2))+(PI()*(s_0+6*s_r+IF(circ_int,eq_c1/2,0))/2)),-IF(circ_int,0,eq_c1/2)+(s_0+6*s_r+IF(circ_int,eq_c1/2,0))*COS(PI()+(((16+0.5)*(4*IF(circ_int,0,eq_c1/2)+4*IF(circ_int,0,eq_c2/2)+2*PI()*(s_0+6*s_r+IF(circ_int,eq_c1/2,0)))/INDEX(lk_legs,7))-(((((2*IF(circ_int,0,eq_c2/2))+(PI()*(s_0+6*s_r+IF(circ_int,eq_c1/2,0))/2))+2*IF(circ_int,0,eq_c1/2))+(PI()*(s_0+6*s_r+IF(circ_int,eq_c1/2,0))/2))+2*IF(circ_int,0,eq_c2/2)))/(s_0+6*s_r+IF(circ_int,eq_c1/2,0))),IF(((16+0.5)*(4*IF(circ_int,0,eq_c1/2)+4*IF(circ_int,0,eq_c2/2)+2*PI()*(s_0+6*s_r+IF(circ_int,eq_c1/2,0)))/INDEX(lk_legs,7))&lt;(((((((2*IF(circ_int,0,eq_c2/2))+(PI()*(s_0+6*s_r+IF(circ_int,eq_c1/2,0))/2))+2*IF(circ_int,0,eq_c1/2))+(PI()*(s_0+6*s_r+IF(circ_int,eq_c1/2,0))/2))+2*IF(circ_int,0,eq_c2/2))+(PI()*(s_0+6*s_r+IF(circ_int,eq_c1/2,0))/2))+2*IF(circ_int,0,eq_c1/2)),-IF(circ_int,0,eq_c1/2)+(((16+0.5)*(4*IF(circ_int,0,eq_c1/2)+4*IF(circ_int,0,eq_c2/2)+2*PI()*(s_0+6*s_r+IF(circ_int,eq_c1/2,0)))/INDEX(lk_legs,7))-((((((2*IF(circ_int,0,eq_c2/2))+(PI()*(s_0+6*s_r+IF(circ_int,eq_c1/2,0))/2))+2*IF(circ_int,0,eq_c1/2))+(PI()*(s_0+6*s_r+IF(circ_int,eq_c1/2,0))/2))+2*IF(circ_int,0,eq_c2/2))+(PI()*(s_0+6*s_r+IF(circ_int,eq_c1/2,0))/2))),IF(circ_int,0,eq_c1/2)+(s_0+6*s_r+IF(circ_int,eq_c1/2,0))*COS(3*PI()/2+(((16+0.5)*(4*IF(circ_int,0,eq_c1/2)+4*IF(circ_int,0,eq_c2/2)+2*PI()*(s_0+6*s_r+IF(circ_int,eq_c1/2,0)))/INDEX(lk_legs,7))-(((((((2*IF(circ_int,0,eq_c2/2))+(PI()*(s_0+6*s_r+IF(circ_int,eq_c1/2,0))/2))+2*IF(circ_int,0,eq_c1/2))+(PI()*(s_0+6*s_r+IF(circ_int,eq_c1/2,0))/2))+2*IF(circ_int,0,eq_c2/2))+(PI()*(s_0+6*s_r+IF(circ_int,eq_c1/2,0))/2))+2*IF(circ_int,0,eq_c1/2)))/(s_0+6*s_r+IF(circ_int,eq_c1/2,0)))))))))),NA())</f>
        <v/>
      </c>
      <c r="CK19">
        <f>IF(AND(AND(links_on,7&lt;=n_per),INDEX(lk_kind,7)=1,16&lt;INDEX(lk_legs,7)),g_oy+IF(((16+0.5)*(4*IF(circ_int,0,eq_c1/2)+4*IF(circ_int,0,eq_c2/2)+2*PI()*(s_0+6*s_r+IF(circ_int,eq_c1/2,0)))/INDEX(lk_legs,7))&lt;(2*IF(circ_int,0,eq_c2/2)),-IF(circ_int,0,eq_c2/2)+((16+0.5)*(4*IF(circ_int,0,eq_c1/2)+4*IF(circ_int,0,eq_c2/2)+2*PI()*(s_0+6*s_r+IF(circ_int,eq_c1/2,0)))/INDEX(lk_legs,7)),IF(((16+0.5)*(4*IF(circ_int,0,eq_c1/2)+4*IF(circ_int,0,eq_c2/2)+2*PI()*(s_0+6*s_r+IF(circ_int,eq_c1/2,0)))/INDEX(lk_legs,7))&lt;((2*IF(circ_int,0,eq_c2/2))+(PI()*(s_0+6*s_r+IF(circ_int,eq_c1/2,0))/2)),IF(circ_int,0,eq_c2/2)+(s_0+6*s_r+IF(circ_int,eq_c1/2,0))*SIN((((16+0.5)*(4*IF(circ_int,0,eq_c1/2)+4*IF(circ_int,0,eq_c2/2)+2*PI()*(s_0+6*s_r+IF(circ_int,eq_c1/2,0)))/INDEX(lk_legs,7))-(2*IF(circ_int,0,eq_c2/2)))/(s_0+6*s_r+IF(circ_int,eq_c1/2,0))),IF(((16+0.5)*(4*IF(circ_int,0,eq_c1/2)+4*IF(circ_int,0,eq_c2/2)+2*PI()*(s_0+6*s_r+IF(circ_int,eq_c1/2,0)))/INDEX(lk_legs,7))&lt;(((2*IF(circ_int,0,eq_c2/2))+(PI()*(s_0+6*s_r+IF(circ_int,eq_c1/2,0))/2))+2*IF(circ_int,0,eq_c1/2)),IF(circ_int,0,eq_c2/2)+(s_0+6*s_r+IF(circ_int,eq_c1/2,0)),IF(((16+0.5)*(4*IF(circ_int,0,eq_c1/2)+4*IF(circ_int,0,eq_c2/2)+2*PI()*(s_0+6*s_r+IF(circ_int,eq_c1/2,0)))/INDEX(lk_legs,7))&lt;((((2*IF(circ_int,0,eq_c2/2))+(PI()*(s_0+6*s_r+IF(circ_int,eq_c1/2,0))/2))+2*IF(circ_int,0,eq_c1/2))+(PI()*(s_0+6*s_r+IF(circ_int,eq_c1/2,0))/2)),IF(circ_int,0,eq_c2/2)+(s_0+6*s_r+IF(circ_int,eq_c1/2,0))*SIN(PI()/2+(((16+0.5)*(4*IF(circ_int,0,eq_c1/2)+4*IF(circ_int,0,eq_c2/2)+2*PI()*(s_0+6*s_r+IF(circ_int,eq_c1/2,0)))/INDEX(lk_legs,7))-(((2*IF(circ_int,0,eq_c2/2))+(PI()*(s_0+6*s_r+IF(circ_int,eq_c1/2,0))/2))+2*IF(circ_int,0,eq_c1/2)))/(s_0+6*s_r+IF(circ_int,eq_c1/2,0))),IF(((16+0.5)*(4*IF(circ_int,0,eq_c1/2)+4*IF(circ_int,0,eq_c2/2)+2*PI()*(s_0+6*s_r+IF(circ_int,eq_c1/2,0)))/INDEX(lk_legs,7))&lt;(((((2*IF(circ_int,0,eq_c2/2))+(PI()*(s_0+6*s_r+IF(circ_int,eq_c1/2,0))/2))+2*IF(circ_int,0,eq_c1/2))+(PI()*(s_0+6*s_r+IF(circ_int,eq_c1/2,0))/2))+2*IF(circ_int,0,eq_c2/2)),IF(circ_int,0,eq_c2/2)-(((16+0.5)*(4*IF(circ_int,0,eq_c1/2)+4*IF(circ_int,0,eq_c2/2)+2*PI()*(s_0+6*s_r+IF(circ_int,eq_c1/2,0)))/INDEX(lk_legs,7))-((((2*IF(circ_int,0,eq_c2/2))+(PI()*(s_0+6*s_r+IF(circ_int,eq_c1/2,0))/2))+2*IF(circ_int,0,eq_c1/2))+(PI()*(s_0+6*s_r+IF(circ_int,eq_c1/2,0))/2))),IF(((16+0.5)*(4*IF(circ_int,0,eq_c1/2)+4*IF(circ_int,0,eq_c2/2)+2*PI()*(s_0+6*s_r+IF(circ_int,eq_c1/2,0)))/INDEX(lk_legs,7))&lt;((((((2*IF(circ_int,0,eq_c2/2))+(PI()*(s_0+6*s_r+IF(circ_int,eq_c1/2,0))/2))+2*IF(circ_int,0,eq_c1/2))+(PI()*(s_0+6*s_r+IF(circ_int,eq_c1/2,0))/2))+2*IF(circ_int,0,eq_c2/2))+(PI()*(s_0+6*s_r+IF(circ_int,eq_c1/2,0))/2)),-IF(circ_int,0,eq_c2/2)+(s_0+6*s_r+IF(circ_int,eq_c1/2,0))*SIN(PI()+(((16+0.5)*(4*IF(circ_int,0,eq_c1/2)+4*IF(circ_int,0,eq_c2/2)+2*PI()*(s_0+6*s_r+IF(circ_int,eq_c1/2,0)))/INDEX(lk_legs,7))-(((((2*IF(circ_int,0,eq_c2/2))+(PI()*(s_0+6*s_r+IF(circ_int,eq_c1/2,0))/2))+2*IF(circ_int,0,eq_c1/2))+(PI()*(s_0+6*s_r+IF(circ_int,eq_c1/2,0))/2))+2*IF(circ_int,0,eq_c2/2)))/(s_0+6*s_r+IF(circ_int,eq_c1/2,0))),IF(((16+0.5)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(16+0.5)*(4*IF(circ_int,0,eq_c1/2)+4*IF(circ_int,0,eq_c2/2)+2*PI()*(s_0+6*s_r+IF(circ_int,eq_c1/2,0)))/INDEX(lk_legs,7))-(((((((2*IF(circ_int,0,eq_c2/2))+(PI()*(s_0+6*s_r+IF(circ_int,eq_c1/2,0))/2))+2*IF(circ_int,0,eq_c1/2))+(PI()*(s_0+6*s_r+IF(circ_int,eq_c1/2,0))/2))+2*IF(circ_int,0,eq_c2/2))+(PI()*(s_0+6*s_r+IF(circ_int,eq_c1/2,0))/2))+2*IF(circ_int,0,eq_c1/2)))/(s_0+6*s_r+IF(circ_int,eq_c1/2,0)))))))))),NA())</f>
        <v/>
      </c>
      <c r="CM19">
        <f>IF(AND(links_on,8&lt;=n_per),IF(circ_int,(g_ox)+(c_1/2+(s_0+7*s_r))*-0.354605,CHOOSE(INDEX(lk_kind,8),(g_ox-eq_c1/2)+((s_0+7*s_r))*-0.382683,(eq_a1+eq_c1)+((s_0+7*s_r))*0.965926,eq_a1+eq_c1+(s_0+7*s_r),(eq_a1+eq_c1)+((s_0+7*s_r))*0.258819)),NA())</f>
        <v/>
      </c>
      <c r="CN19">
        <f>IF(AND(links_on,8&lt;=n_per),IF(circ_int,(g_oy)+(c_1/2+(s_0+7*s_r))*0.935016,CHOOSE(INDEX(lk_kind,8),(g_oy+eq_c2/2)+((s_0+7*s_r))*0.923880,(g_oy-eq_c2/2)+((s_0+7*s_r))*-0.258819,0,(eq_a2+eq_c2)+((s_0+7*s_r))*0.965926)),NA())</f>
        <v/>
      </c>
      <c r="CP19">
        <f>IF(AND(AND(links_on,8&lt;=n_per),INDEX(lk_kind,8)=1,16&lt;INDEX(lk_legs,8)),g_ox+IF(((16+0.5)*(4*IF(circ_int,0,eq_c1/2)+4*IF(circ_int,0,eq_c2/2)+2*PI()*(s_0+7*s_r+IF(circ_int,eq_c1/2,0)))/INDEX(lk_legs,8))&lt;(2*IF(circ_int,0,eq_c2/2)),IF(circ_int,0,eq_c1/2)+(s_0+7*s_r+IF(circ_int,eq_c1/2,0)),IF(((16+0.5)*(4*IF(circ_int,0,eq_c1/2)+4*IF(circ_int,0,eq_c2/2)+2*PI()*(s_0+7*s_r+IF(circ_int,eq_c1/2,0)))/INDEX(lk_legs,8))&lt;((2*IF(circ_int,0,eq_c2/2))+(PI()*(s_0+7*s_r+IF(circ_int,eq_c1/2,0))/2)),IF(circ_int,0,eq_c1/2)+(s_0+7*s_r+IF(circ_int,eq_c1/2,0))*COS((((16+0.5)*(4*IF(circ_int,0,eq_c1/2)+4*IF(circ_int,0,eq_c2/2)+2*PI()*(s_0+7*s_r+IF(circ_int,eq_c1/2,0)))/INDEX(lk_legs,8))-(2*IF(circ_int,0,eq_c2/2)))/(s_0+7*s_r+IF(circ_int,eq_c1/2,0))),IF(((16+0.5)*(4*IF(circ_int,0,eq_c1/2)+4*IF(circ_int,0,eq_c2/2)+2*PI()*(s_0+7*s_r+IF(circ_int,eq_c1/2,0)))/INDEX(lk_legs,8))&lt;(((2*IF(circ_int,0,eq_c2/2))+(PI()*(s_0+7*s_r+IF(circ_int,eq_c1/2,0))/2))+2*IF(circ_int,0,eq_c1/2)),IF(circ_int,0,eq_c1/2)-(((16+0.5)*(4*IF(circ_int,0,eq_c1/2)+4*IF(circ_int,0,eq_c2/2)+2*PI()*(s_0+7*s_r+IF(circ_int,eq_c1/2,0)))/INDEX(lk_legs,8))-((2*IF(circ_int,0,eq_c2/2))+(PI()*(s_0+7*s_r+IF(circ_int,eq_c1/2,0))/2))),IF(((16+0.5)*(4*IF(circ_int,0,eq_c1/2)+4*IF(circ_int,0,eq_c2/2)+2*PI()*(s_0+7*s_r+IF(circ_int,eq_c1/2,0)))/INDEX(lk_legs,8))&lt;((((2*IF(circ_int,0,eq_c2/2))+(PI()*(s_0+7*s_r+IF(circ_int,eq_c1/2,0))/2))+2*IF(circ_int,0,eq_c1/2))+(PI()*(s_0+7*s_r+IF(circ_int,eq_c1/2,0))/2)),-IF(circ_int,0,eq_c1/2)+(s_0+7*s_r+IF(circ_int,eq_c1/2,0))*COS(PI()/2+(((16+0.5)*(4*IF(circ_int,0,eq_c1/2)+4*IF(circ_int,0,eq_c2/2)+2*PI()*(s_0+7*s_r+IF(circ_int,eq_c1/2,0)))/INDEX(lk_legs,8))-(((2*IF(circ_int,0,eq_c2/2))+(PI()*(s_0+7*s_r+IF(circ_int,eq_c1/2,0))/2))+2*IF(circ_int,0,eq_c1/2)))/(s_0+7*s_r+IF(circ_int,eq_c1/2,0))),IF(((16+0.5)*(4*IF(circ_int,0,eq_c1/2)+4*IF(circ_int,0,eq_c2/2)+2*PI()*(s_0+7*s_r+IF(circ_int,eq_c1/2,0)))/INDEX(lk_legs,8))&lt;(((((2*IF(circ_int,0,eq_c2/2))+(PI()*(s_0+7*s_r+IF(circ_int,eq_c1/2,0))/2))+2*IF(circ_int,0,eq_c1/2))+(PI()*(s_0+7*s_r+IF(circ_int,eq_c1/2,0))/2))+2*IF(circ_int,0,eq_c2/2)),-IF(circ_int,0,eq_c1/2)-(s_0+7*s_r+IF(circ_int,eq_c1/2,0)),IF(((16+0.5)*(4*IF(circ_int,0,eq_c1/2)+4*IF(circ_int,0,eq_c2/2)+2*PI()*(s_0+7*s_r+IF(circ_int,eq_c1/2,0)))/INDEX(lk_legs,8))&lt;((((((2*IF(circ_int,0,eq_c2/2))+(PI()*(s_0+7*s_r+IF(circ_int,eq_c1/2,0))/2))+2*IF(circ_int,0,eq_c1/2))+(PI()*(s_0+7*s_r+IF(circ_int,eq_c1/2,0))/2))+2*IF(circ_int,0,eq_c2/2))+(PI()*(s_0+7*s_r+IF(circ_int,eq_c1/2,0))/2)),-IF(circ_int,0,eq_c1/2)+(s_0+7*s_r+IF(circ_int,eq_c1/2,0))*COS(PI()+(((16+0.5)*(4*IF(circ_int,0,eq_c1/2)+4*IF(circ_int,0,eq_c2/2)+2*PI()*(s_0+7*s_r+IF(circ_int,eq_c1/2,0)))/INDEX(lk_legs,8))-(((((2*IF(circ_int,0,eq_c2/2))+(PI()*(s_0+7*s_r+IF(circ_int,eq_c1/2,0))/2))+2*IF(circ_int,0,eq_c1/2))+(PI()*(s_0+7*s_r+IF(circ_int,eq_c1/2,0))/2))+2*IF(circ_int,0,eq_c2/2)))/(s_0+7*s_r+IF(circ_int,eq_c1/2,0))),IF(((16+0.5)*(4*IF(circ_int,0,eq_c1/2)+4*IF(circ_int,0,eq_c2/2)+2*PI()*(s_0+7*s_r+IF(circ_int,eq_c1/2,0)))/INDEX(lk_legs,8))&lt;(((((((2*IF(circ_int,0,eq_c2/2))+(PI()*(s_0+7*s_r+IF(circ_int,eq_c1/2,0))/2))+2*IF(circ_int,0,eq_c1/2))+(PI()*(s_0+7*s_r+IF(circ_int,eq_c1/2,0))/2))+2*IF(circ_int,0,eq_c2/2))+(PI()*(s_0+7*s_r+IF(circ_int,eq_c1/2,0))/2))+2*IF(circ_int,0,eq_c1/2)),-IF(circ_int,0,eq_c1/2)+(((16+0.5)*(4*IF(circ_int,0,eq_c1/2)+4*IF(circ_int,0,eq_c2/2)+2*PI()*(s_0+7*s_r+IF(circ_int,eq_c1/2,0)))/INDEX(lk_legs,8))-((((((2*IF(circ_int,0,eq_c2/2))+(PI()*(s_0+7*s_r+IF(circ_int,eq_c1/2,0))/2))+2*IF(circ_int,0,eq_c1/2))+(PI()*(s_0+7*s_r+IF(circ_int,eq_c1/2,0))/2))+2*IF(circ_int,0,eq_c2/2))+(PI()*(s_0+7*s_r+IF(circ_int,eq_c1/2,0))/2))),IF(circ_int,0,eq_c1/2)+(s_0+7*s_r+IF(circ_int,eq_c1/2,0))*COS(3*PI()/2+(((16+0.5)*(4*IF(circ_int,0,eq_c1/2)+4*IF(circ_int,0,eq_c2/2)+2*PI()*(s_0+7*s_r+IF(circ_int,eq_c1/2,0)))/INDEX(lk_legs,8))-(((((((2*IF(circ_int,0,eq_c2/2))+(PI()*(s_0+7*s_r+IF(circ_int,eq_c1/2,0))/2))+2*IF(circ_int,0,eq_c1/2))+(PI()*(s_0+7*s_r+IF(circ_int,eq_c1/2,0))/2))+2*IF(circ_int,0,eq_c2/2))+(PI()*(s_0+7*s_r+IF(circ_int,eq_c1/2,0))/2))+2*IF(circ_int,0,eq_c1/2)))/(s_0+7*s_r+IF(circ_int,eq_c1/2,0)))))))))),NA())</f>
        <v/>
      </c>
      <c r="CQ19">
        <f>IF(AND(AND(links_on,8&lt;=n_per),INDEX(lk_kind,8)=1,16&lt;INDEX(lk_legs,8)),g_oy+IF(((16+0.5)*(4*IF(circ_int,0,eq_c1/2)+4*IF(circ_int,0,eq_c2/2)+2*PI()*(s_0+7*s_r+IF(circ_int,eq_c1/2,0)))/INDEX(lk_legs,8))&lt;(2*IF(circ_int,0,eq_c2/2)),-IF(circ_int,0,eq_c2/2)+((16+0.5)*(4*IF(circ_int,0,eq_c1/2)+4*IF(circ_int,0,eq_c2/2)+2*PI()*(s_0+7*s_r+IF(circ_int,eq_c1/2,0)))/INDEX(lk_legs,8)),IF(((16+0.5)*(4*IF(circ_int,0,eq_c1/2)+4*IF(circ_int,0,eq_c2/2)+2*PI()*(s_0+7*s_r+IF(circ_int,eq_c1/2,0)))/INDEX(lk_legs,8))&lt;((2*IF(circ_int,0,eq_c2/2))+(PI()*(s_0+7*s_r+IF(circ_int,eq_c1/2,0))/2)),IF(circ_int,0,eq_c2/2)+(s_0+7*s_r+IF(circ_int,eq_c1/2,0))*SIN((((16+0.5)*(4*IF(circ_int,0,eq_c1/2)+4*IF(circ_int,0,eq_c2/2)+2*PI()*(s_0+7*s_r+IF(circ_int,eq_c1/2,0)))/INDEX(lk_legs,8))-(2*IF(circ_int,0,eq_c2/2)))/(s_0+7*s_r+IF(circ_int,eq_c1/2,0))),IF(((16+0.5)*(4*IF(circ_int,0,eq_c1/2)+4*IF(circ_int,0,eq_c2/2)+2*PI()*(s_0+7*s_r+IF(circ_int,eq_c1/2,0)))/INDEX(lk_legs,8))&lt;(((2*IF(circ_int,0,eq_c2/2))+(PI()*(s_0+7*s_r+IF(circ_int,eq_c1/2,0))/2))+2*IF(circ_int,0,eq_c1/2)),IF(circ_int,0,eq_c2/2)+(s_0+7*s_r+IF(circ_int,eq_c1/2,0)),IF(((16+0.5)*(4*IF(circ_int,0,eq_c1/2)+4*IF(circ_int,0,eq_c2/2)+2*PI()*(s_0+7*s_r+IF(circ_int,eq_c1/2,0)))/INDEX(lk_legs,8))&lt;((((2*IF(circ_int,0,eq_c2/2))+(PI()*(s_0+7*s_r+IF(circ_int,eq_c1/2,0))/2))+2*IF(circ_int,0,eq_c1/2))+(PI()*(s_0+7*s_r+IF(circ_int,eq_c1/2,0))/2)),IF(circ_int,0,eq_c2/2)+(s_0+7*s_r+IF(circ_int,eq_c1/2,0))*SIN(PI()/2+(((16+0.5)*(4*IF(circ_int,0,eq_c1/2)+4*IF(circ_int,0,eq_c2/2)+2*PI()*(s_0+7*s_r+IF(circ_int,eq_c1/2,0)))/INDEX(lk_legs,8))-(((2*IF(circ_int,0,eq_c2/2))+(PI()*(s_0+7*s_r+IF(circ_int,eq_c1/2,0))/2))+2*IF(circ_int,0,eq_c1/2)))/(s_0+7*s_r+IF(circ_int,eq_c1/2,0))),IF(((16+0.5)*(4*IF(circ_int,0,eq_c1/2)+4*IF(circ_int,0,eq_c2/2)+2*PI()*(s_0+7*s_r+IF(circ_int,eq_c1/2,0)))/INDEX(lk_legs,8))&lt;(((((2*IF(circ_int,0,eq_c2/2))+(PI()*(s_0+7*s_r+IF(circ_int,eq_c1/2,0))/2))+2*IF(circ_int,0,eq_c1/2))+(PI()*(s_0+7*s_r+IF(circ_int,eq_c1/2,0))/2))+2*IF(circ_int,0,eq_c2/2)),IF(circ_int,0,eq_c2/2)-(((16+0.5)*(4*IF(circ_int,0,eq_c1/2)+4*IF(circ_int,0,eq_c2/2)+2*PI()*(s_0+7*s_r+IF(circ_int,eq_c1/2,0)))/INDEX(lk_legs,8))-((((2*IF(circ_int,0,eq_c2/2))+(PI()*(s_0+7*s_r+IF(circ_int,eq_c1/2,0))/2))+2*IF(circ_int,0,eq_c1/2))+(PI()*(s_0+7*s_r+IF(circ_int,eq_c1/2,0))/2))),IF(((16+0.5)*(4*IF(circ_int,0,eq_c1/2)+4*IF(circ_int,0,eq_c2/2)+2*PI()*(s_0+7*s_r+IF(circ_int,eq_c1/2,0)))/INDEX(lk_legs,8))&lt;((((((2*IF(circ_int,0,eq_c2/2))+(PI()*(s_0+7*s_r+IF(circ_int,eq_c1/2,0))/2))+2*IF(circ_int,0,eq_c1/2))+(PI()*(s_0+7*s_r+IF(circ_int,eq_c1/2,0))/2))+2*IF(circ_int,0,eq_c2/2))+(PI()*(s_0+7*s_r+IF(circ_int,eq_c1/2,0))/2)),-IF(circ_int,0,eq_c2/2)+(s_0+7*s_r+IF(circ_int,eq_c1/2,0))*SIN(PI()+(((16+0.5)*(4*IF(circ_int,0,eq_c1/2)+4*IF(circ_int,0,eq_c2/2)+2*PI()*(s_0+7*s_r+IF(circ_int,eq_c1/2,0)))/INDEX(lk_legs,8))-(((((2*IF(circ_int,0,eq_c2/2))+(PI()*(s_0+7*s_r+IF(circ_int,eq_c1/2,0))/2))+2*IF(circ_int,0,eq_c1/2))+(PI()*(s_0+7*s_r+IF(circ_int,eq_c1/2,0))/2))+2*IF(circ_int,0,eq_c2/2)))/(s_0+7*s_r+IF(circ_int,eq_c1/2,0))),IF(((16+0.5)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(16+0.5)*(4*IF(circ_int,0,eq_c1/2)+4*IF(circ_int,0,eq_c2/2)+2*PI()*(s_0+7*s_r+IF(circ_int,eq_c1/2,0)))/INDEX(lk_legs,8))-(((((((2*IF(circ_int,0,eq_c2/2))+(PI()*(s_0+7*s_r+IF(circ_int,eq_c1/2,0))/2))+2*IF(circ_int,0,eq_c1/2))+(PI()*(s_0+7*s_r+IF(circ_int,eq_c1/2,0))/2))+2*IF(circ_int,0,eq_c2/2))+(PI()*(s_0+7*s_r+IF(circ_int,eq_c1/2,0))/2))+2*IF(circ_int,0,eq_c1/2)))/(s_0+7*s_r+IF(circ_int,eq_c1/2,0)))))))))),NA())</f>
        <v/>
      </c>
      <c r="CS19">
        <f>IF(AND(links_on,9&lt;=n_per),IF(circ_int,(g_ox)+(c_1/2+(s_0+8*s_r))*-0.354605,CHOOSE(INDEX(lk_kind,9),(g_ox-eq_c1/2)+((s_0+8*s_r))*-0.382683,(eq_a1+eq_c1)+((s_0+8*s_r))*0.965926,eq_a1+eq_c1+(s_0+8*s_r),(eq_a1+eq_c1)+((s_0+8*s_r))*0.258819)),NA())</f>
        <v/>
      </c>
      <c r="CT19">
        <f>IF(AND(links_on,9&lt;=n_per),IF(circ_int,(g_oy)+(c_1/2+(s_0+8*s_r))*0.935016,CHOOSE(INDEX(lk_kind,9),(g_oy+eq_c2/2)+((s_0+8*s_r))*0.923880,(g_oy-eq_c2/2)+((s_0+8*s_r))*-0.258819,0,(eq_a2+eq_c2)+((s_0+8*s_r))*0.965926)),NA())</f>
        <v/>
      </c>
      <c r="CV19">
        <f>IF(AND(AND(links_on,9&lt;=n_per),INDEX(lk_kind,9)=1,16&lt;INDEX(lk_legs,9)),g_ox+IF(((16+0.5)*(4*IF(circ_int,0,eq_c1/2)+4*IF(circ_int,0,eq_c2/2)+2*PI()*(s_0+8*s_r+IF(circ_int,eq_c1/2,0)))/INDEX(lk_legs,9))&lt;(2*IF(circ_int,0,eq_c2/2)),IF(circ_int,0,eq_c1/2)+(s_0+8*s_r+IF(circ_int,eq_c1/2,0)),IF(((16+0.5)*(4*IF(circ_int,0,eq_c1/2)+4*IF(circ_int,0,eq_c2/2)+2*PI()*(s_0+8*s_r+IF(circ_int,eq_c1/2,0)))/INDEX(lk_legs,9))&lt;((2*IF(circ_int,0,eq_c2/2))+(PI()*(s_0+8*s_r+IF(circ_int,eq_c1/2,0))/2)),IF(circ_int,0,eq_c1/2)+(s_0+8*s_r+IF(circ_int,eq_c1/2,0))*COS((((16+0.5)*(4*IF(circ_int,0,eq_c1/2)+4*IF(circ_int,0,eq_c2/2)+2*PI()*(s_0+8*s_r+IF(circ_int,eq_c1/2,0)))/INDEX(lk_legs,9))-(2*IF(circ_int,0,eq_c2/2)))/(s_0+8*s_r+IF(circ_int,eq_c1/2,0))),IF(((16+0.5)*(4*IF(circ_int,0,eq_c1/2)+4*IF(circ_int,0,eq_c2/2)+2*PI()*(s_0+8*s_r+IF(circ_int,eq_c1/2,0)))/INDEX(lk_legs,9))&lt;(((2*IF(circ_int,0,eq_c2/2))+(PI()*(s_0+8*s_r+IF(circ_int,eq_c1/2,0))/2))+2*IF(circ_int,0,eq_c1/2)),IF(circ_int,0,eq_c1/2)-(((16+0.5)*(4*IF(circ_int,0,eq_c1/2)+4*IF(circ_int,0,eq_c2/2)+2*PI()*(s_0+8*s_r+IF(circ_int,eq_c1/2,0)))/INDEX(lk_legs,9))-((2*IF(circ_int,0,eq_c2/2))+(PI()*(s_0+8*s_r+IF(circ_int,eq_c1/2,0))/2))),IF(((16+0.5)*(4*IF(circ_int,0,eq_c1/2)+4*IF(circ_int,0,eq_c2/2)+2*PI()*(s_0+8*s_r+IF(circ_int,eq_c1/2,0)))/INDEX(lk_legs,9))&lt;((((2*IF(circ_int,0,eq_c2/2))+(PI()*(s_0+8*s_r+IF(circ_int,eq_c1/2,0))/2))+2*IF(circ_int,0,eq_c1/2))+(PI()*(s_0+8*s_r+IF(circ_int,eq_c1/2,0))/2)),-IF(circ_int,0,eq_c1/2)+(s_0+8*s_r+IF(circ_int,eq_c1/2,0))*COS(PI()/2+(((16+0.5)*(4*IF(circ_int,0,eq_c1/2)+4*IF(circ_int,0,eq_c2/2)+2*PI()*(s_0+8*s_r+IF(circ_int,eq_c1/2,0)))/INDEX(lk_legs,9))-(((2*IF(circ_int,0,eq_c2/2))+(PI()*(s_0+8*s_r+IF(circ_int,eq_c1/2,0))/2))+2*IF(circ_int,0,eq_c1/2)))/(s_0+8*s_r+IF(circ_int,eq_c1/2,0))),IF(((16+0.5)*(4*IF(circ_int,0,eq_c1/2)+4*IF(circ_int,0,eq_c2/2)+2*PI()*(s_0+8*s_r+IF(circ_int,eq_c1/2,0)))/INDEX(lk_legs,9))&lt;(((((2*IF(circ_int,0,eq_c2/2))+(PI()*(s_0+8*s_r+IF(circ_int,eq_c1/2,0))/2))+2*IF(circ_int,0,eq_c1/2))+(PI()*(s_0+8*s_r+IF(circ_int,eq_c1/2,0))/2))+2*IF(circ_int,0,eq_c2/2)),-IF(circ_int,0,eq_c1/2)-(s_0+8*s_r+IF(circ_int,eq_c1/2,0)),IF(((16+0.5)*(4*IF(circ_int,0,eq_c1/2)+4*IF(circ_int,0,eq_c2/2)+2*PI()*(s_0+8*s_r+IF(circ_int,eq_c1/2,0)))/INDEX(lk_legs,9))&lt;((((((2*IF(circ_int,0,eq_c2/2))+(PI()*(s_0+8*s_r+IF(circ_int,eq_c1/2,0))/2))+2*IF(circ_int,0,eq_c1/2))+(PI()*(s_0+8*s_r+IF(circ_int,eq_c1/2,0))/2))+2*IF(circ_int,0,eq_c2/2))+(PI()*(s_0+8*s_r+IF(circ_int,eq_c1/2,0))/2)),-IF(circ_int,0,eq_c1/2)+(s_0+8*s_r+IF(circ_int,eq_c1/2,0))*COS(PI()+(((16+0.5)*(4*IF(circ_int,0,eq_c1/2)+4*IF(circ_int,0,eq_c2/2)+2*PI()*(s_0+8*s_r+IF(circ_int,eq_c1/2,0)))/INDEX(lk_legs,9))-(((((2*IF(circ_int,0,eq_c2/2))+(PI()*(s_0+8*s_r+IF(circ_int,eq_c1/2,0))/2))+2*IF(circ_int,0,eq_c1/2))+(PI()*(s_0+8*s_r+IF(circ_int,eq_c1/2,0))/2))+2*IF(circ_int,0,eq_c2/2)))/(s_0+8*s_r+IF(circ_int,eq_c1/2,0))),IF(((16+0.5)*(4*IF(circ_int,0,eq_c1/2)+4*IF(circ_int,0,eq_c2/2)+2*PI()*(s_0+8*s_r+IF(circ_int,eq_c1/2,0)))/INDEX(lk_legs,9))&lt;(((((((2*IF(circ_int,0,eq_c2/2))+(PI()*(s_0+8*s_r+IF(circ_int,eq_c1/2,0))/2))+2*IF(circ_int,0,eq_c1/2))+(PI()*(s_0+8*s_r+IF(circ_int,eq_c1/2,0))/2))+2*IF(circ_int,0,eq_c2/2))+(PI()*(s_0+8*s_r+IF(circ_int,eq_c1/2,0))/2))+2*IF(circ_int,0,eq_c1/2)),-IF(circ_int,0,eq_c1/2)+(((16+0.5)*(4*IF(circ_int,0,eq_c1/2)+4*IF(circ_int,0,eq_c2/2)+2*PI()*(s_0+8*s_r+IF(circ_int,eq_c1/2,0)))/INDEX(lk_legs,9))-((((((2*IF(circ_int,0,eq_c2/2))+(PI()*(s_0+8*s_r+IF(circ_int,eq_c1/2,0))/2))+2*IF(circ_int,0,eq_c1/2))+(PI()*(s_0+8*s_r+IF(circ_int,eq_c1/2,0))/2))+2*IF(circ_int,0,eq_c2/2))+(PI()*(s_0+8*s_r+IF(circ_int,eq_c1/2,0))/2))),IF(circ_int,0,eq_c1/2)+(s_0+8*s_r+IF(circ_int,eq_c1/2,0))*COS(3*PI()/2+(((16+0.5)*(4*IF(circ_int,0,eq_c1/2)+4*IF(circ_int,0,eq_c2/2)+2*PI()*(s_0+8*s_r+IF(circ_int,eq_c1/2,0)))/INDEX(lk_legs,9))-(((((((2*IF(circ_int,0,eq_c2/2))+(PI()*(s_0+8*s_r+IF(circ_int,eq_c1/2,0))/2))+2*IF(circ_int,0,eq_c1/2))+(PI()*(s_0+8*s_r+IF(circ_int,eq_c1/2,0))/2))+2*IF(circ_int,0,eq_c2/2))+(PI()*(s_0+8*s_r+IF(circ_int,eq_c1/2,0))/2))+2*IF(circ_int,0,eq_c1/2)))/(s_0+8*s_r+IF(circ_int,eq_c1/2,0)))))))))),NA())</f>
        <v/>
      </c>
      <c r="CW19">
        <f>IF(AND(AND(links_on,9&lt;=n_per),INDEX(lk_kind,9)=1,16&lt;INDEX(lk_legs,9)),g_oy+IF(((16+0.5)*(4*IF(circ_int,0,eq_c1/2)+4*IF(circ_int,0,eq_c2/2)+2*PI()*(s_0+8*s_r+IF(circ_int,eq_c1/2,0)))/INDEX(lk_legs,9))&lt;(2*IF(circ_int,0,eq_c2/2)),-IF(circ_int,0,eq_c2/2)+((16+0.5)*(4*IF(circ_int,0,eq_c1/2)+4*IF(circ_int,0,eq_c2/2)+2*PI()*(s_0+8*s_r+IF(circ_int,eq_c1/2,0)))/INDEX(lk_legs,9)),IF(((16+0.5)*(4*IF(circ_int,0,eq_c1/2)+4*IF(circ_int,0,eq_c2/2)+2*PI()*(s_0+8*s_r+IF(circ_int,eq_c1/2,0)))/INDEX(lk_legs,9))&lt;((2*IF(circ_int,0,eq_c2/2))+(PI()*(s_0+8*s_r+IF(circ_int,eq_c1/2,0))/2)),IF(circ_int,0,eq_c2/2)+(s_0+8*s_r+IF(circ_int,eq_c1/2,0))*SIN((((16+0.5)*(4*IF(circ_int,0,eq_c1/2)+4*IF(circ_int,0,eq_c2/2)+2*PI()*(s_0+8*s_r+IF(circ_int,eq_c1/2,0)))/INDEX(lk_legs,9))-(2*IF(circ_int,0,eq_c2/2)))/(s_0+8*s_r+IF(circ_int,eq_c1/2,0))),IF(((16+0.5)*(4*IF(circ_int,0,eq_c1/2)+4*IF(circ_int,0,eq_c2/2)+2*PI()*(s_0+8*s_r+IF(circ_int,eq_c1/2,0)))/INDEX(lk_legs,9))&lt;(((2*IF(circ_int,0,eq_c2/2))+(PI()*(s_0+8*s_r+IF(circ_int,eq_c1/2,0))/2))+2*IF(circ_int,0,eq_c1/2)),IF(circ_int,0,eq_c2/2)+(s_0+8*s_r+IF(circ_int,eq_c1/2,0)),IF(((16+0.5)*(4*IF(circ_int,0,eq_c1/2)+4*IF(circ_int,0,eq_c2/2)+2*PI()*(s_0+8*s_r+IF(circ_int,eq_c1/2,0)))/INDEX(lk_legs,9))&lt;((((2*IF(circ_int,0,eq_c2/2))+(PI()*(s_0+8*s_r+IF(circ_int,eq_c1/2,0))/2))+2*IF(circ_int,0,eq_c1/2))+(PI()*(s_0+8*s_r+IF(circ_int,eq_c1/2,0))/2)),IF(circ_int,0,eq_c2/2)+(s_0+8*s_r+IF(circ_int,eq_c1/2,0))*SIN(PI()/2+(((16+0.5)*(4*IF(circ_int,0,eq_c1/2)+4*IF(circ_int,0,eq_c2/2)+2*PI()*(s_0+8*s_r+IF(circ_int,eq_c1/2,0)))/INDEX(lk_legs,9))-(((2*IF(circ_int,0,eq_c2/2))+(PI()*(s_0+8*s_r+IF(circ_int,eq_c1/2,0))/2))+2*IF(circ_int,0,eq_c1/2)))/(s_0+8*s_r+IF(circ_int,eq_c1/2,0))),IF(((16+0.5)*(4*IF(circ_int,0,eq_c1/2)+4*IF(circ_int,0,eq_c2/2)+2*PI()*(s_0+8*s_r+IF(circ_int,eq_c1/2,0)))/INDEX(lk_legs,9))&lt;(((((2*IF(circ_int,0,eq_c2/2))+(PI()*(s_0+8*s_r+IF(circ_int,eq_c1/2,0))/2))+2*IF(circ_int,0,eq_c1/2))+(PI()*(s_0+8*s_r+IF(circ_int,eq_c1/2,0))/2))+2*IF(circ_int,0,eq_c2/2)),IF(circ_int,0,eq_c2/2)-(((16+0.5)*(4*IF(circ_int,0,eq_c1/2)+4*IF(circ_int,0,eq_c2/2)+2*PI()*(s_0+8*s_r+IF(circ_int,eq_c1/2,0)))/INDEX(lk_legs,9))-((((2*IF(circ_int,0,eq_c2/2))+(PI()*(s_0+8*s_r+IF(circ_int,eq_c1/2,0))/2))+2*IF(circ_int,0,eq_c1/2))+(PI()*(s_0+8*s_r+IF(circ_int,eq_c1/2,0))/2))),IF(((16+0.5)*(4*IF(circ_int,0,eq_c1/2)+4*IF(circ_int,0,eq_c2/2)+2*PI()*(s_0+8*s_r+IF(circ_int,eq_c1/2,0)))/INDEX(lk_legs,9))&lt;((((((2*IF(circ_int,0,eq_c2/2))+(PI()*(s_0+8*s_r+IF(circ_int,eq_c1/2,0))/2))+2*IF(circ_int,0,eq_c1/2))+(PI()*(s_0+8*s_r+IF(circ_int,eq_c1/2,0))/2))+2*IF(circ_int,0,eq_c2/2))+(PI()*(s_0+8*s_r+IF(circ_int,eq_c1/2,0))/2)),-IF(circ_int,0,eq_c2/2)+(s_0+8*s_r+IF(circ_int,eq_c1/2,0))*SIN(PI()+(((16+0.5)*(4*IF(circ_int,0,eq_c1/2)+4*IF(circ_int,0,eq_c2/2)+2*PI()*(s_0+8*s_r+IF(circ_int,eq_c1/2,0)))/INDEX(lk_legs,9))-(((((2*IF(circ_int,0,eq_c2/2))+(PI()*(s_0+8*s_r+IF(circ_int,eq_c1/2,0))/2))+2*IF(circ_int,0,eq_c1/2))+(PI()*(s_0+8*s_r+IF(circ_int,eq_c1/2,0))/2))+2*IF(circ_int,0,eq_c2/2)))/(s_0+8*s_r+IF(circ_int,eq_c1/2,0))),IF(((16+0.5)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(16+0.5)*(4*IF(circ_int,0,eq_c1/2)+4*IF(circ_int,0,eq_c2/2)+2*PI()*(s_0+8*s_r+IF(circ_int,eq_c1/2,0)))/INDEX(lk_legs,9))-(((((((2*IF(circ_int,0,eq_c2/2))+(PI()*(s_0+8*s_r+IF(circ_int,eq_c1/2,0))/2))+2*IF(circ_int,0,eq_c1/2))+(PI()*(s_0+8*s_r+IF(circ_int,eq_c1/2,0))/2))+2*IF(circ_int,0,eq_c2/2))+(PI()*(s_0+8*s_r+IF(circ_int,eq_c1/2,0))/2))+2*IF(circ_int,0,eq_c1/2)))/(s_0+8*s_r+IF(circ_int,eq_c1/2,0)))))))))),NA())</f>
        <v/>
      </c>
      <c r="CY19">
        <f>IF(AND(links_on,10&lt;=n_per),IF(circ_int,(g_ox)+(c_1/2+(s_0+9*s_r))*-0.354605,CHOOSE(INDEX(lk_kind,10),(g_ox-eq_c1/2)+((s_0+9*s_r))*-0.382683,(eq_a1+eq_c1)+((s_0+9*s_r))*0.965926,eq_a1+eq_c1+(s_0+9*s_r),(eq_a1+eq_c1)+((s_0+9*s_r))*0.258819)),NA())</f>
        <v/>
      </c>
      <c r="CZ19">
        <f>IF(AND(links_on,10&lt;=n_per),IF(circ_int,(g_oy)+(c_1/2+(s_0+9*s_r))*0.935016,CHOOSE(INDEX(lk_kind,10),(g_oy+eq_c2/2)+((s_0+9*s_r))*0.923880,(g_oy-eq_c2/2)+((s_0+9*s_r))*-0.258819,0,(eq_a2+eq_c2)+((s_0+9*s_r))*0.965926)),NA())</f>
        <v/>
      </c>
      <c r="DB19">
        <f>IF(AND(AND(links_on,10&lt;=n_per),INDEX(lk_kind,10)=1,16&lt;INDEX(lk_legs,10)),g_ox+IF(((16+0.5)*(4*IF(circ_int,0,eq_c1/2)+4*IF(circ_int,0,eq_c2/2)+2*PI()*(s_0+9*s_r+IF(circ_int,eq_c1/2,0)))/INDEX(lk_legs,10))&lt;(2*IF(circ_int,0,eq_c2/2)),IF(circ_int,0,eq_c1/2)+(s_0+9*s_r+IF(circ_int,eq_c1/2,0)),IF(((16+0.5)*(4*IF(circ_int,0,eq_c1/2)+4*IF(circ_int,0,eq_c2/2)+2*PI()*(s_0+9*s_r+IF(circ_int,eq_c1/2,0)))/INDEX(lk_legs,10))&lt;((2*IF(circ_int,0,eq_c2/2))+(PI()*(s_0+9*s_r+IF(circ_int,eq_c1/2,0))/2)),IF(circ_int,0,eq_c1/2)+(s_0+9*s_r+IF(circ_int,eq_c1/2,0))*COS((((16+0.5)*(4*IF(circ_int,0,eq_c1/2)+4*IF(circ_int,0,eq_c2/2)+2*PI()*(s_0+9*s_r+IF(circ_int,eq_c1/2,0)))/INDEX(lk_legs,10))-(2*IF(circ_int,0,eq_c2/2)))/(s_0+9*s_r+IF(circ_int,eq_c1/2,0))),IF(((16+0.5)*(4*IF(circ_int,0,eq_c1/2)+4*IF(circ_int,0,eq_c2/2)+2*PI()*(s_0+9*s_r+IF(circ_int,eq_c1/2,0)))/INDEX(lk_legs,10))&lt;(((2*IF(circ_int,0,eq_c2/2))+(PI()*(s_0+9*s_r+IF(circ_int,eq_c1/2,0))/2))+2*IF(circ_int,0,eq_c1/2)),IF(circ_int,0,eq_c1/2)-(((16+0.5)*(4*IF(circ_int,0,eq_c1/2)+4*IF(circ_int,0,eq_c2/2)+2*PI()*(s_0+9*s_r+IF(circ_int,eq_c1/2,0)))/INDEX(lk_legs,10))-((2*IF(circ_int,0,eq_c2/2))+(PI()*(s_0+9*s_r+IF(circ_int,eq_c1/2,0))/2))),IF(((16+0.5)*(4*IF(circ_int,0,eq_c1/2)+4*IF(circ_int,0,eq_c2/2)+2*PI()*(s_0+9*s_r+IF(circ_int,eq_c1/2,0)))/INDEX(lk_legs,10))&lt;((((2*IF(circ_int,0,eq_c2/2))+(PI()*(s_0+9*s_r+IF(circ_int,eq_c1/2,0))/2))+2*IF(circ_int,0,eq_c1/2))+(PI()*(s_0+9*s_r+IF(circ_int,eq_c1/2,0))/2)),-IF(circ_int,0,eq_c1/2)+(s_0+9*s_r+IF(circ_int,eq_c1/2,0))*COS(PI()/2+(((16+0.5)*(4*IF(circ_int,0,eq_c1/2)+4*IF(circ_int,0,eq_c2/2)+2*PI()*(s_0+9*s_r+IF(circ_int,eq_c1/2,0)))/INDEX(lk_legs,10))-(((2*IF(circ_int,0,eq_c2/2))+(PI()*(s_0+9*s_r+IF(circ_int,eq_c1/2,0))/2))+2*IF(circ_int,0,eq_c1/2)))/(s_0+9*s_r+IF(circ_int,eq_c1/2,0))),IF(((16+0.5)*(4*IF(circ_int,0,eq_c1/2)+4*IF(circ_int,0,eq_c2/2)+2*PI()*(s_0+9*s_r+IF(circ_int,eq_c1/2,0)))/INDEX(lk_legs,10))&lt;(((((2*IF(circ_int,0,eq_c2/2))+(PI()*(s_0+9*s_r+IF(circ_int,eq_c1/2,0))/2))+2*IF(circ_int,0,eq_c1/2))+(PI()*(s_0+9*s_r+IF(circ_int,eq_c1/2,0))/2))+2*IF(circ_int,0,eq_c2/2)),-IF(circ_int,0,eq_c1/2)-(s_0+9*s_r+IF(circ_int,eq_c1/2,0)),IF(((16+0.5)*(4*IF(circ_int,0,eq_c1/2)+4*IF(circ_int,0,eq_c2/2)+2*PI()*(s_0+9*s_r+IF(circ_int,eq_c1/2,0)))/INDEX(lk_legs,10))&lt;((((((2*IF(circ_int,0,eq_c2/2))+(PI()*(s_0+9*s_r+IF(circ_int,eq_c1/2,0))/2))+2*IF(circ_int,0,eq_c1/2))+(PI()*(s_0+9*s_r+IF(circ_int,eq_c1/2,0))/2))+2*IF(circ_int,0,eq_c2/2))+(PI()*(s_0+9*s_r+IF(circ_int,eq_c1/2,0))/2)),-IF(circ_int,0,eq_c1/2)+(s_0+9*s_r+IF(circ_int,eq_c1/2,0))*COS(PI()+(((16+0.5)*(4*IF(circ_int,0,eq_c1/2)+4*IF(circ_int,0,eq_c2/2)+2*PI()*(s_0+9*s_r+IF(circ_int,eq_c1/2,0)))/INDEX(lk_legs,10))-(((((2*IF(circ_int,0,eq_c2/2))+(PI()*(s_0+9*s_r+IF(circ_int,eq_c1/2,0))/2))+2*IF(circ_int,0,eq_c1/2))+(PI()*(s_0+9*s_r+IF(circ_int,eq_c1/2,0))/2))+2*IF(circ_int,0,eq_c2/2)))/(s_0+9*s_r+IF(circ_int,eq_c1/2,0))),IF(((16+0.5)*(4*IF(circ_int,0,eq_c1/2)+4*IF(circ_int,0,eq_c2/2)+2*PI()*(s_0+9*s_r+IF(circ_int,eq_c1/2,0)))/INDEX(lk_legs,10))&lt;(((((((2*IF(circ_int,0,eq_c2/2))+(PI()*(s_0+9*s_r+IF(circ_int,eq_c1/2,0))/2))+2*IF(circ_int,0,eq_c1/2))+(PI()*(s_0+9*s_r+IF(circ_int,eq_c1/2,0))/2))+2*IF(circ_int,0,eq_c2/2))+(PI()*(s_0+9*s_r+IF(circ_int,eq_c1/2,0))/2))+2*IF(circ_int,0,eq_c1/2)),-IF(circ_int,0,eq_c1/2)+(((16+0.5)*(4*IF(circ_int,0,eq_c1/2)+4*IF(circ_int,0,eq_c2/2)+2*PI()*(s_0+9*s_r+IF(circ_int,eq_c1/2,0)))/INDEX(lk_legs,10))-((((((2*IF(circ_int,0,eq_c2/2))+(PI()*(s_0+9*s_r+IF(circ_int,eq_c1/2,0))/2))+2*IF(circ_int,0,eq_c1/2))+(PI()*(s_0+9*s_r+IF(circ_int,eq_c1/2,0))/2))+2*IF(circ_int,0,eq_c2/2))+(PI()*(s_0+9*s_r+IF(circ_int,eq_c1/2,0))/2))),IF(circ_int,0,eq_c1/2)+(s_0+9*s_r+IF(circ_int,eq_c1/2,0))*COS(3*PI()/2+(((16+0.5)*(4*IF(circ_int,0,eq_c1/2)+4*IF(circ_int,0,eq_c2/2)+2*PI()*(s_0+9*s_r+IF(circ_int,eq_c1/2,0)))/INDEX(lk_legs,10))-(((((((2*IF(circ_int,0,eq_c2/2))+(PI()*(s_0+9*s_r+IF(circ_int,eq_c1/2,0))/2))+2*IF(circ_int,0,eq_c1/2))+(PI()*(s_0+9*s_r+IF(circ_int,eq_c1/2,0))/2))+2*IF(circ_int,0,eq_c2/2))+(PI()*(s_0+9*s_r+IF(circ_int,eq_c1/2,0))/2))+2*IF(circ_int,0,eq_c1/2)))/(s_0+9*s_r+IF(circ_int,eq_c1/2,0)))))))))),NA())</f>
        <v/>
      </c>
      <c r="DC19">
        <f>IF(AND(AND(links_on,10&lt;=n_per),INDEX(lk_kind,10)=1,16&lt;INDEX(lk_legs,10)),g_oy+IF(((16+0.5)*(4*IF(circ_int,0,eq_c1/2)+4*IF(circ_int,0,eq_c2/2)+2*PI()*(s_0+9*s_r+IF(circ_int,eq_c1/2,0)))/INDEX(lk_legs,10))&lt;(2*IF(circ_int,0,eq_c2/2)),-IF(circ_int,0,eq_c2/2)+((16+0.5)*(4*IF(circ_int,0,eq_c1/2)+4*IF(circ_int,0,eq_c2/2)+2*PI()*(s_0+9*s_r+IF(circ_int,eq_c1/2,0)))/INDEX(lk_legs,10)),IF(((16+0.5)*(4*IF(circ_int,0,eq_c1/2)+4*IF(circ_int,0,eq_c2/2)+2*PI()*(s_0+9*s_r+IF(circ_int,eq_c1/2,0)))/INDEX(lk_legs,10))&lt;((2*IF(circ_int,0,eq_c2/2))+(PI()*(s_0+9*s_r+IF(circ_int,eq_c1/2,0))/2)),IF(circ_int,0,eq_c2/2)+(s_0+9*s_r+IF(circ_int,eq_c1/2,0))*SIN((((16+0.5)*(4*IF(circ_int,0,eq_c1/2)+4*IF(circ_int,0,eq_c2/2)+2*PI()*(s_0+9*s_r+IF(circ_int,eq_c1/2,0)))/INDEX(lk_legs,10))-(2*IF(circ_int,0,eq_c2/2)))/(s_0+9*s_r+IF(circ_int,eq_c1/2,0))),IF(((16+0.5)*(4*IF(circ_int,0,eq_c1/2)+4*IF(circ_int,0,eq_c2/2)+2*PI()*(s_0+9*s_r+IF(circ_int,eq_c1/2,0)))/INDEX(lk_legs,10))&lt;(((2*IF(circ_int,0,eq_c2/2))+(PI()*(s_0+9*s_r+IF(circ_int,eq_c1/2,0))/2))+2*IF(circ_int,0,eq_c1/2)),IF(circ_int,0,eq_c2/2)+(s_0+9*s_r+IF(circ_int,eq_c1/2,0)),IF(((16+0.5)*(4*IF(circ_int,0,eq_c1/2)+4*IF(circ_int,0,eq_c2/2)+2*PI()*(s_0+9*s_r+IF(circ_int,eq_c1/2,0)))/INDEX(lk_legs,10))&lt;((((2*IF(circ_int,0,eq_c2/2))+(PI()*(s_0+9*s_r+IF(circ_int,eq_c1/2,0))/2))+2*IF(circ_int,0,eq_c1/2))+(PI()*(s_0+9*s_r+IF(circ_int,eq_c1/2,0))/2)),IF(circ_int,0,eq_c2/2)+(s_0+9*s_r+IF(circ_int,eq_c1/2,0))*SIN(PI()/2+(((16+0.5)*(4*IF(circ_int,0,eq_c1/2)+4*IF(circ_int,0,eq_c2/2)+2*PI()*(s_0+9*s_r+IF(circ_int,eq_c1/2,0)))/INDEX(lk_legs,10))-(((2*IF(circ_int,0,eq_c2/2))+(PI()*(s_0+9*s_r+IF(circ_int,eq_c1/2,0))/2))+2*IF(circ_int,0,eq_c1/2)))/(s_0+9*s_r+IF(circ_int,eq_c1/2,0))),IF(((16+0.5)*(4*IF(circ_int,0,eq_c1/2)+4*IF(circ_int,0,eq_c2/2)+2*PI()*(s_0+9*s_r+IF(circ_int,eq_c1/2,0)))/INDEX(lk_legs,10))&lt;(((((2*IF(circ_int,0,eq_c2/2))+(PI()*(s_0+9*s_r+IF(circ_int,eq_c1/2,0))/2))+2*IF(circ_int,0,eq_c1/2))+(PI()*(s_0+9*s_r+IF(circ_int,eq_c1/2,0))/2))+2*IF(circ_int,0,eq_c2/2)),IF(circ_int,0,eq_c2/2)-(((16+0.5)*(4*IF(circ_int,0,eq_c1/2)+4*IF(circ_int,0,eq_c2/2)+2*PI()*(s_0+9*s_r+IF(circ_int,eq_c1/2,0)))/INDEX(lk_legs,10))-((((2*IF(circ_int,0,eq_c2/2))+(PI()*(s_0+9*s_r+IF(circ_int,eq_c1/2,0))/2))+2*IF(circ_int,0,eq_c1/2))+(PI()*(s_0+9*s_r+IF(circ_int,eq_c1/2,0))/2))),IF(((16+0.5)*(4*IF(circ_int,0,eq_c1/2)+4*IF(circ_int,0,eq_c2/2)+2*PI()*(s_0+9*s_r+IF(circ_int,eq_c1/2,0)))/INDEX(lk_legs,10))&lt;((((((2*IF(circ_int,0,eq_c2/2))+(PI()*(s_0+9*s_r+IF(circ_int,eq_c1/2,0))/2))+2*IF(circ_int,0,eq_c1/2))+(PI()*(s_0+9*s_r+IF(circ_int,eq_c1/2,0))/2))+2*IF(circ_int,0,eq_c2/2))+(PI()*(s_0+9*s_r+IF(circ_int,eq_c1/2,0))/2)),-IF(circ_int,0,eq_c2/2)+(s_0+9*s_r+IF(circ_int,eq_c1/2,0))*SIN(PI()+(((16+0.5)*(4*IF(circ_int,0,eq_c1/2)+4*IF(circ_int,0,eq_c2/2)+2*PI()*(s_0+9*s_r+IF(circ_int,eq_c1/2,0)))/INDEX(lk_legs,10))-(((((2*IF(circ_int,0,eq_c2/2))+(PI()*(s_0+9*s_r+IF(circ_int,eq_c1/2,0))/2))+2*IF(circ_int,0,eq_c1/2))+(PI()*(s_0+9*s_r+IF(circ_int,eq_c1/2,0))/2))+2*IF(circ_int,0,eq_c2/2)))/(s_0+9*s_r+IF(circ_int,eq_c1/2,0))),IF(((16+0.5)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(16+0.5)*(4*IF(circ_int,0,eq_c1/2)+4*IF(circ_int,0,eq_c2/2)+2*PI()*(s_0+9*s_r+IF(circ_int,eq_c1/2,0)))/INDEX(lk_legs,10))-(((((((2*IF(circ_int,0,eq_c2/2))+(PI()*(s_0+9*s_r+IF(circ_int,eq_c1/2,0))/2))+2*IF(circ_int,0,eq_c1/2))+(PI()*(s_0+9*s_r+IF(circ_int,eq_c1/2,0))/2))+2*IF(circ_int,0,eq_c2/2))+(PI()*(s_0+9*s_r+IF(circ_int,eq_c1/2,0))/2))+2*IF(circ_int,0,eq_c1/2)))/(s_0+9*s_r+IF(circ_int,eq_c1/2,0)))))))))),NA())</f>
        <v/>
      </c>
      <c r="DE19">
        <f>IF(AND(links_on,11&lt;=n_per),IF(circ_int,(g_ox)+(c_1/2+(s_0+10*s_r))*-0.354605,CHOOSE(INDEX(lk_kind,11),(g_ox-eq_c1/2)+((s_0+10*s_r))*-0.382683,(eq_a1+eq_c1)+((s_0+10*s_r))*0.965926,eq_a1+eq_c1+(s_0+10*s_r),(eq_a1+eq_c1)+((s_0+10*s_r))*0.258819)),NA())</f>
        <v/>
      </c>
      <c r="DF19">
        <f>IF(AND(links_on,11&lt;=n_per),IF(circ_int,(g_oy)+(c_1/2+(s_0+10*s_r))*0.935016,CHOOSE(INDEX(lk_kind,11),(g_oy+eq_c2/2)+((s_0+10*s_r))*0.923880,(g_oy-eq_c2/2)+((s_0+10*s_r))*-0.258819,0,(eq_a2+eq_c2)+((s_0+10*s_r))*0.965926)),NA())</f>
        <v/>
      </c>
      <c r="DH19">
        <f>IF(AND(AND(links_on,11&lt;=n_per),INDEX(lk_kind,11)=1,16&lt;INDEX(lk_legs,11)),g_ox+IF(((16+0.5)*(4*IF(circ_int,0,eq_c1/2)+4*IF(circ_int,0,eq_c2/2)+2*PI()*(s_0+10*s_r+IF(circ_int,eq_c1/2,0)))/INDEX(lk_legs,11))&lt;(2*IF(circ_int,0,eq_c2/2)),IF(circ_int,0,eq_c1/2)+(s_0+10*s_r+IF(circ_int,eq_c1/2,0)),IF(((16+0.5)*(4*IF(circ_int,0,eq_c1/2)+4*IF(circ_int,0,eq_c2/2)+2*PI()*(s_0+10*s_r+IF(circ_int,eq_c1/2,0)))/INDEX(lk_legs,11))&lt;((2*IF(circ_int,0,eq_c2/2))+(PI()*(s_0+10*s_r+IF(circ_int,eq_c1/2,0))/2)),IF(circ_int,0,eq_c1/2)+(s_0+10*s_r+IF(circ_int,eq_c1/2,0))*COS((((16+0.5)*(4*IF(circ_int,0,eq_c1/2)+4*IF(circ_int,0,eq_c2/2)+2*PI()*(s_0+10*s_r+IF(circ_int,eq_c1/2,0)))/INDEX(lk_legs,11))-(2*IF(circ_int,0,eq_c2/2)))/(s_0+10*s_r+IF(circ_int,eq_c1/2,0))),IF(((16+0.5)*(4*IF(circ_int,0,eq_c1/2)+4*IF(circ_int,0,eq_c2/2)+2*PI()*(s_0+10*s_r+IF(circ_int,eq_c1/2,0)))/INDEX(lk_legs,11))&lt;(((2*IF(circ_int,0,eq_c2/2))+(PI()*(s_0+10*s_r+IF(circ_int,eq_c1/2,0))/2))+2*IF(circ_int,0,eq_c1/2)),IF(circ_int,0,eq_c1/2)-(((16+0.5)*(4*IF(circ_int,0,eq_c1/2)+4*IF(circ_int,0,eq_c2/2)+2*PI()*(s_0+10*s_r+IF(circ_int,eq_c1/2,0)))/INDEX(lk_legs,11))-((2*IF(circ_int,0,eq_c2/2))+(PI()*(s_0+10*s_r+IF(circ_int,eq_c1/2,0))/2))),IF(((16+0.5)*(4*IF(circ_int,0,eq_c1/2)+4*IF(circ_int,0,eq_c2/2)+2*PI()*(s_0+10*s_r+IF(circ_int,eq_c1/2,0)))/INDEX(lk_legs,11))&lt;((((2*IF(circ_int,0,eq_c2/2))+(PI()*(s_0+10*s_r+IF(circ_int,eq_c1/2,0))/2))+2*IF(circ_int,0,eq_c1/2))+(PI()*(s_0+10*s_r+IF(circ_int,eq_c1/2,0))/2)),-IF(circ_int,0,eq_c1/2)+(s_0+10*s_r+IF(circ_int,eq_c1/2,0))*COS(PI()/2+(((16+0.5)*(4*IF(circ_int,0,eq_c1/2)+4*IF(circ_int,0,eq_c2/2)+2*PI()*(s_0+10*s_r+IF(circ_int,eq_c1/2,0)))/INDEX(lk_legs,11))-(((2*IF(circ_int,0,eq_c2/2))+(PI()*(s_0+10*s_r+IF(circ_int,eq_c1/2,0))/2))+2*IF(circ_int,0,eq_c1/2)))/(s_0+10*s_r+IF(circ_int,eq_c1/2,0))),IF(((16+0.5)*(4*IF(circ_int,0,eq_c1/2)+4*IF(circ_int,0,eq_c2/2)+2*PI()*(s_0+10*s_r+IF(circ_int,eq_c1/2,0)))/INDEX(lk_legs,11))&lt;(((((2*IF(circ_int,0,eq_c2/2))+(PI()*(s_0+10*s_r+IF(circ_int,eq_c1/2,0))/2))+2*IF(circ_int,0,eq_c1/2))+(PI()*(s_0+10*s_r+IF(circ_int,eq_c1/2,0))/2))+2*IF(circ_int,0,eq_c2/2)),-IF(circ_int,0,eq_c1/2)-(s_0+10*s_r+IF(circ_int,eq_c1/2,0)),IF(((16+0.5)*(4*IF(circ_int,0,eq_c1/2)+4*IF(circ_int,0,eq_c2/2)+2*PI()*(s_0+10*s_r+IF(circ_int,eq_c1/2,0)))/INDEX(lk_legs,11))&lt;((((((2*IF(circ_int,0,eq_c2/2))+(PI()*(s_0+10*s_r+IF(circ_int,eq_c1/2,0))/2))+2*IF(circ_int,0,eq_c1/2))+(PI()*(s_0+10*s_r+IF(circ_int,eq_c1/2,0))/2))+2*IF(circ_int,0,eq_c2/2))+(PI()*(s_0+10*s_r+IF(circ_int,eq_c1/2,0))/2)),-IF(circ_int,0,eq_c1/2)+(s_0+10*s_r+IF(circ_int,eq_c1/2,0))*COS(PI()+(((16+0.5)*(4*IF(circ_int,0,eq_c1/2)+4*IF(circ_int,0,eq_c2/2)+2*PI()*(s_0+10*s_r+IF(circ_int,eq_c1/2,0)))/INDEX(lk_legs,11))-(((((2*IF(circ_int,0,eq_c2/2))+(PI()*(s_0+10*s_r+IF(circ_int,eq_c1/2,0))/2))+2*IF(circ_int,0,eq_c1/2))+(PI()*(s_0+10*s_r+IF(circ_int,eq_c1/2,0))/2))+2*IF(circ_int,0,eq_c2/2)))/(s_0+10*s_r+IF(circ_int,eq_c1/2,0))),IF(((16+0.5)*(4*IF(circ_int,0,eq_c1/2)+4*IF(circ_int,0,eq_c2/2)+2*PI()*(s_0+10*s_r+IF(circ_int,eq_c1/2,0)))/INDEX(lk_legs,11))&lt;(((((((2*IF(circ_int,0,eq_c2/2))+(PI()*(s_0+10*s_r+IF(circ_int,eq_c1/2,0))/2))+2*IF(circ_int,0,eq_c1/2))+(PI()*(s_0+10*s_r+IF(circ_int,eq_c1/2,0))/2))+2*IF(circ_int,0,eq_c2/2))+(PI()*(s_0+10*s_r+IF(circ_int,eq_c1/2,0))/2))+2*IF(circ_int,0,eq_c1/2)),-IF(circ_int,0,eq_c1/2)+(((16+0.5)*(4*IF(circ_int,0,eq_c1/2)+4*IF(circ_int,0,eq_c2/2)+2*PI()*(s_0+10*s_r+IF(circ_int,eq_c1/2,0)))/INDEX(lk_legs,11))-((((((2*IF(circ_int,0,eq_c2/2))+(PI()*(s_0+10*s_r+IF(circ_int,eq_c1/2,0))/2))+2*IF(circ_int,0,eq_c1/2))+(PI()*(s_0+10*s_r+IF(circ_int,eq_c1/2,0))/2))+2*IF(circ_int,0,eq_c2/2))+(PI()*(s_0+10*s_r+IF(circ_int,eq_c1/2,0))/2))),IF(circ_int,0,eq_c1/2)+(s_0+10*s_r+IF(circ_int,eq_c1/2,0))*COS(3*PI()/2+(((16+0.5)*(4*IF(circ_int,0,eq_c1/2)+4*IF(circ_int,0,eq_c2/2)+2*PI()*(s_0+10*s_r+IF(circ_int,eq_c1/2,0)))/INDEX(lk_legs,11))-(((((((2*IF(circ_int,0,eq_c2/2))+(PI()*(s_0+10*s_r+IF(circ_int,eq_c1/2,0))/2))+2*IF(circ_int,0,eq_c1/2))+(PI()*(s_0+10*s_r+IF(circ_int,eq_c1/2,0))/2))+2*IF(circ_int,0,eq_c2/2))+(PI()*(s_0+10*s_r+IF(circ_int,eq_c1/2,0))/2))+2*IF(circ_int,0,eq_c1/2)))/(s_0+10*s_r+IF(circ_int,eq_c1/2,0)))))))))),NA())</f>
        <v/>
      </c>
      <c r="DI19">
        <f>IF(AND(AND(links_on,11&lt;=n_per),INDEX(lk_kind,11)=1,16&lt;INDEX(lk_legs,11)),g_oy+IF(((16+0.5)*(4*IF(circ_int,0,eq_c1/2)+4*IF(circ_int,0,eq_c2/2)+2*PI()*(s_0+10*s_r+IF(circ_int,eq_c1/2,0)))/INDEX(lk_legs,11))&lt;(2*IF(circ_int,0,eq_c2/2)),-IF(circ_int,0,eq_c2/2)+((16+0.5)*(4*IF(circ_int,0,eq_c1/2)+4*IF(circ_int,0,eq_c2/2)+2*PI()*(s_0+10*s_r+IF(circ_int,eq_c1/2,0)))/INDEX(lk_legs,11)),IF(((16+0.5)*(4*IF(circ_int,0,eq_c1/2)+4*IF(circ_int,0,eq_c2/2)+2*PI()*(s_0+10*s_r+IF(circ_int,eq_c1/2,0)))/INDEX(lk_legs,11))&lt;((2*IF(circ_int,0,eq_c2/2))+(PI()*(s_0+10*s_r+IF(circ_int,eq_c1/2,0))/2)),IF(circ_int,0,eq_c2/2)+(s_0+10*s_r+IF(circ_int,eq_c1/2,0))*SIN((((16+0.5)*(4*IF(circ_int,0,eq_c1/2)+4*IF(circ_int,0,eq_c2/2)+2*PI()*(s_0+10*s_r+IF(circ_int,eq_c1/2,0)))/INDEX(lk_legs,11))-(2*IF(circ_int,0,eq_c2/2)))/(s_0+10*s_r+IF(circ_int,eq_c1/2,0))),IF(((16+0.5)*(4*IF(circ_int,0,eq_c1/2)+4*IF(circ_int,0,eq_c2/2)+2*PI()*(s_0+10*s_r+IF(circ_int,eq_c1/2,0)))/INDEX(lk_legs,11))&lt;(((2*IF(circ_int,0,eq_c2/2))+(PI()*(s_0+10*s_r+IF(circ_int,eq_c1/2,0))/2))+2*IF(circ_int,0,eq_c1/2)),IF(circ_int,0,eq_c2/2)+(s_0+10*s_r+IF(circ_int,eq_c1/2,0)),IF(((16+0.5)*(4*IF(circ_int,0,eq_c1/2)+4*IF(circ_int,0,eq_c2/2)+2*PI()*(s_0+10*s_r+IF(circ_int,eq_c1/2,0)))/INDEX(lk_legs,11))&lt;((((2*IF(circ_int,0,eq_c2/2))+(PI()*(s_0+10*s_r+IF(circ_int,eq_c1/2,0))/2))+2*IF(circ_int,0,eq_c1/2))+(PI()*(s_0+10*s_r+IF(circ_int,eq_c1/2,0))/2)),IF(circ_int,0,eq_c2/2)+(s_0+10*s_r+IF(circ_int,eq_c1/2,0))*SIN(PI()/2+(((16+0.5)*(4*IF(circ_int,0,eq_c1/2)+4*IF(circ_int,0,eq_c2/2)+2*PI()*(s_0+10*s_r+IF(circ_int,eq_c1/2,0)))/INDEX(lk_legs,11))-(((2*IF(circ_int,0,eq_c2/2))+(PI()*(s_0+10*s_r+IF(circ_int,eq_c1/2,0))/2))+2*IF(circ_int,0,eq_c1/2)))/(s_0+10*s_r+IF(circ_int,eq_c1/2,0))),IF(((16+0.5)*(4*IF(circ_int,0,eq_c1/2)+4*IF(circ_int,0,eq_c2/2)+2*PI()*(s_0+10*s_r+IF(circ_int,eq_c1/2,0)))/INDEX(lk_legs,11))&lt;(((((2*IF(circ_int,0,eq_c2/2))+(PI()*(s_0+10*s_r+IF(circ_int,eq_c1/2,0))/2))+2*IF(circ_int,0,eq_c1/2))+(PI()*(s_0+10*s_r+IF(circ_int,eq_c1/2,0))/2))+2*IF(circ_int,0,eq_c2/2)),IF(circ_int,0,eq_c2/2)-(((16+0.5)*(4*IF(circ_int,0,eq_c1/2)+4*IF(circ_int,0,eq_c2/2)+2*PI()*(s_0+10*s_r+IF(circ_int,eq_c1/2,0)))/INDEX(lk_legs,11))-((((2*IF(circ_int,0,eq_c2/2))+(PI()*(s_0+10*s_r+IF(circ_int,eq_c1/2,0))/2))+2*IF(circ_int,0,eq_c1/2))+(PI()*(s_0+10*s_r+IF(circ_int,eq_c1/2,0))/2))),IF(((16+0.5)*(4*IF(circ_int,0,eq_c1/2)+4*IF(circ_int,0,eq_c2/2)+2*PI()*(s_0+10*s_r+IF(circ_int,eq_c1/2,0)))/INDEX(lk_legs,11))&lt;((((((2*IF(circ_int,0,eq_c2/2))+(PI()*(s_0+10*s_r+IF(circ_int,eq_c1/2,0))/2))+2*IF(circ_int,0,eq_c1/2))+(PI()*(s_0+10*s_r+IF(circ_int,eq_c1/2,0))/2))+2*IF(circ_int,0,eq_c2/2))+(PI()*(s_0+10*s_r+IF(circ_int,eq_c1/2,0))/2)),-IF(circ_int,0,eq_c2/2)+(s_0+10*s_r+IF(circ_int,eq_c1/2,0))*SIN(PI()+(((16+0.5)*(4*IF(circ_int,0,eq_c1/2)+4*IF(circ_int,0,eq_c2/2)+2*PI()*(s_0+10*s_r+IF(circ_int,eq_c1/2,0)))/INDEX(lk_legs,11))-(((((2*IF(circ_int,0,eq_c2/2))+(PI()*(s_0+10*s_r+IF(circ_int,eq_c1/2,0))/2))+2*IF(circ_int,0,eq_c1/2))+(PI()*(s_0+10*s_r+IF(circ_int,eq_c1/2,0))/2))+2*IF(circ_int,0,eq_c2/2)))/(s_0+10*s_r+IF(circ_int,eq_c1/2,0))),IF(((16+0.5)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(16+0.5)*(4*IF(circ_int,0,eq_c1/2)+4*IF(circ_int,0,eq_c2/2)+2*PI()*(s_0+10*s_r+IF(circ_int,eq_c1/2,0)))/INDEX(lk_legs,11))-(((((((2*IF(circ_int,0,eq_c2/2))+(PI()*(s_0+10*s_r+IF(circ_int,eq_c1/2,0))/2))+2*IF(circ_int,0,eq_c1/2))+(PI()*(s_0+10*s_r+IF(circ_int,eq_c1/2,0))/2))+2*IF(circ_int,0,eq_c2/2))+(PI()*(s_0+10*s_r+IF(circ_int,eq_c1/2,0))/2))+2*IF(circ_int,0,eq_c1/2)))/(s_0+10*s_r+IF(circ_int,eq_c1/2,0)))))))))),NA())</f>
        <v/>
      </c>
      <c r="DK19">
        <f>IF(AND(links_on,12&lt;=n_per),IF(circ_int,(g_ox)+(c_1/2+(s_0+11*s_r))*-0.354605,CHOOSE(INDEX(lk_kind,12),(g_ox-eq_c1/2)+((s_0+11*s_r))*-0.382683,(eq_a1+eq_c1)+((s_0+11*s_r))*0.965926,eq_a1+eq_c1+(s_0+11*s_r),(eq_a1+eq_c1)+((s_0+11*s_r))*0.258819)),NA())</f>
        <v/>
      </c>
      <c r="DL19">
        <f>IF(AND(links_on,12&lt;=n_per),IF(circ_int,(g_oy)+(c_1/2+(s_0+11*s_r))*0.935016,CHOOSE(INDEX(lk_kind,12),(g_oy+eq_c2/2)+((s_0+11*s_r))*0.923880,(g_oy-eq_c2/2)+((s_0+11*s_r))*-0.258819,0,(eq_a2+eq_c2)+((s_0+11*s_r))*0.965926)),NA())</f>
        <v/>
      </c>
      <c r="DN19">
        <f>IF(AND(AND(links_on,12&lt;=n_per),INDEX(lk_kind,12)=1,16&lt;INDEX(lk_legs,12)),g_ox+IF(((16+0.5)*(4*IF(circ_int,0,eq_c1/2)+4*IF(circ_int,0,eq_c2/2)+2*PI()*(s_0+11*s_r+IF(circ_int,eq_c1/2,0)))/INDEX(lk_legs,12))&lt;(2*IF(circ_int,0,eq_c2/2)),IF(circ_int,0,eq_c1/2)+(s_0+11*s_r+IF(circ_int,eq_c1/2,0)),IF(((16+0.5)*(4*IF(circ_int,0,eq_c1/2)+4*IF(circ_int,0,eq_c2/2)+2*PI()*(s_0+11*s_r+IF(circ_int,eq_c1/2,0)))/INDEX(lk_legs,12))&lt;((2*IF(circ_int,0,eq_c2/2))+(PI()*(s_0+11*s_r+IF(circ_int,eq_c1/2,0))/2)),IF(circ_int,0,eq_c1/2)+(s_0+11*s_r+IF(circ_int,eq_c1/2,0))*COS((((16+0.5)*(4*IF(circ_int,0,eq_c1/2)+4*IF(circ_int,0,eq_c2/2)+2*PI()*(s_0+11*s_r+IF(circ_int,eq_c1/2,0)))/INDEX(lk_legs,12))-(2*IF(circ_int,0,eq_c2/2)))/(s_0+11*s_r+IF(circ_int,eq_c1/2,0))),IF(((16+0.5)*(4*IF(circ_int,0,eq_c1/2)+4*IF(circ_int,0,eq_c2/2)+2*PI()*(s_0+11*s_r+IF(circ_int,eq_c1/2,0)))/INDEX(lk_legs,12))&lt;(((2*IF(circ_int,0,eq_c2/2))+(PI()*(s_0+11*s_r+IF(circ_int,eq_c1/2,0))/2))+2*IF(circ_int,0,eq_c1/2)),IF(circ_int,0,eq_c1/2)-(((16+0.5)*(4*IF(circ_int,0,eq_c1/2)+4*IF(circ_int,0,eq_c2/2)+2*PI()*(s_0+11*s_r+IF(circ_int,eq_c1/2,0)))/INDEX(lk_legs,12))-((2*IF(circ_int,0,eq_c2/2))+(PI()*(s_0+11*s_r+IF(circ_int,eq_c1/2,0))/2))),IF(((16+0.5)*(4*IF(circ_int,0,eq_c1/2)+4*IF(circ_int,0,eq_c2/2)+2*PI()*(s_0+11*s_r+IF(circ_int,eq_c1/2,0)))/INDEX(lk_legs,12))&lt;((((2*IF(circ_int,0,eq_c2/2))+(PI()*(s_0+11*s_r+IF(circ_int,eq_c1/2,0))/2))+2*IF(circ_int,0,eq_c1/2))+(PI()*(s_0+11*s_r+IF(circ_int,eq_c1/2,0))/2)),-IF(circ_int,0,eq_c1/2)+(s_0+11*s_r+IF(circ_int,eq_c1/2,0))*COS(PI()/2+(((16+0.5)*(4*IF(circ_int,0,eq_c1/2)+4*IF(circ_int,0,eq_c2/2)+2*PI()*(s_0+11*s_r+IF(circ_int,eq_c1/2,0)))/INDEX(lk_legs,12))-(((2*IF(circ_int,0,eq_c2/2))+(PI()*(s_0+11*s_r+IF(circ_int,eq_c1/2,0))/2))+2*IF(circ_int,0,eq_c1/2)))/(s_0+11*s_r+IF(circ_int,eq_c1/2,0))),IF(((16+0.5)*(4*IF(circ_int,0,eq_c1/2)+4*IF(circ_int,0,eq_c2/2)+2*PI()*(s_0+11*s_r+IF(circ_int,eq_c1/2,0)))/INDEX(lk_legs,12))&lt;(((((2*IF(circ_int,0,eq_c2/2))+(PI()*(s_0+11*s_r+IF(circ_int,eq_c1/2,0))/2))+2*IF(circ_int,0,eq_c1/2))+(PI()*(s_0+11*s_r+IF(circ_int,eq_c1/2,0))/2))+2*IF(circ_int,0,eq_c2/2)),-IF(circ_int,0,eq_c1/2)-(s_0+11*s_r+IF(circ_int,eq_c1/2,0)),IF(((16+0.5)*(4*IF(circ_int,0,eq_c1/2)+4*IF(circ_int,0,eq_c2/2)+2*PI()*(s_0+11*s_r+IF(circ_int,eq_c1/2,0)))/INDEX(lk_legs,12))&lt;((((((2*IF(circ_int,0,eq_c2/2))+(PI()*(s_0+11*s_r+IF(circ_int,eq_c1/2,0))/2))+2*IF(circ_int,0,eq_c1/2))+(PI()*(s_0+11*s_r+IF(circ_int,eq_c1/2,0))/2))+2*IF(circ_int,0,eq_c2/2))+(PI()*(s_0+11*s_r+IF(circ_int,eq_c1/2,0))/2)),-IF(circ_int,0,eq_c1/2)+(s_0+11*s_r+IF(circ_int,eq_c1/2,0))*COS(PI()+(((16+0.5)*(4*IF(circ_int,0,eq_c1/2)+4*IF(circ_int,0,eq_c2/2)+2*PI()*(s_0+11*s_r+IF(circ_int,eq_c1/2,0)))/INDEX(lk_legs,12))-(((((2*IF(circ_int,0,eq_c2/2))+(PI()*(s_0+11*s_r+IF(circ_int,eq_c1/2,0))/2))+2*IF(circ_int,0,eq_c1/2))+(PI()*(s_0+11*s_r+IF(circ_int,eq_c1/2,0))/2))+2*IF(circ_int,0,eq_c2/2)))/(s_0+11*s_r+IF(circ_int,eq_c1/2,0))),IF(((16+0.5)*(4*IF(circ_int,0,eq_c1/2)+4*IF(circ_int,0,eq_c2/2)+2*PI()*(s_0+11*s_r+IF(circ_int,eq_c1/2,0)))/INDEX(lk_legs,12))&lt;(((((((2*IF(circ_int,0,eq_c2/2))+(PI()*(s_0+11*s_r+IF(circ_int,eq_c1/2,0))/2))+2*IF(circ_int,0,eq_c1/2))+(PI()*(s_0+11*s_r+IF(circ_int,eq_c1/2,0))/2))+2*IF(circ_int,0,eq_c2/2))+(PI()*(s_0+11*s_r+IF(circ_int,eq_c1/2,0))/2))+2*IF(circ_int,0,eq_c1/2)),-IF(circ_int,0,eq_c1/2)+(((16+0.5)*(4*IF(circ_int,0,eq_c1/2)+4*IF(circ_int,0,eq_c2/2)+2*PI()*(s_0+11*s_r+IF(circ_int,eq_c1/2,0)))/INDEX(lk_legs,12))-((((((2*IF(circ_int,0,eq_c2/2))+(PI()*(s_0+11*s_r+IF(circ_int,eq_c1/2,0))/2))+2*IF(circ_int,0,eq_c1/2))+(PI()*(s_0+11*s_r+IF(circ_int,eq_c1/2,0))/2))+2*IF(circ_int,0,eq_c2/2))+(PI()*(s_0+11*s_r+IF(circ_int,eq_c1/2,0))/2))),IF(circ_int,0,eq_c1/2)+(s_0+11*s_r+IF(circ_int,eq_c1/2,0))*COS(3*PI()/2+(((16+0.5)*(4*IF(circ_int,0,eq_c1/2)+4*IF(circ_int,0,eq_c2/2)+2*PI()*(s_0+11*s_r+IF(circ_int,eq_c1/2,0)))/INDEX(lk_legs,12))-(((((((2*IF(circ_int,0,eq_c2/2))+(PI()*(s_0+11*s_r+IF(circ_int,eq_c1/2,0))/2))+2*IF(circ_int,0,eq_c1/2))+(PI()*(s_0+11*s_r+IF(circ_int,eq_c1/2,0))/2))+2*IF(circ_int,0,eq_c2/2))+(PI()*(s_0+11*s_r+IF(circ_int,eq_c1/2,0))/2))+2*IF(circ_int,0,eq_c1/2)))/(s_0+11*s_r+IF(circ_int,eq_c1/2,0)))))))))),NA())</f>
        <v/>
      </c>
      <c r="DO19">
        <f>IF(AND(AND(links_on,12&lt;=n_per),INDEX(lk_kind,12)=1,16&lt;INDEX(lk_legs,12)),g_oy+IF(((16+0.5)*(4*IF(circ_int,0,eq_c1/2)+4*IF(circ_int,0,eq_c2/2)+2*PI()*(s_0+11*s_r+IF(circ_int,eq_c1/2,0)))/INDEX(lk_legs,12))&lt;(2*IF(circ_int,0,eq_c2/2)),-IF(circ_int,0,eq_c2/2)+((16+0.5)*(4*IF(circ_int,0,eq_c1/2)+4*IF(circ_int,0,eq_c2/2)+2*PI()*(s_0+11*s_r+IF(circ_int,eq_c1/2,0)))/INDEX(lk_legs,12)),IF(((16+0.5)*(4*IF(circ_int,0,eq_c1/2)+4*IF(circ_int,0,eq_c2/2)+2*PI()*(s_0+11*s_r+IF(circ_int,eq_c1/2,0)))/INDEX(lk_legs,12))&lt;((2*IF(circ_int,0,eq_c2/2))+(PI()*(s_0+11*s_r+IF(circ_int,eq_c1/2,0))/2)),IF(circ_int,0,eq_c2/2)+(s_0+11*s_r+IF(circ_int,eq_c1/2,0))*SIN((((16+0.5)*(4*IF(circ_int,0,eq_c1/2)+4*IF(circ_int,0,eq_c2/2)+2*PI()*(s_0+11*s_r+IF(circ_int,eq_c1/2,0)))/INDEX(lk_legs,12))-(2*IF(circ_int,0,eq_c2/2)))/(s_0+11*s_r+IF(circ_int,eq_c1/2,0))),IF(((16+0.5)*(4*IF(circ_int,0,eq_c1/2)+4*IF(circ_int,0,eq_c2/2)+2*PI()*(s_0+11*s_r+IF(circ_int,eq_c1/2,0)))/INDEX(lk_legs,12))&lt;(((2*IF(circ_int,0,eq_c2/2))+(PI()*(s_0+11*s_r+IF(circ_int,eq_c1/2,0))/2))+2*IF(circ_int,0,eq_c1/2)),IF(circ_int,0,eq_c2/2)+(s_0+11*s_r+IF(circ_int,eq_c1/2,0)),IF(((16+0.5)*(4*IF(circ_int,0,eq_c1/2)+4*IF(circ_int,0,eq_c2/2)+2*PI()*(s_0+11*s_r+IF(circ_int,eq_c1/2,0)))/INDEX(lk_legs,12))&lt;((((2*IF(circ_int,0,eq_c2/2))+(PI()*(s_0+11*s_r+IF(circ_int,eq_c1/2,0))/2))+2*IF(circ_int,0,eq_c1/2))+(PI()*(s_0+11*s_r+IF(circ_int,eq_c1/2,0))/2)),IF(circ_int,0,eq_c2/2)+(s_0+11*s_r+IF(circ_int,eq_c1/2,0))*SIN(PI()/2+(((16+0.5)*(4*IF(circ_int,0,eq_c1/2)+4*IF(circ_int,0,eq_c2/2)+2*PI()*(s_0+11*s_r+IF(circ_int,eq_c1/2,0)))/INDEX(lk_legs,12))-(((2*IF(circ_int,0,eq_c2/2))+(PI()*(s_0+11*s_r+IF(circ_int,eq_c1/2,0))/2))+2*IF(circ_int,0,eq_c1/2)))/(s_0+11*s_r+IF(circ_int,eq_c1/2,0))),IF(((16+0.5)*(4*IF(circ_int,0,eq_c1/2)+4*IF(circ_int,0,eq_c2/2)+2*PI()*(s_0+11*s_r+IF(circ_int,eq_c1/2,0)))/INDEX(lk_legs,12))&lt;(((((2*IF(circ_int,0,eq_c2/2))+(PI()*(s_0+11*s_r+IF(circ_int,eq_c1/2,0))/2))+2*IF(circ_int,0,eq_c1/2))+(PI()*(s_0+11*s_r+IF(circ_int,eq_c1/2,0))/2))+2*IF(circ_int,0,eq_c2/2)),IF(circ_int,0,eq_c2/2)-(((16+0.5)*(4*IF(circ_int,0,eq_c1/2)+4*IF(circ_int,0,eq_c2/2)+2*PI()*(s_0+11*s_r+IF(circ_int,eq_c1/2,0)))/INDEX(lk_legs,12))-((((2*IF(circ_int,0,eq_c2/2))+(PI()*(s_0+11*s_r+IF(circ_int,eq_c1/2,0))/2))+2*IF(circ_int,0,eq_c1/2))+(PI()*(s_0+11*s_r+IF(circ_int,eq_c1/2,0))/2))),IF(((16+0.5)*(4*IF(circ_int,0,eq_c1/2)+4*IF(circ_int,0,eq_c2/2)+2*PI()*(s_0+11*s_r+IF(circ_int,eq_c1/2,0)))/INDEX(lk_legs,12))&lt;((((((2*IF(circ_int,0,eq_c2/2))+(PI()*(s_0+11*s_r+IF(circ_int,eq_c1/2,0))/2))+2*IF(circ_int,0,eq_c1/2))+(PI()*(s_0+11*s_r+IF(circ_int,eq_c1/2,0))/2))+2*IF(circ_int,0,eq_c2/2))+(PI()*(s_0+11*s_r+IF(circ_int,eq_c1/2,0))/2)),-IF(circ_int,0,eq_c2/2)+(s_0+11*s_r+IF(circ_int,eq_c1/2,0))*SIN(PI()+(((16+0.5)*(4*IF(circ_int,0,eq_c1/2)+4*IF(circ_int,0,eq_c2/2)+2*PI()*(s_0+11*s_r+IF(circ_int,eq_c1/2,0)))/INDEX(lk_legs,12))-(((((2*IF(circ_int,0,eq_c2/2))+(PI()*(s_0+11*s_r+IF(circ_int,eq_c1/2,0))/2))+2*IF(circ_int,0,eq_c1/2))+(PI()*(s_0+11*s_r+IF(circ_int,eq_c1/2,0))/2))+2*IF(circ_int,0,eq_c2/2)))/(s_0+11*s_r+IF(circ_int,eq_c1/2,0))),IF(((16+0.5)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(16+0.5)*(4*IF(circ_int,0,eq_c1/2)+4*IF(circ_int,0,eq_c2/2)+2*PI()*(s_0+11*s_r+IF(circ_int,eq_c1/2,0)))/INDEX(lk_legs,12))-(((((((2*IF(circ_int,0,eq_c2/2))+(PI()*(s_0+11*s_r+IF(circ_int,eq_c1/2,0))/2))+2*IF(circ_int,0,eq_c1/2))+(PI()*(s_0+11*s_r+IF(circ_int,eq_c1/2,0))/2))+2*IF(circ_int,0,eq_c2/2))+(PI()*(s_0+11*s_r+IF(circ_int,eq_c1/2,0))/2))+2*IF(circ_int,0,eq_c1/2)))/(s_0+11*s_r+IF(circ_int,eq_c1/2,0)))))))))),NA())</f>
        <v/>
      </c>
    </row>
    <row r="20">
      <c r="A20">
        <f>IF(shape="Circular",(g_ox)+(c_1/2+0)*-0.464723,CHOOSE(1,(g_ox-eq_c1/2)+(0)*-0.500000,(eq_a1+eq_c1)+(0)*0.923880,eq_a1+eq_c1+0,(eq_a1+eq_c1)+(0)*0.382683))</f>
        <v/>
      </c>
      <c r="B20">
        <f>IF(shape="Circular",(g_oy)+(c_1/2+0)*0.885456,CHOOSE(1,(g_oy+eq_c2/2)+(0)*0.866025,(g_oy-eq_c2/2)+(0)*-0.382683,0,(eq_a2+eq_c2)+(0)*0.923880))</f>
        <v/>
      </c>
      <c r="D20">
        <f>IF(circ_int,(g_ox)+(c_1/2+2*d_eff)*-0.464723,CHOOSE(geo_idx,(g_ox-eq_c1/2)+(2*d_eff)*-0.500000,(eq_a1+eq_c1)+(2*d_eff)*0.923880,eq_a1+eq_c1+2*d_eff,(eq_a1+eq_c1)+(2*d_eff)*0.382683))</f>
        <v/>
      </c>
      <c r="E20">
        <f>IF(circ_int,(g_oy)+(c_1/2+2*d_eff)*0.885456,CHOOSE(geo_idx,(g_oy+eq_c2/2)+(2*d_eff)*0.866025,(g_oy-eq_c2/2)+(2*d_eff)*-0.382683,0,(eq_a2+eq_c2)+(2*d_eff)*0.923880))</f>
        <v/>
      </c>
      <c r="G20">
        <f>IF(AND(inputs_ok,punch_ok,A_sw&gt;0),IF(circ_int,(g_ox)+(c_1/2+r_out)*-0.464723,CHOOSE(kind_out,(g_ox-eq_c1/2)+(r_out)*-0.500000,(eq_a1+eq_c1)+(r_out)*0.923880,eq_a1+eq_c1+r_out,(eq_a1+eq_c1)+(r_out)*0.382683)),NA())</f>
        <v/>
      </c>
      <c r="H20">
        <f>IF(AND(inputs_ok,punch_ok,A_sw&gt;0),IF(circ_int,(g_oy)+(c_1/2+r_out)*0.885456,CHOOSE(kind_out,(g_oy+eq_c2/2)+(r_out)*0.866025,(g_oy-eq_c2/2)+(r_out)*-0.382683,0,(eq_a2+eq_c2)+(r_out)*0.923880)),NA())</f>
        <v/>
      </c>
      <c r="AW20">
        <f>IF(AND(links_on,1&lt;=n_per),IF(circ_int,(g_ox)+(c_1/2+(s_0+0*s_r))*-0.464723,CHOOSE(INDEX(lk_kind,1),(g_ox-eq_c1/2)+((s_0+0*s_r))*-0.500000,(eq_a1+eq_c1)+((s_0+0*s_r))*0.923880,eq_a1+eq_c1+(s_0+0*s_r),(eq_a1+eq_c1)+((s_0+0*s_r))*0.382683)),NA())</f>
        <v/>
      </c>
      <c r="AX20">
        <f>IF(AND(links_on,1&lt;=n_per),IF(circ_int,(g_oy)+(c_1/2+(s_0+0*s_r))*0.885456,CHOOSE(INDEX(lk_kind,1),(g_oy+eq_c2/2)+((s_0+0*s_r))*0.866025,(g_oy-eq_c2/2)+((s_0+0*s_r))*-0.382683,0,(eq_a2+eq_c2)+((s_0+0*s_r))*0.923880)),NA())</f>
        <v/>
      </c>
      <c r="AZ20">
        <f>IF(AND(AND(links_on,1&lt;=n_per),INDEX(lk_kind,1)=1,17&lt;INDEX(lk_legs,1)),g_ox+IF(((17+0.5)*(4*IF(circ_int,0,eq_c1/2)+4*IF(circ_int,0,eq_c2/2)+2*PI()*(s_0+0*s_r+IF(circ_int,eq_c1/2,0)))/INDEX(lk_legs,1))&lt;(2*IF(circ_int,0,eq_c2/2)),IF(circ_int,0,eq_c1/2)+(s_0+0*s_r+IF(circ_int,eq_c1/2,0)),IF(((17+0.5)*(4*IF(circ_int,0,eq_c1/2)+4*IF(circ_int,0,eq_c2/2)+2*PI()*(s_0+0*s_r+IF(circ_int,eq_c1/2,0)))/INDEX(lk_legs,1))&lt;((2*IF(circ_int,0,eq_c2/2))+(PI()*(s_0+0*s_r+IF(circ_int,eq_c1/2,0))/2)),IF(circ_int,0,eq_c1/2)+(s_0+0*s_r+IF(circ_int,eq_c1/2,0))*COS((((17+0.5)*(4*IF(circ_int,0,eq_c1/2)+4*IF(circ_int,0,eq_c2/2)+2*PI()*(s_0+0*s_r+IF(circ_int,eq_c1/2,0)))/INDEX(lk_legs,1))-(2*IF(circ_int,0,eq_c2/2)))/(s_0+0*s_r+IF(circ_int,eq_c1/2,0))),IF(((17+0.5)*(4*IF(circ_int,0,eq_c1/2)+4*IF(circ_int,0,eq_c2/2)+2*PI()*(s_0+0*s_r+IF(circ_int,eq_c1/2,0)))/INDEX(lk_legs,1))&lt;(((2*IF(circ_int,0,eq_c2/2))+(PI()*(s_0+0*s_r+IF(circ_int,eq_c1/2,0))/2))+2*IF(circ_int,0,eq_c1/2)),IF(circ_int,0,eq_c1/2)-(((17+0.5)*(4*IF(circ_int,0,eq_c1/2)+4*IF(circ_int,0,eq_c2/2)+2*PI()*(s_0+0*s_r+IF(circ_int,eq_c1/2,0)))/INDEX(lk_legs,1))-((2*IF(circ_int,0,eq_c2/2))+(PI()*(s_0+0*s_r+IF(circ_int,eq_c1/2,0))/2))),IF(((17+0.5)*(4*IF(circ_int,0,eq_c1/2)+4*IF(circ_int,0,eq_c2/2)+2*PI()*(s_0+0*s_r+IF(circ_int,eq_c1/2,0)))/INDEX(lk_legs,1))&lt;((((2*IF(circ_int,0,eq_c2/2))+(PI()*(s_0+0*s_r+IF(circ_int,eq_c1/2,0))/2))+2*IF(circ_int,0,eq_c1/2))+(PI()*(s_0+0*s_r+IF(circ_int,eq_c1/2,0))/2)),-IF(circ_int,0,eq_c1/2)+(s_0+0*s_r+IF(circ_int,eq_c1/2,0))*COS(PI()/2+(((17+0.5)*(4*IF(circ_int,0,eq_c1/2)+4*IF(circ_int,0,eq_c2/2)+2*PI()*(s_0+0*s_r+IF(circ_int,eq_c1/2,0)))/INDEX(lk_legs,1))-(((2*IF(circ_int,0,eq_c2/2))+(PI()*(s_0+0*s_r+IF(circ_int,eq_c1/2,0))/2))+2*IF(circ_int,0,eq_c1/2)))/(s_0+0*s_r+IF(circ_int,eq_c1/2,0))),IF(((17+0.5)*(4*IF(circ_int,0,eq_c1/2)+4*IF(circ_int,0,eq_c2/2)+2*PI()*(s_0+0*s_r+IF(circ_int,eq_c1/2,0)))/INDEX(lk_legs,1))&lt;(((((2*IF(circ_int,0,eq_c2/2))+(PI()*(s_0+0*s_r+IF(circ_int,eq_c1/2,0))/2))+2*IF(circ_int,0,eq_c1/2))+(PI()*(s_0+0*s_r+IF(circ_int,eq_c1/2,0))/2))+2*IF(circ_int,0,eq_c2/2)),-IF(circ_int,0,eq_c1/2)-(s_0+0*s_r+IF(circ_int,eq_c1/2,0)),IF(((17+0.5)*(4*IF(circ_int,0,eq_c1/2)+4*IF(circ_int,0,eq_c2/2)+2*PI()*(s_0+0*s_r+IF(circ_int,eq_c1/2,0)))/INDEX(lk_legs,1))&lt;((((((2*IF(circ_int,0,eq_c2/2))+(PI()*(s_0+0*s_r+IF(circ_int,eq_c1/2,0))/2))+2*IF(circ_int,0,eq_c1/2))+(PI()*(s_0+0*s_r+IF(circ_int,eq_c1/2,0))/2))+2*IF(circ_int,0,eq_c2/2))+(PI()*(s_0+0*s_r+IF(circ_int,eq_c1/2,0))/2)),-IF(circ_int,0,eq_c1/2)+(s_0+0*s_r+IF(circ_int,eq_c1/2,0))*COS(PI()+(((17+0.5)*(4*IF(circ_int,0,eq_c1/2)+4*IF(circ_int,0,eq_c2/2)+2*PI()*(s_0+0*s_r+IF(circ_int,eq_c1/2,0)))/INDEX(lk_legs,1))-(((((2*IF(circ_int,0,eq_c2/2))+(PI()*(s_0+0*s_r+IF(circ_int,eq_c1/2,0))/2))+2*IF(circ_int,0,eq_c1/2))+(PI()*(s_0+0*s_r+IF(circ_int,eq_c1/2,0))/2))+2*IF(circ_int,0,eq_c2/2)))/(s_0+0*s_r+IF(circ_int,eq_c1/2,0))),IF(((17+0.5)*(4*IF(circ_int,0,eq_c1/2)+4*IF(circ_int,0,eq_c2/2)+2*PI()*(s_0+0*s_r+IF(circ_int,eq_c1/2,0)))/INDEX(lk_legs,1))&lt;(((((((2*IF(circ_int,0,eq_c2/2))+(PI()*(s_0+0*s_r+IF(circ_int,eq_c1/2,0))/2))+2*IF(circ_int,0,eq_c1/2))+(PI()*(s_0+0*s_r+IF(circ_int,eq_c1/2,0))/2))+2*IF(circ_int,0,eq_c2/2))+(PI()*(s_0+0*s_r+IF(circ_int,eq_c1/2,0))/2))+2*IF(circ_int,0,eq_c1/2)),-IF(circ_int,0,eq_c1/2)+(((17+0.5)*(4*IF(circ_int,0,eq_c1/2)+4*IF(circ_int,0,eq_c2/2)+2*PI()*(s_0+0*s_r+IF(circ_int,eq_c1/2,0)))/INDEX(lk_legs,1))-((((((2*IF(circ_int,0,eq_c2/2))+(PI()*(s_0+0*s_r+IF(circ_int,eq_c1/2,0))/2))+2*IF(circ_int,0,eq_c1/2))+(PI()*(s_0+0*s_r+IF(circ_int,eq_c1/2,0))/2))+2*IF(circ_int,0,eq_c2/2))+(PI()*(s_0+0*s_r+IF(circ_int,eq_c1/2,0))/2))),IF(circ_int,0,eq_c1/2)+(s_0+0*s_r+IF(circ_int,eq_c1/2,0))*COS(3*PI()/2+(((17+0.5)*(4*IF(circ_int,0,eq_c1/2)+4*IF(circ_int,0,eq_c2/2)+2*PI()*(s_0+0*s_r+IF(circ_int,eq_c1/2,0)))/INDEX(lk_legs,1))-(((((((2*IF(circ_int,0,eq_c2/2))+(PI()*(s_0+0*s_r+IF(circ_int,eq_c1/2,0))/2))+2*IF(circ_int,0,eq_c1/2))+(PI()*(s_0+0*s_r+IF(circ_int,eq_c1/2,0))/2))+2*IF(circ_int,0,eq_c2/2))+(PI()*(s_0+0*s_r+IF(circ_int,eq_c1/2,0))/2))+2*IF(circ_int,0,eq_c1/2)))/(s_0+0*s_r+IF(circ_int,eq_c1/2,0)))))))))),NA())</f>
        <v/>
      </c>
      <c r="BA20">
        <f>IF(AND(AND(links_on,1&lt;=n_per),INDEX(lk_kind,1)=1,17&lt;INDEX(lk_legs,1)),g_oy+IF(((17+0.5)*(4*IF(circ_int,0,eq_c1/2)+4*IF(circ_int,0,eq_c2/2)+2*PI()*(s_0+0*s_r+IF(circ_int,eq_c1/2,0)))/INDEX(lk_legs,1))&lt;(2*IF(circ_int,0,eq_c2/2)),-IF(circ_int,0,eq_c2/2)+((17+0.5)*(4*IF(circ_int,0,eq_c1/2)+4*IF(circ_int,0,eq_c2/2)+2*PI()*(s_0+0*s_r+IF(circ_int,eq_c1/2,0)))/INDEX(lk_legs,1)),IF(((17+0.5)*(4*IF(circ_int,0,eq_c1/2)+4*IF(circ_int,0,eq_c2/2)+2*PI()*(s_0+0*s_r+IF(circ_int,eq_c1/2,0)))/INDEX(lk_legs,1))&lt;((2*IF(circ_int,0,eq_c2/2))+(PI()*(s_0+0*s_r+IF(circ_int,eq_c1/2,0))/2)),IF(circ_int,0,eq_c2/2)+(s_0+0*s_r+IF(circ_int,eq_c1/2,0))*SIN((((17+0.5)*(4*IF(circ_int,0,eq_c1/2)+4*IF(circ_int,0,eq_c2/2)+2*PI()*(s_0+0*s_r+IF(circ_int,eq_c1/2,0)))/INDEX(lk_legs,1))-(2*IF(circ_int,0,eq_c2/2)))/(s_0+0*s_r+IF(circ_int,eq_c1/2,0))),IF(((17+0.5)*(4*IF(circ_int,0,eq_c1/2)+4*IF(circ_int,0,eq_c2/2)+2*PI()*(s_0+0*s_r+IF(circ_int,eq_c1/2,0)))/INDEX(lk_legs,1))&lt;(((2*IF(circ_int,0,eq_c2/2))+(PI()*(s_0+0*s_r+IF(circ_int,eq_c1/2,0))/2))+2*IF(circ_int,0,eq_c1/2)),IF(circ_int,0,eq_c2/2)+(s_0+0*s_r+IF(circ_int,eq_c1/2,0)),IF(((17+0.5)*(4*IF(circ_int,0,eq_c1/2)+4*IF(circ_int,0,eq_c2/2)+2*PI()*(s_0+0*s_r+IF(circ_int,eq_c1/2,0)))/INDEX(lk_legs,1))&lt;((((2*IF(circ_int,0,eq_c2/2))+(PI()*(s_0+0*s_r+IF(circ_int,eq_c1/2,0))/2))+2*IF(circ_int,0,eq_c1/2))+(PI()*(s_0+0*s_r+IF(circ_int,eq_c1/2,0))/2)),IF(circ_int,0,eq_c2/2)+(s_0+0*s_r+IF(circ_int,eq_c1/2,0))*SIN(PI()/2+(((17+0.5)*(4*IF(circ_int,0,eq_c1/2)+4*IF(circ_int,0,eq_c2/2)+2*PI()*(s_0+0*s_r+IF(circ_int,eq_c1/2,0)))/INDEX(lk_legs,1))-(((2*IF(circ_int,0,eq_c2/2))+(PI()*(s_0+0*s_r+IF(circ_int,eq_c1/2,0))/2))+2*IF(circ_int,0,eq_c1/2)))/(s_0+0*s_r+IF(circ_int,eq_c1/2,0))),IF(((17+0.5)*(4*IF(circ_int,0,eq_c1/2)+4*IF(circ_int,0,eq_c2/2)+2*PI()*(s_0+0*s_r+IF(circ_int,eq_c1/2,0)))/INDEX(lk_legs,1))&lt;(((((2*IF(circ_int,0,eq_c2/2))+(PI()*(s_0+0*s_r+IF(circ_int,eq_c1/2,0))/2))+2*IF(circ_int,0,eq_c1/2))+(PI()*(s_0+0*s_r+IF(circ_int,eq_c1/2,0))/2))+2*IF(circ_int,0,eq_c2/2)),IF(circ_int,0,eq_c2/2)-(((17+0.5)*(4*IF(circ_int,0,eq_c1/2)+4*IF(circ_int,0,eq_c2/2)+2*PI()*(s_0+0*s_r+IF(circ_int,eq_c1/2,0)))/INDEX(lk_legs,1))-((((2*IF(circ_int,0,eq_c2/2))+(PI()*(s_0+0*s_r+IF(circ_int,eq_c1/2,0))/2))+2*IF(circ_int,0,eq_c1/2))+(PI()*(s_0+0*s_r+IF(circ_int,eq_c1/2,0))/2))),IF(((17+0.5)*(4*IF(circ_int,0,eq_c1/2)+4*IF(circ_int,0,eq_c2/2)+2*PI()*(s_0+0*s_r+IF(circ_int,eq_c1/2,0)))/INDEX(lk_legs,1))&lt;((((((2*IF(circ_int,0,eq_c2/2))+(PI()*(s_0+0*s_r+IF(circ_int,eq_c1/2,0))/2))+2*IF(circ_int,0,eq_c1/2))+(PI()*(s_0+0*s_r+IF(circ_int,eq_c1/2,0))/2))+2*IF(circ_int,0,eq_c2/2))+(PI()*(s_0+0*s_r+IF(circ_int,eq_c1/2,0))/2)),-IF(circ_int,0,eq_c2/2)+(s_0+0*s_r+IF(circ_int,eq_c1/2,0))*SIN(PI()+(((17+0.5)*(4*IF(circ_int,0,eq_c1/2)+4*IF(circ_int,0,eq_c2/2)+2*PI()*(s_0+0*s_r+IF(circ_int,eq_c1/2,0)))/INDEX(lk_legs,1))-(((((2*IF(circ_int,0,eq_c2/2))+(PI()*(s_0+0*s_r+IF(circ_int,eq_c1/2,0))/2))+2*IF(circ_int,0,eq_c1/2))+(PI()*(s_0+0*s_r+IF(circ_int,eq_c1/2,0))/2))+2*IF(circ_int,0,eq_c2/2)))/(s_0+0*s_r+IF(circ_int,eq_c1/2,0))),IF(((17+0.5)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(17+0.5)*(4*IF(circ_int,0,eq_c1/2)+4*IF(circ_int,0,eq_c2/2)+2*PI()*(s_0+0*s_r+IF(circ_int,eq_c1/2,0)))/INDEX(lk_legs,1))-(((((((2*IF(circ_int,0,eq_c2/2))+(PI()*(s_0+0*s_r+IF(circ_int,eq_c1/2,0))/2))+2*IF(circ_int,0,eq_c1/2))+(PI()*(s_0+0*s_r+IF(circ_int,eq_c1/2,0))/2))+2*IF(circ_int,0,eq_c2/2))+(PI()*(s_0+0*s_r+IF(circ_int,eq_c1/2,0))/2))+2*IF(circ_int,0,eq_c1/2)))/(s_0+0*s_r+IF(circ_int,eq_c1/2,0)))))))))),NA())</f>
        <v/>
      </c>
      <c r="BC20">
        <f>IF(AND(links_on,2&lt;=n_per),IF(circ_int,(g_ox)+(c_1/2+(s_0+1*s_r))*-0.464723,CHOOSE(INDEX(lk_kind,2),(g_ox-eq_c1/2)+((s_0+1*s_r))*-0.500000,(eq_a1+eq_c1)+((s_0+1*s_r))*0.923880,eq_a1+eq_c1+(s_0+1*s_r),(eq_a1+eq_c1)+((s_0+1*s_r))*0.382683)),NA())</f>
        <v/>
      </c>
      <c r="BD20">
        <f>IF(AND(links_on,2&lt;=n_per),IF(circ_int,(g_oy)+(c_1/2+(s_0+1*s_r))*0.885456,CHOOSE(INDEX(lk_kind,2),(g_oy+eq_c2/2)+((s_0+1*s_r))*0.866025,(g_oy-eq_c2/2)+((s_0+1*s_r))*-0.382683,0,(eq_a2+eq_c2)+((s_0+1*s_r))*0.923880)),NA())</f>
        <v/>
      </c>
      <c r="BF20">
        <f>IF(AND(AND(links_on,2&lt;=n_per),INDEX(lk_kind,2)=1,17&lt;INDEX(lk_legs,2)),g_ox+IF(((17+0.5)*(4*IF(circ_int,0,eq_c1/2)+4*IF(circ_int,0,eq_c2/2)+2*PI()*(s_0+1*s_r+IF(circ_int,eq_c1/2,0)))/INDEX(lk_legs,2))&lt;(2*IF(circ_int,0,eq_c2/2)),IF(circ_int,0,eq_c1/2)+(s_0+1*s_r+IF(circ_int,eq_c1/2,0)),IF(((17+0.5)*(4*IF(circ_int,0,eq_c1/2)+4*IF(circ_int,0,eq_c2/2)+2*PI()*(s_0+1*s_r+IF(circ_int,eq_c1/2,0)))/INDEX(lk_legs,2))&lt;((2*IF(circ_int,0,eq_c2/2))+(PI()*(s_0+1*s_r+IF(circ_int,eq_c1/2,0))/2)),IF(circ_int,0,eq_c1/2)+(s_0+1*s_r+IF(circ_int,eq_c1/2,0))*COS((((17+0.5)*(4*IF(circ_int,0,eq_c1/2)+4*IF(circ_int,0,eq_c2/2)+2*PI()*(s_0+1*s_r+IF(circ_int,eq_c1/2,0)))/INDEX(lk_legs,2))-(2*IF(circ_int,0,eq_c2/2)))/(s_0+1*s_r+IF(circ_int,eq_c1/2,0))),IF(((17+0.5)*(4*IF(circ_int,0,eq_c1/2)+4*IF(circ_int,0,eq_c2/2)+2*PI()*(s_0+1*s_r+IF(circ_int,eq_c1/2,0)))/INDEX(lk_legs,2))&lt;(((2*IF(circ_int,0,eq_c2/2))+(PI()*(s_0+1*s_r+IF(circ_int,eq_c1/2,0))/2))+2*IF(circ_int,0,eq_c1/2)),IF(circ_int,0,eq_c1/2)-(((17+0.5)*(4*IF(circ_int,0,eq_c1/2)+4*IF(circ_int,0,eq_c2/2)+2*PI()*(s_0+1*s_r+IF(circ_int,eq_c1/2,0)))/INDEX(lk_legs,2))-((2*IF(circ_int,0,eq_c2/2))+(PI()*(s_0+1*s_r+IF(circ_int,eq_c1/2,0))/2))),IF(((17+0.5)*(4*IF(circ_int,0,eq_c1/2)+4*IF(circ_int,0,eq_c2/2)+2*PI()*(s_0+1*s_r+IF(circ_int,eq_c1/2,0)))/INDEX(lk_legs,2))&lt;((((2*IF(circ_int,0,eq_c2/2))+(PI()*(s_0+1*s_r+IF(circ_int,eq_c1/2,0))/2))+2*IF(circ_int,0,eq_c1/2))+(PI()*(s_0+1*s_r+IF(circ_int,eq_c1/2,0))/2)),-IF(circ_int,0,eq_c1/2)+(s_0+1*s_r+IF(circ_int,eq_c1/2,0))*COS(PI()/2+(((17+0.5)*(4*IF(circ_int,0,eq_c1/2)+4*IF(circ_int,0,eq_c2/2)+2*PI()*(s_0+1*s_r+IF(circ_int,eq_c1/2,0)))/INDEX(lk_legs,2))-(((2*IF(circ_int,0,eq_c2/2))+(PI()*(s_0+1*s_r+IF(circ_int,eq_c1/2,0))/2))+2*IF(circ_int,0,eq_c1/2)))/(s_0+1*s_r+IF(circ_int,eq_c1/2,0))),IF(((17+0.5)*(4*IF(circ_int,0,eq_c1/2)+4*IF(circ_int,0,eq_c2/2)+2*PI()*(s_0+1*s_r+IF(circ_int,eq_c1/2,0)))/INDEX(lk_legs,2))&lt;(((((2*IF(circ_int,0,eq_c2/2))+(PI()*(s_0+1*s_r+IF(circ_int,eq_c1/2,0))/2))+2*IF(circ_int,0,eq_c1/2))+(PI()*(s_0+1*s_r+IF(circ_int,eq_c1/2,0))/2))+2*IF(circ_int,0,eq_c2/2)),-IF(circ_int,0,eq_c1/2)-(s_0+1*s_r+IF(circ_int,eq_c1/2,0)),IF(((17+0.5)*(4*IF(circ_int,0,eq_c1/2)+4*IF(circ_int,0,eq_c2/2)+2*PI()*(s_0+1*s_r+IF(circ_int,eq_c1/2,0)))/INDEX(lk_legs,2))&lt;((((((2*IF(circ_int,0,eq_c2/2))+(PI()*(s_0+1*s_r+IF(circ_int,eq_c1/2,0))/2))+2*IF(circ_int,0,eq_c1/2))+(PI()*(s_0+1*s_r+IF(circ_int,eq_c1/2,0))/2))+2*IF(circ_int,0,eq_c2/2))+(PI()*(s_0+1*s_r+IF(circ_int,eq_c1/2,0))/2)),-IF(circ_int,0,eq_c1/2)+(s_0+1*s_r+IF(circ_int,eq_c1/2,0))*COS(PI()+(((17+0.5)*(4*IF(circ_int,0,eq_c1/2)+4*IF(circ_int,0,eq_c2/2)+2*PI()*(s_0+1*s_r+IF(circ_int,eq_c1/2,0)))/INDEX(lk_legs,2))-(((((2*IF(circ_int,0,eq_c2/2))+(PI()*(s_0+1*s_r+IF(circ_int,eq_c1/2,0))/2))+2*IF(circ_int,0,eq_c1/2))+(PI()*(s_0+1*s_r+IF(circ_int,eq_c1/2,0))/2))+2*IF(circ_int,0,eq_c2/2)))/(s_0+1*s_r+IF(circ_int,eq_c1/2,0))),IF(((17+0.5)*(4*IF(circ_int,0,eq_c1/2)+4*IF(circ_int,0,eq_c2/2)+2*PI()*(s_0+1*s_r+IF(circ_int,eq_c1/2,0)))/INDEX(lk_legs,2))&lt;(((((((2*IF(circ_int,0,eq_c2/2))+(PI()*(s_0+1*s_r+IF(circ_int,eq_c1/2,0))/2))+2*IF(circ_int,0,eq_c1/2))+(PI()*(s_0+1*s_r+IF(circ_int,eq_c1/2,0))/2))+2*IF(circ_int,0,eq_c2/2))+(PI()*(s_0+1*s_r+IF(circ_int,eq_c1/2,0))/2))+2*IF(circ_int,0,eq_c1/2)),-IF(circ_int,0,eq_c1/2)+(((17+0.5)*(4*IF(circ_int,0,eq_c1/2)+4*IF(circ_int,0,eq_c2/2)+2*PI()*(s_0+1*s_r+IF(circ_int,eq_c1/2,0)))/INDEX(lk_legs,2))-((((((2*IF(circ_int,0,eq_c2/2))+(PI()*(s_0+1*s_r+IF(circ_int,eq_c1/2,0))/2))+2*IF(circ_int,0,eq_c1/2))+(PI()*(s_0+1*s_r+IF(circ_int,eq_c1/2,0))/2))+2*IF(circ_int,0,eq_c2/2))+(PI()*(s_0+1*s_r+IF(circ_int,eq_c1/2,0))/2))),IF(circ_int,0,eq_c1/2)+(s_0+1*s_r+IF(circ_int,eq_c1/2,0))*COS(3*PI()/2+(((17+0.5)*(4*IF(circ_int,0,eq_c1/2)+4*IF(circ_int,0,eq_c2/2)+2*PI()*(s_0+1*s_r+IF(circ_int,eq_c1/2,0)))/INDEX(lk_legs,2))-(((((((2*IF(circ_int,0,eq_c2/2))+(PI()*(s_0+1*s_r+IF(circ_int,eq_c1/2,0))/2))+2*IF(circ_int,0,eq_c1/2))+(PI()*(s_0+1*s_r+IF(circ_int,eq_c1/2,0))/2))+2*IF(circ_int,0,eq_c2/2))+(PI()*(s_0+1*s_r+IF(circ_int,eq_c1/2,0))/2))+2*IF(circ_int,0,eq_c1/2)))/(s_0+1*s_r+IF(circ_int,eq_c1/2,0)))))))))),NA())</f>
        <v/>
      </c>
      <c r="BG20">
        <f>IF(AND(AND(links_on,2&lt;=n_per),INDEX(lk_kind,2)=1,17&lt;INDEX(lk_legs,2)),g_oy+IF(((17+0.5)*(4*IF(circ_int,0,eq_c1/2)+4*IF(circ_int,0,eq_c2/2)+2*PI()*(s_0+1*s_r+IF(circ_int,eq_c1/2,0)))/INDEX(lk_legs,2))&lt;(2*IF(circ_int,0,eq_c2/2)),-IF(circ_int,0,eq_c2/2)+((17+0.5)*(4*IF(circ_int,0,eq_c1/2)+4*IF(circ_int,0,eq_c2/2)+2*PI()*(s_0+1*s_r+IF(circ_int,eq_c1/2,0)))/INDEX(lk_legs,2)),IF(((17+0.5)*(4*IF(circ_int,0,eq_c1/2)+4*IF(circ_int,0,eq_c2/2)+2*PI()*(s_0+1*s_r+IF(circ_int,eq_c1/2,0)))/INDEX(lk_legs,2))&lt;((2*IF(circ_int,0,eq_c2/2))+(PI()*(s_0+1*s_r+IF(circ_int,eq_c1/2,0))/2)),IF(circ_int,0,eq_c2/2)+(s_0+1*s_r+IF(circ_int,eq_c1/2,0))*SIN((((17+0.5)*(4*IF(circ_int,0,eq_c1/2)+4*IF(circ_int,0,eq_c2/2)+2*PI()*(s_0+1*s_r+IF(circ_int,eq_c1/2,0)))/INDEX(lk_legs,2))-(2*IF(circ_int,0,eq_c2/2)))/(s_0+1*s_r+IF(circ_int,eq_c1/2,0))),IF(((17+0.5)*(4*IF(circ_int,0,eq_c1/2)+4*IF(circ_int,0,eq_c2/2)+2*PI()*(s_0+1*s_r+IF(circ_int,eq_c1/2,0)))/INDEX(lk_legs,2))&lt;(((2*IF(circ_int,0,eq_c2/2))+(PI()*(s_0+1*s_r+IF(circ_int,eq_c1/2,0))/2))+2*IF(circ_int,0,eq_c1/2)),IF(circ_int,0,eq_c2/2)+(s_0+1*s_r+IF(circ_int,eq_c1/2,0)),IF(((17+0.5)*(4*IF(circ_int,0,eq_c1/2)+4*IF(circ_int,0,eq_c2/2)+2*PI()*(s_0+1*s_r+IF(circ_int,eq_c1/2,0)))/INDEX(lk_legs,2))&lt;((((2*IF(circ_int,0,eq_c2/2))+(PI()*(s_0+1*s_r+IF(circ_int,eq_c1/2,0))/2))+2*IF(circ_int,0,eq_c1/2))+(PI()*(s_0+1*s_r+IF(circ_int,eq_c1/2,0))/2)),IF(circ_int,0,eq_c2/2)+(s_0+1*s_r+IF(circ_int,eq_c1/2,0))*SIN(PI()/2+(((17+0.5)*(4*IF(circ_int,0,eq_c1/2)+4*IF(circ_int,0,eq_c2/2)+2*PI()*(s_0+1*s_r+IF(circ_int,eq_c1/2,0)))/INDEX(lk_legs,2))-(((2*IF(circ_int,0,eq_c2/2))+(PI()*(s_0+1*s_r+IF(circ_int,eq_c1/2,0))/2))+2*IF(circ_int,0,eq_c1/2)))/(s_0+1*s_r+IF(circ_int,eq_c1/2,0))),IF(((17+0.5)*(4*IF(circ_int,0,eq_c1/2)+4*IF(circ_int,0,eq_c2/2)+2*PI()*(s_0+1*s_r+IF(circ_int,eq_c1/2,0)))/INDEX(lk_legs,2))&lt;(((((2*IF(circ_int,0,eq_c2/2))+(PI()*(s_0+1*s_r+IF(circ_int,eq_c1/2,0))/2))+2*IF(circ_int,0,eq_c1/2))+(PI()*(s_0+1*s_r+IF(circ_int,eq_c1/2,0))/2))+2*IF(circ_int,0,eq_c2/2)),IF(circ_int,0,eq_c2/2)-(((17+0.5)*(4*IF(circ_int,0,eq_c1/2)+4*IF(circ_int,0,eq_c2/2)+2*PI()*(s_0+1*s_r+IF(circ_int,eq_c1/2,0)))/INDEX(lk_legs,2))-((((2*IF(circ_int,0,eq_c2/2))+(PI()*(s_0+1*s_r+IF(circ_int,eq_c1/2,0))/2))+2*IF(circ_int,0,eq_c1/2))+(PI()*(s_0+1*s_r+IF(circ_int,eq_c1/2,0))/2))),IF(((17+0.5)*(4*IF(circ_int,0,eq_c1/2)+4*IF(circ_int,0,eq_c2/2)+2*PI()*(s_0+1*s_r+IF(circ_int,eq_c1/2,0)))/INDEX(lk_legs,2))&lt;((((((2*IF(circ_int,0,eq_c2/2))+(PI()*(s_0+1*s_r+IF(circ_int,eq_c1/2,0))/2))+2*IF(circ_int,0,eq_c1/2))+(PI()*(s_0+1*s_r+IF(circ_int,eq_c1/2,0))/2))+2*IF(circ_int,0,eq_c2/2))+(PI()*(s_0+1*s_r+IF(circ_int,eq_c1/2,0))/2)),-IF(circ_int,0,eq_c2/2)+(s_0+1*s_r+IF(circ_int,eq_c1/2,0))*SIN(PI()+(((17+0.5)*(4*IF(circ_int,0,eq_c1/2)+4*IF(circ_int,0,eq_c2/2)+2*PI()*(s_0+1*s_r+IF(circ_int,eq_c1/2,0)))/INDEX(lk_legs,2))-(((((2*IF(circ_int,0,eq_c2/2))+(PI()*(s_0+1*s_r+IF(circ_int,eq_c1/2,0))/2))+2*IF(circ_int,0,eq_c1/2))+(PI()*(s_0+1*s_r+IF(circ_int,eq_c1/2,0))/2))+2*IF(circ_int,0,eq_c2/2)))/(s_0+1*s_r+IF(circ_int,eq_c1/2,0))),IF(((17+0.5)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(17+0.5)*(4*IF(circ_int,0,eq_c1/2)+4*IF(circ_int,0,eq_c2/2)+2*PI()*(s_0+1*s_r+IF(circ_int,eq_c1/2,0)))/INDEX(lk_legs,2))-(((((((2*IF(circ_int,0,eq_c2/2))+(PI()*(s_0+1*s_r+IF(circ_int,eq_c1/2,0))/2))+2*IF(circ_int,0,eq_c1/2))+(PI()*(s_0+1*s_r+IF(circ_int,eq_c1/2,0))/2))+2*IF(circ_int,0,eq_c2/2))+(PI()*(s_0+1*s_r+IF(circ_int,eq_c1/2,0))/2))+2*IF(circ_int,0,eq_c1/2)))/(s_0+1*s_r+IF(circ_int,eq_c1/2,0)))))))))),NA())</f>
        <v/>
      </c>
      <c r="BI20">
        <f>IF(AND(links_on,3&lt;=n_per),IF(circ_int,(g_ox)+(c_1/2+(s_0+2*s_r))*-0.464723,CHOOSE(INDEX(lk_kind,3),(g_ox-eq_c1/2)+((s_0+2*s_r))*-0.500000,(eq_a1+eq_c1)+((s_0+2*s_r))*0.923880,eq_a1+eq_c1+(s_0+2*s_r),(eq_a1+eq_c1)+((s_0+2*s_r))*0.382683)),NA())</f>
        <v/>
      </c>
      <c r="BJ20">
        <f>IF(AND(links_on,3&lt;=n_per),IF(circ_int,(g_oy)+(c_1/2+(s_0+2*s_r))*0.885456,CHOOSE(INDEX(lk_kind,3),(g_oy+eq_c2/2)+((s_0+2*s_r))*0.866025,(g_oy-eq_c2/2)+((s_0+2*s_r))*-0.382683,0,(eq_a2+eq_c2)+((s_0+2*s_r))*0.923880)),NA())</f>
        <v/>
      </c>
      <c r="BL20">
        <f>IF(AND(AND(links_on,3&lt;=n_per),INDEX(lk_kind,3)=1,17&lt;INDEX(lk_legs,3)),g_ox+IF(((17+0.5)*(4*IF(circ_int,0,eq_c1/2)+4*IF(circ_int,0,eq_c2/2)+2*PI()*(s_0+2*s_r+IF(circ_int,eq_c1/2,0)))/INDEX(lk_legs,3))&lt;(2*IF(circ_int,0,eq_c2/2)),IF(circ_int,0,eq_c1/2)+(s_0+2*s_r+IF(circ_int,eq_c1/2,0)),IF(((17+0.5)*(4*IF(circ_int,0,eq_c1/2)+4*IF(circ_int,0,eq_c2/2)+2*PI()*(s_0+2*s_r+IF(circ_int,eq_c1/2,0)))/INDEX(lk_legs,3))&lt;((2*IF(circ_int,0,eq_c2/2))+(PI()*(s_0+2*s_r+IF(circ_int,eq_c1/2,0))/2)),IF(circ_int,0,eq_c1/2)+(s_0+2*s_r+IF(circ_int,eq_c1/2,0))*COS((((17+0.5)*(4*IF(circ_int,0,eq_c1/2)+4*IF(circ_int,0,eq_c2/2)+2*PI()*(s_0+2*s_r+IF(circ_int,eq_c1/2,0)))/INDEX(lk_legs,3))-(2*IF(circ_int,0,eq_c2/2)))/(s_0+2*s_r+IF(circ_int,eq_c1/2,0))),IF(((17+0.5)*(4*IF(circ_int,0,eq_c1/2)+4*IF(circ_int,0,eq_c2/2)+2*PI()*(s_0+2*s_r+IF(circ_int,eq_c1/2,0)))/INDEX(lk_legs,3))&lt;(((2*IF(circ_int,0,eq_c2/2))+(PI()*(s_0+2*s_r+IF(circ_int,eq_c1/2,0))/2))+2*IF(circ_int,0,eq_c1/2)),IF(circ_int,0,eq_c1/2)-(((17+0.5)*(4*IF(circ_int,0,eq_c1/2)+4*IF(circ_int,0,eq_c2/2)+2*PI()*(s_0+2*s_r+IF(circ_int,eq_c1/2,0)))/INDEX(lk_legs,3))-((2*IF(circ_int,0,eq_c2/2))+(PI()*(s_0+2*s_r+IF(circ_int,eq_c1/2,0))/2))),IF(((17+0.5)*(4*IF(circ_int,0,eq_c1/2)+4*IF(circ_int,0,eq_c2/2)+2*PI()*(s_0+2*s_r+IF(circ_int,eq_c1/2,0)))/INDEX(lk_legs,3))&lt;((((2*IF(circ_int,0,eq_c2/2))+(PI()*(s_0+2*s_r+IF(circ_int,eq_c1/2,0))/2))+2*IF(circ_int,0,eq_c1/2))+(PI()*(s_0+2*s_r+IF(circ_int,eq_c1/2,0))/2)),-IF(circ_int,0,eq_c1/2)+(s_0+2*s_r+IF(circ_int,eq_c1/2,0))*COS(PI()/2+(((17+0.5)*(4*IF(circ_int,0,eq_c1/2)+4*IF(circ_int,0,eq_c2/2)+2*PI()*(s_0+2*s_r+IF(circ_int,eq_c1/2,0)))/INDEX(lk_legs,3))-(((2*IF(circ_int,0,eq_c2/2))+(PI()*(s_0+2*s_r+IF(circ_int,eq_c1/2,0))/2))+2*IF(circ_int,0,eq_c1/2)))/(s_0+2*s_r+IF(circ_int,eq_c1/2,0))),IF(((17+0.5)*(4*IF(circ_int,0,eq_c1/2)+4*IF(circ_int,0,eq_c2/2)+2*PI()*(s_0+2*s_r+IF(circ_int,eq_c1/2,0)))/INDEX(lk_legs,3))&lt;(((((2*IF(circ_int,0,eq_c2/2))+(PI()*(s_0+2*s_r+IF(circ_int,eq_c1/2,0))/2))+2*IF(circ_int,0,eq_c1/2))+(PI()*(s_0+2*s_r+IF(circ_int,eq_c1/2,0))/2))+2*IF(circ_int,0,eq_c2/2)),-IF(circ_int,0,eq_c1/2)-(s_0+2*s_r+IF(circ_int,eq_c1/2,0)),IF(((17+0.5)*(4*IF(circ_int,0,eq_c1/2)+4*IF(circ_int,0,eq_c2/2)+2*PI()*(s_0+2*s_r+IF(circ_int,eq_c1/2,0)))/INDEX(lk_legs,3))&lt;((((((2*IF(circ_int,0,eq_c2/2))+(PI()*(s_0+2*s_r+IF(circ_int,eq_c1/2,0))/2))+2*IF(circ_int,0,eq_c1/2))+(PI()*(s_0+2*s_r+IF(circ_int,eq_c1/2,0))/2))+2*IF(circ_int,0,eq_c2/2))+(PI()*(s_0+2*s_r+IF(circ_int,eq_c1/2,0))/2)),-IF(circ_int,0,eq_c1/2)+(s_0+2*s_r+IF(circ_int,eq_c1/2,0))*COS(PI()+(((17+0.5)*(4*IF(circ_int,0,eq_c1/2)+4*IF(circ_int,0,eq_c2/2)+2*PI()*(s_0+2*s_r+IF(circ_int,eq_c1/2,0)))/INDEX(lk_legs,3))-(((((2*IF(circ_int,0,eq_c2/2))+(PI()*(s_0+2*s_r+IF(circ_int,eq_c1/2,0))/2))+2*IF(circ_int,0,eq_c1/2))+(PI()*(s_0+2*s_r+IF(circ_int,eq_c1/2,0))/2))+2*IF(circ_int,0,eq_c2/2)))/(s_0+2*s_r+IF(circ_int,eq_c1/2,0))),IF(((17+0.5)*(4*IF(circ_int,0,eq_c1/2)+4*IF(circ_int,0,eq_c2/2)+2*PI()*(s_0+2*s_r+IF(circ_int,eq_c1/2,0)))/INDEX(lk_legs,3))&lt;(((((((2*IF(circ_int,0,eq_c2/2))+(PI()*(s_0+2*s_r+IF(circ_int,eq_c1/2,0))/2))+2*IF(circ_int,0,eq_c1/2))+(PI()*(s_0+2*s_r+IF(circ_int,eq_c1/2,0))/2))+2*IF(circ_int,0,eq_c2/2))+(PI()*(s_0+2*s_r+IF(circ_int,eq_c1/2,0))/2))+2*IF(circ_int,0,eq_c1/2)),-IF(circ_int,0,eq_c1/2)+(((17+0.5)*(4*IF(circ_int,0,eq_c1/2)+4*IF(circ_int,0,eq_c2/2)+2*PI()*(s_0+2*s_r+IF(circ_int,eq_c1/2,0)))/INDEX(lk_legs,3))-((((((2*IF(circ_int,0,eq_c2/2))+(PI()*(s_0+2*s_r+IF(circ_int,eq_c1/2,0))/2))+2*IF(circ_int,0,eq_c1/2))+(PI()*(s_0+2*s_r+IF(circ_int,eq_c1/2,0))/2))+2*IF(circ_int,0,eq_c2/2))+(PI()*(s_0+2*s_r+IF(circ_int,eq_c1/2,0))/2))),IF(circ_int,0,eq_c1/2)+(s_0+2*s_r+IF(circ_int,eq_c1/2,0))*COS(3*PI()/2+(((17+0.5)*(4*IF(circ_int,0,eq_c1/2)+4*IF(circ_int,0,eq_c2/2)+2*PI()*(s_0+2*s_r+IF(circ_int,eq_c1/2,0)))/INDEX(lk_legs,3))-(((((((2*IF(circ_int,0,eq_c2/2))+(PI()*(s_0+2*s_r+IF(circ_int,eq_c1/2,0))/2))+2*IF(circ_int,0,eq_c1/2))+(PI()*(s_0+2*s_r+IF(circ_int,eq_c1/2,0))/2))+2*IF(circ_int,0,eq_c2/2))+(PI()*(s_0+2*s_r+IF(circ_int,eq_c1/2,0))/2))+2*IF(circ_int,0,eq_c1/2)))/(s_0+2*s_r+IF(circ_int,eq_c1/2,0)))))))))),NA())</f>
        <v/>
      </c>
      <c r="BM20">
        <f>IF(AND(AND(links_on,3&lt;=n_per),INDEX(lk_kind,3)=1,17&lt;INDEX(lk_legs,3)),g_oy+IF(((17+0.5)*(4*IF(circ_int,0,eq_c1/2)+4*IF(circ_int,0,eq_c2/2)+2*PI()*(s_0+2*s_r+IF(circ_int,eq_c1/2,0)))/INDEX(lk_legs,3))&lt;(2*IF(circ_int,0,eq_c2/2)),-IF(circ_int,0,eq_c2/2)+((17+0.5)*(4*IF(circ_int,0,eq_c1/2)+4*IF(circ_int,0,eq_c2/2)+2*PI()*(s_0+2*s_r+IF(circ_int,eq_c1/2,0)))/INDEX(lk_legs,3)),IF(((17+0.5)*(4*IF(circ_int,0,eq_c1/2)+4*IF(circ_int,0,eq_c2/2)+2*PI()*(s_0+2*s_r+IF(circ_int,eq_c1/2,0)))/INDEX(lk_legs,3))&lt;((2*IF(circ_int,0,eq_c2/2))+(PI()*(s_0+2*s_r+IF(circ_int,eq_c1/2,0))/2)),IF(circ_int,0,eq_c2/2)+(s_0+2*s_r+IF(circ_int,eq_c1/2,0))*SIN((((17+0.5)*(4*IF(circ_int,0,eq_c1/2)+4*IF(circ_int,0,eq_c2/2)+2*PI()*(s_0+2*s_r+IF(circ_int,eq_c1/2,0)))/INDEX(lk_legs,3))-(2*IF(circ_int,0,eq_c2/2)))/(s_0+2*s_r+IF(circ_int,eq_c1/2,0))),IF(((17+0.5)*(4*IF(circ_int,0,eq_c1/2)+4*IF(circ_int,0,eq_c2/2)+2*PI()*(s_0+2*s_r+IF(circ_int,eq_c1/2,0)))/INDEX(lk_legs,3))&lt;(((2*IF(circ_int,0,eq_c2/2))+(PI()*(s_0+2*s_r+IF(circ_int,eq_c1/2,0))/2))+2*IF(circ_int,0,eq_c1/2)),IF(circ_int,0,eq_c2/2)+(s_0+2*s_r+IF(circ_int,eq_c1/2,0)),IF(((17+0.5)*(4*IF(circ_int,0,eq_c1/2)+4*IF(circ_int,0,eq_c2/2)+2*PI()*(s_0+2*s_r+IF(circ_int,eq_c1/2,0)))/INDEX(lk_legs,3))&lt;((((2*IF(circ_int,0,eq_c2/2))+(PI()*(s_0+2*s_r+IF(circ_int,eq_c1/2,0))/2))+2*IF(circ_int,0,eq_c1/2))+(PI()*(s_0+2*s_r+IF(circ_int,eq_c1/2,0))/2)),IF(circ_int,0,eq_c2/2)+(s_0+2*s_r+IF(circ_int,eq_c1/2,0))*SIN(PI()/2+(((17+0.5)*(4*IF(circ_int,0,eq_c1/2)+4*IF(circ_int,0,eq_c2/2)+2*PI()*(s_0+2*s_r+IF(circ_int,eq_c1/2,0)))/INDEX(lk_legs,3))-(((2*IF(circ_int,0,eq_c2/2))+(PI()*(s_0+2*s_r+IF(circ_int,eq_c1/2,0))/2))+2*IF(circ_int,0,eq_c1/2)))/(s_0+2*s_r+IF(circ_int,eq_c1/2,0))),IF(((17+0.5)*(4*IF(circ_int,0,eq_c1/2)+4*IF(circ_int,0,eq_c2/2)+2*PI()*(s_0+2*s_r+IF(circ_int,eq_c1/2,0)))/INDEX(lk_legs,3))&lt;(((((2*IF(circ_int,0,eq_c2/2))+(PI()*(s_0+2*s_r+IF(circ_int,eq_c1/2,0))/2))+2*IF(circ_int,0,eq_c1/2))+(PI()*(s_0+2*s_r+IF(circ_int,eq_c1/2,0))/2))+2*IF(circ_int,0,eq_c2/2)),IF(circ_int,0,eq_c2/2)-(((17+0.5)*(4*IF(circ_int,0,eq_c1/2)+4*IF(circ_int,0,eq_c2/2)+2*PI()*(s_0+2*s_r+IF(circ_int,eq_c1/2,0)))/INDEX(lk_legs,3))-((((2*IF(circ_int,0,eq_c2/2))+(PI()*(s_0+2*s_r+IF(circ_int,eq_c1/2,0))/2))+2*IF(circ_int,0,eq_c1/2))+(PI()*(s_0+2*s_r+IF(circ_int,eq_c1/2,0))/2))),IF(((17+0.5)*(4*IF(circ_int,0,eq_c1/2)+4*IF(circ_int,0,eq_c2/2)+2*PI()*(s_0+2*s_r+IF(circ_int,eq_c1/2,0)))/INDEX(lk_legs,3))&lt;((((((2*IF(circ_int,0,eq_c2/2))+(PI()*(s_0+2*s_r+IF(circ_int,eq_c1/2,0))/2))+2*IF(circ_int,0,eq_c1/2))+(PI()*(s_0+2*s_r+IF(circ_int,eq_c1/2,0))/2))+2*IF(circ_int,0,eq_c2/2))+(PI()*(s_0+2*s_r+IF(circ_int,eq_c1/2,0))/2)),-IF(circ_int,0,eq_c2/2)+(s_0+2*s_r+IF(circ_int,eq_c1/2,0))*SIN(PI()+(((17+0.5)*(4*IF(circ_int,0,eq_c1/2)+4*IF(circ_int,0,eq_c2/2)+2*PI()*(s_0+2*s_r+IF(circ_int,eq_c1/2,0)))/INDEX(lk_legs,3))-(((((2*IF(circ_int,0,eq_c2/2))+(PI()*(s_0+2*s_r+IF(circ_int,eq_c1/2,0))/2))+2*IF(circ_int,0,eq_c1/2))+(PI()*(s_0+2*s_r+IF(circ_int,eq_c1/2,0))/2))+2*IF(circ_int,0,eq_c2/2)))/(s_0+2*s_r+IF(circ_int,eq_c1/2,0))),IF(((17+0.5)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(17+0.5)*(4*IF(circ_int,0,eq_c1/2)+4*IF(circ_int,0,eq_c2/2)+2*PI()*(s_0+2*s_r+IF(circ_int,eq_c1/2,0)))/INDEX(lk_legs,3))-(((((((2*IF(circ_int,0,eq_c2/2))+(PI()*(s_0+2*s_r+IF(circ_int,eq_c1/2,0))/2))+2*IF(circ_int,0,eq_c1/2))+(PI()*(s_0+2*s_r+IF(circ_int,eq_c1/2,0))/2))+2*IF(circ_int,0,eq_c2/2))+(PI()*(s_0+2*s_r+IF(circ_int,eq_c1/2,0))/2))+2*IF(circ_int,0,eq_c1/2)))/(s_0+2*s_r+IF(circ_int,eq_c1/2,0)))))))))),NA())</f>
        <v/>
      </c>
      <c r="BO20">
        <f>IF(AND(links_on,4&lt;=n_per),IF(circ_int,(g_ox)+(c_1/2+(s_0+3*s_r))*-0.464723,CHOOSE(INDEX(lk_kind,4),(g_ox-eq_c1/2)+((s_0+3*s_r))*-0.500000,(eq_a1+eq_c1)+((s_0+3*s_r))*0.923880,eq_a1+eq_c1+(s_0+3*s_r),(eq_a1+eq_c1)+((s_0+3*s_r))*0.382683)),NA())</f>
        <v/>
      </c>
      <c r="BP20">
        <f>IF(AND(links_on,4&lt;=n_per),IF(circ_int,(g_oy)+(c_1/2+(s_0+3*s_r))*0.885456,CHOOSE(INDEX(lk_kind,4),(g_oy+eq_c2/2)+((s_0+3*s_r))*0.866025,(g_oy-eq_c2/2)+((s_0+3*s_r))*-0.382683,0,(eq_a2+eq_c2)+((s_0+3*s_r))*0.923880)),NA())</f>
        <v/>
      </c>
      <c r="BR20">
        <f>IF(AND(AND(links_on,4&lt;=n_per),INDEX(lk_kind,4)=1,17&lt;INDEX(lk_legs,4)),g_ox+IF(((17+0.5)*(4*IF(circ_int,0,eq_c1/2)+4*IF(circ_int,0,eq_c2/2)+2*PI()*(s_0+3*s_r+IF(circ_int,eq_c1/2,0)))/INDEX(lk_legs,4))&lt;(2*IF(circ_int,0,eq_c2/2)),IF(circ_int,0,eq_c1/2)+(s_0+3*s_r+IF(circ_int,eq_c1/2,0)),IF(((17+0.5)*(4*IF(circ_int,0,eq_c1/2)+4*IF(circ_int,0,eq_c2/2)+2*PI()*(s_0+3*s_r+IF(circ_int,eq_c1/2,0)))/INDEX(lk_legs,4))&lt;((2*IF(circ_int,0,eq_c2/2))+(PI()*(s_0+3*s_r+IF(circ_int,eq_c1/2,0))/2)),IF(circ_int,0,eq_c1/2)+(s_0+3*s_r+IF(circ_int,eq_c1/2,0))*COS((((17+0.5)*(4*IF(circ_int,0,eq_c1/2)+4*IF(circ_int,0,eq_c2/2)+2*PI()*(s_0+3*s_r+IF(circ_int,eq_c1/2,0)))/INDEX(lk_legs,4))-(2*IF(circ_int,0,eq_c2/2)))/(s_0+3*s_r+IF(circ_int,eq_c1/2,0))),IF(((17+0.5)*(4*IF(circ_int,0,eq_c1/2)+4*IF(circ_int,0,eq_c2/2)+2*PI()*(s_0+3*s_r+IF(circ_int,eq_c1/2,0)))/INDEX(lk_legs,4))&lt;(((2*IF(circ_int,0,eq_c2/2))+(PI()*(s_0+3*s_r+IF(circ_int,eq_c1/2,0))/2))+2*IF(circ_int,0,eq_c1/2)),IF(circ_int,0,eq_c1/2)-(((17+0.5)*(4*IF(circ_int,0,eq_c1/2)+4*IF(circ_int,0,eq_c2/2)+2*PI()*(s_0+3*s_r+IF(circ_int,eq_c1/2,0)))/INDEX(lk_legs,4))-((2*IF(circ_int,0,eq_c2/2))+(PI()*(s_0+3*s_r+IF(circ_int,eq_c1/2,0))/2))),IF(((17+0.5)*(4*IF(circ_int,0,eq_c1/2)+4*IF(circ_int,0,eq_c2/2)+2*PI()*(s_0+3*s_r+IF(circ_int,eq_c1/2,0)))/INDEX(lk_legs,4))&lt;((((2*IF(circ_int,0,eq_c2/2))+(PI()*(s_0+3*s_r+IF(circ_int,eq_c1/2,0))/2))+2*IF(circ_int,0,eq_c1/2))+(PI()*(s_0+3*s_r+IF(circ_int,eq_c1/2,0))/2)),-IF(circ_int,0,eq_c1/2)+(s_0+3*s_r+IF(circ_int,eq_c1/2,0))*COS(PI()/2+(((17+0.5)*(4*IF(circ_int,0,eq_c1/2)+4*IF(circ_int,0,eq_c2/2)+2*PI()*(s_0+3*s_r+IF(circ_int,eq_c1/2,0)))/INDEX(lk_legs,4))-(((2*IF(circ_int,0,eq_c2/2))+(PI()*(s_0+3*s_r+IF(circ_int,eq_c1/2,0))/2))+2*IF(circ_int,0,eq_c1/2)))/(s_0+3*s_r+IF(circ_int,eq_c1/2,0))),IF(((17+0.5)*(4*IF(circ_int,0,eq_c1/2)+4*IF(circ_int,0,eq_c2/2)+2*PI()*(s_0+3*s_r+IF(circ_int,eq_c1/2,0)))/INDEX(lk_legs,4))&lt;(((((2*IF(circ_int,0,eq_c2/2))+(PI()*(s_0+3*s_r+IF(circ_int,eq_c1/2,0))/2))+2*IF(circ_int,0,eq_c1/2))+(PI()*(s_0+3*s_r+IF(circ_int,eq_c1/2,0))/2))+2*IF(circ_int,0,eq_c2/2)),-IF(circ_int,0,eq_c1/2)-(s_0+3*s_r+IF(circ_int,eq_c1/2,0)),IF(((17+0.5)*(4*IF(circ_int,0,eq_c1/2)+4*IF(circ_int,0,eq_c2/2)+2*PI()*(s_0+3*s_r+IF(circ_int,eq_c1/2,0)))/INDEX(lk_legs,4))&lt;((((((2*IF(circ_int,0,eq_c2/2))+(PI()*(s_0+3*s_r+IF(circ_int,eq_c1/2,0))/2))+2*IF(circ_int,0,eq_c1/2))+(PI()*(s_0+3*s_r+IF(circ_int,eq_c1/2,0))/2))+2*IF(circ_int,0,eq_c2/2))+(PI()*(s_0+3*s_r+IF(circ_int,eq_c1/2,0))/2)),-IF(circ_int,0,eq_c1/2)+(s_0+3*s_r+IF(circ_int,eq_c1/2,0))*COS(PI()+(((17+0.5)*(4*IF(circ_int,0,eq_c1/2)+4*IF(circ_int,0,eq_c2/2)+2*PI()*(s_0+3*s_r+IF(circ_int,eq_c1/2,0)))/INDEX(lk_legs,4))-(((((2*IF(circ_int,0,eq_c2/2))+(PI()*(s_0+3*s_r+IF(circ_int,eq_c1/2,0))/2))+2*IF(circ_int,0,eq_c1/2))+(PI()*(s_0+3*s_r+IF(circ_int,eq_c1/2,0))/2))+2*IF(circ_int,0,eq_c2/2)))/(s_0+3*s_r+IF(circ_int,eq_c1/2,0))),IF(((17+0.5)*(4*IF(circ_int,0,eq_c1/2)+4*IF(circ_int,0,eq_c2/2)+2*PI()*(s_0+3*s_r+IF(circ_int,eq_c1/2,0)))/INDEX(lk_legs,4))&lt;(((((((2*IF(circ_int,0,eq_c2/2))+(PI()*(s_0+3*s_r+IF(circ_int,eq_c1/2,0))/2))+2*IF(circ_int,0,eq_c1/2))+(PI()*(s_0+3*s_r+IF(circ_int,eq_c1/2,0))/2))+2*IF(circ_int,0,eq_c2/2))+(PI()*(s_0+3*s_r+IF(circ_int,eq_c1/2,0))/2))+2*IF(circ_int,0,eq_c1/2)),-IF(circ_int,0,eq_c1/2)+(((17+0.5)*(4*IF(circ_int,0,eq_c1/2)+4*IF(circ_int,0,eq_c2/2)+2*PI()*(s_0+3*s_r+IF(circ_int,eq_c1/2,0)))/INDEX(lk_legs,4))-((((((2*IF(circ_int,0,eq_c2/2))+(PI()*(s_0+3*s_r+IF(circ_int,eq_c1/2,0))/2))+2*IF(circ_int,0,eq_c1/2))+(PI()*(s_0+3*s_r+IF(circ_int,eq_c1/2,0))/2))+2*IF(circ_int,0,eq_c2/2))+(PI()*(s_0+3*s_r+IF(circ_int,eq_c1/2,0))/2))),IF(circ_int,0,eq_c1/2)+(s_0+3*s_r+IF(circ_int,eq_c1/2,0))*COS(3*PI()/2+(((17+0.5)*(4*IF(circ_int,0,eq_c1/2)+4*IF(circ_int,0,eq_c2/2)+2*PI()*(s_0+3*s_r+IF(circ_int,eq_c1/2,0)))/INDEX(lk_legs,4))-(((((((2*IF(circ_int,0,eq_c2/2))+(PI()*(s_0+3*s_r+IF(circ_int,eq_c1/2,0))/2))+2*IF(circ_int,0,eq_c1/2))+(PI()*(s_0+3*s_r+IF(circ_int,eq_c1/2,0))/2))+2*IF(circ_int,0,eq_c2/2))+(PI()*(s_0+3*s_r+IF(circ_int,eq_c1/2,0))/2))+2*IF(circ_int,0,eq_c1/2)))/(s_0+3*s_r+IF(circ_int,eq_c1/2,0)))))))))),NA())</f>
        <v/>
      </c>
      <c r="BS20">
        <f>IF(AND(AND(links_on,4&lt;=n_per),INDEX(lk_kind,4)=1,17&lt;INDEX(lk_legs,4)),g_oy+IF(((17+0.5)*(4*IF(circ_int,0,eq_c1/2)+4*IF(circ_int,0,eq_c2/2)+2*PI()*(s_0+3*s_r+IF(circ_int,eq_c1/2,0)))/INDEX(lk_legs,4))&lt;(2*IF(circ_int,0,eq_c2/2)),-IF(circ_int,0,eq_c2/2)+((17+0.5)*(4*IF(circ_int,0,eq_c1/2)+4*IF(circ_int,0,eq_c2/2)+2*PI()*(s_0+3*s_r+IF(circ_int,eq_c1/2,0)))/INDEX(lk_legs,4)),IF(((17+0.5)*(4*IF(circ_int,0,eq_c1/2)+4*IF(circ_int,0,eq_c2/2)+2*PI()*(s_0+3*s_r+IF(circ_int,eq_c1/2,0)))/INDEX(lk_legs,4))&lt;((2*IF(circ_int,0,eq_c2/2))+(PI()*(s_0+3*s_r+IF(circ_int,eq_c1/2,0))/2)),IF(circ_int,0,eq_c2/2)+(s_0+3*s_r+IF(circ_int,eq_c1/2,0))*SIN((((17+0.5)*(4*IF(circ_int,0,eq_c1/2)+4*IF(circ_int,0,eq_c2/2)+2*PI()*(s_0+3*s_r+IF(circ_int,eq_c1/2,0)))/INDEX(lk_legs,4))-(2*IF(circ_int,0,eq_c2/2)))/(s_0+3*s_r+IF(circ_int,eq_c1/2,0))),IF(((17+0.5)*(4*IF(circ_int,0,eq_c1/2)+4*IF(circ_int,0,eq_c2/2)+2*PI()*(s_0+3*s_r+IF(circ_int,eq_c1/2,0)))/INDEX(lk_legs,4))&lt;(((2*IF(circ_int,0,eq_c2/2))+(PI()*(s_0+3*s_r+IF(circ_int,eq_c1/2,0))/2))+2*IF(circ_int,0,eq_c1/2)),IF(circ_int,0,eq_c2/2)+(s_0+3*s_r+IF(circ_int,eq_c1/2,0)),IF(((17+0.5)*(4*IF(circ_int,0,eq_c1/2)+4*IF(circ_int,0,eq_c2/2)+2*PI()*(s_0+3*s_r+IF(circ_int,eq_c1/2,0)))/INDEX(lk_legs,4))&lt;((((2*IF(circ_int,0,eq_c2/2))+(PI()*(s_0+3*s_r+IF(circ_int,eq_c1/2,0))/2))+2*IF(circ_int,0,eq_c1/2))+(PI()*(s_0+3*s_r+IF(circ_int,eq_c1/2,0))/2)),IF(circ_int,0,eq_c2/2)+(s_0+3*s_r+IF(circ_int,eq_c1/2,0))*SIN(PI()/2+(((17+0.5)*(4*IF(circ_int,0,eq_c1/2)+4*IF(circ_int,0,eq_c2/2)+2*PI()*(s_0+3*s_r+IF(circ_int,eq_c1/2,0)))/INDEX(lk_legs,4))-(((2*IF(circ_int,0,eq_c2/2))+(PI()*(s_0+3*s_r+IF(circ_int,eq_c1/2,0))/2))+2*IF(circ_int,0,eq_c1/2)))/(s_0+3*s_r+IF(circ_int,eq_c1/2,0))),IF(((17+0.5)*(4*IF(circ_int,0,eq_c1/2)+4*IF(circ_int,0,eq_c2/2)+2*PI()*(s_0+3*s_r+IF(circ_int,eq_c1/2,0)))/INDEX(lk_legs,4))&lt;(((((2*IF(circ_int,0,eq_c2/2))+(PI()*(s_0+3*s_r+IF(circ_int,eq_c1/2,0))/2))+2*IF(circ_int,0,eq_c1/2))+(PI()*(s_0+3*s_r+IF(circ_int,eq_c1/2,0))/2))+2*IF(circ_int,0,eq_c2/2)),IF(circ_int,0,eq_c2/2)-(((17+0.5)*(4*IF(circ_int,0,eq_c1/2)+4*IF(circ_int,0,eq_c2/2)+2*PI()*(s_0+3*s_r+IF(circ_int,eq_c1/2,0)))/INDEX(lk_legs,4))-((((2*IF(circ_int,0,eq_c2/2))+(PI()*(s_0+3*s_r+IF(circ_int,eq_c1/2,0))/2))+2*IF(circ_int,0,eq_c1/2))+(PI()*(s_0+3*s_r+IF(circ_int,eq_c1/2,0))/2))),IF(((17+0.5)*(4*IF(circ_int,0,eq_c1/2)+4*IF(circ_int,0,eq_c2/2)+2*PI()*(s_0+3*s_r+IF(circ_int,eq_c1/2,0)))/INDEX(lk_legs,4))&lt;((((((2*IF(circ_int,0,eq_c2/2))+(PI()*(s_0+3*s_r+IF(circ_int,eq_c1/2,0))/2))+2*IF(circ_int,0,eq_c1/2))+(PI()*(s_0+3*s_r+IF(circ_int,eq_c1/2,0))/2))+2*IF(circ_int,0,eq_c2/2))+(PI()*(s_0+3*s_r+IF(circ_int,eq_c1/2,0))/2)),-IF(circ_int,0,eq_c2/2)+(s_0+3*s_r+IF(circ_int,eq_c1/2,0))*SIN(PI()+(((17+0.5)*(4*IF(circ_int,0,eq_c1/2)+4*IF(circ_int,0,eq_c2/2)+2*PI()*(s_0+3*s_r+IF(circ_int,eq_c1/2,0)))/INDEX(lk_legs,4))-(((((2*IF(circ_int,0,eq_c2/2))+(PI()*(s_0+3*s_r+IF(circ_int,eq_c1/2,0))/2))+2*IF(circ_int,0,eq_c1/2))+(PI()*(s_0+3*s_r+IF(circ_int,eq_c1/2,0))/2))+2*IF(circ_int,0,eq_c2/2)))/(s_0+3*s_r+IF(circ_int,eq_c1/2,0))),IF(((17+0.5)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(17+0.5)*(4*IF(circ_int,0,eq_c1/2)+4*IF(circ_int,0,eq_c2/2)+2*PI()*(s_0+3*s_r+IF(circ_int,eq_c1/2,0)))/INDEX(lk_legs,4))-(((((((2*IF(circ_int,0,eq_c2/2))+(PI()*(s_0+3*s_r+IF(circ_int,eq_c1/2,0))/2))+2*IF(circ_int,0,eq_c1/2))+(PI()*(s_0+3*s_r+IF(circ_int,eq_c1/2,0))/2))+2*IF(circ_int,0,eq_c2/2))+(PI()*(s_0+3*s_r+IF(circ_int,eq_c1/2,0))/2))+2*IF(circ_int,0,eq_c1/2)))/(s_0+3*s_r+IF(circ_int,eq_c1/2,0)))))))))),NA())</f>
        <v/>
      </c>
      <c r="BU20">
        <f>IF(AND(links_on,5&lt;=n_per),IF(circ_int,(g_ox)+(c_1/2+(s_0+4*s_r))*-0.464723,CHOOSE(INDEX(lk_kind,5),(g_ox-eq_c1/2)+((s_0+4*s_r))*-0.500000,(eq_a1+eq_c1)+((s_0+4*s_r))*0.923880,eq_a1+eq_c1+(s_0+4*s_r),(eq_a1+eq_c1)+((s_0+4*s_r))*0.382683)),NA())</f>
        <v/>
      </c>
      <c r="BV20">
        <f>IF(AND(links_on,5&lt;=n_per),IF(circ_int,(g_oy)+(c_1/2+(s_0+4*s_r))*0.885456,CHOOSE(INDEX(lk_kind,5),(g_oy+eq_c2/2)+((s_0+4*s_r))*0.866025,(g_oy-eq_c2/2)+((s_0+4*s_r))*-0.382683,0,(eq_a2+eq_c2)+((s_0+4*s_r))*0.923880)),NA())</f>
        <v/>
      </c>
      <c r="BX20">
        <f>IF(AND(AND(links_on,5&lt;=n_per),INDEX(lk_kind,5)=1,17&lt;INDEX(lk_legs,5)),g_ox+IF(((17+0.5)*(4*IF(circ_int,0,eq_c1/2)+4*IF(circ_int,0,eq_c2/2)+2*PI()*(s_0+4*s_r+IF(circ_int,eq_c1/2,0)))/INDEX(lk_legs,5))&lt;(2*IF(circ_int,0,eq_c2/2)),IF(circ_int,0,eq_c1/2)+(s_0+4*s_r+IF(circ_int,eq_c1/2,0)),IF(((17+0.5)*(4*IF(circ_int,0,eq_c1/2)+4*IF(circ_int,0,eq_c2/2)+2*PI()*(s_0+4*s_r+IF(circ_int,eq_c1/2,0)))/INDEX(lk_legs,5))&lt;((2*IF(circ_int,0,eq_c2/2))+(PI()*(s_0+4*s_r+IF(circ_int,eq_c1/2,0))/2)),IF(circ_int,0,eq_c1/2)+(s_0+4*s_r+IF(circ_int,eq_c1/2,0))*COS((((17+0.5)*(4*IF(circ_int,0,eq_c1/2)+4*IF(circ_int,0,eq_c2/2)+2*PI()*(s_0+4*s_r+IF(circ_int,eq_c1/2,0)))/INDEX(lk_legs,5))-(2*IF(circ_int,0,eq_c2/2)))/(s_0+4*s_r+IF(circ_int,eq_c1/2,0))),IF(((17+0.5)*(4*IF(circ_int,0,eq_c1/2)+4*IF(circ_int,0,eq_c2/2)+2*PI()*(s_0+4*s_r+IF(circ_int,eq_c1/2,0)))/INDEX(lk_legs,5))&lt;(((2*IF(circ_int,0,eq_c2/2))+(PI()*(s_0+4*s_r+IF(circ_int,eq_c1/2,0))/2))+2*IF(circ_int,0,eq_c1/2)),IF(circ_int,0,eq_c1/2)-(((17+0.5)*(4*IF(circ_int,0,eq_c1/2)+4*IF(circ_int,0,eq_c2/2)+2*PI()*(s_0+4*s_r+IF(circ_int,eq_c1/2,0)))/INDEX(lk_legs,5))-((2*IF(circ_int,0,eq_c2/2))+(PI()*(s_0+4*s_r+IF(circ_int,eq_c1/2,0))/2))),IF(((17+0.5)*(4*IF(circ_int,0,eq_c1/2)+4*IF(circ_int,0,eq_c2/2)+2*PI()*(s_0+4*s_r+IF(circ_int,eq_c1/2,0)))/INDEX(lk_legs,5))&lt;((((2*IF(circ_int,0,eq_c2/2))+(PI()*(s_0+4*s_r+IF(circ_int,eq_c1/2,0))/2))+2*IF(circ_int,0,eq_c1/2))+(PI()*(s_0+4*s_r+IF(circ_int,eq_c1/2,0))/2)),-IF(circ_int,0,eq_c1/2)+(s_0+4*s_r+IF(circ_int,eq_c1/2,0))*COS(PI()/2+(((17+0.5)*(4*IF(circ_int,0,eq_c1/2)+4*IF(circ_int,0,eq_c2/2)+2*PI()*(s_0+4*s_r+IF(circ_int,eq_c1/2,0)))/INDEX(lk_legs,5))-(((2*IF(circ_int,0,eq_c2/2))+(PI()*(s_0+4*s_r+IF(circ_int,eq_c1/2,0))/2))+2*IF(circ_int,0,eq_c1/2)))/(s_0+4*s_r+IF(circ_int,eq_c1/2,0))),IF(((17+0.5)*(4*IF(circ_int,0,eq_c1/2)+4*IF(circ_int,0,eq_c2/2)+2*PI()*(s_0+4*s_r+IF(circ_int,eq_c1/2,0)))/INDEX(lk_legs,5))&lt;(((((2*IF(circ_int,0,eq_c2/2))+(PI()*(s_0+4*s_r+IF(circ_int,eq_c1/2,0))/2))+2*IF(circ_int,0,eq_c1/2))+(PI()*(s_0+4*s_r+IF(circ_int,eq_c1/2,0))/2))+2*IF(circ_int,0,eq_c2/2)),-IF(circ_int,0,eq_c1/2)-(s_0+4*s_r+IF(circ_int,eq_c1/2,0)),IF(((17+0.5)*(4*IF(circ_int,0,eq_c1/2)+4*IF(circ_int,0,eq_c2/2)+2*PI()*(s_0+4*s_r+IF(circ_int,eq_c1/2,0)))/INDEX(lk_legs,5))&lt;((((((2*IF(circ_int,0,eq_c2/2))+(PI()*(s_0+4*s_r+IF(circ_int,eq_c1/2,0))/2))+2*IF(circ_int,0,eq_c1/2))+(PI()*(s_0+4*s_r+IF(circ_int,eq_c1/2,0))/2))+2*IF(circ_int,0,eq_c2/2))+(PI()*(s_0+4*s_r+IF(circ_int,eq_c1/2,0))/2)),-IF(circ_int,0,eq_c1/2)+(s_0+4*s_r+IF(circ_int,eq_c1/2,0))*COS(PI()+(((17+0.5)*(4*IF(circ_int,0,eq_c1/2)+4*IF(circ_int,0,eq_c2/2)+2*PI()*(s_0+4*s_r+IF(circ_int,eq_c1/2,0)))/INDEX(lk_legs,5))-(((((2*IF(circ_int,0,eq_c2/2))+(PI()*(s_0+4*s_r+IF(circ_int,eq_c1/2,0))/2))+2*IF(circ_int,0,eq_c1/2))+(PI()*(s_0+4*s_r+IF(circ_int,eq_c1/2,0))/2))+2*IF(circ_int,0,eq_c2/2)))/(s_0+4*s_r+IF(circ_int,eq_c1/2,0))),IF(((17+0.5)*(4*IF(circ_int,0,eq_c1/2)+4*IF(circ_int,0,eq_c2/2)+2*PI()*(s_0+4*s_r+IF(circ_int,eq_c1/2,0)))/INDEX(lk_legs,5))&lt;(((((((2*IF(circ_int,0,eq_c2/2))+(PI()*(s_0+4*s_r+IF(circ_int,eq_c1/2,0))/2))+2*IF(circ_int,0,eq_c1/2))+(PI()*(s_0+4*s_r+IF(circ_int,eq_c1/2,0))/2))+2*IF(circ_int,0,eq_c2/2))+(PI()*(s_0+4*s_r+IF(circ_int,eq_c1/2,0))/2))+2*IF(circ_int,0,eq_c1/2)),-IF(circ_int,0,eq_c1/2)+(((17+0.5)*(4*IF(circ_int,0,eq_c1/2)+4*IF(circ_int,0,eq_c2/2)+2*PI()*(s_0+4*s_r+IF(circ_int,eq_c1/2,0)))/INDEX(lk_legs,5))-((((((2*IF(circ_int,0,eq_c2/2))+(PI()*(s_0+4*s_r+IF(circ_int,eq_c1/2,0))/2))+2*IF(circ_int,0,eq_c1/2))+(PI()*(s_0+4*s_r+IF(circ_int,eq_c1/2,0))/2))+2*IF(circ_int,0,eq_c2/2))+(PI()*(s_0+4*s_r+IF(circ_int,eq_c1/2,0))/2))),IF(circ_int,0,eq_c1/2)+(s_0+4*s_r+IF(circ_int,eq_c1/2,0))*COS(3*PI()/2+(((17+0.5)*(4*IF(circ_int,0,eq_c1/2)+4*IF(circ_int,0,eq_c2/2)+2*PI()*(s_0+4*s_r+IF(circ_int,eq_c1/2,0)))/INDEX(lk_legs,5))-(((((((2*IF(circ_int,0,eq_c2/2))+(PI()*(s_0+4*s_r+IF(circ_int,eq_c1/2,0))/2))+2*IF(circ_int,0,eq_c1/2))+(PI()*(s_0+4*s_r+IF(circ_int,eq_c1/2,0))/2))+2*IF(circ_int,0,eq_c2/2))+(PI()*(s_0+4*s_r+IF(circ_int,eq_c1/2,0))/2))+2*IF(circ_int,0,eq_c1/2)))/(s_0+4*s_r+IF(circ_int,eq_c1/2,0)))))))))),NA())</f>
        <v/>
      </c>
      <c r="BY20">
        <f>IF(AND(AND(links_on,5&lt;=n_per),INDEX(lk_kind,5)=1,17&lt;INDEX(lk_legs,5)),g_oy+IF(((17+0.5)*(4*IF(circ_int,0,eq_c1/2)+4*IF(circ_int,0,eq_c2/2)+2*PI()*(s_0+4*s_r+IF(circ_int,eq_c1/2,0)))/INDEX(lk_legs,5))&lt;(2*IF(circ_int,0,eq_c2/2)),-IF(circ_int,0,eq_c2/2)+((17+0.5)*(4*IF(circ_int,0,eq_c1/2)+4*IF(circ_int,0,eq_c2/2)+2*PI()*(s_0+4*s_r+IF(circ_int,eq_c1/2,0)))/INDEX(lk_legs,5)),IF(((17+0.5)*(4*IF(circ_int,0,eq_c1/2)+4*IF(circ_int,0,eq_c2/2)+2*PI()*(s_0+4*s_r+IF(circ_int,eq_c1/2,0)))/INDEX(lk_legs,5))&lt;((2*IF(circ_int,0,eq_c2/2))+(PI()*(s_0+4*s_r+IF(circ_int,eq_c1/2,0))/2)),IF(circ_int,0,eq_c2/2)+(s_0+4*s_r+IF(circ_int,eq_c1/2,0))*SIN((((17+0.5)*(4*IF(circ_int,0,eq_c1/2)+4*IF(circ_int,0,eq_c2/2)+2*PI()*(s_0+4*s_r+IF(circ_int,eq_c1/2,0)))/INDEX(lk_legs,5))-(2*IF(circ_int,0,eq_c2/2)))/(s_0+4*s_r+IF(circ_int,eq_c1/2,0))),IF(((17+0.5)*(4*IF(circ_int,0,eq_c1/2)+4*IF(circ_int,0,eq_c2/2)+2*PI()*(s_0+4*s_r+IF(circ_int,eq_c1/2,0)))/INDEX(lk_legs,5))&lt;(((2*IF(circ_int,0,eq_c2/2))+(PI()*(s_0+4*s_r+IF(circ_int,eq_c1/2,0))/2))+2*IF(circ_int,0,eq_c1/2)),IF(circ_int,0,eq_c2/2)+(s_0+4*s_r+IF(circ_int,eq_c1/2,0)),IF(((17+0.5)*(4*IF(circ_int,0,eq_c1/2)+4*IF(circ_int,0,eq_c2/2)+2*PI()*(s_0+4*s_r+IF(circ_int,eq_c1/2,0)))/INDEX(lk_legs,5))&lt;((((2*IF(circ_int,0,eq_c2/2))+(PI()*(s_0+4*s_r+IF(circ_int,eq_c1/2,0))/2))+2*IF(circ_int,0,eq_c1/2))+(PI()*(s_0+4*s_r+IF(circ_int,eq_c1/2,0))/2)),IF(circ_int,0,eq_c2/2)+(s_0+4*s_r+IF(circ_int,eq_c1/2,0))*SIN(PI()/2+(((17+0.5)*(4*IF(circ_int,0,eq_c1/2)+4*IF(circ_int,0,eq_c2/2)+2*PI()*(s_0+4*s_r+IF(circ_int,eq_c1/2,0)))/INDEX(lk_legs,5))-(((2*IF(circ_int,0,eq_c2/2))+(PI()*(s_0+4*s_r+IF(circ_int,eq_c1/2,0))/2))+2*IF(circ_int,0,eq_c1/2)))/(s_0+4*s_r+IF(circ_int,eq_c1/2,0))),IF(((17+0.5)*(4*IF(circ_int,0,eq_c1/2)+4*IF(circ_int,0,eq_c2/2)+2*PI()*(s_0+4*s_r+IF(circ_int,eq_c1/2,0)))/INDEX(lk_legs,5))&lt;(((((2*IF(circ_int,0,eq_c2/2))+(PI()*(s_0+4*s_r+IF(circ_int,eq_c1/2,0))/2))+2*IF(circ_int,0,eq_c1/2))+(PI()*(s_0+4*s_r+IF(circ_int,eq_c1/2,0))/2))+2*IF(circ_int,0,eq_c2/2)),IF(circ_int,0,eq_c2/2)-(((17+0.5)*(4*IF(circ_int,0,eq_c1/2)+4*IF(circ_int,0,eq_c2/2)+2*PI()*(s_0+4*s_r+IF(circ_int,eq_c1/2,0)))/INDEX(lk_legs,5))-((((2*IF(circ_int,0,eq_c2/2))+(PI()*(s_0+4*s_r+IF(circ_int,eq_c1/2,0))/2))+2*IF(circ_int,0,eq_c1/2))+(PI()*(s_0+4*s_r+IF(circ_int,eq_c1/2,0))/2))),IF(((17+0.5)*(4*IF(circ_int,0,eq_c1/2)+4*IF(circ_int,0,eq_c2/2)+2*PI()*(s_0+4*s_r+IF(circ_int,eq_c1/2,0)))/INDEX(lk_legs,5))&lt;((((((2*IF(circ_int,0,eq_c2/2))+(PI()*(s_0+4*s_r+IF(circ_int,eq_c1/2,0))/2))+2*IF(circ_int,0,eq_c1/2))+(PI()*(s_0+4*s_r+IF(circ_int,eq_c1/2,0))/2))+2*IF(circ_int,0,eq_c2/2))+(PI()*(s_0+4*s_r+IF(circ_int,eq_c1/2,0))/2)),-IF(circ_int,0,eq_c2/2)+(s_0+4*s_r+IF(circ_int,eq_c1/2,0))*SIN(PI()+(((17+0.5)*(4*IF(circ_int,0,eq_c1/2)+4*IF(circ_int,0,eq_c2/2)+2*PI()*(s_0+4*s_r+IF(circ_int,eq_c1/2,0)))/INDEX(lk_legs,5))-(((((2*IF(circ_int,0,eq_c2/2))+(PI()*(s_0+4*s_r+IF(circ_int,eq_c1/2,0))/2))+2*IF(circ_int,0,eq_c1/2))+(PI()*(s_0+4*s_r+IF(circ_int,eq_c1/2,0))/2))+2*IF(circ_int,0,eq_c2/2)))/(s_0+4*s_r+IF(circ_int,eq_c1/2,0))),IF(((17+0.5)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(17+0.5)*(4*IF(circ_int,0,eq_c1/2)+4*IF(circ_int,0,eq_c2/2)+2*PI()*(s_0+4*s_r+IF(circ_int,eq_c1/2,0)))/INDEX(lk_legs,5))-(((((((2*IF(circ_int,0,eq_c2/2))+(PI()*(s_0+4*s_r+IF(circ_int,eq_c1/2,0))/2))+2*IF(circ_int,0,eq_c1/2))+(PI()*(s_0+4*s_r+IF(circ_int,eq_c1/2,0))/2))+2*IF(circ_int,0,eq_c2/2))+(PI()*(s_0+4*s_r+IF(circ_int,eq_c1/2,0))/2))+2*IF(circ_int,0,eq_c1/2)))/(s_0+4*s_r+IF(circ_int,eq_c1/2,0)))))))))),NA())</f>
        <v/>
      </c>
      <c r="CA20">
        <f>IF(AND(links_on,6&lt;=n_per),IF(circ_int,(g_ox)+(c_1/2+(s_0+5*s_r))*-0.464723,CHOOSE(INDEX(lk_kind,6),(g_ox-eq_c1/2)+((s_0+5*s_r))*-0.500000,(eq_a1+eq_c1)+((s_0+5*s_r))*0.923880,eq_a1+eq_c1+(s_0+5*s_r),(eq_a1+eq_c1)+((s_0+5*s_r))*0.382683)),NA())</f>
        <v/>
      </c>
      <c r="CB20">
        <f>IF(AND(links_on,6&lt;=n_per),IF(circ_int,(g_oy)+(c_1/2+(s_0+5*s_r))*0.885456,CHOOSE(INDEX(lk_kind,6),(g_oy+eq_c2/2)+((s_0+5*s_r))*0.866025,(g_oy-eq_c2/2)+((s_0+5*s_r))*-0.382683,0,(eq_a2+eq_c2)+((s_0+5*s_r))*0.923880)),NA())</f>
        <v/>
      </c>
      <c r="CD20">
        <f>IF(AND(AND(links_on,6&lt;=n_per),INDEX(lk_kind,6)=1,17&lt;INDEX(lk_legs,6)),g_ox+IF(((17+0.5)*(4*IF(circ_int,0,eq_c1/2)+4*IF(circ_int,0,eq_c2/2)+2*PI()*(s_0+5*s_r+IF(circ_int,eq_c1/2,0)))/INDEX(lk_legs,6))&lt;(2*IF(circ_int,0,eq_c2/2)),IF(circ_int,0,eq_c1/2)+(s_0+5*s_r+IF(circ_int,eq_c1/2,0)),IF(((17+0.5)*(4*IF(circ_int,0,eq_c1/2)+4*IF(circ_int,0,eq_c2/2)+2*PI()*(s_0+5*s_r+IF(circ_int,eq_c1/2,0)))/INDEX(lk_legs,6))&lt;((2*IF(circ_int,0,eq_c2/2))+(PI()*(s_0+5*s_r+IF(circ_int,eq_c1/2,0))/2)),IF(circ_int,0,eq_c1/2)+(s_0+5*s_r+IF(circ_int,eq_c1/2,0))*COS((((17+0.5)*(4*IF(circ_int,0,eq_c1/2)+4*IF(circ_int,0,eq_c2/2)+2*PI()*(s_0+5*s_r+IF(circ_int,eq_c1/2,0)))/INDEX(lk_legs,6))-(2*IF(circ_int,0,eq_c2/2)))/(s_0+5*s_r+IF(circ_int,eq_c1/2,0))),IF(((17+0.5)*(4*IF(circ_int,0,eq_c1/2)+4*IF(circ_int,0,eq_c2/2)+2*PI()*(s_0+5*s_r+IF(circ_int,eq_c1/2,0)))/INDEX(lk_legs,6))&lt;(((2*IF(circ_int,0,eq_c2/2))+(PI()*(s_0+5*s_r+IF(circ_int,eq_c1/2,0))/2))+2*IF(circ_int,0,eq_c1/2)),IF(circ_int,0,eq_c1/2)-(((17+0.5)*(4*IF(circ_int,0,eq_c1/2)+4*IF(circ_int,0,eq_c2/2)+2*PI()*(s_0+5*s_r+IF(circ_int,eq_c1/2,0)))/INDEX(lk_legs,6))-((2*IF(circ_int,0,eq_c2/2))+(PI()*(s_0+5*s_r+IF(circ_int,eq_c1/2,0))/2))),IF(((17+0.5)*(4*IF(circ_int,0,eq_c1/2)+4*IF(circ_int,0,eq_c2/2)+2*PI()*(s_0+5*s_r+IF(circ_int,eq_c1/2,0)))/INDEX(lk_legs,6))&lt;((((2*IF(circ_int,0,eq_c2/2))+(PI()*(s_0+5*s_r+IF(circ_int,eq_c1/2,0))/2))+2*IF(circ_int,0,eq_c1/2))+(PI()*(s_0+5*s_r+IF(circ_int,eq_c1/2,0))/2)),-IF(circ_int,0,eq_c1/2)+(s_0+5*s_r+IF(circ_int,eq_c1/2,0))*COS(PI()/2+(((17+0.5)*(4*IF(circ_int,0,eq_c1/2)+4*IF(circ_int,0,eq_c2/2)+2*PI()*(s_0+5*s_r+IF(circ_int,eq_c1/2,0)))/INDEX(lk_legs,6))-(((2*IF(circ_int,0,eq_c2/2))+(PI()*(s_0+5*s_r+IF(circ_int,eq_c1/2,0))/2))+2*IF(circ_int,0,eq_c1/2)))/(s_0+5*s_r+IF(circ_int,eq_c1/2,0))),IF(((17+0.5)*(4*IF(circ_int,0,eq_c1/2)+4*IF(circ_int,0,eq_c2/2)+2*PI()*(s_0+5*s_r+IF(circ_int,eq_c1/2,0)))/INDEX(lk_legs,6))&lt;(((((2*IF(circ_int,0,eq_c2/2))+(PI()*(s_0+5*s_r+IF(circ_int,eq_c1/2,0))/2))+2*IF(circ_int,0,eq_c1/2))+(PI()*(s_0+5*s_r+IF(circ_int,eq_c1/2,0))/2))+2*IF(circ_int,0,eq_c2/2)),-IF(circ_int,0,eq_c1/2)-(s_0+5*s_r+IF(circ_int,eq_c1/2,0)),IF(((17+0.5)*(4*IF(circ_int,0,eq_c1/2)+4*IF(circ_int,0,eq_c2/2)+2*PI()*(s_0+5*s_r+IF(circ_int,eq_c1/2,0)))/INDEX(lk_legs,6))&lt;((((((2*IF(circ_int,0,eq_c2/2))+(PI()*(s_0+5*s_r+IF(circ_int,eq_c1/2,0))/2))+2*IF(circ_int,0,eq_c1/2))+(PI()*(s_0+5*s_r+IF(circ_int,eq_c1/2,0))/2))+2*IF(circ_int,0,eq_c2/2))+(PI()*(s_0+5*s_r+IF(circ_int,eq_c1/2,0))/2)),-IF(circ_int,0,eq_c1/2)+(s_0+5*s_r+IF(circ_int,eq_c1/2,0))*COS(PI()+(((17+0.5)*(4*IF(circ_int,0,eq_c1/2)+4*IF(circ_int,0,eq_c2/2)+2*PI()*(s_0+5*s_r+IF(circ_int,eq_c1/2,0)))/INDEX(lk_legs,6))-(((((2*IF(circ_int,0,eq_c2/2))+(PI()*(s_0+5*s_r+IF(circ_int,eq_c1/2,0))/2))+2*IF(circ_int,0,eq_c1/2))+(PI()*(s_0+5*s_r+IF(circ_int,eq_c1/2,0))/2))+2*IF(circ_int,0,eq_c2/2)))/(s_0+5*s_r+IF(circ_int,eq_c1/2,0))),IF(((17+0.5)*(4*IF(circ_int,0,eq_c1/2)+4*IF(circ_int,0,eq_c2/2)+2*PI()*(s_0+5*s_r+IF(circ_int,eq_c1/2,0)))/INDEX(lk_legs,6))&lt;(((((((2*IF(circ_int,0,eq_c2/2))+(PI()*(s_0+5*s_r+IF(circ_int,eq_c1/2,0))/2))+2*IF(circ_int,0,eq_c1/2))+(PI()*(s_0+5*s_r+IF(circ_int,eq_c1/2,0))/2))+2*IF(circ_int,0,eq_c2/2))+(PI()*(s_0+5*s_r+IF(circ_int,eq_c1/2,0))/2))+2*IF(circ_int,0,eq_c1/2)),-IF(circ_int,0,eq_c1/2)+(((17+0.5)*(4*IF(circ_int,0,eq_c1/2)+4*IF(circ_int,0,eq_c2/2)+2*PI()*(s_0+5*s_r+IF(circ_int,eq_c1/2,0)))/INDEX(lk_legs,6))-((((((2*IF(circ_int,0,eq_c2/2))+(PI()*(s_0+5*s_r+IF(circ_int,eq_c1/2,0))/2))+2*IF(circ_int,0,eq_c1/2))+(PI()*(s_0+5*s_r+IF(circ_int,eq_c1/2,0))/2))+2*IF(circ_int,0,eq_c2/2))+(PI()*(s_0+5*s_r+IF(circ_int,eq_c1/2,0))/2))),IF(circ_int,0,eq_c1/2)+(s_0+5*s_r+IF(circ_int,eq_c1/2,0))*COS(3*PI()/2+(((17+0.5)*(4*IF(circ_int,0,eq_c1/2)+4*IF(circ_int,0,eq_c2/2)+2*PI()*(s_0+5*s_r+IF(circ_int,eq_c1/2,0)))/INDEX(lk_legs,6))-(((((((2*IF(circ_int,0,eq_c2/2))+(PI()*(s_0+5*s_r+IF(circ_int,eq_c1/2,0))/2))+2*IF(circ_int,0,eq_c1/2))+(PI()*(s_0+5*s_r+IF(circ_int,eq_c1/2,0))/2))+2*IF(circ_int,0,eq_c2/2))+(PI()*(s_0+5*s_r+IF(circ_int,eq_c1/2,0))/2))+2*IF(circ_int,0,eq_c1/2)))/(s_0+5*s_r+IF(circ_int,eq_c1/2,0)))))))))),NA())</f>
        <v/>
      </c>
      <c r="CE20">
        <f>IF(AND(AND(links_on,6&lt;=n_per),INDEX(lk_kind,6)=1,17&lt;INDEX(lk_legs,6)),g_oy+IF(((17+0.5)*(4*IF(circ_int,0,eq_c1/2)+4*IF(circ_int,0,eq_c2/2)+2*PI()*(s_0+5*s_r+IF(circ_int,eq_c1/2,0)))/INDEX(lk_legs,6))&lt;(2*IF(circ_int,0,eq_c2/2)),-IF(circ_int,0,eq_c2/2)+((17+0.5)*(4*IF(circ_int,0,eq_c1/2)+4*IF(circ_int,0,eq_c2/2)+2*PI()*(s_0+5*s_r+IF(circ_int,eq_c1/2,0)))/INDEX(lk_legs,6)),IF(((17+0.5)*(4*IF(circ_int,0,eq_c1/2)+4*IF(circ_int,0,eq_c2/2)+2*PI()*(s_0+5*s_r+IF(circ_int,eq_c1/2,0)))/INDEX(lk_legs,6))&lt;((2*IF(circ_int,0,eq_c2/2))+(PI()*(s_0+5*s_r+IF(circ_int,eq_c1/2,0))/2)),IF(circ_int,0,eq_c2/2)+(s_0+5*s_r+IF(circ_int,eq_c1/2,0))*SIN((((17+0.5)*(4*IF(circ_int,0,eq_c1/2)+4*IF(circ_int,0,eq_c2/2)+2*PI()*(s_0+5*s_r+IF(circ_int,eq_c1/2,0)))/INDEX(lk_legs,6))-(2*IF(circ_int,0,eq_c2/2)))/(s_0+5*s_r+IF(circ_int,eq_c1/2,0))),IF(((17+0.5)*(4*IF(circ_int,0,eq_c1/2)+4*IF(circ_int,0,eq_c2/2)+2*PI()*(s_0+5*s_r+IF(circ_int,eq_c1/2,0)))/INDEX(lk_legs,6))&lt;(((2*IF(circ_int,0,eq_c2/2))+(PI()*(s_0+5*s_r+IF(circ_int,eq_c1/2,0))/2))+2*IF(circ_int,0,eq_c1/2)),IF(circ_int,0,eq_c2/2)+(s_0+5*s_r+IF(circ_int,eq_c1/2,0)),IF(((17+0.5)*(4*IF(circ_int,0,eq_c1/2)+4*IF(circ_int,0,eq_c2/2)+2*PI()*(s_0+5*s_r+IF(circ_int,eq_c1/2,0)))/INDEX(lk_legs,6))&lt;((((2*IF(circ_int,0,eq_c2/2))+(PI()*(s_0+5*s_r+IF(circ_int,eq_c1/2,0))/2))+2*IF(circ_int,0,eq_c1/2))+(PI()*(s_0+5*s_r+IF(circ_int,eq_c1/2,0))/2)),IF(circ_int,0,eq_c2/2)+(s_0+5*s_r+IF(circ_int,eq_c1/2,0))*SIN(PI()/2+(((17+0.5)*(4*IF(circ_int,0,eq_c1/2)+4*IF(circ_int,0,eq_c2/2)+2*PI()*(s_0+5*s_r+IF(circ_int,eq_c1/2,0)))/INDEX(lk_legs,6))-(((2*IF(circ_int,0,eq_c2/2))+(PI()*(s_0+5*s_r+IF(circ_int,eq_c1/2,0))/2))+2*IF(circ_int,0,eq_c1/2)))/(s_0+5*s_r+IF(circ_int,eq_c1/2,0))),IF(((17+0.5)*(4*IF(circ_int,0,eq_c1/2)+4*IF(circ_int,0,eq_c2/2)+2*PI()*(s_0+5*s_r+IF(circ_int,eq_c1/2,0)))/INDEX(lk_legs,6))&lt;(((((2*IF(circ_int,0,eq_c2/2))+(PI()*(s_0+5*s_r+IF(circ_int,eq_c1/2,0))/2))+2*IF(circ_int,0,eq_c1/2))+(PI()*(s_0+5*s_r+IF(circ_int,eq_c1/2,0))/2))+2*IF(circ_int,0,eq_c2/2)),IF(circ_int,0,eq_c2/2)-(((17+0.5)*(4*IF(circ_int,0,eq_c1/2)+4*IF(circ_int,0,eq_c2/2)+2*PI()*(s_0+5*s_r+IF(circ_int,eq_c1/2,0)))/INDEX(lk_legs,6))-((((2*IF(circ_int,0,eq_c2/2))+(PI()*(s_0+5*s_r+IF(circ_int,eq_c1/2,0))/2))+2*IF(circ_int,0,eq_c1/2))+(PI()*(s_0+5*s_r+IF(circ_int,eq_c1/2,0))/2))),IF(((17+0.5)*(4*IF(circ_int,0,eq_c1/2)+4*IF(circ_int,0,eq_c2/2)+2*PI()*(s_0+5*s_r+IF(circ_int,eq_c1/2,0)))/INDEX(lk_legs,6))&lt;((((((2*IF(circ_int,0,eq_c2/2))+(PI()*(s_0+5*s_r+IF(circ_int,eq_c1/2,0))/2))+2*IF(circ_int,0,eq_c1/2))+(PI()*(s_0+5*s_r+IF(circ_int,eq_c1/2,0))/2))+2*IF(circ_int,0,eq_c2/2))+(PI()*(s_0+5*s_r+IF(circ_int,eq_c1/2,0))/2)),-IF(circ_int,0,eq_c2/2)+(s_0+5*s_r+IF(circ_int,eq_c1/2,0))*SIN(PI()+(((17+0.5)*(4*IF(circ_int,0,eq_c1/2)+4*IF(circ_int,0,eq_c2/2)+2*PI()*(s_0+5*s_r+IF(circ_int,eq_c1/2,0)))/INDEX(lk_legs,6))-(((((2*IF(circ_int,0,eq_c2/2))+(PI()*(s_0+5*s_r+IF(circ_int,eq_c1/2,0))/2))+2*IF(circ_int,0,eq_c1/2))+(PI()*(s_0+5*s_r+IF(circ_int,eq_c1/2,0))/2))+2*IF(circ_int,0,eq_c2/2)))/(s_0+5*s_r+IF(circ_int,eq_c1/2,0))),IF(((17+0.5)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(17+0.5)*(4*IF(circ_int,0,eq_c1/2)+4*IF(circ_int,0,eq_c2/2)+2*PI()*(s_0+5*s_r+IF(circ_int,eq_c1/2,0)))/INDEX(lk_legs,6))-(((((((2*IF(circ_int,0,eq_c2/2))+(PI()*(s_0+5*s_r+IF(circ_int,eq_c1/2,0))/2))+2*IF(circ_int,0,eq_c1/2))+(PI()*(s_0+5*s_r+IF(circ_int,eq_c1/2,0))/2))+2*IF(circ_int,0,eq_c2/2))+(PI()*(s_0+5*s_r+IF(circ_int,eq_c1/2,0))/2))+2*IF(circ_int,0,eq_c1/2)))/(s_0+5*s_r+IF(circ_int,eq_c1/2,0)))))))))),NA())</f>
        <v/>
      </c>
      <c r="CG20">
        <f>IF(AND(links_on,7&lt;=n_per),IF(circ_int,(g_ox)+(c_1/2+(s_0+6*s_r))*-0.464723,CHOOSE(INDEX(lk_kind,7),(g_ox-eq_c1/2)+((s_0+6*s_r))*-0.500000,(eq_a1+eq_c1)+((s_0+6*s_r))*0.923880,eq_a1+eq_c1+(s_0+6*s_r),(eq_a1+eq_c1)+((s_0+6*s_r))*0.382683)),NA())</f>
        <v/>
      </c>
      <c r="CH20">
        <f>IF(AND(links_on,7&lt;=n_per),IF(circ_int,(g_oy)+(c_1/2+(s_0+6*s_r))*0.885456,CHOOSE(INDEX(lk_kind,7),(g_oy+eq_c2/2)+((s_0+6*s_r))*0.866025,(g_oy-eq_c2/2)+((s_0+6*s_r))*-0.382683,0,(eq_a2+eq_c2)+((s_0+6*s_r))*0.923880)),NA())</f>
        <v/>
      </c>
      <c r="CJ20">
        <f>IF(AND(AND(links_on,7&lt;=n_per),INDEX(lk_kind,7)=1,17&lt;INDEX(lk_legs,7)),g_ox+IF(((17+0.5)*(4*IF(circ_int,0,eq_c1/2)+4*IF(circ_int,0,eq_c2/2)+2*PI()*(s_0+6*s_r+IF(circ_int,eq_c1/2,0)))/INDEX(lk_legs,7))&lt;(2*IF(circ_int,0,eq_c2/2)),IF(circ_int,0,eq_c1/2)+(s_0+6*s_r+IF(circ_int,eq_c1/2,0)),IF(((17+0.5)*(4*IF(circ_int,0,eq_c1/2)+4*IF(circ_int,0,eq_c2/2)+2*PI()*(s_0+6*s_r+IF(circ_int,eq_c1/2,0)))/INDEX(lk_legs,7))&lt;((2*IF(circ_int,0,eq_c2/2))+(PI()*(s_0+6*s_r+IF(circ_int,eq_c1/2,0))/2)),IF(circ_int,0,eq_c1/2)+(s_0+6*s_r+IF(circ_int,eq_c1/2,0))*COS((((17+0.5)*(4*IF(circ_int,0,eq_c1/2)+4*IF(circ_int,0,eq_c2/2)+2*PI()*(s_0+6*s_r+IF(circ_int,eq_c1/2,0)))/INDEX(lk_legs,7))-(2*IF(circ_int,0,eq_c2/2)))/(s_0+6*s_r+IF(circ_int,eq_c1/2,0))),IF(((17+0.5)*(4*IF(circ_int,0,eq_c1/2)+4*IF(circ_int,0,eq_c2/2)+2*PI()*(s_0+6*s_r+IF(circ_int,eq_c1/2,0)))/INDEX(lk_legs,7))&lt;(((2*IF(circ_int,0,eq_c2/2))+(PI()*(s_0+6*s_r+IF(circ_int,eq_c1/2,0))/2))+2*IF(circ_int,0,eq_c1/2)),IF(circ_int,0,eq_c1/2)-(((17+0.5)*(4*IF(circ_int,0,eq_c1/2)+4*IF(circ_int,0,eq_c2/2)+2*PI()*(s_0+6*s_r+IF(circ_int,eq_c1/2,0)))/INDEX(lk_legs,7))-((2*IF(circ_int,0,eq_c2/2))+(PI()*(s_0+6*s_r+IF(circ_int,eq_c1/2,0))/2))),IF(((17+0.5)*(4*IF(circ_int,0,eq_c1/2)+4*IF(circ_int,0,eq_c2/2)+2*PI()*(s_0+6*s_r+IF(circ_int,eq_c1/2,0)))/INDEX(lk_legs,7))&lt;((((2*IF(circ_int,0,eq_c2/2))+(PI()*(s_0+6*s_r+IF(circ_int,eq_c1/2,0))/2))+2*IF(circ_int,0,eq_c1/2))+(PI()*(s_0+6*s_r+IF(circ_int,eq_c1/2,0))/2)),-IF(circ_int,0,eq_c1/2)+(s_0+6*s_r+IF(circ_int,eq_c1/2,0))*COS(PI()/2+(((17+0.5)*(4*IF(circ_int,0,eq_c1/2)+4*IF(circ_int,0,eq_c2/2)+2*PI()*(s_0+6*s_r+IF(circ_int,eq_c1/2,0)))/INDEX(lk_legs,7))-(((2*IF(circ_int,0,eq_c2/2))+(PI()*(s_0+6*s_r+IF(circ_int,eq_c1/2,0))/2))+2*IF(circ_int,0,eq_c1/2)))/(s_0+6*s_r+IF(circ_int,eq_c1/2,0))),IF(((17+0.5)*(4*IF(circ_int,0,eq_c1/2)+4*IF(circ_int,0,eq_c2/2)+2*PI()*(s_0+6*s_r+IF(circ_int,eq_c1/2,0)))/INDEX(lk_legs,7))&lt;(((((2*IF(circ_int,0,eq_c2/2))+(PI()*(s_0+6*s_r+IF(circ_int,eq_c1/2,0))/2))+2*IF(circ_int,0,eq_c1/2))+(PI()*(s_0+6*s_r+IF(circ_int,eq_c1/2,0))/2))+2*IF(circ_int,0,eq_c2/2)),-IF(circ_int,0,eq_c1/2)-(s_0+6*s_r+IF(circ_int,eq_c1/2,0)),IF(((17+0.5)*(4*IF(circ_int,0,eq_c1/2)+4*IF(circ_int,0,eq_c2/2)+2*PI()*(s_0+6*s_r+IF(circ_int,eq_c1/2,0)))/INDEX(lk_legs,7))&lt;((((((2*IF(circ_int,0,eq_c2/2))+(PI()*(s_0+6*s_r+IF(circ_int,eq_c1/2,0))/2))+2*IF(circ_int,0,eq_c1/2))+(PI()*(s_0+6*s_r+IF(circ_int,eq_c1/2,0))/2))+2*IF(circ_int,0,eq_c2/2))+(PI()*(s_0+6*s_r+IF(circ_int,eq_c1/2,0))/2)),-IF(circ_int,0,eq_c1/2)+(s_0+6*s_r+IF(circ_int,eq_c1/2,0))*COS(PI()+(((17+0.5)*(4*IF(circ_int,0,eq_c1/2)+4*IF(circ_int,0,eq_c2/2)+2*PI()*(s_0+6*s_r+IF(circ_int,eq_c1/2,0)))/INDEX(lk_legs,7))-(((((2*IF(circ_int,0,eq_c2/2))+(PI()*(s_0+6*s_r+IF(circ_int,eq_c1/2,0))/2))+2*IF(circ_int,0,eq_c1/2))+(PI()*(s_0+6*s_r+IF(circ_int,eq_c1/2,0))/2))+2*IF(circ_int,0,eq_c2/2)))/(s_0+6*s_r+IF(circ_int,eq_c1/2,0))),IF(((17+0.5)*(4*IF(circ_int,0,eq_c1/2)+4*IF(circ_int,0,eq_c2/2)+2*PI()*(s_0+6*s_r+IF(circ_int,eq_c1/2,0)))/INDEX(lk_legs,7))&lt;(((((((2*IF(circ_int,0,eq_c2/2))+(PI()*(s_0+6*s_r+IF(circ_int,eq_c1/2,0))/2))+2*IF(circ_int,0,eq_c1/2))+(PI()*(s_0+6*s_r+IF(circ_int,eq_c1/2,0))/2))+2*IF(circ_int,0,eq_c2/2))+(PI()*(s_0+6*s_r+IF(circ_int,eq_c1/2,0))/2))+2*IF(circ_int,0,eq_c1/2)),-IF(circ_int,0,eq_c1/2)+(((17+0.5)*(4*IF(circ_int,0,eq_c1/2)+4*IF(circ_int,0,eq_c2/2)+2*PI()*(s_0+6*s_r+IF(circ_int,eq_c1/2,0)))/INDEX(lk_legs,7))-((((((2*IF(circ_int,0,eq_c2/2))+(PI()*(s_0+6*s_r+IF(circ_int,eq_c1/2,0))/2))+2*IF(circ_int,0,eq_c1/2))+(PI()*(s_0+6*s_r+IF(circ_int,eq_c1/2,0))/2))+2*IF(circ_int,0,eq_c2/2))+(PI()*(s_0+6*s_r+IF(circ_int,eq_c1/2,0))/2))),IF(circ_int,0,eq_c1/2)+(s_0+6*s_r+IF(circ_int,eq_c1/2,0))*COS(3*PI()/2+(((17+0.5)*(4*IF(circ_int,0,eq_c1/2)+4*IF(circ_int,0,eq_c2/2)+2*PI()*(s_0+6*s_r+IF(circ_int,eq_c1/2,0)))/INDEX(lk_legs,7))-(((((((2*IF(circ_int,0,eq_c2/2))+(PI()*(s_0+6*s_r+IF(circ_int,eq_c1/2,0))/2))+2*IF(circ_int,0,eq_c1/2))+(PI()*(s_0+6*s_r+IF(circ_int,eq_c1/2,0))/2))+2*IF(circ_int,0,eq_c2/2))+(PI()*(s_0+6*s_r+IF(circ_int,eq_c1/2,0))/2))+2*IF(circ_int,0,eq_c1/2)))/(s_0+6*s_r+IF(circ_int,eq_c1/2,0)))))))))),NA())</f>
        <v/>
      </c>
      <c r="CK20">
        <f>IF(AND(AND(links_on,7&lt;=n_per),INDEX(lk_kind,7)=1,17&lt;INDEX(lk_legs,7)),g_oy+IF(((17+0.5)*(4*IF(circ_int,0,eq_c1/2)+4*IF(circ_int,0,eq_c2/2)+2*PI()*(s_0+6*s_r+IF(circ_int,eq_c1/2,0)))/INDEX(lk_legs,7))&lt;(2*IF(circ_int,0,eq_c2/2)),-IF(circ_int,0,eq_c2/2)+((17+0.5)*(4*IF(circ_int,0,eq_c1/2)+4*IF(circ_int,0,eq_c2/2)+2*PI()*(s_0+6*s_r+IF(circ_int,eq_c1/2,0)))/INDEX(lk_legs,7)),IF(((17+0.5)*(4*IF(circ_int,0,eq_c1/2)+4*IF(circ_int,0,eq_c2/2)+2*PI()*(s_0+6*s_r+IF(circ_int,eq_c1/2,0)))/INDEX(lk_legs,7))&lt;((2*IF(circ_int,0,eq_c2/2))+(PI()*(s_0+6*s_r+IF(circ_int,eq_c1/2,0))/2)),IF(circ_int,0,eq_c2/2)+(s_0+6*s_r+IF(circ_int,eq_c1/2,0))*SIN((((17+0.5)*(4*IF(circ_int,0,eq_c1/2)+4*IF(circ_int,0,eq_c2/2)+2*PI()*(s_0+6*s_r+IF(circ_int,eq_c1/2,0)))/INDEX(lk_legs,7))-(2*IF(circ_int,0,eq_c2/2)))/(s_0+6*s_r+IF(circ_int,eq_c1/2,0))),IF(((17+0.5)*(4*IF(circ_int,0,eq_c1/2)+4*IF(circ_int,0,eq_c2/2)+2*PI()*(s_0+6*s_r+IF(circ_int,eq_c1/2,0)))/INDEX(lk_legs,7))&lt;(((2*IF(circ_int,0,eq_c2/2))+(PI()*(s_0+6*s_r+IF(circ_int,eq_c1/2,0))/2))+2*IF(circ_int,0,eq_c1/2)),IF(circ_int,0,eq_c2/2)+(s_0+6*s_r+IF(circ_int,eq_c1/2,0)),IF(((17+0.5)*(4*IF(circ_int,0,eq_c1/2)+4*IF(circ_int,0,eq_c2/2)+2*PI()*(s_0+6*s_r+IF(circ_int,eq_c1/2,0)))/INDEX(lk_legs,7))&lt;((((2*IF(circ_int,0,eq_c2/2))+(PI()*(s_0+6*s_r+IF(circ_int,eq_c1/2,0))/2))+2*IF(circ_int,0,eq_c1/2))+(PI()*(s_0+6*s_r+IF(circ_int,eq_c1/2,0))/2)),IF(circ_int,0,eq_c2/2)+(s_0+6*s_r+IF(circ_int,eq_c1/2,0))*SIN(PI()/2+(((17+0.5)*(4*IF(circ_int,0,eq_c1/2)+4*IF(circ_int,0,eq_c2/2)+2*PI()*(s_0+6*s_r+IF(circ_int,eq_c1/2,0)))/INDEX(lk_legs,7))-(((2*IF(circ_int,0,eq_c2/2))+(PI()*(s_0+6*s_r+IF(circ_int,eq_c1/2,0))/2))+2*IF(circ_int,0,eq_c1/2)))/(s_0+6*s_r+IF(circ_int,eq_c1/2,0))),IF(((17+0.5)*(4*IF(circ_int,0,eq_c1/2)+4*IF(circ_int,0,eq_c2/2)+2*PI()*(s_0+6*s_r+IF(circ_int,eq_c1/2,0)))/INDEX(lk_legs,7))&lt;(((((2*IF(circ_int,0,eq_c2/2))+(PI()*(s_0+6*s_r+IF(circ_int,eq_c1/2,0))/2))+2*IF(circ_int,0,eq_c1/2))+(PI()*(s_0+6*s_r+IF(circ_int,eq_c1/2,0))/2))+2*IF(circ_int,0,eq_c2/2)),IF(circ_int,0,eq_c2/2)-(((17+0.5)*(4*IF(circ_int,0,eq_c1/2)+4*IF(circ_int,0,eq_c2/2)+2*PI()*(s_0+6*s_r+IF(circ_int,eq_c1/2,0)))/INDEX(lk_legs,7))-((((2*IF(circ_int,0,eq_c2/2))+(PI()*(s_0+6*s_r+IF(circ_int,eq_c1/2,0))/2))+2*IF(circ_int,0,eq_c1/2))+(PI()*(s_0+6*s_r+IF(circ_int,eq_c1/2,0))/2))),IF(((17+0.5)*(4*IF(circ_int,0,eq_c1/2)+4*IF(circ_int,0,eq_c2/2)+2*PI()*(s_0+6*s_r+IF(circ_int,eq_c1/2,0)))/INDEX(lk_legs,7))&lt;((((((2*IF(circ_int,0,eq_c2/2))+(PI()*(s_0+6*s_r+IF(circ_int,eq_c1/2,0))/2))+2*IF(circ_int,0,eq_c1/2))+(PI()*(s_0+6*s_r+IF(circ_int,eq_c1/2,0))/2))+2*IF(circ_int,0,eq_c2/2))+(PI()*(s_0+6*s_r+IF(circ_int,eq_c1/2,0))/2)),-IF(circ_int,0,eq_c2/2)+(s_0+6*s_r+IF(circ_int,eq_c1/2,0))*SIN(PI()+(((17+0.5)*(4*IF(circ_int,0,eq_c1/2)+4*IF(circ_int,0,eq_c2/2)+2*PI()*(s_0+6*s_r+IF(circ_int,eq_c1/2,0)))/INDEX(lk_legs,7))-(((((2*IF(circ_int,0,eq_c2/2))+(PI()*(s_0+6*s_r+IF(circ_int,eq_c1/2,0))/2))+2*IF(circ_int,0,eq_c1/2))+(PI()*(s_0+6*s_r+IF(circ_int,eq_c1/2,0))/2))+2*IF(circ_int,0,eq_c2/2)))/(s_0+6*s_r+IF(circ_int,eq_c1/2,0))),IF(((17+0.5)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(17+0.5)*(4*IF(circ_int,0,eq_c1/2)+4*IF(circ_int,0,eq_c2/2)+2*PI()*(s_0+6*s_r+IF(circ_int,eq_c1/2,0)))/INDEX(lk_legs,7))-(((((((2*IF(circ_int,0,eq_c2/2))+(PI()*(s_0+6*s_r+IF(circ_int,eq_c1/2,0))/2))+2*IF(circ_int,0,eq_c1/2))+(PI()*(s_0+6*s_r+IF(circ_int,eq_c1/2,0))/2))+2*IF(circ_int,0,eq_c2/2))+(PI()*(s_0+6*s_r+IF(circ_int,eq_c1/2,0))/2))+2*IF(circ_int,0,eq_c1/2)))/(s_0+6*s_r+IF(circ_int,eq_c1/2,0)))))))))),NA())</f>
        <v/>
      </c>
      <c r="CM20">
        <f>IF(AND(links_on,8&lt;=n_per),IF(circ_int,(g_ox)+(c_1/2+(s_0+7*s_r))*-0.464723,CHOOSE(INDEX(lk_kind,8),(g_ox-eq_c1/2)+((s_0+7*s_r))*-0.500000,(eq_a1+eq_c1)+((s_0+7*s_r))*0.923880,eq_a1+eq_c1+(s_0+7*s_r),(eq_a1+eq_c1)+((s_0+7*s_r))*0.382683)),NA())</f>
        <v/>
      </c>
      <c r="CN20">
        <f>IF(AND(links_on,8&lt;=n_per),IF(circ_int,(g_oy)+(c_1/2+(s_0+7*s_r))*0.885456,CHOOSE(INDEX(lk_kind,8),(g_oy+eq_c2/2)+((s_0+7*s_r))*0.866025,(g_oy-eq_c2/2)+((s_0+7*s_r))*-0.382683,0,(eq_a2+eq_c2)+((s_0+7*s_r))*0.923880)),NA())</f>
        <v/>
      </c>
      <c r="CP20">
        <f>IF(AND(AND(links_on,8&lt;=n_per),INDEX(lk_kind,8)=1,17&lt;INDEX(lk_legs,8)),g_ox+IF(((17+0.5)*(4*IF(circ_int,0,eq_c1/2)+4*IF(circ_int,0,eq_c2/2)+2*PI()*(s_0+7*s_r+IF(circ_int,eq_c1/2,0)))/INDEX(lk_legs,8))&lt;(2*IF(circ_int,0,eq_c2/2)),IF(circ_int,0,eq_c1/2)+(s_0+7*s_r+IF(circ_int,eq_c1/2,0)),IF(((17+0.5)*(4*IF(circ_int,0,eq_c1/2)+4*IF(circ_int,0,eq_c2/2)+2*PI()*(s_0+7*s_r+IF(circ_int,eq_c1/2,0)))/INDEX(lk_legs,8))&lt;((2*IF(circ_int,0,eq_c2/2))+(PI()*(s_0+7*s_r+IF(circ_int,eq_c1/2,0))/2)),IF(circ_int,0,eq_c1/2)+(s_0+7*s_r+IF(circ_int,eq_c1/2,0))*COS((((17+0.5)*(4*IF(circ_int,0,eq_c1/2)+4*IF(circ_int,0,eq_c2/2)+2*PI()*(s_0+7*s_r+IF(circ_int,eq_c1/2,0)))/INDEX(lk_legs,8))-(2*IF(circ_int,0,eq_c2/2)))/(s_0+7*s_r+IF(circ_int,eq_c1/2,0))),IF(((17+0.5)*(4*IF(circ_int,0,eq_c1/2)+4*IF(circ_int,0,eq_c2/2)+2*PI()*(s_0+7*s_r+IF(circ_int,eq_c1/2,0)))/INDEX(lk_legs,8))&lt;(((2*IF(circ_int,0,eq_c2/2))+(PI()*(s_0+7*s_r+IF(circ_int,eq_c1/2,0))/2))+2*IF(circ_int,0,eq_c1/2)),IF(circ_int,0,eq_c1/2)-(((17+0.5)*(4*IF(circ_int,0,eq_c1/2)+4*IF(circ_int,0,eq_c2/2)+2*PI()*(s_0+7*s_r+IF(circ_int,eq_c1/2,0)))/INDEX(lk_legs,8))-((2*IF(circ_int,0,eq_c2/2))+(PI()*(s_0+7*s_r+IF(circ_int,eq_c1/2,0))/2))),IF(((17+0.5)*(4*IF(circ_int,0,eq_c1/2)+4*IF(circ_int,0,eq_c2/2)+2*PI()*(s_0+7*s_r+IF(circ_int,eq_c1/2,0)))/INDEX(lk_legs,8))&lt;((((2*IF(circ_int,0,eq_c2/2))+(PI()*(s_0+7*s_r+IF(circ_int,eq_c1/2,0))/2))+2*IF(circ_int,0,eq_c1/2))+(PI()*(s_0+7*s_r+IF(circ_int,eq_c1/2,0))/2)),-IF(circ_int,0,eq_c1/2)+(s_0+7*s_r+IF(circ_int,eq_c1/2,0))*COS(PI()/2+(((17+0.5)*(4*IF(circ_int,0,eq_c1/2)+4*IF(circ_int,0,eq_c2/2)+2*PI()*(s_0+7*s_r+IF(circ_int,eq_c1/2,0)))/INDEX(lk_legs,8))-(((2*IF(circ_int,0,eq_c2/2))+(PI()*(s_0+7*s_r+IF(circ_int,eq_c1/2,0))/2))+2*IF(circ_int,0,eq_c1/2)))/(s_0+7*s_r+IF(circ_int,eq_c1/2,0))),IF(((17+0.5)*(4*IF(circ_int,0,eq_c1/2)+4*IF(circ_int,0,eq_c2/2)+2*PI()*(s_0+7*s_r+IF(circ_int,eq_c1/2,0)))/INDEX(lk_legs,8))&lt;(((((2*IF(circ_int,0,eq_c2/2))+(PI()*(s_0+7*s_r+IF(circ_int,eq_c1/2,0))/2))+2*IF(circ_int,0,eq_c1/2))+(PI()*(s_0+7*s_r+IF(circ_int,eq_c1/2,0))/2))+2*IF(circ_int,0,eq_c2/2)),-IF(circ_int,0,eq_c1/2)-(s_0+7*s_r+IF(circ_int,eq_c1/2,0)),IF(((17+0.5)*(4*IF(circ_int,0,eq_c1/2)+4*IF(circ_int,0,eq_c2/2)+2*PI()*(s_0+7*s_r+IF(circ_int,eq_c1/2,0)))/INDEX(lk_legs,8))&lt;((((((2*IF(circ_int,0,eq_c2/2))+(PI()*(s_0+7*s_r+IF(circ_int,eq_c1/2,0))/2))+2*IF(circ_int,0,eq_c1/2))+(PI()*(s_0+7*s_r+IF(circ_int,eq_c1/2,0))/2))+2*IF(circ_int,0,eq_c2/2))+(PI()*(s_0+7*s_r+IF(circ_int,eq_c1/2,0))/2)),-IF(circ_int,0,eq_c1/2)+(s_0+7*s_r+IF(circ_int,eq_c1/2,0))*COS(PI()+(((17+0.5)*(4*IF(circ_int,0,eq_c1/2)+4*IF(circ_int,0,eq_c2/2)+2*PI()*(s_0+7*s_r+IF(circ_int,eq_c1/2,0)))/INDEX(lk_legs,8))-(((((2*IF(circ_int,0,eq_c2/2))+(PI()*(s_0+7*s_r+IF(circ_int,eq_c1/2,0))/2))+2*IF(circ_int,0,eq_c1/2))+(PI()*(s_0+7*s_r+IF(circ_int,eq_c1/2,0))/2))+2*IF(circ_int,0,eq_c2/2)))/(s_0+7*s_r+IF(circ_int,eq_c1/2,0))),IF(((17+0.5)*(4*IF(circ_int,0,eq_c1/2)+4*IF(circ_int,0,eq_c2/2)+2*PI()*(s_0+7*s_r+IF(circ_int,eq_c1/2,0)))/INDEX(lk_legs,8))&lt;(((((((2*IF(circ_int,0,eq_c2/2))+(PI()*(s_0+7*s_r+IF(circ_int,eq_c1/2,0))/2))+2*IF(circ_int,0,eq_c1/2))+(PI()*(s_0+7*s_r+IF(circ_int,eq_c1/2,0))/2))+2*IF(circ_int,0,eq_c2/2))+(PI()*(s_0+7*s_r+IF(circ_int,eq_c1/2,0))/2))+2*IF(circ_int,0,eq_c1/2)),-IF(circ_int,0,eq_c1/2)+(((17+0.5)*(4*IF(circ_int,0,eq_c1/2)+4*IF(circ_int,0,eq_c2/2)+2*PI()*(s_0+7*s_r+IF(circ_int,eq_c1/2,0)))/INDEX(lk_legs,8))-((((((2*IF(circ_int,0,eq_c2/2))+(PI()*(s_0+7*s_r+IF(circ_int,eq_c1/2,0))/2))+2*IF(circ_int,0,eq_c1/2))+(PI()*(s_0+7*s_r+IF(circ_int,eq_c1/2,0))/2))+2*IF(circ_int,0,eq_c2/2))+(PI()*(s_0+7*s_r+IF(circ_int,eq_c1/2,0))/2))),IF(circ_int,0,eq_c1/2)+(s_0+7*s_r+IF(circ_int,eq_c1/2,0))*COS(3*PI()/2+(((17+0.5)*(4*IF(circ_int,0,eq_c1/2)+4*IF(circ_int,0,eq_c2/2)+2*PI()*(s_0+7*s_r+IF(circ_int,eq_c1/2,0)))/INDEX(lk_legs,8))-(((((((2*IF(circ_int,0,eq_c2/2))+(PI()*(s_0+7*s_r+IF(circ_int,eq_c1/2,0))/2))+2*IF(circ_int,0,eq_c1/2))+(PI()*(s_0+7*s_r+IF(circ_int,eq_c1/2,0))/2))+2*IF(circ_int,0,eq_c2/2))+(PI()*(s_0+7*s_r+IF(circ_int,eq_c1/2,0))/2))+2*IF(circ_int,0,eq_c1/2)))/(s_0+7*s_r+IF(circ_int,eq_c1/2,0)))))))))),NA())</f>
        <v/>
      </c>
      <c r="CQ20">
        <f>IF(AND(AND(links_on,8&lt;=n_per),INDEX(lk_kind,8)=1,17&lt;INDEX(lk_legs,8)),g_oy+IF(((17+0.5)*(4*IF(circ_int,0,eq_c1/2)+4*IF(circ_int,0,eq_c2/2)+2*PI()*(s_0+7*s_r+IF(circ_int,eq_c1/2,0)))/INDEX(lk_legs,8))&lt;(2*IF(circ_int,0,eq_c2/2)),-IF(circ_int,0,eq_c2/2)+((17+0.5)*(4*IF(circ_int,0,eq_c1/2)+4*IF(circ_int,0,eq_c2/2)+2*PI()*(s_0+7*s_r+IF(circ_int,eq_c1/2,0)))/INDEX(lk_legs,8)),IF(((17+0.5)*(4*IF(circ_int,0,eq_c1/2)+4*IF(circ_int,0,eq_c2/2)+2*PI()*(s_0+7*s_r+IF(circ_int,eq_c1/2,0)))/INDEX(lk_legs,8))&lt;((2*IF(circ_int,0,eq_c2/2))+(PI()*(s_0+7*s_r+IF(circ_int,eq_c1/2,0))/2)),IF(circ_int,0,eq_c2/2)+(s_0+7*s_r+IF(circ_int,eq_c1/2,0))*SIN((((17+0.5)*(4*IF(circ_int,0,eq_c1/2)+4*IF(circ_int,0,eq_c2/2)+2*PI()*(s_0+7*s_r+IF(circ_int,eq_c1/2,0)))/INDEX(lk_legs,8))-(2*IF(circ_int,0,eq_c2/2)))/(s_0+7*s_r+IF(circ_int,eq_c1/2,0))),IF(((17+0.5)*(4*IF(circ_int,0,eq_c1/2)+4*IF(circ_int,0,eq_c2/2)+2*PI()*(s_0+7*s_r+IF(circ_int,eq_c1/2,0)))/INDEX(lk_legs,8))&lt;(((2*IF(circ_int,0,eq_c2/2))+(PI()*(s_0+7*s_r+IF(circ_int,eq_c1/2,0))/2))+2*IF(circ_int,0,eq_c1/2)),IF(circ_int,0,eq_c2/2)+(s_0+7*s_r+IF(circ_int,eq_c1/2,0)),IF(((17+0.5)*(4*IF(circ_int,0,eq_c1/2)+4*IF(circ_int,0,eq_c2/2)+2*PI()*(s_0+7*s_r+IF(circ_int,eq_c1/2,0)))/INDEX(lk_legs,8))&lt;((((2*IF(circ_int,0,eq_c2/2))+(PI()*(s_0+7*s_r+IF(circ_int,eq_c1/2,0))/2))+2*IF(circ_int,0,eq_c1/2))+(PI()*(s_0+7*s_r+IF(circ_int,eq_c1/2,0))/2)),IF(circ_int,0,eq_c2/2)+(s_0+7*s_r+IF(circ_int,eq_c1/2,0))*SIN(PI()/2+(((17+0.5)*(4*IF(circ_int,0,eq_c1/2)+4*IF(circ_int,0,eq_c2/2)+2*PI()*(s_0+7*s_r+IF(circ_int,eq_c1/2,0)))/INDEX(lk_legs,8))-(((2*IF(circ_int,0,eq_c2/2))+(PI()*(s_0+7*s_r+IF(circ_int,eq_c1/2,0))/2))+2*IF(circ_int,0,eq_c1/2)))/(s_0+7*s_r+IF(circ_int,eq_c1/2,0))),IF(((17+0.5)*(4*IF(circ_int,0,eq_c1/2)+4*IF(circ_int,0,eq_c2/2)+2*PI()*(s_0+7*s_r+IF(circ_int,eq_c1/2,0)))/INDEX(lk_legs,8))&lt;(((((2*IF(circ_int,0,eq_c2/2))+(PI()*(s_0+7*s_r+IF(circ_int,eq_c1/2,0))/2))+2*IF(circ_int,0,eq_c1/2))+(PI()*(s_0+7*s_r+IF(circ_int,eq_c1/2,0))/2))+2*IF(circ_int,0,eq_c2/2)),IF(circ_int,0,eq_c2/2)-(((17+0.5)*(4*IF(circ_int,0,eq_c1/2)+4*IF(circ_int,0,eq_c2/2)+2*PI()*(s_0+7*s_r+IF(circ_int,eq_c1/2,0)))/INDEX(lk_legs,8))-((((2*IF(circ_int,0,eq_c2/2))+(PI()*(s_0+7*s_r+IF(circ_int,eq_c1/2,0))/2))+2*IF(circ_int,0,eq_c1/2))+(PI()*(s_0+7*s_r+IF(circ_int,eq_c1/2,0))/2))),IF(((17+0.5)*(4*IF(circ_int,0,eq_c1/2)+4*IF(circ_int,0,eq_c2/2)+2*PI()*(s_0+7*s_r+IF(circ_int,eq_c1/2,0)))/INDEX(lk_legs,8))&lt;((((((2*IF(circ_int,0,eq_c2/2))+(PI()*(s_0+7*s_r+IF(circ_int,eq_c1/2,0))/2))+2*IF(circ_int,0,eq_c1/2))+(PI()*(s_0+7*s_r+IF(circ_int,eq_c1/2,0))/2))+2*IF(circ_int,0,eq_c2/2))+(PI()*(s_0+7*s_r+IF(circ_int,eq_c1/2,0))/2)),-IF(circ_int,0,eq_c2/2)+(s_0+7*s_r+IF(circ_int,eq_c1/2,0))*SIN(PI()+(((17+0.5)*(4*IF(circ_int,0,eq_c1/2)+4*IF(circ_int,0,eq_c2/2)+2*PI()*(s_0+7*s_r+IF(circ_int,eq_c1/2,0)))/INDEX(lk_legs,8))-(((((2*IF(circ_int,0,eq_c2/2))+(PI()*(s_0+7*s_r+IF(circ_int,eq_c1/2,0))/2))+2*IF(circ_int,0,eq_c1/2))+(PI()*(s_0+7*s_r+IF(circ_int,eq_c1/2,0))/2))+2*IF(circ_int,0,eq_c2/2)))/(s_0+7*s_r+IF(circ_int,eq_c1/2,0))),IF(((17+0.5)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(17+0.5)*(4*IF(circ_int,0,eq_c1/2)+4*IF(circ_int,0,eq_c2/2)+2*PI()*(s_0+7*s_r+IF(circ_int,eq_c1/2,0)))/INDEX(lk_legs,8))-(((((((2*IF(circ_int,0,eq_c2/2))+(PI()*(s_0+7*s_r+IF(circ_int,eq_c1/2,0))/2))+2*IF(circ_int,0,eq_c1/2))+(PI()*(s_0+7*s_r+IF(circ_int,eq_c1/2,0))/2))+2*IF(circ_int,0,eq_c2/2))+(PI()*(s_0+7*s_r+IF(circ_int,eq_c1/2,0))/2))+2*IF(circ_int,0,eq_c1/2)))/(s_0+7*s_r+IF(circ_int,eq_c1/2,0)))))))))),NA())</f>
        <v/>
      </c>
      <c r="CS20">
        <f>IF(AND(links_on,9&lt;=n_per),IF(circ_int,(g_ox)+(c_1/2+(s_0+8*s_r))*-0.464723,CHOOSE(INDEX(lk_kind,9),(g_ox-eq_c1/2)+((s_0+8*s_r))*-0.500000,(eq_a1+eq_c1)+((s_0+8*s_r))*0.923880,eq_a1+eq_c1+(s_0+8*s_r),(eq_a1+eq_c1)+((s_0+8*s_r))*0.382683)),NA())</f>
        <v/>
      </c>
      <c r="CT20">
        <f>IF(AND(links_on,9&lt;=n_per),IF(circ_int,(g_oy)+(c_1/2+(s_0+8*s_r))*0.885456,CHOOSE(INDEX(lk_kind,9),(g_oy+eq_c2/2)+((s_0+8*s_r))*0.866025,(g_oy-eq_c2/2)+((s_0+8*s_r))*-0.382683,0,(eq_a2+eq_c2)+((s_0+8*s_r))*0.923880)),NA())</f>
        <v/>
      </c>
      <c r="CV20">
        <f>IF(AND(AND(links_on,9&lt;=n_per),INDEX(lk_kind,9)=1,17&lt;INDEX(lk_legs,9)),g_ox+IF(((17+0.5)*(4*IF(circ_int,0,eq_c1/2)+4*IF(circ_int,0,eq_c2/2)+2*PI()*(s_0+8*s_r+IF(circ_int,eq_c1/2,0)))/INDEX(lk_legs,9))&lt;(2*IF(circ_int,0,eq_c2/2)),IF(circ_int,0,eq_c1/2)+(s_0+8*s_r+IF(circ_int,eq_c1/2,0)),IF(((17+0.5)*(4*IF(circ_int,0,eq_c1/2)+4*IF(circ_int,0,eq_c2/2)+2*PI()*(s_0+8*s_r+IF(circ_int,eq_c1/2,0)))/INDEX(lk_legs,9))&lt;((2*IF(circ_int,0,eq_c2/2))+(PI()*(s_0+8*s_r+IF(circ_int,eq_c1/2,0))/2)),IF(circ_int,0,eq_c1/2)+(s_0+8*s_r+IF(circ_int,eq_c1/2,0))*COS((((17+0.5)*(4*IF(circ_int,0,eq_c1/2)+4*IF(circ_int,0,eq_c2/2)+2*PI()*(s_0+8*s_r+IF(circ_int,eq_c1/2,0)))/INDEX(lk_legs,9))-(2*IF(circ_int,0,eq_c2/2)))/(s_0+8*s_r+IF(circ_int,eq_c1/2,0))),IF(((17+0.5)*(4*IF(circ_int,0,eq_c1/2)+4*IF(circ_int,0,eq_c2/2)+2*PI()*(s_0+8*s_r+IF(circ_int,eq_c1/2,0)))/INDEX(lk_legs,9))&lt;(((2*IF(circ_int,0,eq_c2/2))+(PI()*(s_0+8*s_r+IF(circ_int,eq_c1/2,0))/2))+2*IF(circ_int,0,eq_c1/2)),IF(circ_int,0,eq_c1/2)-(((17+0.5)*(4*IF(circ_int,0,eq_c1/2)+4*IF(circ_int,0,eq_c2/2)+2*PI()*(s_0+8*s_r+IF(circ_int,eq_c1/2,0)))/INDEX(lk_legs,9))-((2*IF(circ_int,0,eq_c2/2))+(PI()*(s_0+8*s_r+IF(circ_int,eq_c1/2,0))/2))),IF(((17+0.5)*(4*IF(circ_int,0,eq_c1/2)+4*IF(circ_int,0,eq_c2/2)+2*PI()*(s_0+8*s_r+IF(circ_int,eq_c1/2,0)))/INDEX(lk_legs,9))&lt;((((2*IF(circ_int,0,eq_c2/2))+(PI()*(s_0+8*s_r+IF(circ_int,eq_c1/2,0))/2))+2*IF(circ_int,0,eq_c1/2))+(PI()*(s_0+8*s_r+IF(circ_int,eq_c1/2,0))/2)),-IF(circ_int,0,eq_c1/2)+(s_0+8*s_r+IF(circ_int,eq_c1/2,0))*COS(PI()/2+(((17+0.5)*(4*IF(circ_int,0,eq_c1/2)+4*IF(circ_int,0,eq_c2/2)+2*PI()*(s_0+8*s_r+IF(circ_int,eq_c1/2,0)))/INDEX(lk_legs,9))-(((2*IF(circ_int,0,eq_c2/2))+(PI()*(s_0+8*s_r+IF(circ_int,eq_c1/2,0))/2))+2*IF(circ_int,0,eq_c1/2)))/(s_0+8*s_r+IF(circ_int,eq_c1/2,0))),IF(((17+0.5)*(4*IF(circ_int,0,eq_c1/2)+4*IF(circ_int,0,eq_c2/2)+2*PI()*(s_0+8*s_r+IF(circ_int,eq_c1/2,0)))/INDEX(lk_legs,9))&lt;(((((2*IF(circ_int,0,eq_c2/2))+(PI()*(s_0+8*s_r+IF(circ_int,eq_c1/2,0))/2))+2*IF(circ_int,0,eq_c1/2))+(PI()*(s_0+8*s_r+IF(circ_int,eq_c1/2,0))/2))+2*IF(circ_int,0,eq_c2/2)),-IF(circ_int,0,eq_c1/2)-(s_0+8*s_r+IF(circ_int,eq_c1/2,0)),IF(((17+0.5)*(4*IF(circ_int,0,eq_c1/2)+4*IF(circ_int,0,eq_c2/2)+2*PI()*(s_0+8*s_r+IF(circ_int,eq_c1/2,0)))/INDEX(lk_legs,9))&lt;((((((2*IF(circ_int,0,eq_c2/2))+(PI()*(s_0+8*s_r+IF(circ_int,eq_c1/2,0))/2))+2*IF(circ_int,0,eq_c1/2))+(PI()*(s_0+8*s_r+IF(circ_int,eq_c1/2,0))/2))+2*IF(circ_int,0,eq_c2/2))+(PI()*(s_0+8*s_r+IF(circ_int,eq_c1/2,0))/2)),-IF(circ_int,0,eq_c1/2)+(s_0+8*s_r+IF(circ_int,eq_c1/2,0))*COS(PI()+(((17+0.5)*(4*IF(circ_int,0,eq_c1/2)+4*IF(circ_int,0,eq_c2/2)+2*PI()*(s_0+8*s_r+IF(circ_int,eq_c1/2,0)))/INDEX(lk_legs,9))-(((((2*IF(circ_int,0,eq_c2/2))+(PI()*(s_0+8*s_r+IF(circ_int,eq_c1/2,0))/2))+2*IF(circ_int,0,eq_c1/2))+(PI()*(s_0+8*s_r+IF(circ_int,eq_c1/2,0))/2))+2*IF(circ_int,0,eq_c2/2)))/(s_0+8*s_r+IF(circ_int,eq_c1/2,0))),IF(((17+0.5)*(4*IF(circ_int,0,eq_c1/2)+4*IF(circ_int,0,eq_c2/2)+2*PI()*(s_0+8*s_r+IF(circ_int,eq_c1/2,0)))/INDEX(lk_legs,9))&lt;(((((((2*IF(circ_int,0,eq_c2/2))+(PI()*(s_0+8*s_r+IF(circ_int,eq_c1/2,0))/2))+2*IF(circ_int,0,eq_c1/2))+(PI()*(s_0+8*s_r+IF(circ_int,eq_c1/2,0))/2))+2*IF(circ_int,0,eq_c2/2))+(PI()*(s_0+8*s_r+IF(circ_int,eq_c1/2,0))/2))+2*IF(circ_int,0,eq_c1/2)),-IF(circ_int,0,eq_c1/2)+(((17+0.5)*(4*IF(circ_int,0,eq_c1/2)+4*IF(circ_int,0,eq_c2/2)+2*PI()*(s_0+8*s_r+IF(circ_int,eq_c1/2,0)))/INDEX(lk_legs,9))-((((((2*IF(circ_int,0,eq_c2/2))+(PI()*(s_0+8*s_r+IF(circ_int,eq_c1/2,0))/2))+2*IF(circ_int,0,eq_c1/2))+(PI()*(s_0+8*s_r+IF(circ_int,eq_c1/2,0))/2))+2*IF(circ_int,0,eq_c2/2))+(PI()*(s_0+8*s_r+IF(circ_int,eq_c1/2,0))/2))),IF(circ_int,0,eq_c1/2)+(s_0+8*s_r+IF(circ_int,eq_c1/2,0))*COS(3*PI()/2+(((17+0.5)*(4*IF(circ_int,0,eq_c1/2)+4*IF(circ_int,0,eq_c2/2)+2*PI()*(s_0+8*s_r+IF(circ_int,eq_c1/2,0)))/INDEX(lk_legs,9))-(((((((2*IF(circ_int,0,eq_c2/2))+(PI()*(s_0+8*s_r+IF(circ_int,eq_c1/2,0))/2))+2*IF(circ_int,0,eq_c1/2))+(PI()*(s_0+8*s_r+IF(circ_int,eq_c1/2,0))/2))+2*IF(circ_int,0,eq_c2/2))+(PI()*(s_0+8*s_r+IF(circ_int,eq_c1/2,0))/2))+2*IF(circ_int,0,eq_c1/2)))/(s_0+8*s_r+IF(circ_int,eq_c1/2,0)))))))))),NA())</f>
        <v/>
      </c>
      <c r="CW20">
        <f>IF(AND(AND(links_on,9&lt;=n_per),INDEX(lk_kind,9)=1,17&lt;INDEX(lk_legs,9)),g_oy+IF(((17+0.5)*(4*IF(circ_int,0,eq_c1/2)+4*IF(circ_int,0,eq_c2/2)+2*PI()*(s_0+8*s_r+IF(circ_int,eq_c1/2,0)))/INDEX(lk_legs,9))&lt;(2*IF(circ_int,0,eq_c2/2)),-IF(circ_int,0,eq_c2/2)+((17+0.5)*(4*IF(circ_int,0,eq_c1/2)+4*IF(circ_int,0,eq_c2/2)+2*PI()*(s_0+8*s_r+IF(circ_int,eq_c1/2,0)))/INDEX(lk_legs,9)),IF(((17+0.5)*(4*IF(circ_int,0,eq_c1/2)+4*IF(circ_int,0,eq_c2/2)+2*PI()*(s_0+8*s_r+IF(circ_int,eq_c1/2,0)))/INDEX(lk_legs,9))&lt;((2*IF(circ_int,0,eq_c2/2))+(PI()*(s_0+8*s_r+IF(circ_int,eq_c1/2,0))/2)),IF(circ_int,0,eq_c2/2)+(s_0+8*s_r+IF(circ_int,eq_c1/2,0))*SIN((((17+0.5)*(4*IF(circ_int,0,eq_c1/2)+4*IF(circ_int,0,eq_c2/2)+2*PI()*(s_0+8*s_r+IF(circ_int,eq_c1/2,0)))/INDEX(lk_legs,9))-(2*IF(circ_int,0,eq_c2/2)))/(s_0+8*s_r+IF(circ_int,eq_c1/2,0))),IF(((17+0.5)*(4*IF(circ_int,0,eq_c1/2)+4*IF(circ_int,0,eq_c2/2)+2*PI()*(s_0+8*s_r+IF(circ_int,eq_c1/2,0)))/INDEX(lk_legs,9))&lt;(((2*IF(circ_int,0,eq_c2/2))+(PI()*(s_0+8*s_r+IF(circ_int,eq_c1/2,0))/2))+2*IF(circ_int,0,eq_c1/2)),IF(circ_int,0,eq_c2/2)+(s_0+8*s_r+IF(circ_int,eq_c1/2,0)),IF(((17+0.5)*(4*IF(circ_int,0,eq_c1/2)+4*IF(circ_int,0,eq_c2/2)+2*PI()*(s_0+8*s_r+IF(circ_int,eq_c1/2,0)))/INDEX(lk_legs,9))&lt;((((2*IF(circ_int,0,eq_c2/2))+(PI()*(s_0+8*s_r+IF(circ_int,eq_c1/2,0))/2))+2*IF(circ_int,0,eq_c1/2))+(PI()*(s_0+8*s_r+IF(circ_int,eq_c1/2,0))/2)),IF(circ_int,0,eq_c2/2)+(s_0+8*s_r+IF(circ_int,eq_c1/2,0))*SIN(PI()/2+(((17+0.5)*(4*IF(circ_int,0,eq_c1/2)+4*IF(circ_int,0,eq_c2/2)+2*PI()*(s_0+8*s_r+IF(circ_int,eq_c1/2,0)))/INDEX(lk_legs,9))-(((2*IF(circ_int,0,eq_c2/2))+(PI()*(s_0+8*s_r+IF(circ_int,eq_c1/2,0))/2))+2*IF(circ_int,0,eq_c1/2)))/(s_0+8*s_r+IF(circ_int,eq_c1/2,0))),IF(((17+0.5)*(4*IF(circ_int,0,eq_c1/2)+4*IF(circ_int,0,eq_c2/2)+2*PI()*(s_0+8*s_r+IF(circ_int,eq_c1/2,0)))/INDEX(lk_legs,9))&lt;(((((2*IF(circ_int,0,eq_c2/2))+(PI()*(s_0+8*s_r+IF(circ_int,eq_c1/2,0))/2))+2*IF(circ_int,0,eq_c1/2))+(PI()*(s_0+8*s_r+IF(circ_int,eq_c1/2,0))/2))+2*IF(circ_int,0,eq_c2/2)),IF(circ_int,0,eq_c2/2)-(((17+0.5)*(4*IF(circ_int,0,eq_c1/2)+4*IF(circ_int,0,eq_c2/2)+2*PI()*(s_0+8*s_r+IF(circ_int,eq_c1/2,0)))/INDEX(lk_legs,9))-((((2*IF(circ_int,0,eq_c2/2))+(PI()*(s_0+8*s_r+IF(circ_int,eq_c1/2,0))/2))+2*IF(circ_int,0,eq_c1/2))+(PI()*(s_0+8*s_r+IF(circ_int,eq_c1/2,0))/2))),IF(((17+0.5)*(4*IF(circ_int,0,eq_c1/2)+4*IF(circ_int,0,eq_c2/2)+2*PI()*(s_0+8*s_r+IF(circ_int,eq_c1/2,0)))/INDEX(lk_legs,9))&lt;((((((2*IF(circ_int,0,eq_c2/2))+(PI()*(s_0+8*s_r+IF(circ_int,eq_c1/2,0))/2))+2*IF(circ_int,0,eq_c1/2))+(PI()*(s_0+8*s_r+IF(circ_int,eq_c1/2,0))/2))+2*IF(circ_int,0,eq_c2/2))+(PI()*(s_0+8*s_r+IF(circ_int,eq_c1/2,0))/2)),-IF(circ_int,0,eq_c2/2)+(s_0+8*s_r+IF(circ_int,eq_c1/2,0))*SIN(PI()+(((17+0.5)*(4*IF(circ_int,0,eq_c1/2)+4*IF(circ_int,0,eq_c2/2)+2*PI()*(s_0+8*s_r+IF(circ_int,eq_c1/2,0)))/INDEX(lk_legs,9))-(((((2*IF(circ_int,0,eq_c2/2))+(PI()*(s_0+8*s_r+IF(circ_int,eq_c1/2,0))/2))+2*IF(circ_int,0,eq_c1/2))+(PI()*(s_0+8*s_r+IF(circ_int,eq_c1/2,0))/2))+2*IF(circ_int,0,eq_c2/2)))/(s_0+8*s_r+IF(circ_int,eq_c1/2,0))),IF(((17+0.5)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(17+0.5)*(4*IF(circ_int,0,eq_c1/2)+4*IF(circ_int,0,eq_c2/2)+2*PI()*(s_0+8*s_r+IF(circ_int,eq_c1/2,0)))/INDEX(lk_legs,9))-(((((((2*IF(circ_int,0,eq_c2/2))+(PI()*(s_0+8*s_r+IF(circ_int,eq_c1/2,0))/2))+2*IF(circ_int,0,eq_c1/2))+(PI()*(s_0+8*s_r+IF(circ_int,eq_c1/2,0))/2))+2*IF(circ_int,0,eq_c2/2))+(PI()*(s_0+8*s_r+IF(circ_int,eq_c1/2,0))/2))+2*IF(circ_int,0,eq_c1/2)))/(s_0+8*s_r+IF(circ_int,eq_c1/2,0)))))))))),NA())</f>
        <v/>
      </c>
      <c r="CY20">
        <f>IF(AND(links_on,10&lt;=n_per),IF(circ_int,(g_ox)+(c_1/2+(s_0+9*s_r))*-0.464723,CHOOSE(INDEX(lk_kind,10),(g_ox-eq_c1/2)+((s_0+9*s_r))*-0.500000,(eq_a1+eq_c1)+((s_0+9*s_r))*0.923880,eq_a1+eq_c1+(s_0+9*s_r),(eq_a1+eq_c1)+((s_0+9*s_r))*0.382683)),NA())</f>
        <v/>
      </c>
      <c r="CZ20">
        <f>IF(AND(links_on,10&lt;=n_per),IF(circ_int,(g_oy)+(c_1/2+(s_0+9*s_r))*0.885456,CHOOSE(INDEX(lk_kind,10),(g_oy+eq_c2/2)+((s_0+9*s_r))*0.866025,(g_oy-eq_c2/2)+((s_0+9*s_r))*-0.382683,0,(eq_a2+eq_c2)+((s_0+9*s_r))*0.923880)),NA())</f>
        <v/>
      </c>
      <c r="DB20">
        <f>IF(AND(AND(links_on,10&lt;=n_per),INDEX(lk_kind,10)=1,17&lt;INDEX(lk_legs,10)),g_ox+IF(((17+0.5)*(4*IF(circ_int,0,eq_c1/2)+4*IF(circ_int,0,eq_c2/2)+2*PI()*(s_0+9*s_r+IF(circ_int,eq_c1/2,0)))/INDEX(lk_legs,10))&lt;(2*IF(circ_int,0,eq_c2/2)),IF(circ_int,0,eq_c1/2)+(s_0+9*s_r+IF(circ_int,eq_c1/2,0)),IF(((17+0.5)*(4*IF(circ_int,0,eq_c1/2)+4*IF(circ_int,0,eq_c2/2)+2*PI()*(s_0+9*s_r+IF(circ_int,eq_c1/2,0)))/INDEX(lk_legs,10))&lt;((2*IF(circ_int,0,eq_c2/2))+(PI()*(s_0+9*s_r+IF(circ_int,eq_c1/2,0))/2)),IF(circ_int,0,eq_c1/2)+(s_0+9*s_r+IF(circ_int,eq_c1/2,0))*COS((((17+0.5)*(4*IF(circ_int,0,eq_c1/2)+4*IF(circ_int,0,eq_c2/2)+2*PI()*(s_0+9*s_r+IF(circ_int,eq_c1/2,0)))/INDEX(lk_legs,10))-(2*IF(circ_int,0,eq_c2/2)))/(s_0+9*s_r+IF(circ_int,eq_c1/2,0))),IF(((17+0.5)*(4*IF(circ_int,0,eq_c1/2)+4*IF(circ_int,0,eq_c2/2)+2*PI()*(s_0+9*s_r+IF(circ_int,eq_c1/2,0)))/INDEX(lk_legs,10))&lt;(((2*IF(circ_int,0,eq_c2/2))+(PI()*(s_0+9*s_r+IF(circ_int,eq_c1/2,0))/2))+2*IF(circ_int,0,eq_c1/2)),IF(circ_int,0,eq_c1/2)-(((17+0.5)*(4*IF(circ_int,0,eq_c1/2)+4*IF(circ_int,0,eq_c2/2)+2*PI()*(s_0+9*s_r+IF(circ_int,eq_c1/2,0)))/INDEX(lk_legs,10))-((2*IF(circ_int,0,eq_c2/2))+(PI()*(s_0+9*s_r+IF(circ_int,eq_c1/2,0))/2))),IF(((17+0.5)*(4*IF(circ_int,0,eq_c1/2)+4*IF(circ_int,0,eq_c2/2)+2*PI()*(s_0+9*s_r+IF(circ_int,eq_c1/2,0)))/INDEX(lk_legs,10))&lt;((((2*IF(circ_int,0,eq_c2/2))+(PI()*(s_0+9*s_r+IF(circ_int,eq_c1/2,0))/2))+2*IF(circ_int,0,eq_c1/2))+(PI()*(s_0+9*s_r+IF(circ_int,eq_c1/2,0))/2)),-IF(circ_int,0,eq_c1/2)+(s_0+9*s_r+IF(circ_int,eq_c1/2,0))*COS(PI()/2+(((17+0.5)*(4*IF(circ_int,0,eq_c1/2)+4*IF(circ_int,0,eq_c2/2)+2*PI()*(s_0+9*s_r+IF(circ_int,eq_c1/2,0)))/INDEX(lk_legs,10))-(((2*IF(circ_int,0,eq_c2/2))+(PI()*(s_0+9*s_r+IF(circ_int,eq_c1/2,0))/2))+2*IF(circ_int,0,eq_c1/2)))/(s_0+9*s_r+IF(circ_int,eq_c1/2,0))),IF(((17+0.5)*(4*IF(circ_int,0,eq_c1/2)+4*IF(circ_int,0,eq_c2/2)+2*PI()*(s_0+9*s_r+IF(circ_int,eq_c1/2,0)))/INDEX(lk_legs,10))&lt;(((((2*IF(circ_int,0,eq_c2/2))+(PI()*(s_0+9*s_r+IF(circ_int,eq_c1/2,0))/2))+2*IF(circ_int,0,eq_c1/2))+(PI()*(s_0+9*s_r+IF(circ_int,eq_c1/2,0))/2))+2*IF(circ_int,0,eq_c2/2)),-IF(circ_int,0,eq_c1/2)-(s_0+9*s_r+IF(circ_int,eq_c1/2,0)),IF(((17+0.5)*(4*IF(circ_int,0,eq_c1/2)+4*IF(circ_int,0,eq_c2/2)+2*PI()*(s_0+9*s_r+IF(circ_int,eq_c1/2,0)))/INDEX(lk_legs,10))&lt;((((((2*IF(circ_int,0,eq_c2/2))+(PI()*(s_0+9*s_r+IF(circ_int,eq_c1/2,0))/2))+2*IF(circ_int,0,eq_c1/2))+(PI()*(s_0+9*s_r+IF(circ_int,eq_c1/2,0))/2))+2*IF(circ_int,0,eq_c2/2))+(PI()*(s_0+9*s_r+IF(circ_int,eq_c1/2,0))/2)),-IF(circ_int,0,eq_c1/2)+(s_0+9*s_r+IF(circ_int,eq_c1/2,0))*COS(PI()+(((17+0.5)*(4*IF(circ_int,0,eq_c1/2)+4*IF(circ_int,0,eq_c2/2)+2*PI()*(s_0+9*s_r+IF(circ_int,eq_c1/2,0)))/INDEX(lk_legs,10))-(((((2*IF(circ_int,0,eq_c2/2))+(PI()*(s_0+9*s_r+IF(circ_int,eq_c1/2,0))/2))+2*IF(circ_int,0,eq_c1/2))+(PI()*(s_0+9*s_r+IF(circ_int,eq_c1/2,0))/2))+2*IF(circ_int,0,eq_c2/2)))/(s_0+9*s_r+IF(circ_int,eq_c1/2,0))),IF(((17+0.5)*(4*IF(circ_int,0,eq_c1/2)+4*IF(circ_int,0,eq_c2/2)+2*PI()*(s_0+9*s_r+IF(circ_int,eq_c1/2,0)))/INDEX(lk_legs,10))&lt;(((((((2*IF(circ_int,0,eq_c2/2))+(PI()*(s_0+9*s_r+IF(circ_int,eq_c1/2,0))/2))+2*IF(circ_int,0,eq_c1/2))+(PI()*(s_0+9*s_r+IF(circ_int,eq_c1/2,0))/2))+2*IF(circ_int,0,eq_c2/2))+(PI()*(s_0+9*s_r+IF(circ_int,eq_c1/2,0))/2))+2*IF(circ_int,0,eq_c1/2)),-IF(circ_int,0,eq_c1/2)+(((17+0.5)*(4*IF(circ_int,0,eq_c1/2)+4*IF(circ_int,0,eq_c2/2)+2*PI()*(s_0+9*s_r+IF(circ_int,eq_c1/2,0)))/INDEX(lk_legs,10))-((((((2*IF(circ_int,0,eq_c2/2))+(PI()*(s_0+9*s_r+IF(circ_int,eq_c1/2,0))/2))+2*IF(circ_int,0,eq_c1/2))+(PI()*(s_0+9*s_r+IF(circ_int,eq_c1/2,0))/2))+2*IF(circ_int,0,eq_c2/2))+(PI()*(s_0+9*s_r+IF(circ_int,eq_c1/2,0))/2))),IF(circ_int,0,eq_c1/2)+(s_0+9*s_r+IF(circ_int,eq_c1/2,0))*COS(3*PI()/2+(((17+0.5)*(4*IF(circ_int,0,eq_c1/2)+4*IF(circ_int,0,eq_c2/2)+2*PI()*(s_0+9*s_r+IF(circ_int,eq_c1/2,0)))/INDEX(lk_legs,10))-(((((((2*IF(circ_int,0,eq_c2/2))+(PI()*(s_0+9*s_r+IF(circ_int,eq_c1/2,0))/2))+2*IF(circ_int,0,eq_c1/2))+(PI()*(s_0+9*s_r+IF(circ_int,eq_c1/2,0))/2))+2*IF(circ_int,0,eq_c2/2))+(PI()*(s_0+9*s_r+IF(circ_int,eq_c1/2,0))/2))+2*IF(circ_int,0,eq_c1/2)))/(s_0+9*s_r+IF(circ_int,eq_c1/2,0)))))))))),NA())</f>
        <v/>
      </c>
      <c r="DC20">
        <f>IF(AND(AND(links_on,10&lt;=n_per),INDEX(lk_kind,10)=1,17&lt;INDEX(lk_legs,10)),g_oy+IF(((17+0.5)*(4*IF(circ_int,0,eq_c1/2)+4*IF(circ_int,0,eq_c2/2)+2*PI()*(s_0+9*s_r+IF(circ_int,eq_c1/2,0)))/INDEX(lk_legs,10))&lt;(2*IF(circ_int,0,eq_c2/2)),-IF(circ_int,0,eq_c2/2)+((17+0.5)*(4*IF(circ_int,0,eq_c1/2)+4*IF(circ_int,0,eq_c2/2)+2*PI()*(s_0+9*s_r+IF(circ_int,eq_c1/2,0)))/INDEX(lk_legs,10)),IF(((17+0.5)*(4*IF(circ_int,0,eq_c1/2)+4*IF(circ_int,0,eq_c2/2)+2*PI()*(s_0+9*s_r+IF(circ_int,eq_c1/2,0)))/INDEX(lk_legs,10))&lt;((2*IF(circ_int,0,eq_c2/2))+(PI()*(s_0+9*s_r+IF(circ_int,eq_c1/2,0))/2)),IF(circ_int,0,eq_c2/2)+(s_0+9*s_r+IF(circ_int,eq_c1/2,0))*SIN((((17+0.5)*(4*IF(circ_int,0,eq_c1/2)+4*IF(circ_int,0,eq_c2/2)+2*PI()*(s_0+9*s_r+IF(circ_int,eq_c1/2,0)))/INDEX(lk_legs,10))-(2*IF(circ_int,0,eq_c2/2)))/(s_0+9*s_r+IF(circ_int,eq_c1/2,0))),IF(((17+0.5)*(4*IF(circ_int,0,eq_c1/2)+4*IF(circ_int,0,eq_c2/2)+2*PI()*(s_0+9*s_r+IF(circ_int,eq_c1/2,0)))/INDEX(lk_legs,10))&lt;(((2*IF(circ_int,0,eq_c2/2))+(PI()*(s_0+9*s_r+IF(circ_int,eq_c1/2,0))/2))+2*IF(circ_int,0,eq_c1/2)),IF(circ_int,0,eq_c2/2)+(s_0+9*s_r+IF(circ_int,eq_c1/2,0)),IF(((17+0.5)*(4*IF(circ_int,0,eq_c1/2)+4*IF(circ_int,0,eq_c2/2)+2*PI()*(s_0+9*s_r+IF(circ_int,eq_c1/2,0)))/INDEX(lk_legs,10))&lt;((((2*IF(circ_int,0,eq_c2/2))+(PI()*(s_0+9*s_r+IF(circ_int,eq_c1/2,0))/2))+2*IF(circ_int,0,eq_c1/2))+(PI()*(s_0+9*s_r+IF(circ_int,eq_c1/2,0))/2)),IF(circ_int,0,eq_c2/2)+(s_0+9*s_r+IF(circ_int,eq_c1/2,0))*SIN(PI()/2+(((17+0.5)*(4*IF(circ_int,0,eq_c1/2)+4*IF(circ_int,0,eq_c2/2)+2*PI()*(s_0+9*s_r+IF(circ_int,eq_c1/2,0)))/INDEX(lk_legs,10))-(((2*IF(circ_int,0,eq_c2/2))+(PI()*(s_0+9*s_r+IF(circ_int,eq_c1/2,0))/2))+2*IF(circ_int,0,eq_c1/2)))/(s_0+9*s_r+IF(circ_int,eq_c1/2,0))),IF(((17+0.5)*(4*IF(circ_int,0,eq_c1/2)+4*IF(circ_int,0,eq_c2/2)+2*PI()*(s_0+9*s_r+IF(circ_int,eq_c1/2,0)))/INDEX(lk_legs,10))&lt;(((((2*IF(circ_int,0,eq_c2/2))+(PI()*(s_0+9*s_r+IF(circ_int,eq_c1/2,0))/2))+2*IF(circ_int,0,eq_c1/2))+(PI()*(s_0+9*s_r+IF(circ_int,eq_c1/2,0))/2))+2*IF(circ_int,0,eq_c2/2)),IF(circ_int,0,eq_c2/2)-(((17+0.5)*(4*IF(circ_int,0,eq_c1/2)+4*IF(circ_int,0,eq_c2/2)+2*PI()*(s_0+9*s_r+IF(circ_int,eq_c1/2,0)))/INDEX(lk_legs,10))-((((2*IF(circ_int,0,eq_c2/2))+(PI()*(s_0+9*s_r+IF(circ_int,eq_c1/2,0))/2))+2*IF(circ_int,0,eq_c1/2))+(PI()*(s_0+9*s_r+IF(circ_int,eq_c1/2,0))/2))),IF(((17+0.5)*(4*IF(circ_int,0,eq_c1/2)+4*IF(circ_int,0,eq_c2/2)+2*PI()*(s_0+9*s_r+IF(circ_int,eq_c1/2,0)))/INDEX(lk_legs,10))&lt;((((((2*IF(circ_int,0,eq_c2/2))+(PI()*(s_0+9*s_r+IF(circ_int,eq_c1/2,0))/2))+2*IF(circ_int,0,eq_c1/2))+(PI()*(s_0+9*s_r+IF(circ_int,eq_c1/2,0))/2))+2*IF(circ_int,0,eq_c2/2))+(PI()*(s_0+9*s_r+IF(circ_int,eq_c1/2,0))/2)),-IF(circ_int,0,eq_c2/2)+(s_0+9*s_r+IF(circ_int,eq_c1/2,0))*SIN(PI()+(((17+0.5)*(4*IF(circ_int,0,eq_c1/2)+4*IF(circ_int,0,eq_c2/2)+2*PI()*(s_0+9*s_r+IF(circ_int,eq_c1/2,0)))/INDEX(lk_legs,10))-(((((2*IF(circ_int,0,eq_c2/2))+(PI()*(s_0+9*s_r+IF(circ_int,eq_c1/2,0))/2))+2*IF(circ_int,0,eq_c1/2))+(PI()*(s_0+9*s_r+IF(circ_int,eq_c1/2,0))/2))+2*IF(circ_int,0,eq_c2/2)))/(s_0+9*s_r+IF(circ_int,eq_c1/2,0))),IF(((17+0.5)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(17+0.5)*(4*IF(circ_int,0,eq_c1/2)+4*IF(circ_int,0,eq_c2/2)+2*PI()*(s_0+9*s_r+IF(circ_int,eq_c1/2,0)))/INDEX(lk_legs,10))-(((((((2*IF(circ_int,0,eq_c2/2))+(PI()*(s_0+9*s_r+IF(circ_int,eq_c1/2,0))/2))+2*IF(circ_int,0,eq_c1/2))+(PI()*(s_0+9*s_r+IF(circ_int,eq_c1/2,0))/2))+2*IF(circ_int,0,eq_c2/2))+(PI()*(s_0+9*s_r+IF(circ_int,eq_c1/2,0))/2))+2*IF(circ_int,0,eq_c1/2)))/(s_0+9*s_r+IF(circ_int,eq_c1/2,0)))))))))),NA())</f>
        <v/>
      </c>
      <c r="DE20">
        <f>IF(AND(links_on,11&lt;=n_per),IF(circ_int,(g_ox)+(c_1/2+(s_0+10*s_r))*-0.464723,CHOOSE(INDEX(lk_kind,11),(g_ox-eq_c1/2)+((s_0+10*s_r))*-0.500000,(eq_a1+eq_c1)+((s_0+10*s_r))*0.923880,eq_a1+eq_c1+(s_0+10*s_r),(eq_a1+eq_c1)+((s_0+10*s_r))*0.382683)),NA())</f>
        <v/>
      </c>
      <c r="DF20">
        <f>IF(AND(links_on,11&lt;=n_per),IF(circ_int,(g_oy)+(c_1/2+(s_0+10*s_r))*0.885456,CHOOSE(INDEX(lk_kind,11),(g_oy+eq_c2/2)+((s_0+10*s_r))*0.866025,(g_oy-eq_c2/2)+((s_0+10*s_r))*-0.382683,0,(eq_a2+eq_c2)+((s_0+10*s_r))*0.923880)),NA())</f>
        <v/>
      </c>
      <c r="DH20">
        <f>IF(AND(AND(links_on,11&lt;=n_per),INDEX(lk_kind,11)=1,17&lt;INDEX(lk_legs,11)),g_ox+IF(((17+0.5)*(4*IF(circ_int,0,eq_c1/2)+4*IF(circ_int,0,eq_c2/2)+2*PI()*(s_0+10*s_r+IF(circ_int,eq_c1/2,0)))/INDEX(lk_legs,11))&lt;(2*IF(circ_int,0,eq_c2/2)),IF(circ_int,0,eq_c1/2)+(s_0+10*s_r+IF(circ_int,eq_c1/2,0)),IF(((17+0.5)*(4*IF(circ_int,0,eq_c1/2)+4*IF(circ_int,0,eq_c2/2)+2*PI()*(s_0+10*s_r+IF(circ_int,eq_c1/2,0)))/INDEX(lk_legs,11))&lt;((2*IF(circ_int,0,eq_c2/2))+(PI()*(s_0+10*s_r+IF(circ_int,eq_c1/2,0))/2)),IF(circ_int,0,eq_c1/2)+(s_0+10*s_r+IF(circ_int,eq_c1/2,0))*COS((((17+0.5)*(4*IF(circ_int,0,eq_c1/2)+4*IF(circ_int,0,eq_c2/2)+2*PI()*(s_0+10*s_r+IF(circ_int,eq_c1/2,0)))/INDEX(lk_legs,11))-(2*IF(circ_int,0,eq_c2/2)))/(s_0+10*s_r+IF(circ_int,eq_c1/2,0))),IF(((17+0.5)*(4*IF(circ_int,0,eq_c1/2)+4*IF(circ_int,0,eq_c2/2)+2*PI()*(s_0+10*s_r+IF(circ_int,eq_c1/2,0)))/INDEX(lk_legs,11))&lt;(((2*IF(circ_int,0,eq_c2/2))+(PI()*(s_0+10*s_r+IF(circ_int,eq_c1/2,0))/2))+2*IF(circ_int,0,eq_c1/2)),IF(circ_int,0,eq_c1/2)-(((17+0.5)*(4*IF(circ_int,0,eq_c1/2)+4*IF(circ_int,0,eq_c2/2)+2*PI()*(s_0+10*s_r+IF(circ_int,eq_c1/2,0)))/INDEX(lk_legs,11))-((2*IF(circ_int,0,eq_c2/2))+(PI()*(s_0+10*s_r+IF(circ_int,eq_c1/2,0))/2))),IF(((17+0.5)*(4*IF(circ_int,0,eq_c1/2)+4*IF(circ_int,0,eq_c2/2)+2*PI()*(s_0+10*s_r+IF(circ_int,eq_c1/2,0)))/INDEX(lk_legs,11))&lt;((((2*IF(circ_int,0,eq_c2/2))+(PI()*(s_0+10*s_r+IF(circ_int,eq_c1/2,0))/2))+2*IF(circ_int,0,eq_c1/2))+(PI()*(s_0+10*s_r+IF(circ_int,eq_c1/2,0))/2)),-IF(circ_int,0,eq_c1/2)+(s_0+10*s_r+IF(circ_int,eq_c1/2,0))*COS(PI()/2+(((17+0.5)*(4*IF(circ_int,0,eq_c1/2)+4*IF(circ_int,0,eq_c2/2)+2*PI()*(s_0+10*s_r+IF(circ_int,eq_c1/2,0)))/INDEX(lk_legs,11))-(((2*IF(circ_int,0,eq_c2/2))+(PI()*(s_0+10*s_r+IF(circ_int,eq_c1/2,0))/2))+2*IF(circ_int,0,eq_c1/2)))/(s_0+10*s_r+IF(circ_int,eq_c1/2,0))),IF(((17+0.5)*(4*IF(circ_int,0,eq_c1/2)+4*IF(circ_int,0,eq_c2/2)+2*PI()*(s_0+10*s_r+IF(circ_int,eq_c1/2,0)))/INDEX(lk_legs,11))&lt;(((((2*IF(circ_int,0,eq_c2/2))+(PI()*(s_0+10*s_r+IF(circ_int,eq_c1/2,0))/2))+2*IF(circ_int,0,eq_c1/2))+(PI()*(s_0+10*s_r+IF(circ_int,eq_c1/2,0))/2))+2*IF(circ_int,0,eq_c2/2)),-IF(circ_int,0,eq_c1/2)-(s_0+10*s_r+IF(circ_int,eq_c1/2,0)),IF(((17+0.5)*(4*IF(circ_int,0,eq_c1/2)+4*IF(circ_int,0,eq_c2/2)+2*PI()*(s_0+10*s_r+IF(circ_int,eq_c1/2,0)))/INDEX(lk_legs,11))&lt;((((((2*IF(circ_int,0,eq_c2/2))+(PI()*(s_0+10*s_r+IF(circ_int,eq_c1/2,0))/2))+2*IF(circ_int,0,eq_c1/2))+(PI()*(s_0+10*s_r+IF(circ_int,eq_c1/2,0))/2))+2*IF(circ_int,0,eq_c2/2))+(PI()*(s_0+10*s_r+IF(circ_int,eq_c1/2,0))/2)),-IF(circ_int,0,eq_c1/2)+(s_0+10*s_r+IF(circ_int,eq_c1/2,0))*COS(PI()+(((17+0.5)*(4*IF(circ_int,0,eq_c1/2)+4*IF(circ_int,0,eq_c2/2)+2*PI()*(s_0+10*s_r+IF(circ_int,eq_c1/2,0)))/INDEX(lk_legs,11))-(((((2*IF(circ_int,0,eq_c2/2))+(PI()*(s_0+10*s_r+IF(circ_int,eq_c1/2,0))/2))+2*IF(circ_int,0,eq_c1/2))+(PI()*(s_0+10*s_r+IF(circ_int,eq_c1/2,0))/2))+2*IF(circ_int,0,eq_c2/2)))/(s_0+10*s_r+IF(circ_int,eq_c1/2,0))),IF(((17+0.5)*(4*IF(circ_int,0,eq_c1/2)+4*IF(circ_int,0,eq_c2/2)+2*PI()*(s_0+10*s_r+IF(circ_int,eq_c1/2,0)))/INDEX(lk_legs,11))&lt;(((((((2*IF(circ_int,0,eq_c2/2))+(PI()*(s_0+10*s_r+IF(circ_int,eq_c1/2,0))/2))+2*IF(circ_int,0,eq_c1/2))+(PI()*(s_0+10*s_r+IF(circ_int,eq_c1/2,0))/2))+2*IF(circ_int,0,eq_c2/2))+(PI()*(s_0+10*s_r+IF(circ_int,eq_c1/2,0))/2))+2*IF(circ_int,0,eq_c1/2)),-IF(circ_int,0,eq_c1/2)+(((17+0.5)*(4*IF(circ_int,0,eq_c1/2)+4*IF(circ_int,0,eq_c2/2)+2*PI()*(s_0+10*s_r+IF(circ_int,eq_c1/2,0)))/INDEX(lk_legs,11))-((((((2*IF(circ_int,0,eq_c2/2))+(PI()*(s_0+10*s_r+IF(circ_int,eq_c1/2,0))/2))+2*IF(circ_int,0,eq_c1/2))+(PI()*(s_0+10*s_r+IF(circ_int,eq_c1/2,0))/2))+2*IF(circ_int,0,eq_c2/2))+(PI()*(s_0+10*s_r+IF(circ_int,eq_c1/2,0))/2))),IF(circ_int,0,eq_c1/2)+(s_0+10*s_r+IF(circ_int,eq_c1/2,0))*COS(3*PI()/2+(((17+0.5)*(4*IF(circ_int,0,eq_c1/2)+4*IF(circ_int,0,eq_c2/2)+2*PI()*(s_0+10*s_r+IF(circ_int,eq_c1/2,0)))/INDEX(lk_legs,11))-(((((((2*IF(circ_int,0,eq_c2/2))+(PI()*(s_0+10*s_r+IF(circ_int,eq_c1/2,0))/2))+2*IF(circ_int,0,eq_c1/2))+(PI()*(s_0+10*s_r+IF(circ_int,eq_c1/2,0))/2))+2*IF(circ_int,0,eq_c2/2))+(PI()*(s_0+10*s_r+IF(circ_int,eq_c1/2,0))/2))+2*IF(circ_int,0,eq_c1/2)))/(s_0+10*s_r+IF(circ_int,eq_c1/2,0)))))))))),NA())</f>
        <v/>
      </c>
      <c r="DI20">
        <f>IF(AND(AND(links_on,11&lt;=n_per),INDEX(lk_kind,11)=1,17&lt;INDEX(lk_legs,11)),g_oy+IF(((17+0.5)*(4*IF(circ_int,0,eq_c1/2)+4*IF(circ_int,0,eq_c2/2)+2*PI()*(s_0+10*s_r+IF(circ_int,eq_c1/2,0)))/INDEX(lk_legs,11))&lt;(2*IF(circ_int,0,eq_c2/2)),-IF(circ_int,0,eq_c2/2)+((17+0.5)*(4*IF(circ_int,0,eq_c1/2)+4*IF(circ_int,0,eq_c2/2)+2*PI()*(s_0+10*s_r+IF(circ_int,eq_c1/2,0)))/INDEX(lk_legs,11)),IF(((17+0.5)*(4*IF(circ_int,0,eq_c1/2)+4*IF(circ_int,0,eq_c2/2)+2*PI()*(s_0+10*s_r+IF(circ_int,eq_c1/2,0)))/INDEX(lk_legs,11))&lt;((2*IF(circ_int,0,eq_c2/2))+(PI()*(s_0+10*s_r+IF(circ_int,eq_c1/2,0))/2)),IF(circ_int,0,eq_c2/2)+(s_0+10*s_r+IF(circ_int,eq_c1/2,0))*SIN((((17+0.5)*(4*IF(circ_int,0,eq_c1/2)+4*IF(circ_int,0,eq_c2/2)+2*PI()*(s_0+10*s_r+IF(circ_int,eq_c1/2,0)))/INDEX(lk_legs,11))-(2*IF(circ_int,0,eq_c2/2)))/(s_0+10*s_r+IF(circ_int,eq_c1/2,0))),IF(((17+0.5)*(4*IF(circ_int,0,eq_c1/2)+4*IF(circ_int,0,eq_c2/2)+2*PI()*(s_0+10*s_r+IF(circ_int,eq_c1/2,0)))/INDEX(lk_legs,11))&lt;(((2*IF(circ_int,0,eq_c2/2))+(PI()*(s_0+10*s_r+IF(circ_int,eq_c1/2,0))/2))+2*IF(circ_int,0,eq_c1/2)),IF(circ_int,0,eq_c2/2)+(s_0+10*s_r+IF(circ_int,eq_c1/2,0)),IF(((17+0.5)*(4*IF(circ_int,0,eq_c1/2)+4*IF(circ_int,0,eq_c2/2)+2*PI()*(s_0+10*s_r+IF(circ_int,eq_c1/2,0)))/INDEX(lk_legs,11))&lt;((((2*IF(circ_int,0,eq_c2/2))+(PI()*(s_0+10*s_r+IF(circ_int,eq_c1/2,0))/2))+2*IF(circ_int,0,eq_c1/2))+(PI()*(s_0+10*s_r+IF(circ_int,eq_c1/2,0))/2)),IF(circ_int,0,eq_c2/2)+(s_0+10*s_r+IF(circ_int,eq_c1/2,0))*SIN(PI()/2+(((17+0.5)*(4*IF(circ_int,0,eq_c1/2)+4*IF(circ_int,0,eq_c2/2)+2*PI()*(s_0+10*s_r+IF(circ_int,eq_c1/2,0)))/INDEX(lk_legs,11))-(((2*IF(circ_int,0,eq_c2/2))+(PI()*(s_0+10*s_r+IF(circ_int,eq_c1/2,0))/2))+2*IF(circ_int,0,eq_c1/2)))/(s_0+10*s_r+IF(circ_int,eq_c1/2,0))),IF(((17+0.5)*(4*IF(circ_int,0,eq_c1/2)+4*IF(circ_int,0,eq_c2/2)+2*PI()*(s_0+10*s_r+IF(circ_int,eq_c1/2,0)))/INDEX(lk_legs,11))&lt;(((((2*IF(circ_int,0,eq_c2/2))+(PI()*(s_0+10*s_r+IF(circ_int,eq_c1/2,0))/2))+2*IF(circ_int,0,eq_c1/2))+(PI()*(s_0+10*s_r+IF(circ_int,eq_c1/2,0))/2))+2*IF(circ_int,0,eq_c2/2)),IF(circ_int,0,eq_c2/2)-(((17+0.5)*(4*IF(circ_int,0,eq_c1/2)+4*IF(circ_int,0,eq_c2/2)+2*PI()*(s_0+10*s_r+IF(circ_int,eq_c1/2,0)))/INDEX(lk_legs,11))-((((2*IF(circ_int,0,eq_c2/2))+(PI()*(s_0+10*s_r+IF(circ_int,eq_c1/2,0))/2))+2*IF(circ_int,0,eq_c1/2))+(PI()*(s_0+10*s_r+IF(circ_int,eq_c1/2,0))/2))),IF(((17+0.5)*(4*IF(circ_int,0,eq_c1/2)+4*IF(circ_int,0,eq_c2/2)+2*PI()*(s_0+10*s_r+IF(circ_int,eq_c1/2,0)))/INDEX(lk_legs,11))&lt;((((((2*IF(circ_int,0,eq_c2/2))+(PI()*(s_0+10*s_r+IF(circ_int,eq_c1/2,0))/2))+2*IF(circ_int,0,eq_c1/2))+(PI()*(s_0+10*s_r+IF(circ_int,eq_c1/2,0))/2))+2*IF(circ_int,0,eq_c2/2))+(PI()*(s_0+10*s_r+IF(circ_int,eq_c1/2,0))/2)),-IF(circ_int,0,eq_c2/2)+(s_0+10*s_r+IF(circ_int,eq_c1/2,0))*SIN(PI()+(((17+0.5)*(4*IF(circ_int,0,eq_c1/2)+4*IF(circ_int,0,eq_c2/2)+2*PI()*(s_0+10*s_r+IF(circ_int,eq_c1/2,0)))/INDEX(lk_legs,11))-(((((2*IF(circ_int,0,eq_c2/2))+(PI()*(s_0+10*s_r+IF(circ_int,eq_c1/2,0))/2))+2*IF(circ_int,0,eq_c1/2))+(PI()*(s_0+10*s_r+IF(circ_int,eq_c1/2,0))/2))+2*IF(circ_int,0,eq_c2/2)))/(s_0+10*s_r+IF(circ_int,eq_c1/2,0))),IF(((17+0.5)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(17+0.5)*(4*IF(circ_int,0,eq_c1/2)+4*IF(circ_int,0,eq_c2/2)+2*PI()*(s_0+10*s_r+IF(circ_int,eq_c1/2,0)))/INDEX(lk_legs,11))-(((((((2*IF(circ_int,0,eq_c2/2))+(PI()*(s_0+10*s_r+IF(circ_int,eq_c1/2,0))/2))+2*IF(circ_int,0,eq_c1/2))+(PI()*(s_0+10*s_r+IF(circ_int,eq_c1/2,0))/2))+2*IF(circ_int,0,eq_c2/2))+(PI()*(s_0+10*s_r+IF(circ_int,eq_c1/2,0))/2))+2*IF(circ_int,0,eq_c1/2)))/(s_0+10*s_r+IF(circ_int,eq_c1/2,0)))))))))),NA())</f>
        <v/>
      </c>
      <c r="DK20">
        <f>IF(AND(links_on,12&lt;=n_per),IF(circ_int,(g_ox)+(c_1/2+(s_0+11*s_r))*-0.464723,CHOOSE(INDEX(lk_kind,12),(g_ox-eq_c1/2)+((s_0+11*s_r))*-0.500000,(eq_a1+eq_c1)+((s_0+11*s_r))*0.923880,eq_a1+eq_c1+(s_0+11*s_r),(eq_a1+eq_c1)+((s_0+11*s_r))*0.382683)),NA())</f>
        <v/>
      </c>
      <c r="DL20">
        <f>IF(AND(links_on,12&lt;=n_per),IF(circ_int,(g_oy)+(c_1/2+(s_0+11*s_r))*0.885456,CHOOSE(INDEX(lk_kind,12),(g_oy+eq_c2/2)+((s_0+11*s_r))*0.866025,(g_oy-eq_c2/2)+((s_0+11*s_r))*-0.382683,0,(eq_a2+eq_c2)+((s_0+11*s_r))*0.923880)),NA())</f>
        <v/>
      </c>
      <c r="DN20">
        <f>IF(AND(AND(links_on,12&lt;=n_per),INDEX(lk_kind,12)=1,17&lt;INDEX(lk_legs,12)),g_ox+IF(((17+0.5)*(4*IF(circ_int,0,eq_c1/2)+4*IF(circ_int,0,eq_c2/2)+2*PI()*(s_0+11*s_r+IF(circ_int,eq_c1/2,0)))/INDEX(lk_legs,12))&lt;(2*IF(circ_int,0,eq_c2/2)),IF(circ_int,0,eq_c1/2)+(s_0+11*s_r+IF(circ_int,eq_c1/2,0)),IF(((17+0.5)*(4*IF(circ_int,0,eq_c1/2)+4*IF(circ_int,0,eq_c2/2)+2*PI()*(s_0+11*s_r+IF(circ_int,eq_c1/2,0)))/INDEX(lk_legs,12))&lt;((2*IF(circ_int,0,eq_c2/2))+(PI()*(s_0+11*s_r+IF(circ_int,eq_c1/2,0))/2)),IF(circ_int,0,eq_c1/2)+(s_0+11*s_r+IF(circ_int,eq_c1/2,0))*COS((((17+0.5)*(4*IF(circ_int,0,eq_c1/2)+4*IF(circ_int,0,eq_c2/2)+2*PI()*(s_0+11*s_r+IF(circ_int,eq_c1/2,0)))/INDEX(lk_legs,12))-(2*IF(circ_int,0,eq_c2/2)))/(s_0+11*s_r+IF(circ_int,eq_c1/2,0))),IF(((17+0.5)*(4*IF(circ_int,0,eq_c1/2)+4*IF(circ_int,0,eq_c2/2)+2*PI()*(s_0+11*s_r+IF(circ_int,eq_c1/2,0)))/INDEX(lk_legs,12))&lt;(((2*IF(circ_int,0,eq_c2/2))+(PI()*(s_0+11*s_r+IF(circ_int,eq_c1/2,0))/2))+2*IF(circ_int,0,eq_c1/2)),IF(circ_int,0,eq_c1/2)-(((17+0.5)*(4*IF(circ_int,0,eq_c1/2)+4*IF(circ_int,0,eq_c2/2)+2*PI()*(s_0+11*s_r+IF(circ_int,eq_c1/2,0)))/INDEX(lk_legs,12))-((2*IF(circ_int,0,eq_c2/2))+(PI()*(s_0+11*s_r+IF(circ_int,eq_c1/2,0))/2))),IF(((17+0.5)*(4*IF(circ_int,0,eq_c1/2)+4*IF(circ_int,0,eq_c2/2)+2*PI()*(s_0+11*s_r+IF(circ_int,eq_c1/2,0)))/INDEX(lk_legs,12))&lt;((((2*IF(circ_int,0,eq_c2/2))+(PI()*(s_0+11*s_r+IF(circ_int,eq_c1/2,0))/2))+2*IF(circ_int,0,eq_c1/2))+(PI()*(s_0+11*s_r+IF(circ_int,eq_c1/2,0))/2)),-IF(circ_int,0,eq_c1/2)+(s_0+11*s_r+IF(circ_int,eq_c1/2,0))*COS(PI()/2+(((17+0.5)*(4*IF(circ_int,0,eq_c1/2)+4*IF(circ_int,0,eq_c2/2)+2*PI()*(s_0+11*s_r+IF(circ_int,eq_c1/2,0)))/INDEX(lk_legs,12))-(((2*IF(circ_int,0,eq_c2/2))+(PI()*(s_0+11*s_r+IF(circ_int,eq_c1/2,0))/2))+2*IF(circ_int,0,eq_c1/2)))/(s_0+11*s_r+IF(circ_int,eq_c1/2,0))),IF(((17+0.5)*(4*IF(circ_int,0,eq_c1/2)+4*IF(circ_int,0,eq_c2/2)+2*PI()*(s_0+11*s_r+IF(circ_int,eq_c1/2,0)))/INDEX(lk_legs,12))&lt;(((((2*IF(circ_int,0,eq_c2/2))+(PI()*(s_0+11*s_r+IF(circ_int,eq_c1/2,0))/2))+2*IF(circ_int,0,eq_c1/2))+(PI()*(s_0+11*s_r+IF(circ_int,eq_c1/2,0))/2))+2*IF(circ_int,0,eq_c2/2)),-IF(circ_int,0,eq_c1/2)-(s_0+11*s_r+IF(circ_int,eq_c1/2,0)),IF(((17+0.5)*(4*IF(circ_int,0,eq_c1/2)+4*IF(circ_int,0,eq_c2/2)+2*PI()*(s_0+11*s_r+IF(circ_int,eq_c1/2,0)))/INDEX(lk_legs,12))&lt;((((((2*IF(circ_int,0,eq_c2/2))+(PI()*(s_0+11*s_r+IF(circ_int,eq_c1/2,0))/2))+2*IF(circ_int,0,eq_c1/2))+(PI()*(s_0+11*s_r+IF(circ_int,eq_c1/2,0))/2))+2*IF(circ_int,0,eq_c2/2))+(PI()*(s_0+11*s_r+IF(circ_int,eq_c1/2,0))/2)),-IF(circ_int,0,eq_c1/2)+(s_0+11*s_r+IF(circ_int,eq_c1/2,0))*COS(PI()+(((17+0.5)*(4*IF(circ_int,0,eq_c1/2)+4*IF(circ_int,0,eq_c2/2)+2*PI()*(s_0+11*s_r+IF(circ_int,eq_c1/2,0)))/INDEX(lk_legs,12))-(((((2*IF(circ_int,0,eq_c2/2))+(PI()*(s_0+11*s_r+IF(circ_int,eq_c1/2,0))/2))+2*IF(circ_int,0,eq_c1/2))+(PI()*(s_0+11*s_r+IF(circ_int,eq_c1/2,0))/2))+2*IF(circ_int,0,eq_c2/2)))/(s_0+11*s_r+IF(circ_int,eq_c1/2,0))),IF(((17+0.5)*(4*IF(circ_int,0,eq_c1/2)+4*IF(circ_int,0,eq_c2/2)+2*PI()*(s_0+11*s_r+IF(circ_int,eq_c1/2,0)))/INDEX(lk_legs,12))&lt;(((((((2*IF(circ_int,0,eq_c2/2))+(PI()*(s_0+11*s_r+IF(circ_int,eq_c1/2,0))/2))+2*IF(circ_int,0,eq_c1/2))+(PI()*(s_0+11*s_r+IF(circ_int,eq_c1/2,0))/2))+2*IF(circ_int,0,eq_c2/2))+(PI()*(s_0+11*s_r+IF(circ_int,eq_c1/2,0))/2))+2*IF(circ_int,0,eq_c1/2)),-IF(circ_int,0,eq_c1/2)+(((17+0.5)*(4*IF(circ_int,0,eq_c1/2)+4*IF(circ_int,0,eq_c2/2)+2*PI()*(s_0+11*s_r+IF(circ_int,eq_c1/2,0)))/INDEX(lk_legs,12))-((((((2*IF(circ_int,0,eq_c2/2))+(PI()*(s_0+11*s_r+IF(circ_int,eq_c1/2,0))/2))+2*IF(circ_int,0,eq_c1/2))+(PI()*(s_0+11*s_r+IF(circ_int,eq_c1/2,0))/2))+2*IF(circ_int,0,eq_c2/2))+(PI()*(s_0+11*s_r+IF(circ_int,eq_c1/2,0))/2))),IF(circ_int,0,eq_c1/2)+(s_0+11*s_r+IF(circ_int,eq_c1/2,0))*COS(3*PI()/2+(((17+0.5)*(4*IF(circ_int,0,eq_c1/2)+4*IF(circ_int,0,eq_c2/2)+2*PI()*(s_0+11*s_r+IF(circ_int,eq_c1/2,0)))/INDEX(lk_legs,12))-(((((((2*IF(circ_int,0,eq_c2/2))+(PI()*(s_0+11*s_r+IF(circ_int,eq_c1/2,0))/2))+2*IF(circ_int,0,eq_c1/2))+(PI()*(s_0+11*s_r+IF(circ_int,eq_c1/2,0))/2))+2*IF(circ_int,0,eq_c2/2))+(PI()*(s_0+11*s_r+IF(circ_int,eq_c1/2,0))/2))+2*IF(circ_int,0,eq_c1/2)))/(s_0+11*s_r+IF(circ_int,eq_c1/2,0)))))))))),NA())</f>
        <v/>
      </c>
      <c r="DO20">
        <f>IF(AND(AND(links_on,12&lt;=n_per),INDEX(lk_kind,12)=1,17&lt;INDEX(lk_legs,12)),g_oy+IF(((17+0.5)*(4*IF(circ_int,0,eq_c1/2)+4*IF(circ_int,0,eq_c2/2)+2*PI()*(s_0+11*s_r+IF(circ_int,eq_c1/2,0)))/INDEX(lk_legs,12))&lt;(2*IF(circ_int,0,eq_c2/2)),-IF(circ_int,0,eq_c2/2)+((17+0.5)*(4*IF(circ_int,0,eq_c1/2)+4*IF(circ_int,0,eq_c2/2)+2*PI()*(s_0+11*s_r+IF(circ_int,eq_c1/2,0)))/INDEX(lk_legs,12)),IF(((17+0.5)*(4*IF(circ_int,0,eq_c1/2)+4*IF(circ_int,0,eq_c2/2)+2*PI()*(s_0+11*s_r+IF(circ_int,eq_c1/2,0)))/INDEX(lk_legs,12))&lt;((2*IF(circ_int,0,eq_c2/2))+(PI()*(s_0+11*s_r+IF(circ_int,eq_c1/2,0))/2)),IF(circ_int,0,eq_c2/2)+(s_0+11*s_r+IF(circ_int,eq_c1/2,0))*SIN((((17+0.5)*(4*IF(circ_int,0,eq_c1/2)+4*IF(circ_int,0,eq_c2/2)+2*PI()*(s_0+11*s_r+IF(circ_int,eq_c1/2,0)))/INDEX(lk_legs,12))-(2*IF(circ_int,0,eq_c2/2)))/(s_0+11*s_r+IF(circ_int,eq_c1/2,0))),IF(((17+0.5)*(4*IF(circ_int,0,eq_c1/2)+4*IF(circ_int,0,eq_c2/2)+2*PI()*(s_0+11*s_r+IF(circ_int,eq_c1/2,0)))/INDEX(lk_legs,12))&lt;(((2*IF(circ_int,0,eq_c2/2))+(PI()*(s_0+11*s_r+IF(circ_int,eq_c1/2,0))/2))+2*IF(circ_int,0,eq_c1/2)),IF(circ_int,0,eq_c2/2)+(s_0+11*s_r+IF(circ_int,eq_c1/2,0)),IF(((17+0.5)*(4*IF(circ_int,0,eq_c1/2)+4*IF(circ_int,0,eq_c2/2)+2*PI()*(s_0+11*s_r+IF(circ_int,eq_c1/2,0)))/INDEX(lk_legs,12))&lt;((((2*IF(circ_int,0,eq_c2/2))+(PI()*(s_0+11*s_r+IF(circ_int,eq_c1/2,0))/2))+2*IF(circ_int,0,eq_c1/2))+(PI()*(s_0+11*s_r+IF(circ_int,eq_c1/2,0))/2)),IF(circ_int,0,eq_c2/2)+(s_0+11*s_r+IF(circ_int,eq_c1/2,0))*SIN(PI()/2+(((17+0.5)*(4*IF(circ_int,0,eq_c1/2)+4*IF(circ_int,0,eq_c2/2)+2*PI()*(s_0+11*s_r+IF(circ_int,eq_c1/2,0)))/INDEX(lk_legs,12))-(((2*IF(circ_int,0,eq_c2/2))+(PI()*(s_0+11*s_r+IF(circ_int,eq_c1/2,0))/2))+2*IF(circ_int,0,eq_c1/2)))/(s_0+11*s_r+IF(circ_int,eq_c1/2,0))),IF(((17+0.5)*(4*IF(circ_int,0,eq_c1/2)+4*IF(circ_int,0,eq_c2/2)+2*PI()*(s_0+11*s_r+IF(circ_int,eq_c1/2,0)))/INDEX(lk_legs,12))&lt;(((((2*IF(circ_int,0,eq_c2/2))+(PI()*(s_0+11*s_r+IF(circ_int,eq_c1/2,0))/2))+2*IF(circ_int,0,eq_c1/2))+(PI()*(s_0+11*s_r+IF(circ_int,eq_c1/2,0))/2))+2*IF(circ_int,0,eq_c2/2)),IF(circ_int,0,eq_c2/2)-(((17+0.5)*(4*IF(circ_int,0,eq_c1/2)+4*IF(circ_int,0,eq_c2/2)+2*PI()*(s_0+11*s_r+IF(circ_int,eq_c1/2,0)))/INDEX(lk_legs,12))-((((2*IF(circ_int,0,eq_c2/2))+(PI()*(s_0+11*s_r+IF(circ_int,eq_c1/2,0))/2))+2*IF(circ_int,0,eq_c1/2))+(PI()*(s_0+11*s_r+IF(circ_int,eq_c1/2,0))/2))),IF(((17+0.5)*(4*IF(circ_int,0,eq_c1/2)+4*IF(circ_int,0,eq_c2/2)+2*PI()*(s_0+11*s_r+IF(circ_int,eq_c1/2,0)))/INDEX(lk_legs,12))&lt;((((((2*IF(circ_int,0,eq_c2/2))+(PI()*(s_0+11*s_r+IF(circ_int,eq_c1/2,0))/2))+2*IF(circ_int,0,eq_c1/2))+(PI()*(s_0+11*s_r+IF(circ_int,eq_c1/2,0))/2))+2*IF(circ_int,0,eq_c2/2))+(PI()*(s_0+11*s_r+IF(circ_int,eq_c1/2,0))/2)),-IF(circ_int,0,eq_c2/2)+(s_0+11*s_r+IF(circ_int,eq_c1/2,0))*SIN(PI()+(((17+0.5)*(4*IF(circ_int,0,eq_c1/2)+4*IF(circ_int,0,eq_c2/2)+2*PI()*(s_0+11*s_r+IF(circ_int,eq_c1/2,0)))/INDEX(lk_legs,12))-(((((2*IF(circ_int,0,eq_c2/2))+(PI()*(s_0+11*s_r+IF(circ_int,eq_c1/2,0))/2))+2*IF(circ_int,0,eq_c1/2))+(PI()*(s_0+11*s_r+IF(circ_int,eq_c1/2,0))/2))+2*IF(circ_int,0,eq_c2/2)))/(s_0+11*s_r+IF(circ_int,eq_c1/2,0))),IF(((17+0.5)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(17+0.5)*(4*IF(circ_int,0,eq_c1/2)+4*IF(circ_int,0,eq_c2/2)+2*PI()*(s_0+11*s_r+IF(circ_int,eq_c1/2,0)))/INDEX(lk_legs,12))-(((((((2*IF(circ_int,0,eq_c2/2))+(PI()*(s_0+11*s_r+IF(circ_int,eq_c1/2,0))/2))+2*IF(circ_int,0,eq_c1/2))+(PI()*(s_0+11*s_r+IF(circ_int,eq_c1/2,0))/2))+2*IF(circ_int,0,eq_c2/2))+(PI()*(s_0+11*s_r+IF(circ_int,eq_c1/2,0))/2))+2*IF(circ_int,0,eq_c1/2)))/(s_0+11*s_r+IF(circ_int,eq_c1/2,0)))))))))),NA())</f>
        <v/>
      </c>
    </row>
    <row r="21">
      <c r="A21">
        <f>IF(shape="Circular",(g_ox)+(c_1/2+0)*-0.568065,CHOOSE(1,(g_ox-eq_c1/2)+(0)*-0.608761,(eq_a1+eq_c1)+(0)*0.866025,eq_a1+eq_c1+0,(eq_a1+eq_c1)+(0)*0.500000))</f>
        <v/>
      </c>
      <c r="B21">
        <f>IF(shape="Circular",(g_oy)+(c_1/2+0)*0.822984,CHOOSE(1,(g_oy+eq_c2/2)+(0)*0.793353,(g_oy-eq_c2/2)+(0)*-0.500000,0,(eq_a2+eq_c2)+(0)*0.866025))</f>
        <v/>
      </c>
      <c r="D21">
        <f>IF(circ_int,(g_ox)+(c_1/2+2*d_eff)*-0.568065,CHOOSE(geo_idx,(g_ox-eq_c1/2)+(2*d_eff)*-0.608761,(eq_a1+eq_c1)+(2*d_eff)*0.866025,eq_a1+eq_c1+2*d_eff,(eq_a1+eq_c1)+(2*d_eff)*0.500000))</f>
        <v/>
      </c>
      <c r="E21">
        <f>IF(circ_int,(g_oy)+(c_1/2+2*d_eff)*0.822984,CHOOSE(geo_idx,(g_oy+eq_c2/2)+(2*d_eff)*0.793353,(g_oy-eq_c2/2)+(2*d_eff)*-0.500000,0,(eq_a2+eq_c2)+(2*d_eff)*0.866025))</f>
        <v/>
      </c>
      <c r="G21">
        <f>IF(AND(inputs_ok,punch_ok,A_sw&gt;0),IF(circ_int,(g_ox)+(c_1/2+r_out)*-0.568065,CHOOSE(kind_out,(g_ox-eq_c1/2)+(r_out)*-0.608761,(eq_a1+eq_c1)+(r_out)*0.866025,eq_a1+eq_c1+r_out,(eq_a1+eq_c1)+(r_out)*0.500000)),NA())</f>
        <v/>
      </c>
      <c r="H21">
        <f>IF(AND(inputs_ok,punch_ok,A_sw&gt;0),IF(circ_int,(g_oy)+(c_1/2+r_out)*0.822984,CHOOSE(kind_out,(g_oy+eq_c2/2)+(r_out)*0.793353,(g_oy-eq_c2/2)+(r_out)*-0.500000,0,(eq_a2+eq_c2)+(r_out)*0.866025)),NA())</f>
        <v/>
      </c>
      <c r="AW21">
        <f>IF(AND(links_on,1&lt;=n_per),IF(circ_int,(g_ox)+(c_1/2+(s_0+0*s_r))*-0.568065,CHOOSE(INDEX(lk_kind,1),(g_ox-eq_c1/2)+((s_0+0*s_r))*-0.608761,(eq_a1+eq_c1)+((s_0+0*s_r))*0.866025,eq_a1+eq_c1+(s_0+0*s_r),(eq_a1+eq_c1)+((s_0+0*s_r))*0.500000)),NA())</f>
        <v/>
      </c>
      <c r="AX21">
        <f>IF(AND(links_on,1&lt;=n_per),IF(circ_int,(g_oy)+(c_1/2+(s_0+0*s_r))*0.822984,CHOOSE(INDEX(lk_kind,1),(g_oy+eq_c2/2)+((s_0+0*s_r))*0.793353,(g_oy-eq_c2/2)+((s_0+0*s_r))*-0.500000,0,(eq_a2+eq_c2)+((s_0+0*s_r))*0.866025)),NA())</f>
        <v/>
      </c>
      <c r="AZ21">
        <f>IF(AND(AND(links_on,1&lt;=n_per),INDEX(lk_kind,1)=1,18&lt;INDEX(lk_legs,1)),g_ox+IF(((18+0.5)*(4*IF(circ_int,0,eq_c1/2)+4*IF(circ_int,0,eq_c2/2)+2*PI()*(s_0+0*s_r+IF(circ_int,eq_c1/2,0)))/INDEX(lk_legs,1))&lt;(2*IF(circ_int,0,eq_c2/2)),IF(circ_int,0,eq_c1/2)+(s_0+0*s_r+IF(circ_int,eq_c1/2,0)),IF(((18+0.5)*(4*IF(circ_int,0,eq_c1/2)+4*IF(circ_int,0,eq_c2/2)+2*PI()*(s_0+0*s_r+IF(circ_int,eq_c1/2,0)))/INDEX(lk_legs,1))&lt;((2*IF(circ_int,0,eq_c2/2))+(PI()*(s_0+0*s_r+IF(circ_int,eq_c1/2,0))/2)),IF(circ_int,0,eq_c1/2)+(s_0+0*s_r+IF(circ_int,eq_c1/2,0))*COS((((18+0.5)*(4*IF(circ_int,0,eq_c1/2)+4*IF(circ_int,0,eq_c2/2)+2*PI()*(s_0+0*s_r+IF(circ_int,eq_c1/2,0)))/INDEX(lk_legs,1))-(2*IF(circ_int,0,eq_c2/2)))/(s_0+0*s_r+IF(circ_int,eq_c1/2,0))),IF(((18+0.5)*(4*IF(circ_int,0,eq_c1/2)+4*IF(circ_int,0,eq_c2/2)+2*PI()*(s_0+0*s_r+IF(circ_int,eq_c1/2,0)))/INDEX(lk_legs,1))&lt;(((2*IF(circ_int,0,eq_c2/2))+(PI()*(s_0+0*s_r+IF(circ_int,eq_c1/2,0))/2))+2*IF(circ_int,0,eq_c1/2)),IF(circ_int,0,eq_c1/2)-(((18+0.5)*(4*IF(circ_int,0,eq_c1/2)+4*IF(circ_int,0,eq_c2/2)+2*PI()*(s_0+0*s_r+IF(circ_int,eq_c1/2,0)))/INDEX(lk_legs,1))-((2*IF(circ_int,0,eq_c2/2))+(PI()*(s_0+0*s_r+IF(circ_int,eq_c1/2,0))/2))),IF(((18+0.5)*(4*IF(circ_int,0,eq_c1/2)+4*IF(circ_int,0,eq_c2/2)+2*PI()*(s_0+0*s_r+IF(circ_int,eq_c1/2,0)))/INDEX(lk_legs,1))&lt;((((2*IF(circ_int,0,eq_c2/2))+(PI()*(s_0+0*s_r+IF(circ_int,eq_c1/2,0))/2))+2*IF(circ_int,0,eq_c1/2))+(PI()*(s_0+0*s_r+IF(circ_int,eq_c1/2,0))/2)),-IF(circ_int,0,eq_c1/2)+(s_0+0*s_r+IF(circ_int,eq_c1/2,0))*COS(PI()/2+(((18+0.5)*(4*IF(circ_int,0,eq_c1/2)+4*IF(circ_int,0,eq_c2/2)+2*PI()*(s_0+0*s_r+IF(circ_int,eq_c1/2,0)))/INDEX(lk_legs,1))-(((2*IF(circ_int,0,eq_c2/2))+(PI()*(s_0+0*s_r+IF(circ_int,eq_c1/2,0))/2))+2*IF(circ_int,0,eq_c1/2)))/(s_0+0*s_r+IF(circ_int,eq_c1/2,0))),IF(((18+0.5)*(4*IF(circ_int,0,eq_c1/2)+4*IF(circ_int,0,eq_c2/2)+2*PI()*(s_0+0*s_r+IF(circ_int,eq_c1/2,0)))/INDEX(lk_legs,1))&lt;(((((2*IF(circ_int,0,eq_c2/2))+(PI()*(s_0+0*s_r+IF(circ_int,eq_c1/2,0))/2))+2*IF(circ_int,0,eq_c1/2))+(PI()*(s_0+0*s_r+IF(circ_int,eq_c1/2,0))/2))+2*IF(circ_int,0,eq_c2/2)),-IF(circ_int,0,eq_c1/2)-(s_0+0*s_r+IF(circ_int,eq_c1/2,0)),IF(((18+0.5)*(4*IF(circ_int,0,eq_c1/2)+4*IF(circ_int,0,eq_c2/2)+2*PI()*(s_0+0*s_r+IF(circ_int,eq_c1/2,0)))/INDEX(lk_legs,1))&lt;((((((2*IF(circ_int,0,eq_c2/2))+(PI()*(s_0+0*s_r+IF(circ_int,eq_c1/2,0))/2))+2*IF(circ_int,0,eq_c1/2))+(PI()*(s_0+0*s_r+IF(circ_int,eq_c1/2,0))/2))+2*IF(circ_int,0,eq_c2/2))+(PI()*(s_0+0*s_r+IF(circ_int,eq_c1/2,0))/2)),-IF(circ_int,0,eq_c1/2)+(s_0+0*s_r+IF(circ_int,eq_c1/2,0))*COS(PI()+(((18+0.5)*(4*IF(circ_int,0,eq_c1/2)+4*IF(circ_int,0,eq_c2/2)+2*PI()*(s_0+0*s_r+IF(circ_int,eq_c1/2,0)))/INDEX(lk_legs,1))-(((((2*IF(circ_int,0,eq_c2/2))+(PI()*(s_0+0*s_r+IF(circ_int,eq_c1/2,0))/2))+2*IF(circ_int,0,eq_c1/2))+(PI()*(s_0+0*s_r+IF(circ_int,eq_c1/2,0))/2))+2*IF(circ_int,0,eq_c2/2)))/(s_0+0*s_r+IF(circ_int,eq_c1/2,0))),IF(((18+0.5)*(4*IF(circ_int,0,eq_c1/2)+4*IF(circ_int,0,eq_c2/2)+2*PI()*(s_0+0*s_r+IF(circ_int,eq_c1/2,0)))/INDEX(lk_legs,1))&lt;(((((((2*IF(circ_int,0,eq_c2/2))+(PI()*(s_0+0*s_r+IF(circ_int,eq_c1/2,0))/2))+2*IF(circ_int,0,eq_c1/2))+(PI()*(s_0+0*s_r+IF(circ_int,eq_c1/2,0))/2))+2*IF(circ_int,0,eq_c2/2))+(PI()*(s_0+0*s_r+IF(circ_int,eq_c1/2,0))/2))+2*IF(circ_int,0,eq_c1/2)),-IF(circ_int,0,eq_c1/2)+(((18+0.5)*(4*IF(circ_int,0,eq_c1/2)+4*IF(circ_int,0,eq_c2/2)+2*PI()*(s_0+0*s_r+IF(circ_int,eq_c1/2,0)))/INDEX(lk_legs,1))-((((((2*IF(circ_int,0,eq_c2/2))+(PI()*(s_0+0*s_r+IF(circ_int,eq_c1/2,0))/2))+2*IF(circ_int,0,eq_c1/2))+(PI()*(s_0+0*s_r+IF(circ_int,eq_c1/2,0))/2))+2*IF(circ_int,0,eq_c2/2))+(PI()*(s_0+0*s_r+IF(circ_int,eq_c1/2,0))/2))),IF(circ_int,0,eq_c1/2)+(s_0+0*s_r+IF(circ_int,eq_c1/2,0))*COS(3*PI()/2+(((18+0.5)*(4*IF(circ_int,0,eq_c1/2)+4*IF(circ_int,0,eq_c2/2)+2*PI()*(s_0+0*s_r+IF(circ_int,eq_c1/2,0)))/INDEX(lk_legs,1))-(((((((2*IF(circ_int,0,eq_c2/2))+(PI()*(s_0+0*s_r+IF(circ_int,eq_c1/2,0))/2))+2*IF(circ_int,0,eq_c1/2))+(PI()*(s_0+0*s_r+IF(circ_int,eq_c1/2,0))/2))+2*IF(circ_int,0,eq_c2/2))+(PI()*(s_0+0*s_r+IF(circ_int,eq_c1/2,0))/2))+2*IF(circ_int,0,eq_c1/2)))/(s_0+0*s_r+IF(circ_int,eq_c1/2,0)))))))))),NA())</f>
        <v/>
      </c>
      <c r="BA21">
        <f>IF(AND(AND(links_on,1&lt;=n_per),INDEX(lk_kind,1)=1,18&lt;INDEX(lk_legs,1)),g_oy+IF(((18+0.5)*(4*IF(circ_int,0,eq_c1/2)+4*IF(circ_int,0,eq_c2/2)+2*PI()*(s_0+0*s_r+IF(circ_int,eq_c1/2,0)))/INDEX(lk_legs,1))&lt;(2*IF(circ_int,0,eq_c2/2)),-IF(circ_int,0,eq_c2/2)+((18+0.5)*(4*IF(circ_int,0,eq_c1/2)+4*IF(circ_int,0,eq_c2/2)+2*PI()*(s_0+0*s_r+IF(circ_int,eq_c1/2,0)))/INDEX(lk_legs,1)),IF(((18+0.5)*(4*IF(circ_int,0,eq_c1/2)+4*IF(circ_int,0,eq_c2/2)+2*PI()*(s_0+0*s_r+IF(circ_int,eq_c1/2,0)))/INDEX(lk_legs,1))&lt;((2*IF(circ_int,0,eq_c2/2))+(PI()*(s_0+0*s_r+IF(circ_int,eq_c1/2,0))/2)),IF(circ_int,0,eq_c2/2)+(s_0+0*s_r+IF(circ_int,eq_c1/2,0))*SIN((((18+0.5)*(4*IF(circ_int,0,eq_c1/2)+4*IF(circ_int,0,eq_c2/2)+2*PI()*(s_0+0*s_r+IF(circ_int,eq_c1/2,0)))/INDEX(lk_legs,1))-(2*IF(circ_int,0,eq_c2/2)))/(s_0+0*s_r+IF(circ_int,eq_c1/2,0))),IF(((18+0.5)*(4*IF(circ_int,0,eq_c1/2)+4*IF(circ_int,0,eq_c2/2)+2*PI()*(s_0+0*s_r+IF(circ_int,eq_c1/2,0)))/INDEX(lk_legs,1))&lt;(((2*IF(circ_int,0,eq_c2/2))+(PI()*(s_0+0*s_r+IF(circ_int,eq_c1/2,0))/2))+2*IF(circ_int,0,eq_c1/2)),IF(circ_int,0,eq_c2/2)+(s_0+0*s_r+IF(circ_int,eq_c1/2,0)),IF(((18+0.5)*(4*IF(circ_int,0,eq_c1/2)+4*IF(circ_int,0,eq_c2/2)+2*PI()*(s_0+0*s_r+IF(circ_int,eq_c1/2,0)))/INDEX(lk_legs,1))&lt;((((2*IF(circ_int,0,eq_c2/2))+(PI()*(s_0+0*s_r+IF(circ_int,eq_c1/2,0))/2))+2*IF(circ_int,0,eq_c1/2))+(PI()*(s_0+0*s_r+IF(circ_int,eq_c1/2,0))/2)),IF(circ_int,0,eq_c2/2)+(s_0+0*s_r+IF(circ_int,eq_c1/2,0))*SIN(PI()/2+(((18+0.5)*(4*IF(circ_int,0,eq_c1/2)+4*IF(circ_int,0,eq_c2/2)+2*PI()*(s_0+0*s_r+IF(circ_int,eq_c1/2,0)))/INDEX(lk_legs,1))-(((2*IF(circ_int,0,eq_c2/2))+(PI()*(s_0+0*s_r+IF(circ_int,eq_c1/2,0))/2))+2*IF(circ_int,0,eq_c1/2)))/(s_0+0*s_r+IF(circ_int,eq_c1/2,0))),IF(((18+0.5)*(4*IF(circ_int,0,eq_c1/2)+4*IF(circ_int,0,eq_c2/2)+2*PI()*(s_0+0*s_r+IF(circ_int,eq_c1/2,0)))/INDEX(lk_legs,1))&lt;(((((2*IF(circ_int,0,eq_c2/2))+(PI()*(s_0+0*s_r+IF(circ_int,eq_c1/2,0))/2))+2*IF(circ_int,0,eq_c1/2))+(PI()*(s_0+0*s_r+IF(circ_int,eq_c1/2,0))/2))+2*IF(circ_int,0,eq_c2/2)),IF(circ_int,0,eq_c2/2)-(((18+0.5)*(4*IF(circ_int,0,eq_c1/2)+4*IF(circ_int,0,eq_c2/2)+2*PI()*(s_0+0*s_r+IF(circ_int,eq_c1/2,0)))/INDEX(lk_legs,1))-((((2*IF(circ_int,0,eq_c2/2))+(PI()*(s_0+0*s_r+IF(circ_int,eq_c1/2,0))/2))+2*IF(circ_int,0,eq_c1/2))+(PI()*(s_0+0*s_r+IF(circ_int,eq_c1/2,0))/2))),IF(((18+0.5)*(4*IF(circ_int,0,eq_c1/2)+4*IF(circ_int,0,eq_c2/2)+2*PI()*(s_0+0*s_r+IF(circ_int,eq_c1/2,0)))/INDEX(lk_legs,1))&lt;((((((2*IF(circ_int,0,eq_c2/2))+(PI()*(s_0+0*s_r+IF(circ_int,eq_c1/2,0))/2))+2*IF(circ_int,0,eq_c1/2))+(PI()*(s_0+0*s_r+IF(circ_int,eq_c1/2,0))/2))+2*IF(circ_int,0,eq_c2/2))+(PI()*(s_0+0*s_r+IF(circ_int,eq_c1/2,0))/2)),-IF(circ_int,0,eq_c2/2)+(s_0+0*s_r+IF(circ_int,eq_c1/2,0))*SIN(PI()+(((18+0.5)*(4*IF(circ_int,0,eq_c1/2)+4*IF(circ_int,0,eq_c2/2)+2*PI()*(s_0+0*s_r+IF(circ_int,eq_c1/2,0)))/INDEX(lk_legs,1))-(((((2*IF(circ_int,0,eq_c2/2))+(PI()*(s_0+0*s_r+IF(circ_int,eq_c1/2,0))/2))+2*IF(circ_int,0,eq_c1/2))+(PI()*(s_0+0*s_r+IF(circ_int,eq_c1/2,0))/2))+2*IF(circ_int,0,eq_c2/2)))/(s_0+0*s_r+IF(circ_int,eq_c1/2,0))),IF(((18+0.5)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(18+0.5)*(4*IF(circ_int,0,eq_c1/2)+4*IF(circ_int,0,eq_c2/2)+2*PI()*(s_0+0*s_r+IF(circ_int,eq_c1/2,0)))/INDEX(lk_legs,1))-(((((((2*IF(circ_int,0,eq_c2/2))+(PI()*(s_0+0*s_r+IF(circ_int,eq_c1/2,0))/2))+2*IF(circ_int,0,eq_c1/2))+(PI()*(s_0+0*s_r+IF(circ_int,eq_c1/2,0))/2))+2*IF(circ_int,0,eq_c2/2))+(PI()*(s_0+0*s_r+IF(circ_int,eq_c1/2,0))/2))+2*IF(circ_int,0,eq_c1/2)))/(s_0+0*s_r+IF(circ_int,eq_c1/2,0)))))))))),NA())</f>
        <v/>
      </c>
      <c r="BC21">
        <f>IF(AND(links_on,2&lt;=n_per),IF(circ_int,(g_ox)+(c_1/2+(s_0+1*s_r))*-0.568065,CHOOSE(INDEX(lk_kind,2),(g_ox-eq_c1/2)+((s_0+1*s_r))*-0.608761,(eq_a1+eq_c1)+((s_0+1*s_r))*0.866025,eq_a1+eq_c1+(s_0+1*s_r),(eq_a1+eq_c1)+((s_0+1*s_r))*0.500000)),NA())</f>
        <v/>
      </c>
      <c r="BD21">
        <f>IF(AND(links_on,2&lt;=n_per),IF(circ_int,(g_oy)+(c_1/2+(s_0+1*s_r))*0.822984,CHOOSE(INDEX(lk_kind,2),(g_oy+eq_c2/2)+((s_0+1*s_r))*0.793353,(g_oy-eq_c2/2)+((s_0+1*s_r))*-0.500000,0,(eq_a2+eq_c2)+((s_0+1*s_r))*0.866025)),NA())</f>
        <v/>
      </c>
      <c r="BF21">
        <f>IF(AND(AND(links_on,2&lt;=n_per),INDEX(lk_kind,2)=1,18&lt;INDEX(lk_legs,2)),g_ox+IF(((18+0.5)*(4*IF(circ_int,0,eq_c1/2)+4*IF(circ_int,0,eq_c2/2)+2*PI()*(s_0+1*s_r+IF(circ_int,eq_c1/2,0)))/INDEX(lk_legs,2))&lt;(2*IF(circ_int,0,eq_c2/2)),IF(circ_int,0,eq_c1/2)+(s_0+1*s_r+IF(circ_int,eq_c1/2,0)),IF(((18+0.5)*(4*IF(circ_int,0,eq_c1/2)+4*IF(circ_int,0,eq_c2/2)+2*PI()*(s_0+1*s_r+IF(circ_int,eq_c1/2,0)))/INDEX(lk_legs,2))&lt;((2*IF(circ_int,0,eq_c2/2))+(PI()*(s_0+1*s_r+IF(circ_int,eq_c1/2,0))/2)),IF(circ_int,0,eq_c1/2)+(s_0+1*s_r+IF(circ_int,eq_c1/2,0))*COS((((18+0.5)*(4*IF(circ_int,0,eq_c1/2)+4*IF(circ_int,0,eq_c2/2)+2*PI()*(s_0+1*s_r+IF(circ_int,eq_c1/2,0)))/INDEX(lk_legs,2))-(2*IF(circ_int,0,eq_c2/2)))/(s_0+1*s_r+IF(circ_int,eq_c1/2,0))),IF(((18+0.5)*(4*IF(circ_int,0,eq_c1/2)+4*IF(circ_int,0,eq_c2/2)+2*PI()*(s_0+1*s_r+IF(circ_int,eq_c1/2,0)))/INDEX(lk_legs,2))&lt;(((2*IF(circ_int,0,eq_c2/2))+(PI()*(s_0+1*s_r+IF(circ_int,eq_c1/2,0))/2))+2*IF(circ_int,0,eq_c1/2)),IF(circ_int,0,eq_c1/2)-(((18+0.5)*(4*IF(circ_int,0,eq_c1/2)+4*IF(circ_int,0,eq_c2/2)+2*PI()*(s_0+1*s_r+IF(circ_int,eq_c1/2,0)))/INDEX(lk_legs,2))-((2*IF(circ_int,0,eq_c2/2))+(PI()*(s_0+1*s_r+IF(circ_int,eq_c1/2,0))/2))),IF(((18+0.5)*(4*IF(circ_int,0,eq_c1/2)+4*IF(circ_int,0,eq_c2/2)+2*PI()*(s_0+1*s_r+IF(circ_int,eq_c1/2,0)))/INDEX(lk_legs,2))&lt;((((2*IF(circ_int,0,eq_c2/2))+(PI()*(s_0+1*s_r+IF(circ_int,eq_c1/2,0))/2))+2*IF(circ_int,0,eq_c1/2))+(PI()*(s_0+1*s_r+IF(circ_int,eq_c1/2,0))/2)),-IF(circ_int,0,eq_c1/2)+(s_0+1*s_r+IF(circ_int,eq_c1/2,0))*COS(PI()/2+(((18+0.5)*(4*IF(circ_int,0,eq_c1/2)+4*IF(circ_int,0,eq_c2/2)+2*PI()*(s_0+1*s_r+IF(circ_int,eq_c1/2,0)))/INDEX(lk_legs,2))-(((2*IF(circ_int,0,eq_c2/2))+(PI()*(s_0+1*s_r+IF(circ_int,eq_c1/2,0))/2))+2*IF(circ_int,0,eq_c1/2)))/(s_0+1*s_r+IF(circ_int,eq_c1/2,0))),IF(((18+0.5)*(4*IF(circ_int,0,eq_c1/2)+4*IF(circ_int,0,eq_c2/2)+2*PI()*(s_0+1*s_r+IF(circ_int,eq_c1/2,0)))/INDEX(lk_legs,2))&lt;(((((2*IF(circ_int,0,eq_c2/2))+(PI()*(s_0+1*s_r+IF(circ_int,eq_c1/2,0))/2))+2*IF(circ_int,0,eq_c1/2))+(PI()*(s_0+1*s_r+IF(circ_int,eq_c1/2,0))/2))+2*IF(circ_int,0,eq_c2/2)),-IF(circ_int,0,eq_c1/2)-(s_0+1*s_r+IF(circ_int,eq_c1/2,0)),IF(((18+0.5)*(4*IF(circ_int,0,eq_c1/2)+4*IF(circ_int,0,eq_c2/2)+2*PI()*(s_0+1*s_r+IF(circ_int,eq_c1/2,0)))/INDEX(lk_legs,2))&lt;((((((2*IF(circ_int,0,eq_c2/2))+(PI()*(s_0+1*s_r+IF(circ_int,eq_c1/2,0))/2))+2*IF(circ_int,0,eq_c1/2))+(PI()*(s_0+1*s_r+IF(circ_int,eq_c1/2,0))/2))+2*IF(circ_int,0,eq_c2/2))+(PI()*(s_0+1*s_r+IF(circ_int,eq_c1/2,0))/2)),-IF(circ_int,0,eq_c1/2)+(s_0+1*s_r+IF(circ_int,eq_c1/2,0))*COS(PI()+(((18+0.5)*(4*IF(circ_int,0,eq_c1/2)+4*IF(circ_int,0,eq_c2/2)+2*PI()*(s_0+1*s_r+IF(circ_int,eq_c1/2,0)))/INDEX(lk_legs,2))-(((((2*IF(circ_int,0,eq_c2/2))+(PI()*(s_0+1*s_r+IF(circ_int,eq_c1/2,0))/2))+2*IF(circ_int,0,eq_c1/2))+(PI()*(s_0+1*s_r+IF(circ_int,eq_c1/2,0))/2))+2*IF(circ_int,0,eq_c2/2)))/(s_0+1*s_r+IF(circ_int,eq_c1/2,0))),IF(((18+0.5)*(4*IF(circ_int,0,eq_c1/2)+4*IF(circ_int,0,eq_c2/2)+2*PI()*(s_0+1*s_r+IF(circ_int,eq_c1/2,0)))/INDEX(lk_legs,2))&lt;(((((((2*IF(circ_int,0,eq_c2/2))+(PI()*(s_0+1*s_r+IF(circ_int,eq_c1/2,0))/2))+2*IF(circ_int,0,eq_c1/2))+(PI()*(s_0+1*s_r+IF(circ_int,eq_c1/2,0))/2))+2*IF(circ_int,0,eq_c2/2))+(PI()*(s_0+1*s_r+IF(circ_int,eq_c1/2,0))/2))+2*IF(circ_int,0,eq_c1/2)),-IF(circ_int,0,eq_c1/2)+(((18+0.5)*(4*IF(circ_int,0,eq_c1/2)+4*IF(circ_int,0,eq_c2/2)+2*PI()*(s_0+1*s_r+IF(circ_int,eq_c1/2,0)))/INDEX(lk_legs,2))-((((((2*IF(circ_int,0,eq_c2/2))+(PI()*(s_0+1*s_r+IF(circ_int,eq_c1/2,0))/2))+2*IF(circ_int,0,eq_c1/2))+(PI()*(s_0+1*s_r+IF(circ_int,eq_c1/2,0))/2))+2*IF(circ_int,0,eq_c2/2))+(PI()*(s_0+1*s_r+IF(circ_int,eq_c1/2,0))/2))),IF(circ_int,0,eq_c1/2)+(s_0+1*s_r+IF(circ_int,eq_c1/2,0))*COS(3*PI()/2+(((18+0.5)*(4*IF(circ_int,0,eq_c1/2)+4*IF(circ_int,0,eq_c2/2)+2*PI()*(s_0+1*s_r+IF(circ_int,eq_c1/2,0)))/INDEX(lk_legs,2))-(((((((2*IF(circ_int,0,eq_c2/2))+(PI()*(s_0+1*s_r+IF(circ_int,eq_c1/2,0))/2))+2*IF(circ_int,0,eq_c1/2))+(PI()*(s_0+1*s_r+IF(circ_int,eq_c1/2,0))/2))+2*IF(circ_int,0,eq_c2/2))+(PI()*(s_0+1*s_r+IF(circ_int,eq_c1/2,0))/2))+2*IF(circ_int,0,eq_c1/2)))/(s_0+1*s_r+IF(circ_int,eq_c1/2,0)))))))))),NA())</f>
        <v/>
      </c>
      <c r="BG21">
        <f>IF(AND(AND(links_on,2&lt;=n_per),INDEX(lk_kind,2)=1,18&lt;INDEX(lk_legs,2)),g_oy+IF(((18+0.5)*(4*IF(circ_int,0,eq_c1/2)+4*IF(circ_int,0,eq_c2/2)+2*PI()*(s_0+1*s_r+IF(circ_int,eq_c1/2,0)))/INDEX(lk_legs,2))&lt;(2*IF(circ_int,0,eq_c2/2)),-IF(circ_int,0,eq_c2/2)+((18+0.5)*(4*IF(circ_int,0,eq_c1/2)+4*IF(circ_int,0,eq_c2/2)+2*PI()*(s_0+1*s_r+IF(circ_int,eq_c1/2,0)))/INDEX(lk_legs,2)),IF(((18+0.5)*(4*IF(circ_int,0,eq_c1/2)+4*IF(circ_int,0,eq_c2/2)+2*PI()*(s_0+1*s_r+IF(circ_int,eq_c1/2,0)))/INDEX(lk_legs,2))&lt;((2*IF(circ_int,0,eq_c2/2))+(PI()*(s_0+1*s_r+IF(circ_int,eq_c1/2,0))/2)),IF(circ_int,0,eq_c2/2)+(s_0+1*s_r+IF(circ_int,eq_c1/2,0))*SIN((((18+0.5)*(4*IF(circ_int,0,eq_c1/2)+4*IF(circ_int,0,eq_c2/2)+2*PI()*(s_0+1*s_r+IF(circ_int,eq_c1/2,0)))/INDEX(lk_legs,2))-(2*IF(circ_int,0,eq_c2/2)))/(s_0+1*s_r+IF(circ_int,eq_c1/2,0))),IF(((18+0.5)*(4*IF(circ_int,0,eq_c1/2)+4*IF(circ_int,0,eq_c2/2)+2*PI()*(s_0+1*s_r+IF(circ_int,eq_c1/2,0)))/INDEX(lk_legs,2))&lt;(((2*IF(circ_int,0,eq_c2/2))+(PI()*(s_0+1*s_r+IF(circ_int,eq_c1/2,0))/2))+2*IF(circ_int,0,eq_c1/2)),IF(circ_int,0,eq_c2/2)+(s_0+1*s_r+IF(circ_int,eq_c1/2,0)),IF(((18+0.5)*(4*IF(circ_int,0,eq_c1/2)+4*IF(circ_int,0,eq_c2/2)+2*PI()*(s_0+1*s_r+IF(circ_int,eq_c1/2,0)))/INDEX(lk_legs,2))&lt;((((2*IF(circ_int,0,eq_c2/2))+(PI()*(s_0+1*s_r+IF(circ_int,eq_c1/2,0))/2))+2*IF(circ_int,0,eq_c1/2))+(PI()*(s_0+1*s_r+IF(circ_int,eq_c1/2,0))/2)),IF(circ_int,0,eq_c2/2)+(s_0+1*s_r+IF(circ_int,eq_c1/2,0))*SIN(PI()/2+(((18+0.5)*(4*IF(circ_int,0,eq_c1/2)+4*IF(circ_int,0,eq_c2/2)+2*PI()*(s_0+1*s_r+IF(circ_int,eq_c1/2,0)))/INDEX(lk_legs,2))-(((2*IF(circ_int,0,eq_c2/2))+(PI()*(s_0+1*s_r+IF(circ_int,eq_c1/2,0))/2))+2*IF(circ_int,0,eq_c1/2)))/(s_0+1*s_r+IF(circ_int,eq_c1/2,0))),IF(((18+0.5)*(4*IF(circ_int,0,eq_c1/2)+4*IF(circ_int,0,eq_c2/2)+2*PI()*(s_0+1*s_r+IF(circ_int,eq_c1/2,0)))/INDEX(lk_legs,2))&lt;(((((2*IF(circ_int,0,eq_c2/2))+(PI()*(s_0+1*s_r+IF(circ_int,eq_c1/2,0))/2))+2*IF(circ_int,0,eq_c1/2))+(PI()*(s_0+1*s_r+IF(circ_int,eq_c1/2,0))/2))+2*IF(circ_int,0,eq_c2/2)),IF(circ_int,0,eq_c2/2)-(((18+0.5)*(4*IF(circ_int,0,eq_c1/2)+4*IF(circ_int,0,eq_c2/2)+2*PI()*(s_0+1*s_r+IF(circ_int,eq_c1/2,0)))/INDEX(lk_legs,2))-((((2*IF(circ_int,0,eq_c2/2))+(PI()*(s_0+1*s_r+IF(circ_int,eq_c1/2,0))/2))+2*IF(circ_int,0,eq_c1/2))+(PI()*(s_0+1*s_r+IF(circ_int,eq_c1/2,0))/2))),IF(((18+0.5)*(4*IF(circ_int,0,eq_c1/2)+4*IF(circ_int,0,eq_c2/2)+2*PI()*(s_0+1*s_r+IF(circ_int,eq_c1/2,0)))/INDEX(lk_legs,2))&lt;((((((2*IF(circ_int,0,eq_c2/2))+(PI()*(s_0+1*s_r+IF(circ_int,eq_c1/2,0))/2))+2*IF(circ_int,0,eq_c1/2))+(PI()*(s_0+1*s_r+IF(circ_int,eq_c1/2,0))/2))+2*IF(circ_int,0,eq_c2/2))+(PI()*(s_0+1*s_r+IF(circ_int,eq_c1/2,0))/2)),-IF(circ_int,0,eq_c2/2)+(s_0+1*s_r+IF(circ_int,eq_c1/2,0))*SIN(PI()+(((18+0.5)*(4*IF(circ_int,0,eq_c1/2)+4*IF(circ_int,0,eq_c2/2)+2*PI()*(s_0+1*s_r+IF(circ_int,eq_c1/2,0)))/INDEX(lk_legs,2))-(((((2*IF(circ_int,0,eq_c2/2))+(PI()*(s_0+1*s_r+IF(circ_int,eq_c1/2,0))/2))+2*IF(circ_int,0,eq_c1/2))+(PI()*(s_0+1*s_r+IF(circ_int,eq_c1/2,0))/2))+2*IF(circ_int,0,eq_c2/2)))/(s_0+1*s_r+IF(circ_int,eq_c1/2,0))),IF(((18+0.5)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(18+0.5)*(4*IF(circ_int,0,eq_c1/2)+4*IF(circ_int,0,eq_c2/2)+2*PI()*(s_0+1*s_r+IF(circ_int,eq_c1/2,0)))/INDEX(lk_legs,2))-(((((((2*IF(circ_int,0,eq_c2/2))+(PI()*(s_0+1*s_r+IF(circ_int,eq_c1/2,0))/2))+2*IF(circ_int,0,eq_c1/2))+(PI()*(s_0+1*s_r+IF(circ_int,eq_c1/2,0))/2))+2*IF(circ_int,0,eq_c2/2))+(PI()*(s_0+1*s_r+IF(circ_int,eq_c1/2,0))/2))+2*IF(circ_int,0,eq_c1/2)))/(s_0+1*s_r+IF(circ_int,eq_c1/2,0)))))))))),NA())</f>
        <v/>
      </c>
      <c r="BI21">
        <f>IF(AND(links_on,3&lt;=n_per),IF(circ_int,(g_ox)+(c_1/2+(s_0+2*s_r))*-0.568065,CHOOSE(INDEX(lk_kind,3),(g_ox-eq_c1/2)+((s_0+2*s_r))*-0.608761,(eq_a1+eq_c1)+((s_0+2*s_r))*0.866025,eq_a1+eq_c1+(s_0+2*s_r),(eq_a1+eq_c1)+((s_0+2*s_r))*0.500000)),NA())</f>
        <v/>
      </c>
      <c r="BJ21">
        <f>IF(AND(links_on,3&lt;=n_per),IF(circ_int,(g_oy)+(c_1/2+(s_0+2*s_r))*0.822984,CHOOSE(INDEX(lk_kind,3),(g_oy+eq_c2/2)+((s_0+2*s_r))*0.793353,(g_oy-eq_c2/2)+((s_0+2*s_r))*-0.500000,0,(eq_a2+eq_c2)+((s_0+2*s_r))*0.866025)),NA())</f>
        <v/>
      </c>
      <c r="BL21">
        <f>IF(AND(AND(links_on,3&lt;=n_per),INDEX(lk_kind,3)=1,18&lt;INDEX(lk_legs,3)),g_ox+IF(((18+0.5)*(4*IF(circ_int,0,eq_c1/2)+4*IF(circ_int,0,eq_c2/2)+2*PI()*(s_0+2*s_r+IF(circ_int,eq_c1/2,0)))/INDEX(lk_legs,3))&lt;(2*IF(circ_int,0,eq_c2/2)),IF(circ_int,0,eq_c1/2)+(s_0+2*s_r+IF(circ_int,eq_c1/2,0)),IF(((18+0.5)*(4*IF(circ_int,0,eq_c1/2)+4*IF(circ_int,0,eq_c2/2)+2*PI()*(s_0+2*s_r+IF(circ_int,eq_c1/2,0)))/INDEX(lk_legs,3))&lt;((2*IF(circ_int,0,eq_c2/2))+(PI()*(s_0+2*s_r+IF(circ_int,eq_c1/2,0))/2)),IF(circ_int,0,eq_c1/2)+(s_0+2*s_r+IF(circ_int,eq_c1/2,0))*COS((((18+0.5)*(4*IF(circ_int,0,eq_c1/2)+4*IF(circ_int,0,eq_c2/2)+2*PI()*(s_0+2*s_r+IF(circ_int,eq_c1/2,0)))/INDEX(lk_legs,3))-(2*IF(circ_int,0,eq_c2/2)))/(s_0+2*s_r+IF(circ_int,eq_c1/2,0))),IF(((18+0.5)*(4*IF(circ_int,0,eq_c1/2)+4*IF(circ_int,0,eq_c2/2)+2*PI()*(s_0+2*s_r+IF(circ_int,eq_c1/2,0)))/INDEX(lk_legs,3))&lt;(((2*IF(circ_int,0,eq_c2/2))+(PI()*(s_0+2*s_r+IF(circ_int,eq_c1/2,0))/2))+2*IF(circ_int,0,eq_c1/2)),IF(circ_int,0,eq_c1/2)-(((18+0.5)*(4*IF(circ_int,0,eq_c1/2)+4*IF(circ_int,0,eq_c2/2)+2*PI()*(s_0+2*s_r+IF(circ_int,eq_c1/2,0)))/INDEX(lk_legs,3))-((2*IF(circ_int,0,eq_c2/2))+(PI()*(s_0+2*s_r+IF(circ_int,eq_c1/2,0))/2))),IF(((18+0.5)*(4*IF(circ_int,0,eq_c1/2)+4*IF(circ_int,0,eq_c2/2)+2*PI()*(s_0+2*s_r+IF(circ_int,eq_c1/2,0)))/INDEX(lk_legs,3))&lt;((((2*IF(circ_int,0,eq_c2/2))+(PI()*(s_0+2*s_r+IF(circ_int,eq_c1/2,0))/2))+2*IF(circ_int,0,eq_c1/2))+(PI()*(s_0+2*s_r+IF(circ_int,eq_c1/2,0))/2)),-IF(circ_int,0,eq_c1/2)+(s_0+2*s_r+IF(circ_int,eq_c1/2,0))*COS(PI()/2+(((18+0.5)*(4*IF(circ_int,0,eq_c1/2)+4*IF(circ_int,0,eq_c2/2)+2*PI()*(s_0+2*s_r+IF(circ_int,eq_c1/2,0)))/INDEX(lk_legs,3))-(((2*IF(circ_int,0,eq_c2/2))+(PI()*(s_0+2*s_r+IF(circ_int,eq_c1/2,0))/2))+2*IF(circ_int,0,eq_c1/2)))/(s_0+2*s_r+IF(circ_int,eq_c1/2,0))),IF(((18+0.5)*(4*IF(circ_int,0,eq_c1/2)+4*IF(circ_int,0,eq_c2/2)+2*PI()*(s_0+2*s_r+IF(circ_int,eq_c1/2,0)))/INDEX(lk_legs,3))&lt;(((((2*IF(circ_int,0,eq_c2/2))+(PI()*(s_0+2*s_r+IF(circ_int,eq_c1/2,0))/2))+2*IF(circ_int,0,eq_c1/2))+(PI()*(s_0+2*s_r+IF(circ_int,eq_c1/2,0))/2))+2*IF(circ_int,0,eq_c2/2)),-IF(circ_int,0,eq_c1/2)-(s_0+2*s_r+IF(circ_int,eq_c1/2,0)),IF(((18+0.5)*(4*IF(circ_int,0,eq_c1/2)+4*IF(circ_int,0,eq_c2/2)+2*PI()*(s_0+2*s_r+IF(circ_int,eq_c1/2,0)))/INDEX(lk_legs,3))&lt;((((((2*IF(circ_int,0,eq_c2/2))+(PI()*(s_0+2*s_r+IF(circ_int,eq_c1/2,0))/2))+2*IF(circ_int,0,eq_c1/2))+(PI()*(s_0+2*s_r+IF(circ_int,eq_c1/2,0))/2))+2*IF(circ_int,0,eq_c2/2))+(PI()*(s_0+2*s_r+IF(circ_int,eq_c1/2,0))/2)),-IF(circ_int,0,eq_c1/2)+(s_0+2*s_r+IF(circ_int,eq_c1/2,0))*COS(PI()+(((18+0.5)*(4*IF(circ_int,0,eq_c1/2)+4*IF(circ_int,0,eq_c2/2)+2*PI()*(s_0+2*s_r+IF(circ_int,eq_c1/2,0)))/INDEX(lk_legs,3))-(((((2*IF(circ_int,0,eq_c2/2))+(PI()*(s_0+2*s_r+IF(circ_int,eq_c1/2,0))/2))+2*IF(circ_int,0,eq_c1/2))+(PI()*(s_0+2*s_r+IF(circ_int,eq_c1/2,0))/2))+2*IF(circ_int,0,eq_c2/2)))/(s_0+2*s_r+IF(circ_int,eq_c1/2,0))),IF(((18+0.5)*(4*IF(circ_int,0,eq_c1/2)+4*IF(circ_int,0,eq_c2/2)+2*PI()*(s_0+2*s_r+IF(circ_int,eq_c1/2,0)))/INDEX(lk_legs,3))&lt;(((((((2*IF(circ_int,0,eq_c2/2))+(PI()*(s_0+2*s_r+IF(circ_int,eq_c1/2,0))/2))+2*IF(circ_int,0,eq_c1/2))+(PI()*(s_0+2*s_r+IF(circ_int,eq_c1/2,0))/2))+2*IF(circ_int,0,eq_c2/2))+(PI()*(s_0+2*s_r+IF(circ_int,eq_c1/2,0))/2))+2*IF(circ_int,0,eq_c1/2)),-IF(circ_int,0,eq_c1/2)+(((18+0.5)*(4*IF(circ_int,0,eq_c1/2)+4*IF(circ_int,0,eq_c2/2)+2*PI()*(s_0+2*s_r+IF(circ_int,eq_c1/2,0)))/INDEX(lk_legs,3))-((((((2*IF(circ_int,0,eq_c2/2))+(PI()*(s_0+2*s_r+IF(circ_int,eq_c1/2,0))/2))+2*IF(circ_int,0,eq_c1/2))+(PI()*(s_0+2*s_r+IF(circ_int,eq_c1/2,0))/2))+2*IF(circ_int,0,eq_c2/2))+(PI()*(s_0+2*s_r+IF(circ_int,eq_c1/2,0))/2))),IF(circ_int,0,eq_c1/2)+(s_0+2*s_r+IF(circ_int,eq_c1/2,0))*COS(3*PI()/2+(((18+0.5)*(4*IF(circ_int,0,eq_c1/2)+4*IF(circ_int,0,eq_c2/2)+2*PI()*(s_0+2*s_r+IF(circ_int,eq_c1/2,0)))/INDEX(lk_legs,3))-(((((((2*IF(circ_int,0,eq_c2/2))+(PI()*(s_0+2*s_r+IF(circ_int,eq_c1/2,0))/2))+2*IF(circ_int,0,eq_c1/2))+(PI()*(s_0+2*s_r+IF(circ_int,eq_c1/2,0))/2))+2*IF(circ_int,0,eq_c2/2))+(PI()*(s_0+2*s_r+IF(circ_int,eq_c1/2,0))/2))+2*IF(circ_int,0,eq_c1/2)))/(s_0+2*s_r+IF(circ_int,eq_c1/2,0)))))))))),NA())</f>
        <v/>
      </c>
      <c r="BM21">
        <f>IF(AND(AND(links_on,3&lt;=n_per),INDEX(lk_kind,3)=1,18&lt;INDEX(lk_legs,3)),g_oy+IF(((18+0.5)*(4*IF(circ_int,0,eq_c1/2)+4*IF(circ_int,0,eq_c2/2)+2*PI()*(s_0+2*s_r+IF(circ_int,eq_c1/2,0)))/INDEX(lk_legs,3))&lt;(2*IF(circ_int,0,eq_c2/2)),-IF(circ_int,0,eq_c2/2)+((18+0.5)*(4*IF(circ_int,0,eq_c1/2)+4*IF(circ_int,0,eq_c2/2)+2*PI()*(s_0+2*s_r+IF(circ_int,eq_c1/2,0)))/INDEX(lk_legs,3)),IF(((18+0.5)*(4*IF(circ_int,0,eq_c1/2)+4*IF(circ_int,0,eq_c2/2)+2*PI()*(s_0+2*s_r+IF(circ_int,eq_c1/2,0)))/INDEX(lk_legs,3))&lt;((2*IF(circ_int,0,eq_c2/2))+(PI()*(s_0+2*s_r+IF(circ_int,eq_c1/2,0))/2)),IF(circ_int,0,eq_c2/2)+(s_0+2*s_r+IF(circ_int,eq_c1/2,0))*SIN((((18+0.5)*(4*IF(circ_int,0,eq_c1/2)+4*IF(circ_int,0,eq_c2/2)+2*PI()*(s_0+2*s_r+IF(circ_int,eq_c1/2,0)))/INDEX(lk_legs,3))-(2*IF(circ_int,0,eq_c2/2)))/(s_0+2*s_r+IF(circ_int,eq_c1/2,0))),IF(((18+0.5)*(4*IF(circ_int,0,eq_c1/2)+4*IF(circ_int,0,eq_c2/2)+2*PI()*(s_0+2*s_r+IF(circ_int,eq_c1/2,0)))/INDEX(lk_legs,3))&lt;(((2*IF(circ_int,0,eq_c2/2))+(PI()*(s_0+2*s_r+IF(circ_int,eq_c1/2,0))/2))+2*IF(circ_int,0,eq_c1/2)),IF(circ_int,0,eq_c2/2)+(s_0+2*s_r+IF(circ_int,eq_c1/2,0)),IF(((18+0.5)*(4*IF(circ_int,0,eq_c1/2)+4*IF(circ_int,0,eq_c2/2)+2*PI()*(s_0+2*s_r+IF(circ_int,eq_c1/2,0)))/INDEX(lk_legs,3))&lt;((((2*IF(circ_int,0,eq_c2/2))+(PI()*(s_0+2*s_r+IF(circ_int,eq_c1/2,0))/2))+2*IF(circ_int,0,eq_c1/2))+(PI()*(s_0+2*s_r+IF(circ_int,eq_c1/2,0))/2)),IF(circ_int,0,eq_c2/2)+(s_0+2*s_r+IF(circ_int,eq_c1/2,0))*SIN(PI()/2+(((18+0.5)*(4*IF(circ_int,0,eq_c1/2)+4*IF(circ_int,0,eq_c2/2)+2*PI()*(s_0+2*s_r+IF(circ_int,eq_c1/2,0)))/INDEX(lk_legs,3))-(((2*IF(circ_int,0,eq_c2/2))+(PI()*(s_0+2*s_r+IF(circ_int,eq_c1/2,0))/2))+2*IF(circ_int,0,eq_c1/2)))/(s_0+2*s_r+IF(circ_int,eq_c1/2,0))),IF(((18+0.5)*(4*IF(circ_int,0,eq_c1/2)+4*IF(circ_int,0,eq_c2/2)+2*PI()*(s_0+2*s_r+IF(circ_int,eq_c1/2,0)))/INDEX(lk_legs,3))&lt;(((((2*IF(circ_int,0,eq_c2/2))+(PI()*(s_0+2*s_r+IF(circ_int,eq_c1/2,0))/2))+2*IF(circ_int,0,eq_c1/2))+(PI()*(s_0+2*s_r+IF(circ_int,eq_c1/2,0))/2))+2*IF(circ_int,0,eq_c2/2)),IF(circ_int,0,eq_c2/2)-(((18+0.5)*(4*IF(circ_int,0,eq_c1/2)+4*IF(circ_int,0,eq_c2/2)+2*PI()*(s_0+2*s_r+IF(circ_int,eq_c1/2,0)))/INDEX(lk_legs,3))-((((2*IF(circ_int,0,eq_c2/2))+(PI()*(s_0+2*s_r+IF(circ_int,eq_c1/2,0))/2))+2*IF(circ_int,0,eq_c1/2))+(PI()*(s_0+2*s_r+IF(circ_int,eq_c1/2,0))/2))),IF(((18+0.5)*(4*IF(circ_int,0,eq_c1/2)+4*IF(circ_int,0,eq_c2/2)+2*PI()*(s_0+2*s_r+IF(circ_int,eq_c1/2,0)))/INDEX(lk_legs,3))&lt;((((((2*IF(circ_int,0,eq_c2/2))+(PI()*(s_0+2*s_r+IF(circ_int,eq_c1/2,0))/2))+2*IF(circ_int,0,eq_c1/2))+(PI()*(s_0+2*s_r+IF(circ_int,eq_c1/2,0))/2))+2*IF(circ_int,0,eq_c2/2))+(PI()*(s_0+2*s_r+IF(circ_int,eq_c1/2,0))/2)),-IF(circ_int,0,eq_c2/2)+(s_0+2*s_r+IF(circ_int,eq_c1/2,0))*SIN(PI()+(((18+0.5)*(4*IF(circ_int,0,eq_c1/2)+4*IF(circ_int,0,eq_c2/2)+2*PI()*(s_0+2*s_r+IF(circ_int,eq_c1/2,0)))/INDEX(lk_legs,3))-(((((2*IF(circ_int,0,eq_c2/2))+(PI()*(s_0+2*s_r+IF(circ_int,eq_c1/2,0))/2))+2*IF(circ_int,0,eq_c1/2))+(PI()*(s_0+2*s_r+IF(circ_int,eq_c1/2,0))/2))+2*IF(circ_int,0,eq_c2/2)))/(s_0+2*s_r+IF(circ_int,eq_c1/2,0))),IF(((18+0.5)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(18+0.5)*(4*IF(circ_int,0,eq_c1/2)+4*IF(circ_int,0,eq_c2/2)+2*PI()*(s_0+2*s_r+IF(circ_int,eq_c1/2,0)))/INDEX(lk_legs,3))-(((((((2*IF(circ_int,0,eq_c2/2))+(PI()*(s_0+2*s_r+IF(circ_int,eq_c1/2,0))/2))+2*IF(circ_int,0,eq_c1/2))+(PI()*(s_0+2*s_r+IF(circ_int,eq_c1/2,0))/2))+2*IF(circ_int,0,eq_c2/2))+(PI()*(s_0+2*s_r+IF(circ_int,eq_c1/2,0))/2))+2*IF(circ_int,0,eq_c1/2)))/(s_0+2*s_r+IF(circ_int,eq_c1/2,0)))))))))),NA())</f>
        <v/>
      </c>
      <c r="BO21">
        <f>IF(AND(links_on,4&lt;=n_per),IF(circ_int,(g_ox)+(c_1/2+(s_0+3*s_r))*-0.568065,CHOOSE(INDEX(lk_kind,4),(g_ox-eq_c1/2)+((s_0+3*s_r))*-0.608761,(eq_a1+eq_c1)+((s_0+3*s_r))*0.866025,eq_a1+eq_c1+(s_0+3*s_r),(eq_a1+eq_c1)+((s_0+3*s_r))*0.500000)),NA())</f>
        <v/>
      </c>
      <c r="BP21">
        <f>IF(AND(links_on,4&lt;=n_per),IF(circ_int,(g_oy)+(c_1/2+(s_0+3*s_r))*0.822984,CHOOSE(INDEX(lk_kind,4),(g_oy+eq_c2/2)+((s_0+3*s_r))*0.793353,(g_oy-eq_c2/2)+((s_0+3*s_r))*-0.500000,0,(eq_a2+eq_c2)+((s_0+3*s_r))*0.866025)),NA())</f>
        <v/>
      </c>
      <c r="BR21">
        <f>IF(AND(AND(links_on,4&lt;=n_per),INDEX(lk_kind,4)=1,18&lt;INDEX(lk_legs,4)),g_ox+IF(((18+0.5)*(4*IF(circ_int,0,eq_c1/2)+4*IF(circ_int,0,eq_c2/2)+2*PI()*(s_0+3*s_r+IF(circ_int,eq_c1/2,0)))/INDEX(lk_legs,4))&lt;(2*IF(circ_int,0,eq_c2/2)),IF(circ_int,0,eq_c1/2)+(s_0+3*s_r+IF(circ_int,eq_c1/2,0)),IF(((18+0.5)*(4*IF(circ_int,0,eq_c1/2)+4*IF(circ_int,0,eq_c2/2)+2*PI()*(s_0+3*s_r+IF(circ_int,eq_c1/2,0)))/INDEX(lk_legs,4))&lt;((2*IF(circ_int,0,eq_c2/2))+(PI()*(s_0+3*s_r+IF(circ_int,eq_c1/2,0))/2)),IF(circ_int,0,eq_c1/2)+(s_0+3*s_r+IF(circ_int,eq_c1/2,0))*COS((((18+0.5)*(4*IF(circ_int,0,eq_c1/2)+4*IF(circ_int,0,eq_c2/2)+2*PI()*(s_0+3*s_r+IF(circ_int,eq_c1/2,0)))/INDEX(lk_legs,4))-(2*IF(circ_int,0,eq_c2/2)))/(s_0+3*s_r+IF(circ_int,eq_c1/2,0))),IF(((18+0.5)*(4*IF(circ_int,0,eq_c1/2)+4*IF(circ_int,0,eq_c2/2)+2*PI()*(s_0+3*s_r+IF(circ_int,eq_c1/2,0)))/INDEX(lk_legs,4))&lt;(((2*IF(circ_int,0,eq_c2/2))+(PI()*(s_0+3*s_r+IF(circ_int,eq_c1/2,0))/2))+2*IF(circ_int,0,eq_c1/2)),IF(circ_int,0,eq_c1/2)-(((18+0.5)*(4*IF(circ_int,0,eq_c1/2)+4*IF(circ_int,0,eq_c2/2)+2*PI()*(s_0+3*s_r+IF(circ_int,eq_c1/2,0)))/INDEX(lk_legs,4))-((2*IF(circ_int,0,eq_c2/2))+(PI()*(s_0+3*s_r+IF(circ_int,eq_c1/2,0))/2))),IF(((18+0.5)*(4*IF(circ_int,0,eq_c1/2)+4*IF(circ_int,0,eq_c2/2)+2*PI()*(s_0+3*s_r+IF(circ_int,eq_c1/2,0)))/INDEX(lk_legs,4))&lt;((((2*IF(circ_int,0,eq_c2/2))+(PI()*(s_0+3*s_r+IF(circ_int,eq_c1/2,0))/2))+2*IF(circ_int,0,eq_c1/2))+(PI()*(s_0+3*s_r+IF(circ_int,eq_c1/2,0))/2)),-IF(circ_int,0,eq_c1/2)+(s_0+3*s_r+IF(circ_int,eq_c1/2,0))*COS(PI()/2+(((18+0.5)*(4*IF(circ_int,0,eq_c1/2)+4*IF(circ_int,0,eq_c2/2)+2*PI()*(s_0+3*s_r+IF(circ_int,eq_c1/2,0)))/INDEX(lk_legs,4))-(((2*IF(circ_int,0,eq_c2/2))+(PI()*(s_0+3*s_r+IF(circ_int,eq_c1/2,0))/2))+2*IF(circ_int,0,eq_c1/2)))/(s_0+3*s_r+IF(circ_int,eq_c1/2,0))),IF(((18+0.5)*(4*IF(circ_int,0,eq_c1/2)+4*IF(circ_int,0,eq_c2/2)+2*PI()*(s_0+3*s_r+IF(circ_int,eq_c1/2,0)))/INDEX(lk_legs,4))&lt;(((((2*IF(circ_int,0,eq_c2/2))+(PI()*(s_0+3*s_r+IF(circ_int,eq_c1/2,0))/2))+2*IF(circ_int,0,eq_c1/2))+(PI()*(s_0+3*s_r+IF(circ_int,eq_c1/2,0))/2))+2*IF(circ_int,0,eq_c2/2)),-IF(circ_int,0,eq_c1/2)-(s_0+3*s_r+IF(circ_int,eq_c1/2,0)),IF(((18+0.5)*(4*IF(circ_int,0,eq_c1/2)+4*IF(circ_int,0,eq_c2/2)+2*PI()*(s_0+3*s_r+IF(circ_int,eq_c1/2,0)))/INDEX(lk_legs,4))&lt;((((((2*IF(circ_int,0,eq_c2/2))+(PI()*(s_0+3*s_r+IF(circ_int,eq_c1/2,0))/2))+2*IF(circ_int,0,eq_c1/2))+(PI()*(s_0+3*s_r+IF(circ_int,eq_c1/2,0))/2))+2*IF(circ_int,0,eq_c2/2))+(PI()*(s_0+3*s_r+IF(circ_int,eq_c1/2,0))/2)),-IF(circ_int,0,eq_c1/2)+(s_0+3*s_r+IF(circ_int,eq_c1/2,0))*COS(PI()+(((18+0.5)*(4*IF(circ_int,0,eq_c1/2)+4*IF(circ_int,0,eq_c2/2)+2*PI()*(s_0+3*s_r+IF(circ_int,eq_c1/2,0)))/INDEX(lk_legs,4))-(((((2*IF(circ_int,0,eq_c2/2))+(PI()*(s_0+3*s_r+IF(circ_int,eq_c1/2,0))/2))+2*IF(circ_int,0,eq_c1/2))+(PI()*(s_0+3*s_r+IF(circ_int,eq_c1/2,0))/2))+2*IF(circ_int,0,eq_c2/2)))/(s_0+3*s_r+IF(circ_int,eq_c1/2,0))),IF(((18+0.5)*(4*IF(circ_int,0,eq_c1/2)+4*IF(circ_int,0,eq_c2/2)+2*PI()*(s_0+3*s_r+IF(circ_int,eq_c1/2,0)))/INDEX(lk_legs,4))&lt;(((((((2*IF(circ_int,0,eq_c2/2))+(PI()*(s_0+3*s_r+IF(circ_int,eq_c1/2,0))/2))+2*IF(circ_int,0,eq_c1/2))+(PI()*(s_0+3*s_r+IF(circ_int,eq_c1/2,0))/2))+2*IF(circ_int,0,eq_c2/2))+(PI()*(s_0+3*s_r+IF(circ_int,eq_c1/2,0))/2))+2*IF(circ_int,0,eq_c1/2)),-IF(circ_int,0,eq_c1/2)+(((18+0.5)*(4*IF(circ_int,0,eq_c1/2)+4*IF(circ_int,0,eq_c2/2)+2*PI()*(s_0+3*s_r+IF(circ_int,eq_c1/2,0)))/INDEX(lk_legs,4))-((((((2*IF(circ_int,0,eq_c2/2))+(PI()*(s_0+3*s_r+IF(circ_int,eq_c1/2,0))/2))+2*IF(circ_int,0,eq_c1/2))+(PI()*(s_0+3*s_r+IF(circ_int,eq_c1/2,0))/2))+2*IF(circ_int,0,eq_c2/2))+(PI()*(s_0+3*s_r+IF(circ_int,eq_c1/2,0))/2))),IF(circ_int,0,eq_c1/2)+(s_0+3*s_r+IF(circ_int,eq_c1/2,0))*COS(3*PI()/2+(((18+0.5)*(4*IF(circ_int,0,eq_c1/2)+4*IF(circ_int,0,eq_c2/2)+2*PI()*(s_0+3*s_r+IF(circ_int,eq_c1/2,0)))/INDEX(lk_legs,4))-(((((((2*IF(circ_int,0,eq_c2/2))+(PI()*(s_0+3*s_r+IF(circ_int,eq_c1/2,0))/2))+2*IF(circ_int,0,eq_c1/2))+(PI()*(s_0+3*s_r+IF(circ_int,eq_c1/2,0))/2))+2*IF(circ_int,0,eq_c2/2))+(PI()*(s_0+3*s_r+IF(circ_int,eq_c1/2,0))/2))+2*IF(circ_int,0,eq_c1/2)))/(s_0+3*s_r+IF(circ_int,eq_c1/2,0)))))))))),NA())</f>
        <v/>
      </c>
      <c r="BS21">
        <f>IF(AND(AND(links_on,4&lt;=n_per),INDEX(lk_kind,4)=1,18&lt;INDEX(lk_legs,4)),g_oy+IF(((18+0.5)*(4*IF(circ_int,0,eq_c1/2)+4*IF(circ_int,0,eq_c2/2)+2*PI()*(s_0+3*s_r+IF(circ_int,eq_c1/2,0)))/INDEX(lk_legs,4))&lt;(2*IF(circ_int,0,eq_c2/2)),-IF(circ_int,0,eq_c2/2)+((18+0.5)*(4*IF(circ_int,0,eq_c1/2)+4*IF(circ_int,0,eq_c2/2)+2*PI()*(s_0+3*s_r+IF(circ_int,eq_c1/2,0)))/INDEX(lk_legs,4)),IF(((18+0.5)*(4*IF(circ_int,0,eq_c1/2)+4*IF(circ_int,0,eq_c2/2)+2*PI()*(s_0+3*s_r+IF(circ_int,eq_c1/2,0)))/INDEX(lk_legs,4))&lt;((2*IF(circ_int,0,eq_c2/2))+(PI()*(s_0+3*s_r+IF(circ_int,eq_c1/2,0))/2)),IF(circ_int,0,eq_c2/2)+(s_0+3*s_r+IF(circ_int,eq_c1/2,0))*SIN((((18+0.5)*(4*IF(circ_int,0,eq_c1/2)+4*IF(circ_int,0,eq_c2/2)+2*PI()*(s_0+3*s_r+IF(circ_int,eq_c1/2,0)))/INDEX(lk_legs,4))-(2*IF(circ_int,0,eq_c2/2)))/(s_0+3*s_r+IF(circ_int,eq_c1/2,0))),IF(((18+0.5)*(4*IF(circ_int,0,eq_c1/2)+4*IF(circ_int,0,eq_c2/2)+2*PI()*(s_0+3*s_r+IF(circ_int,eq_c1/2,0)))/INDEX(lk_legs,4))&lt;(((2*IF(circ_int,0,eq_c2/2))+(PI()*(s_0+3*s_r+IF(circ_int,eq_c1/2,0))/2))+2*IF(circ_int,0,eq_c1/2)),IF(circ_int,0,eq_c2/2)+(s_0+3*s_r+IF(circ_int,eq_c1/2,0)),IF(((18+0.5)*(4*IF(circ_int,0,eq_c1/2)+4*IF(circ_int,0,eq_c2/2)+2*PI()*(s_0+3*s_r+IF(circ_int,eq_c1/2,0)))/INDEX(lk_legs,4))&lt;((((2*IF(circ_int,0,eq_c2/2))+(PI()*(s_0+3*s_r+IF(circ_int,eq_c1/2,0))/2))+2*IF(circ_int,0,eq_c1/2))+(PI()*(s_0+3*s_r+IF(circ_int,eq_c1/2,0))/2)),IF(circ_int,0,eq_c2/2)+(s_0+3*s_r+IF(circ_int,eq_c1/2,0))*SIN(PI()/2+(((18+0.5)*(4*IF(circ_int,0,eq_c1/2)+4*IF(circ_int,0,eq_c2/2)+2*PI()*(s_0+3*s_r+IF(circ_int,eq_c1/2,0)))/INDEX(lk_legs,4))-(((2*IF(circ_int,0,eq_c2/2))+(PI()*(s_0+3*s_r+IF(circ_int,eq_c1/2,0))/2))+2*IF(circ_int,0,eq_c1/2)))/(s_0+3*s_r+IF(circ_int,eq_c1/2,0))),IF(((18+0.5)*(4*IF(circ_int,0,eq_c1/2)+4*IF(circ_int,0,eq_c2/2)+2*PI()*(s_0+3*s_r+IF(circ_int,eq_c1/2,0)))/INDEX(lk_legs,4))&lt;(((((2*IF(circ_int,0,eq_c2/2))+(PI()*(s_0+3*s_r+IF(circ_int,eq_c1/2,0))/2))+2*IF(circ_int,0,eq_c1/2))+(PI()*(s_0+3*s_r+IF(circ_int,eq_c1/2,0))/2))+2*IF(circ_int,0,eq_c2/2)),IF(circ_int,0,eq_c2/2)-(((18+0.5)*(4*IF(circ_int,0,eq_c1/2)+4*IF(circ_int,0,eq_c2/2)+2*PI()*(s_0+3*s_r+IF(circ_int,eq_c1/2,0)))/INDEX(lk_legs,4))-((((2*IF(circ_int,0,eq_c2/2))+(PI()*(s_0+3*s_r+IF(circ_int,eq_c1/2,0))/2))+2*IF(circ_int,0,eq_c1/2))+(PI()*(s_0+3*s_r+IF(circ_int,eq_c1/2,0))/2))),IF(((18+0.5)*(4*IF(circ_int,0,eq_c1/2)+4*IF(circ_int,0,eq_c2/2)+2*PI()*(s_0+3*s_r+IF(circ_int,eq_c1/2,0)))/INDEX(lk_legs,4))&lt;((((((2*IF(circ_int,0,eq_c2/2))+(PI()*(s_0+3*s_r+IF(circ_int,eq_c1/2,0))/2))+2*IF(circ_int,0,eq_c1/2))+(PI()*(s_0+3*s_r+IF(circ_int,eq_c1/2,0))/2))+2*IF(circ_int,0,eq_c2/2))+(PI()*(s_0+3*s_r+IF(circ_int,eq_c1/2,0))/2)),-IF(circ_int,0,eq_c2/2)+(s_0+3*s_r+IF(circ_int,eq_c1/2,0))*SIN(PI()+(((18+0.5)*(4*IF(circ_int,0,eq_c1/2)+4*IF(circ_int,0,eq_c2/2)+2*PI()*(s_0+3*s_r+IF(circ_int,eq_c1/2,0)))/INDEX(lk_legs,4))-(((((2*IF(circ_int,0,eq_c2/2))+(PI()*(s_0+3*s_r+IF(circ_int,eq_c1/2,0))/2))+2*IF(circ_int,0,eq_c1/2))+(PI()*(s_0+3*s_r+IF(circ_int,eq_c1/2,0))/2))+2*IF(circ_int,0,eq_c2/2)))/(s_0+3*s_r+IF(circ_int,eq_c1/2,0))),IF(((18+0.5)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(18+0.5)*(4*IF(circ_int,0,eq_c1/2)+4*IF(circ_int,0,eq_c2/2)+2*PI()*(s_0+3*s_r+IF(circ_int,eq_c1/2,0)))/INDEX(lk_legs,4))-(((((((2*IF(circ_int,0,eq_c2/2))+(PI()*(s_0+3*s_r+IF(circ_int,eq_c1/2,0))/2))+2*IF(circ_int,0,eq_c1/2))+(PI()*(s_0+3*s_r+IF(circ_int,eq_c1/2,0))/2))+2*IF(circ_int,0,eq_c2/2))+(PI()*(s_0+3*s_r+IF(circ_int,eq_c1/2,0))/2))+2*IF(circ_int,0,eq_c1/2)))/(s_0+3*s_r+IF(circ_int,eq_c1/2,0)))))))))),NA())</f>
        <v/>
      </c>
      <c r="BU21">
        <f>IF(AND(links_on,5&lt;=n_per),IF(circ_int,(g_ox)+(c_1/2+(s_0+4*s_r))*-0.568065,CHOOSE(INDEX(lk_kind,5),(g_ox-eq_c1/2)+((s_0+4*s_r))*-0.608761,(eq_a1+eq_c1)+((s_0+4*s_r))*0.866025,eq_a1+eq_c1+(s_0+4*s_r),(eq_a1+eq_c1)+((s_0+4*s_r))*0.500000)),NA())</f>
        <v/>
      </c>
      <c r="BV21">
        <f>IF(AND(links_on,5&lt;=n_per),IF(circ_int,(g_oy)+(c_1/2+(s_0+4*s_r))*0.822984,CHOOSE(INDEX(lk_kind,5),(g_oy+eq_c2/2)+((s_0+4*s_r))*0.793353,(g_oy-eq_c2/2)+((s_0+4*s_r))*-0.500000,0,(eq_a2+eq_c2)+((s_0+4*s_r))*0.866025)),NA())</f>
        <v/>
      </c>
      <c r="BX21">
        <f>IF(AND(AND(links_on,5&lt;=n_per),INDEX(lk_kind,5)=1,18&lt;INDEX(lk_legs,5)),g_ox+IF(((18+0.5)*(4*IF(circ_int,0,eq_c1/2)+4*IF(circ_int,0,eq_c2/2)+2*PI()*(s_0+4*s_r+IF(circ_int,eq_c1/2,0)))/INDEX(lk_legs,5))&lt;(2*IF(circ_int,0,eq_c2/2)),IF(circ_int,0,eq_c1/2)+(s_0+4*s_r+IF(circ_int,eq_c1/2,0)),IF(((18+0.5)*(4*IF(circ_int,0,eq_c1/2)+4*IF(circ_int,0,eq_c2/2)+2*PI()*(s_0+4*s_r+IF(circ_int,eq_c1/2,0)))/INDEX(lk_legs,5))&lt;((2*IF(circ_int,0,eq_c2/2))+(PI()*(s_0+4*s_r+IF(circ_int,eq_c1/2,0))/2)),IF(circ_int,0,eq_c1/2)+(s_0+4*s_r+IF(circ_int,eq_c1/2,0))*COS((((18+0.5)*(4*IF(circ_int,0,eq_c1/2)+4*IF(circ_int,0,eq_c2/2)+2*PI()*(s_0+4*s_r+IF(circ_int,eq_c1/2,0)))/INDEX(lk_legs,5))-(2*IF(circ_int,0,eq_c2/2)))/(s_0+4*s_r+IF(circ_int,eq_c1/2,0))),IF(((18+0.5)*(4*IF(circ_int,0,eq_c1/2)+4*IF(circ_int,0,eq_c2/2)+2*PI()*(s_0+4*s_r+IF(circ_int,eq_c1/2,0)))/INDEX(lk_legs,5))&lt;(((2*IF(circ_int,0,eq_c2/2))+(PI()*(s_0+4*s_r+IF(circ_int,eq_c1/2,0))/2))+2*IF(circ_int,0,eq_c1/2)),IF(circ_int,0,eq_c1/2)-(((18+0.5)*(4*IF(circ_int,0,eq_c1/2)+4*IF(circ_int,0,eq_c2/2)+2*PI()*(s_0+4*s_r+IF(circ_int,eq_c1/2,0)))/INDEX(lk_legs,5))-((2*IF(circ_int,0,eq_c2/2))+(PI()*(s_0+4*s_r+IF(circ_int,eq_c1/2,0))/2))),IF(((18+0.5)*(4*IF(circ_int,0,eq_c1/2)+4*IF(circ_int,0,eq_c2/2)+2*PI()*(s_0+4*s_r+IF(circ_int,eq_c1/2,0)))/INDEX(lk_legs,5))&lt;((((2*IF(circ_int,0,eq_c2/2))+(PI()*(s_0+4*s_r+IF(circ_int,eq_c1/2,0))/2))+2*IF(circ_int,0,eq_c1/2))+(PI()*(s_0+4*s_r+IF(circ_int,eq_c1/2,0))/2)),-IF(circ_int,0,eq_c1/2)+(s_0+4*s_r+IF(circ_int,eq_c1/2,0))*COS(PI()/2+(((18+0.5)*(4*IF(circ_int,0,eq_c1/2)+4*IF(circ_int,0,eq_c2/2)+2*PI()*(s_0+4*s_r+IF(circ_int,eq_c1/2,0)))/INDEX(lk_legs,5))-(((2*IF(circ_int,0,eq_c2/2))+(PI()*(s_0+4*s_r+IF(circ_int,eq_c1/2,0))/2))+2*IF(circ_int,0,eq_c1/2)))/(s_0+4*s_r+IF(circ_int,eq_c1/2,0))),IF(((18+0.5)*(4*IF(circ_int,0,eq_c1/2)+4*IF(circ_int,0,eq_c2/2)+2*PI()*(s_0+4*s_r+IF(circ_int,eq_c1/2,0)))/INDEX(lk_legs,5))&lt;(((((2*IF(circ_int,0,eq_c2/2))+(PI()*(s_0+4*s_r+IF(circ_int,eq_c1/2,0))/2))+2*IF(circ_int,0,eq_c1/2))+(PI()*(s_0+4*s_r+IF(circ_int,eq_c1/2,0))/2))+2*IF(circ_int,0,eq_c2/2)),-IF(circ_int,0,eq_c1/2)-(s_0+4*s_r+IF(circ_int,eq_c1/2,0)),IF(((18+0.5)*(4*IF(circ_int,0,eq_c1/2)+4*IF(circ_int,0,eq_c2/2)+2*PI()*(s_0+4*s_r+IF(circ_int,eq_c1/2,0)))/INDEX(lk_legs,5))&lt;((((((2*IF(circ_int,0,eq_c2/2))+(PI()*(s_0+4*s_r+IF(circ_int,eq_c1/2,0))/2))+2*IF(circ_int,0,eq_c1/2))+(PI()*(s_0+4*s_r+IF(circ_int,eq_c1/2,0))/2))+2*IF(circ_int,0,eq_c2/2))+(PI()*(s_0+4*s_r+IF(circ_int,eq_c1/2,0))/2)),-IF(circ_int,0,eq_c1/2)+(s_0+4*s_r+IF(circ_int,eq_c1/2,0))*COS(PI()+(((18+0.5)*(4*IF(circ_int,0,eq_c1/2)+4*IF(circ_int,0,eq_c2/2)+2*PI()*(s_0+4*s_r+IF(circ_int,eq_c1/2,0)))/INDEX(lk_legs,5))-(((((2*IF(circ_int,0,eq_c2/2))+(PI()*(s_0+4*s_r+IF(circ_int,eq_c1/2,0))/2))+2*IF(circ_int,0,eq_c1/2))+(PI()*(s_0+4*s_r+IF(circ_int,eq_c1/2,0))/2))+2*IF(circ_int,0,eq_c2/2)))/(s_0+4*s_r+IF(circ_int,eq_c1/2,0))),IF(((18+0.5)*(4*IF(circ_int,0,eq_c1/2)+4*IF(circ_int,0,eq_c2/2)+2*PI()*(s_0+4*s_r+IF(circ_int,eq_c1/2,0)))/INDEX(lk_legs,5))&lt;(((((((2*IF(circ_int,0,eq_c2/2))+(PI()*(s_0+4*s_r+IF(circ_int,eq_c1/2,0))/2))+2*IF(circ_int,0,eq_c1/2))+(PI()*(s_0+4*s_r+IF(circ_int,eq_c1/2,0))/2))+2*IF(circ_int,0,eq_c2/2))+(PI()*(s_0+4*s_r+IF(circ_int,eq_c1/2,0))/2))+2*IF(circ_int,0,eq_c1/2)),-IF(circ_int,0,eq_c1/2)+(((18+0.5)*(4*IF(circ_int,0,eq_c1/2)+4*IF(circ_int,0,eq_c2/2)+2*PI()*(s_0+4*s_r+IF(circ_int,eq_c1/2,0)))/INDEX(lk_legs,5))-((((((2*IF(circ_int,0,eq_c2/2))+(PI()*(s_0+4*s_r+IF(circ_int,eq_c1/2,0))/2))+2*IF(circ_int,0,eq_c1/2))+(PI()*(s_0+4*s_r+IF(circ_int,eq_c1/2,0))/2))+2*IF(circ_int,0,eq_c2/2))+(PI()*(s_0+4*s_r+IF(circ_int,eq_c1/2,0))/2))),IF(circ_int,0,eq_c1/2)+(s_0+4*s_r+IF(circ_int,eq_c1/2,0))*COS(3*PI()/2+(((18+0.5)*(4*IF(circ_int,0,eq_c1/2)+4*IF(circ_int,0,eq_c2/2)+2*PI()*(s_0+4*s_r+IF(circ_int,eq_c1/2,0)))/INDEX(lk_legs,5))-(((((((2*IF(circ_int,0,eq_c2/2))+(PI()*(s_0+4*s_r+IF(circ_int,eq_c1/2,0))/2))+2*IF(circ_int,0,eq_c1/2))+(PI()*(s_0+4*s_r+IF(circ_int,eq_c1/2,0))/2))+2*IF(circ_int,0,eq_c2/2))+(PI()*(s_0+4*s_r+IF(circ_int,eq_c1/2,0))/2))+2*IF(circ_int,0,eq_c1/2)))/(s_0+4*s_r+IF(circ_int,eq_c1/2,0)))))))))),NA())</f>
        <v/>
      </c>
      <c r="BY21">
        <f>IF(AND(AND(links_on,5&lt;=n_per),INDEX(lk_kind,5)=1,18&lt;INDEX(lk_legs,5)),g_oy+IF(((18+0.5)*(4*IF(circ_int,0,eq_c1/2)+4*IF(circ_int,0,eq_c2/2)+2*PI()*(s_0+4*s_r+IF(circ_int,eq_c1/2,0)))/INDEX(lk_legs,5))&lt;(2*IF(circ_int,0,eq_c2/2)),-IF(circ_int,0,eq_c2/2)+((18+0.5)*(4*IF(circ_int,0,eq_c1/2)+4*IF(circ_int,0,eq_c2/2)+2*PI()*(s_0+4*s_r+IF(circ_int,eq_c1/2,0)))/INDEX(lk_legs,5)),IF(((18+0.5)*(4*IF(circ_int,0,eq_c1/2)+4*IF(circ_int,0,eq_c2/2)+2*PI()*(s_0+4*s_r+IF(circ_int,eq_c1/2,0)))/INDEX(lk_legs,5))&lt;((2*IF(circ_int,0,eq_c2/2))+(PI()*(s_0+4*s_r+IF(circ_int,eq_c1/2,0))/2)),IF(circ_int,0,eq_c2/2)+(s_0+4*s_r+IF(circ_int,eq_c1/2,0))*SIN((((18+0.5)*(4*IF(circ_int,0,eq_c1/2)+4*IF(circ_int,0,eq_c2/2)+2*PI()*(s_0+4*s_r+IF(circ_int,eq_c1/2,0)))/INDEX(lk_legs,5))-(2*IF(circ_int,0,eq_c2/2)))/(s_0+4*s_r+IF(circ_int,eq_c1/2,0))),IF(((18+0.5)*(4*IF(circ_int,0,eq_c1/2)+4*IF(circ_int,0,eq_c2/2)+2*PI()*(s_0+4*s_r+IF(circ_int,eq_c1/2,0)))/INDEX(lk_legs,5))&lt;(((2*IF(circ_int,0,eq_c2/2))+(PI()*(s_0+4*s_r+IF(circ_int,eq_c1/2,0))/2))+2*IF(circ_int,0,eq_c1/2)),IF(circ_int,0,eq_c2/2)+(s_0+4*s_r+IF(circ_int,eq_c1/2,0)),IF(((18+0.5)*(4*IF(circ_int,0,eq_c1/2)+4*IF(circ_int,0,eq_c2/2)+2*PI()*(s_0+4*s_r+IF(circ_int,eq_c1/2,0)))/INDEX(lk_legs,5))&lt;((((2*IF(circ_int,0,eq_c2/2))+(PI()*(s_0+4*s_r+IF(circ_int,eq_c1/2,0))/2))+2*IF(circ_int,0,eq_c1/2))+(PI()*(s_0+4*s_r+IF(circ_int,eq_c1/2,0))/2)),IF(circ_int,0,eq_c2/2)+(s_0+4*s_r+IF(circ_int,eq_c1/2,0))*SIN(PI()/2+(((18+0.5)*(4*IF(circ_int,0,eq_c1/2)+4*IF(circ_int,0,eq_c2/2)+2*PI()*(s_0+4*s_r+IF(circ_int,eq_c1/2,0)))/INDEX(lk_legs,5))-(((2*IF(circ_int,0,eq_c2/2))+(PI()*(s_0+4*s_r+IF(circ_int,eq_c1/2,0))/2))+2*IF(circ_int,0,eq_c1/2)))/(s_0+4*s_r+IF(circ_int,eq_c1/2,0))),IF(((18+0.5)*(4*IF(circ_int,0,eq_c1/2)+4*IF(circ_int,0,eq_c2/2)+2*PI()*(s_0+4*s_r+IF(circ_int,eq_c1/2,0)))/INDEX(lk_legs,5))&lt;(((((2*IF(circ_int,0,eq_c2/2))+(PI()*(s_0+4*s_r+IF(circ_int,eq_c1/2,0))/2))+2*IF(circ_int,0,eq_c1/2))+(PI()*(s_0+4*s_r+IF(circ_int,eq_c1/2,0))/2))+2*IF(circ_int,0,eq_c2/2)),IF(circ_int,0,eq_c2/2)-(((18+0.5)*(4*IF(circ_int,0,eq_c1/2)+4*IF(circ_int,0,eq_c2/2)+2*PI()*(s_0+4*s_r+IF(circ_int,eq_c1/2,0)))/INDEX(lk_legs,5))-((((2*IF(circ_int,0,eq_c2/2))+(PI()*(s_0+4*s_r+IF(circ_int,eq_c1/2,0))/2))+2*IF(circ_int,0,eq_c1/2))+(PI()*(s_0+4*s_r+IF(circ_int,eq_c1/2,0))/2))),IF(((18+0.5)*(4*IF(circ_int,0,eq_c1/2)+4*IF(circ_int,0,eq_c2/2)+2*PI()*(s_0+4*s_r+IF(circ_int,eq_c1/2,0)))/INDEX(lk_legs,5))&lt;((((((2*IF(circ_int,0,eq_c2/2))+(PI()*(s_0+4*s_r+IF(circ_int,eq_c1/2,0))/2))+2*IF(circ_int,0,eq_c1/2))+(PI()*(s_0+4*s_r+IF(circ_int,eq_c1/2,0))/2))+2*IF(circ_int,0,eq_c2/2))+(PI()*(s_0+4*s_r+IF(circ_int,eq_c1/2,0))/2)),-IF(circ_int,0,eq_c2/2)+(s_0+4*s_r+IF(circ_int,eq_c1/2,0))*SIN(PI()+(((18+0.5)*(4*IF(circ_int,0,eq_c1/2)+4*IF(circ_int,0,eq_c2/2)+2*PI()*(s_0+4*s_r+IF(circ_int,eq_c1/2,0)))/INDEX(lk_legs,5))-(((((2*IF(circ_int,0,eq_c2/2))+(PI()*(s_0+4*s_r+IF(circ_int,eq_c1/2,0))/2))+2*IF(circ_int,0,eq_c1/2))+(PI()*(s_0+4*s_r+IF(circ_int,eq_c1/2,0))/2))+2*IF(circ_int,0,eq_c2/2)))/(s_0+4*s_r+IF(circ_int,eq_c1/2,0))),IF(((18+0.5)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(18+0.5)*(4*IF(circ_int,0,eq_c1/2)+4*IF(circ_int,0,eq_c2/2)+2*PI()*(s_0+4*s_r+IF(circ_int,eq_c1/2,0)))/INDEX(lk_legs,5))-(((((((2*IF(circ_int,0,eq_c2/2))+(PI()*(s_0+4*s_r+IF(circ_int,eq_c1/2,0))/2))+2*IF(circ_int,0,eq_c1/2))+(PI()*(s_0+4*s_r+IF(circ_int,eq_c1/2,0))/2))+2*IF(circ_int,0,eq_c2/2))+(PI()*(s_0+4*s_r+IF(circ_int,eq_c1/2,0))/2))+2*IF(circ_int,0,eq_c1/2)))/(s_0+4*s_r+IF(circ_int,eq_c1/2,0)))))))))),NA())</f>
        <v/>
      </c>
      <c r="CA21">
        <f>IF(AND(links_on,6&lt;=n_per),IF(circ_int,(g_ox)+(c_1/2+(s_0+5*s_r))*-0.568065,CHOOSE(INDEX(lk_kind,6),(g_ox-eq_c1/2)+((s_0+5*s_r))*-0.608761,(eq_a1+eq_c1)+((s_0+5*s_r))*0.866025,eq_a1+eq_c1+(s_0+5*s_r),(eq_a1+eq_c1)+((s_0+5*s_r))*0.500000)),NA())</f>
        <v/>
      </c>
      <c r="CB21">
        <f>IF(AND(links_on,6&lt;=n_per),IF(circ_int,(g_oy)+(c_1/2+(s_0+5*s_r))*0.822984,CHOOSE(INDEX(lk_kind,6),(g_oy+eq_c2/2)+((s_0+5*s_r))*0.793353,(g_oy-eq_c2/2)+((s_0+5*s_r))*-0.500000,0,(eq_a2+eq_c2)+((s_0+5*s_r))*0.866025)),NA())</f>
        <v/>
      </c>
      <c r="CD21">
        <f>IF(AND(AND(links_on,6&lt;=n_per),INDEX(lk_kind,6)=1,18&lt;INDEX(lk_legs,6)),g_ox+IF(((18+0.5)*(4*IF(circ_int,0,eq_c1/2)+4*IF(circ_int,0,eq_c2/2)+2*PI()*(s_0+5*s_r+IF(circ_int,eq_c1/2,0)))/INDEX(lk_legs,6))&lt;(2*IF(circ_int,0,eq_c2/2)),IF(circ_int,0,eq_c1/2)+(s_0+5*s_r+IF(circ_int,eq_c1/2,0)),IF(((18+0.5)*(4*IF(circ_int,0,eq_c1/2)+4*IF(circ_int,0,eq_c2/2)+2*PI()*(s_0+5*s_r+IF(circ_int,eq_c1/2,0)))/INDEX(lk_legs,6))&lt;((2*IF(circ_int,0,eq_c2/2))+(PI()*(s_0+5*s_r+IF(circ_int,eq_c1/2,0))/2)),IF(circ_int,0,eq_c1/2)+(s_0+5*s_r+IF(circ_int,eq_c1/2,0))*COS((((18+0.5)*(4*IF(circ_int,0,eq_c1/2)+4*IF(circ_int,0,eq_c2/2)+2*PI()*(s_0+5*s_r+IF(circ_int,eq_c1/2,0)))/INDEX(lk_legs,6))-(2*IF(circ_int,0,eq_c2/2)))/(s_0+5*s_r+IF(circ_int,eq_c1/2,0))),IF(((18+0.5)*(4*IF(circ_int,0,eq_c1/2)+4*IF(circ_int,0,eq_c2/2)+2*PI()*(s_0+5*s_r+IF(circ_int,eq_c1/2,0)))/INDEX(lk_legs,6))&lt;(((2*IF(circ_int,0,eq_c2/2))+(PI()*(s_0+5*s_r+IF(circ_int,eq_c1/2,0))/2))+2*IF(circ_int,0,eq_c1/2)),IF(circ_int,0,eq_c1/2)-(((18+0.5)*(4*IF(circ_int,0,eq_c1/2)+4*IF(circ_int,0,eq_c2/2)+2*PI()*(s_0+5*s_r+IF(circ_int,eq_c1/2,0)))/INDEX(lk_legs,6))-((2*IF(circ_int,0,eq_c2/2))+(PI()*(s_0+5*s_r+IF(circ_int,eq_c1/2,0))/2))),IF(((18+0.5)*(4*IF(circ_int,0,eq_c1/2)+4*IF(circ_int,0,eq_c2/2)+2*PI()*(s_0+5*s_r+IF(circ_int,eq_c1/2,0)))/INDEX(lk_legs,6))&lt;((((2*IF(circ_int,0,eq_c2/2))+(PI()*(s_0+5*s_r+IF(circ_int,eq_c1/2,0))/2))+2*IF(circ_int,0,eq_c1/2))+(PI()*(s_0+5*s_r+IF(circ_int,eq_c1/2,0))/2)),-IF(circ_int,0,eq_c1/2)+(s_0+5*s_r+IF(circ_int,eq_c1/2,0))*COS(PI()/2+(((18+0.5)*(4*IF(circ_int,0,eq_c1/2)+4*IF(circ_int,0,eq_c2/2)+2*PI()*(s_0+5*s_r+IF(circ_int,eq_c1/2,0)))/INDEX(lk_legs,6))-(((2*IF(circ_int,0,eq_c2/2))+(PI()*(s_0+5*s_r+IF(circ_int,eq_c1/2,0))/2))+2*IF(circ_int,0,eq_c1/2)))/(s_0+5*s_r+IF(circ_int,eq_c1/2,0))),IF(((18+0.5)*(4*IF(circ_int,0,eq_c1/2)+4*IF(circ_int,0,eq_c2/2)+2*PI()*(s_0+5*s_r+IF(circ_int,eq_c1/2,0)))/INDEX(lk_legs,6))&lt;(((((2*IF(circ_int,0,eq_c2/2))+(PI()*(s_0+5*s_r+IF(circ_int,eq_c1/2,0))/2))+2*IF(circ_int,0,eq_c1/2))+(PI()*(s_0+5*s_r+IF(circ_int,eq_c1/2,0))/2))+2*IF(circ_int,0,eq_c2/2)),-IF(circ_int,0,eq_c1/2)-(s_0+5*s_r+IF(circ_int,eq_c1/2,0)),IF(((18+0.5)*(4*IF(circ_int,0,eq_c1/2)+4*IF(circ_int,0,eq_c2/2)+2*PI()*(s_0+5*s_r+IF(circ_int,eq_c1/2,0)))/INDEX(lk_legs,6))&lt;((((((2*IF(circ_int,0,eq_c2/2))+(PI()*(s_0+5*s_r+IF(circ_int,eq_c1/2,0))/2))+2*IF(circ_int,0,eq_c1/2))+(PI()*(s_0+5*s_r+IF(circ_int,eq_c1/2,0))/2))+2*IF(circ_int,0,eq_c2/2))+(PI()*(s_0+5*s_r+IF(circ_int,eq_c1/2,0))/2)),-IF(circ_int,0,eq_c1/2)+(s_0+5*s_r+IF(circ_int,eq_c1/2,0))*COS(PI()+(((18+0.5)*(4*IF(circ_int,0,eq_c1/2)+4*IF(circ_int,0,eq_c2/2)+2*PI()*(s_0+5*s_r+IF(circ_int,eq_c1/2,0)))/INDEX(lk_legs,6))-(((((2*IF(circ_int,0,eq_c2/2))+(PI()*(s_0+5*s_r+IF(circ_int,eq_c1/2,0))/2))+2*IF(circ_int,0,eq_c1/2))+(PI()*(s_0+5*s_r+IF(circ_int,eq_c1/2,0))/2))+2*IF(circ_int,0,eq_c2/2)))/(s_0+5*s_r+IF(circ_int,eq_c1/2,0))),IF(((18+0.5)*(4*IF(circ_int,0,eq_c1/2)+4*IF(circ_int,0,eq_c2/2)+2*PI()*(s_0+5*s_r+IF(circ_int,eq_c1/2,0)))/INDEX(lk_legs,6))&lt;(((((((2*IF(circ_int,0,eq_c2/2))+(PI()*(s_0+5*s_r+IF(circ_int,eq_c1/2,0))/2))+2*IF(circ_int,0,eq_c1/2))+(PI()*(s_0+5*s_r+IF(circ_int,eq_c1/2,0))/2))+2*IF(circ_int,0,eq_c2/2))+(PI()*(s_0+5*s_r+IF(circ_int,eq_c1/2,0))/2))+2*IF(circ_int,0,eq_c1/2)),-IF(circ_int,0,eq_c1/2)+(((18+0.5)*(4*IF(circ_int,0,eq_c1/2)+4*IF(circ_int,0,eq_c2/2)+2*PI()*(s_0+5*s_r+IF(circ_int,eq_c1/2,0)))/INDEX(lk_legs,6))-((((((2*IF(circ_int,0,eq_c2/2))+(PI()*(s_0+5*s_r+IF(circ_int,eq_c1/2,0))/2))+2*IF(circ_int,0,eq_c1/2))+(PI()*(s_0+5*s_r+IF(circ_int,eq_c1/2,0))/2))+2*IF(circ_int,0,eq_c2/2))+(PI()*(s_0+5*s_r+IF(circ_int,eq_c1/2,0))/2))),IF(circ_int,0,eq_c1/2)+(s_0+5*s_r+IF(circ_int,eq_c1/2,0))*COS(3*PI()/2+(((18+0.5)*(4*IF(circ_int,0,eq_c1/2)+4*IF(circ_int,0,eq_c2/2)+2*PI()*(s_0+5*s_r+IF(circ_int,eq_c1/2,0)))/INDEX(lk_legs,6))-(((((((2*IF(circ_int,0,eq_c2/2))+(PI()*(s_0+5*s_r+IF(circ_int,eq_c1/2,0))/2))+2*IF(circ_int,0,eq_c1/2))+(PI()*(s_0+5*s_r+IF(circ_int,eq_c1/2,0))/2))+2*IF(circ_int,0,eq_c2/2))+(PI()*(s_0+5*s_r+IF(circ_int,eq_c1/2,0))/2))+2*IF(circ_int,0,eq_c1/2)))/(s_0+5*s_r+IF(circ_int,eq_c1/2,0)))))))))),NA())</f>
        <v/>
      </c>
      <c r="CE21">
        <f>IF(AND(AND(links_on,6&lt;=n_per),INDEX(lk_kind,6)=1,18&lt;INDEX(lk_legs,6)),g_oy+IF(((18+0.5)*(4*IF(circ_int,0,eq_c1/2)+4*IF(circ_int,0,eq_c2/2)+2*PI()*(s_0+5*s_r+IF(circ_int,eq_c1/2,0)))/INDEX(lk_legs,6))&lt;(2*IF(circ_int,0,eq_c2/2)),-IF(circ_int,0,eq_c2/2)+((18+0.5)*(4*IF(circ_int,0,eq_c1/2)+4*IF(circ_int,0,eq_c2/2)+2*PI()*(s_0+5*s_r+IF(circ_int,eq_c1/2,0)))/INDEX(lk_legs,6)),IF(((18+0.5)*(4*IF(circ_int,0,eq_c1/2)+4*IF(circ_int,0,eq_c2/2)+2*PI()*(s_0+5*s_r+IF(circ_int,eq_c1/2,0)))/INDEX(lk_legs,6))&lt;((2*IF(circ_int,0,eq_c2/2))+(PI()*(s_0+5*s_r+IF(circ_int,eq_c1/2,0))/2)),IF(circ_int,0,eq_c2/2)+(s_0+5*s_r+IF(circ_int,eq_c1/2,0))*SIN((((18+0.5)*(4*IF(circ_int,0,eq_c1/2)+4*IF(circ_int,0,eq_c2/2)+2*PI()*(s_0+5*s_r+IF(circ_int,eq_c1/2,0)))/INDEX(lk_legs,6))-(2*IF(circ_int,0,eq_c2/2)))/(s_0+5*s_r+IF(circ_int,eq_c1/2,0))),IF(((18+0.5)*(4*IF(circ_int,0,eq_c1/2)+4*IF(circ_int,0,eq_c2/2)+2*PI()*(s_0+5*s_r+IF(circ_int,eq_c1/2,0)))/INDEX(lk_legs,6))&lt;(((2*IF(circ_int,0,eq_c2/2))+(PI()*(s_0+5*s_r+IF(circ_int,eq_c1/2,0))/2))+2*IF(circ_int,0,eq_c1/2)),IF(circ_int,0,eq_c2/2)+(s_0+5*s_r+IF(circ_int,eq_c1/2,0)),IF(((18+0.5)*(4*IF(circ_int,0,eq_c1/2)+4*IF(circ_int,0,eq_c2/2)+2*PI()*(s_0+5*s_r+IF(circ_int,eq_c1/2,0)))/INDEX(lk_legs,6))&lt;((((2*IF(circ_int,0,eq_c2/2))+(PI()*(s_0+5*s_r+IF(circ_int,eq_c1/2,0))/2))+2*IF(circ_int,0,eq_c1/2))+(PI()*(s_0+5*s_r+IF(circ_int,eq_c1/2,0))/2)),IF(circ_int,0,eq_c2/2)+(s_0+5*s_r+IF(circ_int,eq_c1/2,0))*SIN(PI()/2+(((18+0.5)*(4*IF(circ_int,0,eq_c1/2)+4*IF(circ_int,0,eq_c2/2)+2*PI()*(s_0+5*s_r+IF(circ_int,eq_c1/2,0)))/INDEX(lk_legs,6))-(((2*IF(circ_int,0,eq_c2/2))+(PI()*(s_0+5*s_r+IF(circ_int,eq_c1/2,0))/2))+2*IF(circ_int,0,eq_c1/2)))/(s_0+5*s_r+IF(circ_int,eq_c1/2,0))),IF(((18+0.5)*(4*IF(circ_int,0,eq_c1/2)+4*IF(circ_int,0,eq_c2/2)+2*PI()*(s_0+5*s_r+IF(circ_int,eq_c1/2,0)))/INDEX(lk_legs,6))&lt;(((((2*IF(circ_int,0,eq_c2/2))+(PI()*(s_0+5*s_r+IF(circ_int,eq_c1/2,0))/2))+2*IF(circ_int,0,eq_c1/2))+(PI()*(s_0+5*s_r+IF(circ_int,eq_c1/2,0))/2))+2*IF(circ_int,0,eq_c2/2)),IF(circ_int,0,eq_c2/2)-(((18+0.5)*(4*IF(circ_int,0,eq_c1/2)+4*IF(circ_int,0,eq_c2/2)+2*PI()*(s_0+5*s_r+IF(circ_int,eq_c1/2,0)))/INDEX(lk_legs,6))-((((2*IF(circ_int,0,eq_c2/2))+(PI()*(s_0+5*s_r+IF(circ_int,eq_c1/2,0))/2))+2*IF(circ_int,0,eq_c1/2))+(PI()*(s_0+5*s_r+IF(circ_int,eq_c1/2,0))/2))),IF(((18+0.5)*(4*IF(circ_int,0,eq_c1/2)+4*IF(circ_int,0,eq_c2/2)+2*PI()*(s_0+5*s_r+IF(circ_int,eq_c1/2,0)))/INDEX(lk_legs,6))&lt;((((((2*IF(circ_int,0,eq_c2/2))+(PI()*(s_0+5*s_r+IF(circ_int,eq_c1/2,0))/2))+2*IF(circ_int,0,eq_c1/2))+(PI()*(s_0+5*s_r+IF(circ_int,eq_c1/2,0))/2))+2*IF(circ_int,0,eq_c2/2))+(PI()*(s_0+5*s_r+IF(circ_int,eq_c1/2,0))/2)),-IF(circ_int,0,eq_c2/2)+(s_0+5*s_r+IF(circ_int,eq_c1/2,0))*SIN(PI()+(((18+0.5)*(4*IF(circ_int,0,eq_c1/2)+4*IF(circ_int,0,eq_c2/2)+2*PI()*(s_0+5*s_r+IF(circ_int,eq_c1/2,0)))/INDEX(lk_legs,6))-(((((2*IF(circ_int,0,eq_c2/2))+(PI()*(s_0+5*s_r+IF(circ_int,eq_c1/2,0))/2))+2*IF(circ_int,0,eq_c1/2))+(PI()*(s_0+5*s_r+IF(circ_int,eq_c1/2,0))/2))+2*IF(circ_int,0,eq_c2/2)))/(s_0+5*s_r+IF(circ_int,eq_c1/2,0))),IF(((18+0.5)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(18+0.5)*(4*IF(circ_int,0,eq_c1/2)+4*IF(circ_int,0,eq_c2/2)+2*PI()*(s_0+5*s_r+IF(circ_int,eq_c1/2,0)))/INDEX(lk_legs,6))-(((((((2*IF(circ_int,0,eq_c2/2))+(PI()*(s_0+5*s_r+IF(circ_int,eq_c1/2,0))/2))+2*IF(circ_int,0,eq_c1/2))+(PI()*(s_0+5*s_r+IF(circ_int,eq_c1/2,0))/2))+2*IF(circ_int,0,eq_c2/2))+(PI()*(s_0+5*s_r+IF(circ_int,eq_c1/2,0))/2))+2*IF(circ_int,0,eq_c1/2)))/(s_0+5*s_r+IF(circ_int,eq_c1/2,0)))))))))),NA())</f>
        <v/>
      </c>
      <c r="CG21">
        <f>IF(AND(links_on,7&lt;=n_per),IF(circ_int,(g_ox)+(c_1/2+(s_0+6*s_r))*-0.568065,CHOOSE(INDEX(lk_kind,7),(g_ox-eq_c1/2)+((s_0+6*s_r))*-0.608761,(eq_a1+eq_c1)+((s_0+6*s_r))*0.866025,eq_a1+eq_c1+(s_0+6*s_r),(eq_a1+eq_c1)+((s_0+6*s_r))*0.500000)),NA())</f>
        <v/>
      </c>
      <c r="CH21">
        <f>IF(AND(links_on,7&lt;=n_per),IF(circ_int,(g_oy)+(c_1/2+(s_0+6*s_r))*0.822984,CHOOSE(INDEX(lk_kind,7),(g_oy+eq_c2/2)+((s_0+6*s_r))*0.793353,(g_oy-eq_c2/2)+((s_0+6*s_r))*-0.500000,0,(eq_a2+eq_c2)+((s_0+6*s_r))*0.866025)),NA())</f>
        <v/>
      </c>
      <c r="CJ21">
        <f>IF(AND(AND(links_on,7&lt;=n_per),INDEX(lk_kind,7)=1,18&lt;INDEX(lk_legs,7)),g_ox+IF(((18+0.5)*(4*IF(circ_int,0,eq_c1/2)+4*IF(circ_int,0,eq_c2/2)+2*PI()*(s_0+6*s_r+IF(circ_int,eq_c1/2,0)))/INDEX(lk_legs,7))&lt;(2*IF(circ_int,0,eq_c2/2)),IF(circ_int,0,eq_c1/2)+(s_0+6*s_r+IF(circ_int,eq_c1/2,0)),IF(((18+0.5)*(4*IF(circ_int,0,eq_c1/2)+4*IF(circ_int,0,eq_c2/2)+2*PI()*(s_0+6*s_r+IF(circ_int,eq_c1/2,0)))/INDEX(lk_legs,7))&lt;((2*IF(circ_int,0,eq_c2/2))+(PI()*(s_0+6*s_r+IF(circ_int,eq_c1/2,0))/2)),IF(circ_int,0,eq_c1/2)+(s_0+6*s_r+IF(circ_int,eq_c1/2,0))*COS((((18+0.5)*(4*IF(circ_int,0,eq_c1/2)+4*IF(circ_int,0,eq_c2/2)+2*PI()*(s_0+6*s_r+IF(circ_int,eq_c1/2,0)))/INDEX(lk_legs,7))-(2*IF(circ_int,0,eq_c2/2)))/(s_0+6*s_r+IF(circ_int,eq_c1/2,0))),IF(((18+0.5)*(4*IF(circ_int,0,eq_c1/2)+4*IF(circ_int,0,eq_c2/2)+2*PI()*(s_0+6*s_r+IF(circ_int,eq_c1/2,0)))/INDEX(lk_legs,7))&lt;(((2*IF(circ_int,0,eq_c2/2))+(PI()*(s_0+6*s_r+IF(circ_int,eq_c1/2,0))/2))+2*IF(circ_int,0,eq_c1/2)),IF(circ_int,0,eq_c1/2)-(((18+0.5)*(4*IF(circ_int,0,eq_c1/2)+4*IF(circ_int,0,eq_c2/2)+2*PI()*(s_0+6*s_r+IF(circ_int,eq_c1/2,0)))/INDEX(lk_legs,7))-((2*IF(circ_int,0,eq_c2/2))+(PI()*(s_0+6*s_r+IF(circ_int,eq_c1/2,0))/2))),IF(((18+0.5)*(4*IF(circ_int,0,eq_c1/2)+4*IF(circ_int,0,eq_c2/2)+2*PI()*(s_0+6*s_r+IF(circ_int,eq_c1/2,0)))/INDEX(lk_legs,7))&lt;((((2*IF(circ_int,0,eq_c2/2))+(PI()*(s_0+6*s_r+IF(circ_int,eq_c1/2,0))/2))+2*IF(circ_int,0,eq_c1/2))+(PI()*(s_0+6*s_r+IF(circ_int,eq_c1/2,0))/2)),-IF(circ_int,0,eq_c1/2)+(s_0+6*s_r+IF(circ_int,eq_c1/2,0))*COS(PI()/2+(((18+0.5)*(4*IF(circ_int,0,eq_c1/2)+4*IF(circ_int,0,eq_c2/2)+2*PI()*(s_0+6*s_r+IF(circ_int,eq_c1/2,0)))/INDEX(lk_legs,7))-(((2*IF(circ_int,0,eq_c2/2))+(PI()*(s_0+6*s_r+IF(circ_int,eq_c1/2,0))/2))+2*IF(circ_int,0,eq_c1/2)))/(s_0+6*s_r+IF(circ_int,eq_c1/2,0))),IF(((18+0.5)*(4*IF(circ_int,0,eq_c1/2)+4*IF(circ_int,0,eq_c2/2)+2*PI()*(s_0+6*s_r+IF(circ_int,eq_c1/2,0)))/INDEX(lk_legs,7))&lt;(((((2*IF(circ_int,0,eq_c2/2))+(PI()*(s_0+6*s_r+IF(circ_int,eq_c1/2,0))/2))+2*IF(circ_int,0,eq_c1/2))+(PI()*(s_0+6*s_r+IF(circ_int,eq_c1/2,0))/2))+2*IF(circ_int,0,eq_c2/2)),-IF(circ_int,0,eq_c1/2)-(s_0+6*s_r+IF(circ_int,eq_c1/2,0)),IF(((18+0.5)*(4*IF(circ_int,0,eq_c1/2)+4*IF(circ_int,0,eq_c2/2)+2*PI()*(s_0+6*s_r+IF(circ_int,eq_c1/2,0)))/INDEX(lk_legs,7))&lt;((((((2*IF(circ_int,0,eq_c2/2))+(PI()*(s_0+6*s_r+IF(circ_int,eq_c1/2,0))/2))+2*IF(circ_int,0,eq_c1/2))+(PI()*(s_0+6*s_r+IF(circ_int,eq_c1/2,0))/2))+2*IF(circ_int,0,eq_c2/2))+(PI()*(s_0+6*s_r+IF(circ_int,eq_c1/2,0))/2)),-IF(circ_int,0,eq_c1/2)+(s_0+6*s_r+IF(circ_int,eq_c1/2,0))*COS(PI()+(((18+0.5)*(4*IF(circ_int,0,eq_c1/2)+4*IF(circ_int,0,eq_c2/2)+2*PI()*(s_0+6*s_r+IF(circ_int,eq_c1/2,0)))/INDEX(lk_legs,7))-(((((2*IF(circ_int,0,eq_c2/2))+(PI()*(s_0+6*s_r+IF(circ_int,eq_c1/2,0))/2))+2*IF(circ_int,0,eq_c1/2))+(PI()*(s_0+6*s_r+IF(circ_int,eq_c1/2,0))/2))+2*IF(circ_int,0,eq_c2/2)))/(s_0+6*s_r+IF(circ_int,eq_c1/2,0))),IF(((18+0.5)*(4*IF(circ_int,0,eq_c1/2)+4*IF(circ_int,0,eq_c2/2)+2*PI()*(s_0+6*s_r+IF(circ_int,eq_c1/2,0)))/INDEX(lk_legs,7))&lt;(((((((2*IF(circ_int,0,eq_c2/2))+(PI()*(s_0+6*s_r+IF(circ_int,eq_c1/2,0))/2))+2*IF(circ_int,0,eq_c1/2))+(PI()*(s_0+6*s_r+IF(circ_int,eq_c1/2,0))/2))+2*IF(circ_int,0,eq_c2/2))+(PI()*(s_0+6*s_r+IF(circ_int,eq_c1/2,0))/2))+2*IF(circ_int,0,eq_c1/2)),-IF(circ_int,0,eq_c1/2)+(((18+0.5)*(4*IF(circ_int,0,eq_c1/2)+4*IF(circ_int,0,eq_c2/2)+2*PI()*(s_0+6*s_r+IF(circ_int,eq_c1/2,0)))/INDEX(lk_legs,7))-((((((2*IF(circ_int,0,eq_c2/2))+(PI()*(s_0+6*s_r+IF(circ_int,eq_c1/2,0))/2))+2*IF(circ_int,0,eq_c1/2))+(PI()*(s_0+6*s_r+IF(circ_int,eq_c1/2,0))/2))+2*IF(circ_int,0,eq_c2/2))+(PI()*(s_0+6*s_r+IF(circ_int,eq_c1/2,0))/2))),IF(circ_int,0,eq_c1/2)+(s_0+6*s_r+IF(circ_int,eq_c1/2,0))*COS(3*PI()/2+(((18+0.5)*(4*IF(circ_int,0,eq_c1/2)+4*IF(circ_int,0,eq_c2/2)+2*PI()*(s_0+6*s_r+IF(circ_int,eq_c1/2,0)))/INDEX(lk_legs,7))-(((((((2*IF(circ_int,0,eq_c2/2))+(PI()*(s_0+6*s_r+IF(circ_int,eq_c1/2,0))/2))+2*IF(circ_int,0,eq_c1/2))+(PI()*(s_0+6*s_r+IF(circ_int,eq_c1/2,0))/2))+2*IF(circ_int,0,eq_c2/2))+(PI()*(s_0+6*s_r+IF(circ_int,eq_c1/2,0))/2))+2*IF(circ_int,0,eq_c1/2)))/(s_0+6*s_r+IF(circ_int,eq_c1/2,0)))))))))),NA())</f>
        <v/>
      </c>
      <c r="CK21">
        <f>IF(AND(AND(links_on,7&lt;=n_per),INDEX(lk_kind,7)=1,18&lt;INDEX(lk_legs,7)),g_oy+IF(((18+0.5)*(4*IF(circ_int,0,eq_c1/2)+4*IF(circ_int,0,eq_c2/2)+2*PI()*(s_0+6*s_r+IF(circ_int,eq_c1/2,0)))/INDEX(lk_legs,7))&lt;(2*IF(circ_int,0,eq_c2/2)),-IF(circ_int,0,eq_c2/2)+((18+0.5)*(4*IF(circ_int,0,eq_c1/2)+4*IF(circ_int,0,eq_c2/2)+2*PI()*(s_0+6*s_r+IF(circ_int,eq_c1/2,0)))/INDEX(lk_legs,7)),IF(((18+0.5)*(4*IF(circ_int,0,eq_c1/2)+4*IF(circ_int,0,eq_c2/2)+2*PI()*(s_0+6*s_r+IF(circ_int,eq_c1/2,0)))/INDEX(lk_legs,7))&lt;((2*IF(circ_int,0,eq_c2/2))+(PI()*(s_0+6*s_r+IF(circ_int,eq_c1/2,0))/2)),IF(circ_int,0,eq_c2/2)+(s_0+6*s_r+IF(circ_int,eq_c1/2,0))*SIN((((18+0.5)*(4*IF(circ_int,0,eq_c1/2)+4*IF(circ_int,0,eq_c2/2)+2*PI()*(s_0+6*s_r+IF(circ_int,eq_c1/2,0)))/INDEX(lk_legs,7))-(2*IF(circ_int,0,eq_c2/2)))/(s_0+6*s_r+IF(circ_int,eq_c1/2,0))),IF(((18+0.5)*(4*IF(circ_int,0,eq_c1/2)+4*IF(circ_int,0,eq_c2/2)+2*PI()*(s_0+6*s_r+IF(circ_int,eq_c1/2,0)))/INDEX(lk_legs,7))&lt;(((2*IF(circ_int,0,eq_c2/2))+(PI()*(s_0+6*s_r+IF(circ_int,eq_c1/2,0))/2))+2*IF(circ_int,0,eq_c1/2)),IF(circ_int,0,eq_c2/2)+(s_0+6*s_r+IF(circ_int,eq_c1/2,0)),IF(((18+0.5)*(4*IF(circ_int,0,eq_c1/2)+4*IF(circ_int,0,eq_c2/2)+2*PI()*(s_0+6*s_r+IF(circ_int,eq_c1/2,0)))/INDEX(lk_legs,7))&lt;((((2*IF(circ_int,0,eq_c2/2))+(PI()*(s_0+6*s_r+IF(circ_int,eq_c1/2,0))/2))+2*IF(circ_int,0,eq_c1/2))+(PI()*(s_0+6*s_r+IF(circ_int,eq_c1/2,0))/2)),IF(circ_int,0,eq_c2/2)+(s_0+6*s_r+IF(circ_int,eq_c1/2,0))*SIN(PI()/2+(((18+0.5)*(4*IF(circ_int,0,eq_c1/2)+4*IF(circ_int,0,eq_c2/2)+2*PI()*(s_0+6*s_r+IF(circ_int,eq_c1/2,0)))/INDEX(lk_legs,7))-(((2*IF(circ_int,0,eq_c2/2))+(PI()*(s_0+6*s_r+IF(circ_int,eq_c1/2,0))/2))+2*IF(circ_int,0,eq_c1/2)))/(s_0+6*s_r+IF(circ_int,eq_c1/2,0))),IF(((18+0.5)*(4*IF(circ_int,0,eq_c1/2)+4*IF(circ_int,0,eq_c2/2)+2*PI()*(s_0+6*s_r+IF(circ_int,eq_c1/2,0)))/INDEX(lk_legs,7))&lt;(((((2*IF(circ_int,0,eq_c2/2))+(PI()*(s_0+6*s_r+IF(circ_int,eq_c1/2,0))/2))+2*IF(circ_int,0,eq_c1/2))+(PI()*(s_0+6*s_r+IF(circ_int,eq_c1/2,0))/2))+2*IF(circ_int,0,eq_c2/2)),IF(circ_int,0,eq_c2/2)-(((18+0.5)*(4*IF(circ_int,0,eq_c1/2)+4*IF(circ_int,0,eq_c2/2)+2*PI()*(s_0+6*s_r+IF(circ_int,eq_c1/2,0)))/INDEX(lk_legs,7))-((((2*IF(circ_int,0,eq_c2/2))+(PI()*(s_0+6*s_r+IF(circ_int,eq_c1/2,0))/2))+2*IF(circ_int,0,eq_c1/2))+(PI()*(s_0+6*s_r+IF(circ_int,eq_c1/2,0))/2))),IF(((18+0.5)*(4*IF(circ_int,0,eq_c1/2)+4*IF(circ_int,0,eq_c2/2)+2*PI()*(s_0+6*s_r+IF(circ_int,eq_c1/2,0)))/INDEX(lk_legs,7))&lt;((((((2*IF(circ_int,0,eq_c2/2))+(PI()*(s_0+6*s_r+IF(circ_int,eq_c1/2,0))/2))+2*IF(circ_int,0,eq_c1/2))+(PI()*(s_0+6*s_r+IF(circ_int,eq_c1/2,0))/2))+2*IF(circ_int,0,eq_c2/2))+(PI()*(s_0+6*s_r+IF(circ_int,eq_c1/2,0))/2)),-IF(circ_int,0,eq_c2/2)+(s_0+6*s_r+IF(circ_int,eq_c1/2,0))*SIN(PI()+(((18+0.5)*(4*IF(circ_int,0,eq_c1/2)+4*IF(circ_int,0,eq_c2/2)+2*PI()*(s_0+6*s_r+IF(circ_int,eq_c1/2,0)))/INDEX(lk_legs,7))-(((((2*IF(circ_int,0,eq_c2/2))+(PI()*(s_0+6*s_r+IF(circ_int,eq_c1/2,0))/2))+2*IF(circ_int,0,eq_c1/2))+(PI()*(s_0+6*s_r+IF(circ_int,eq_c1/2,0))/2))+2*IF(circ_int,0,eq_c2/2)))/(s_0+6*s_r+IF(circ_int,eq_c1/2,0))),IF(((18+0.5)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(18+0.5)*(4*IF(circ_int,0,eq_c1/2)+4*IF(circ_int,0,eq_c2/2)+2*PI()*(s_0+6*s_r+IF(circ_int,eq_c1/2,0)))/INDEX(lk_legs,7))-(((((((2*IF(circ_int,0,eq_c2/2))+(PI()*(s_0+6*s_r+IF(circ_int,eq_c1/2,0))/2))+2*IF(circ_int,0,eq_c1/2))+(PI()*(s_0+6*s_r+IF(circ_int,eq_c1/2,0))/2))+2*IF(circ_int,0,eq_c2/2))+(PI()*(s_0+6*s_r+IF(circ_int,eq_c1/2,0))/2))+2*IF(circ_int,0,eq_c1/2)))/(s_0+6*s_r+IF(circ_int,eq_c1/2,0)))))))))),NA())</f>
        <v/>
      </c>
      <c r="CM21">
        <f>IF(AND(links_on,8&lt;=n_per),IF(circ_int,(g_ox)+(c_1/2+(s_0+7*s_r))*-0.568065,CHOOSE(INDEX(lk_kind,8),(g_ox-eq_c1/2)+((s_0+7*s_r))*-0.608761,(eq_a1+eq_c1)+((s_0+7*s_r))*0.866025,eq_a1+eq_c1+(s_0+7*s_r),(eq_a1+eq_c1)+((s_0+7*s_r))*0.500000)),NA())</f>
        <v/>
      </c>
      <c r="CN21">
        <f>IF(AND(links_on,8&lt;=n_per),IF(circ_int,(g_oy)+(c_1/2+(s_0+7*s_r))*0.822984,CHOOSE(INDEX(lk_kind,8),(g_oy+eq_c2/2)+((s_0+7*s_r))*0.793353,(g_oy-eq_c2/2)+((s_0+7*s_r))*-0.500000,0,(eq_a2+eq_c2)+((s_0+7*s_r))*0.866025)),NA())</f>
        <v/>
      </c>
      <c r="CP21">
        <f>IF(AND(AND(links_on,8&lt;=n_per),INDEX(lk_kind,8)=1,18&lt;INDEX(lk_legs,8)),g_ox+IF(((18+0.5)*(4*IF(circ_int,0,eq_c1/2)+4*IF(circ_int,0,eq_c2/2)+2*PI()*(s_0+7*s_r+IF(circ_int,eq_c1/2,0)))/INDEX(lk_legs,8))&lt;(2*IF(circ_int,0,eq_c2/2)),IF(circ_int,0,eq_c1/2)+(s_0+7*s_r+IF(circ_int,eq_c1/2,0)),IF(((18+0.5)*(4*IF(circ_int,0,eq_c1/2)+4*IF(circ_int,0,eq_c2/2)+2*PI()*(s_0+7*s_r+IF(circ_int,eq_c1/2,0)))/INDEX(lk_legs,8))&lt;((2*IF(circ_int,0,eq_c2/2))+(PI()*(s_0+7*s_r+IF(circ_int,eq_c1/2,0))/2)),IF(circ_int,0,eq_c1/2)+(s_0+7*s_r+IF(circ_int,eq_c1/2,0))*COS((((18+0.5)*(4*IF(circ_int,0,eq_c1/2)+4*IF(circ_int,0,eq_c2/2)+2*PI()*(s_0+7*s_r+IF(circ_int,eq_c1/2,0)))/INDEX(lk_legs,8))-(2*IF(circ_int,0,eq_c2/2)))/(s_0+7*s_r+IF(circ_int,eq_c1/2,0))),IF(((18+0.5)*(4*IF(circ_int,0,eq_c1/2)+4*IF(circ_int,0,eq_c2/2)+2*PI()*(s_0+7*s_r+IF(circ_int,eq_c1/2,0)))/INDEX(lk_legs,8))&lt;(((2*IF(circ_int,0,eq_c2/2))+(PI()*(s_0+7*s_r+IF(circ_int,eq_c1/2,0))/2))+2*IF(circ_int,0,eq_c1/2)),IF(circ_int,0,eq_c1/2)-(((18+0.5)*(4*IF(circ_int,0,eq_c1/2)+4*IF(circ_int,0,eq_c2/2)+2*PI()*(s_0+7*s_r+IF(circ_int,eq_c1/2,0)))/INDEX(lk_legs,8))-((2*IF(circ_int,0,eq_c2/2))+(PI()*(s_0+7*s_r+IF(circ_int,eq_c1/2,0))/2))),IF(((18+0.5)*(4*IF(circ_int,0,eq_c1/2)+4*IF(circ_int,0,eq_c2/2)+2*PI()*(s_0+7*s_r+IF(circ_int,eq_c1/2,0)))/INDEX(lk_legs,8))&lt;((((2*IF(circ_int,0,eq_c2/2))+(PI()*(s_0+7*s_r+IF(circ_int,eq_c1/2,0))/2))+2*IF(circ_int,0,eq_c1/2))+(PI()*(s_0+7*s_r+IF(circ_int,eq_c1/2,0))/2)),-IF(circ_int,0,eq_c1/2)+(s_0+7*s_r+IF(circ_int,eq_c1/2,0))*COS(PI()/2+(((18+0.5)*(4*IF(circ_int,0,eq_c1/2)+4*IF(circ_int,0,eq_c2/2)+2*PI()*(s_0+7*s_r+IF(circ_int,eq_c1/2,0)))/INDEX(lk_legs,8))-(((2*IF(circ_int,0,eq_c2/2))+(PI()*(s_0+7*s_r+IF(circ_int,eq_c1/2,0))/2))+2*IF(circ_int,0,eq_c1/2)))/(s_0+7*s_r+IF(circ_int,eq_c1/2,0))),IF(((18+0.5)*(4*IF(circ_int,0,eq_c1/2)+4*IF(circ_int,0,eq_c2/2)+2*PI()*(s_0+7*s_r+IF(circ_int,eq_c1/2,0)))/INDEX(lk_legs,8))&lt;(((((2*IF(circ_int,0,eq_c2/2))+(PI()*(s_0+7*s_r+IF(circ_int,eq_c1/2,0))/2))+2*IF(circ_int,0,eq_c1/2))+(PI()*(s_0+7*s_r+IF(circ_int,eq_c1/2,0))/2))+2*IF(circ_int,0,eq_c2/2)),-IF(circ_int,0,eq_c1/2)-(s_0+7*s_r+IF(circ_int,eq_c1/2,0)),IF(((18+0.5)*(4*IF(circ_int,0,eq_c1/2)+4*IF(circ_int,0,eq_c2/2)+2*PI()*(s_0+7*s_r+IF(circ_int,eq_c1/2,0)))/INDEX(lk_legs,8))&lt;((((((2*IF(circ_int,0,eq_c2/2))+(PI()*(s_0+7*s_r+IF(circ_int,eq_c1/2,0))/2))+2*IF(circ_int,0,eq_c1/2))+(PI()*(s_0+7*s_r+IF(circ_int,eq_c1/2,0))/2))+2*IF(circ_int,0,eq_c2/2))+(PI()*(s_0+7*s_r+IF(circ_int,eq_c1/2,0))/2)),-IF(circ_int,0,eq_c1/2)+(s_0+7*s_r+IF(circ_int,eq_c1/2,0))*COS(PI()+(((18+0.5)*(4*IF(circ_int,0,eq_c1/2)+4*IF(circ_int,0,eq_c2/2)+2*PI()*(s_0+7*s_r+IF(circ_int,eq_c1/2,0)))/INDEX(lk_legs,8))-(((((2*IF(circ_int,0,eq_c2/2))+(PI()*(s_0+7*s_r+IF(circ_int,eq_c1/2,0))/2))+2*IF(circ_int,0,eq_c1/2))+(PI()*(s_0+7*s_r+IF(circ_int,eq_c1/2,0))/2))+2*IF(circ_int,0,eq_c2/2)))/(s_0+7*s_r+IF(circ_int,eq_c1/2,0))),IF(((18+0.5)*(4*IF(circ_int,0,eq_c1/2)+4*IF(circ_int,0,eq_c2/2)+2*PI()*(s_0+7*s_r+IF(circ_int,eq_c1/2,0)))/INDEX(lk_legs,8))&lt;(((((((2*IF(circ_int,0,eq_c2/2))+(PI()*(s_0+7*s_r+IF(circ_int,eq_c1/2,0))/2))+2*IF(circ_int,0,eq_c1/2))+(PI()*(s_0+7*s_r+IF(circ_int,eq_c1/2,0))/2))+2*IF(circ_int,0,eq_c2/2))+(PI()*(s_0+7*s_r+IF(circ_int,eq_c1/2,0))/2))+2*IF(circ_int,0,eq_c1/2)),-IF(circ_int,0,eq_c1/2)+(((18+0.5)*(4*IF(circ_int,0,eq_c1/2)+4*IF(circ_int,0,eq_c2/2)+2*PI()*(s_0+7*s_r+IF(circ_int,eq_c1/2,0)))/INDEX(lk_legs,8))-((((((2*IF(circ_int,0,eq_c2/2))+(PI()*(s_0+7*s_r+IF(circ_int,eq_c1/2,0))/2))+2*IF(circ_int,0,eq_c1/2))+(PI()*(s_0+7*s_r+IF(circ_int,eq_c1/2,0))/2))+2*IF(circ_int,0,eq_c2/2))+(PI()*(s_0+7*s_r+IF(circ_int,eq_c1/2,0))/2))),IF(circ_int,0,eq_c1/2)+(s_0+7*s_r+IF(circ_int,eq_c1/2,0))*COS(3*PI()/2+(((18+0.5)*(4*IF(circ_int,0,eq_c1/2)+4*IF(circ_int,0,eq_c2/2)+2*PI()*(s_0+7*s_r+IF(circ_int,eq_c1/2,0)))/INDEX(lk_legs,8))-(((((((2*IF(circ_int,0,eq_c2/2))+(PI()*(s_0+7*s_r+IF(circ_int,eq_c1/2,0))/2))+2*IF(circ_int,0,eq_c1/2))+(PI()*(s_0+7*s_r+IF(circ_int,eq_c1/2,0))/2))+2*IF(circ_int,0,eq_c2/2))+(PI()*(s_0+7*s_r+IF(circ_int,eq_c1/2,0))/2))+2*IF(circ_int,0,eq_c1/2)))/(s_0+7*s_r+IF(circ_int,eq_c1/2,0)))))))))),NA())</f>
        <v/>
      </c>
      <c r="CQ21">
        <f>IF(AND(AND(links_on,8&lt;=n_per),INDEX(lk_kind,8)=1,18&lt;INDEX(lk_legs,8)),g_oy+IF(((18+0.5)*(4*IF(circ_int,0,eq_c1/2)+4*IF(circ_int,0,eq_c2/2)+2*PI()*(s_0+7*s_r+IF(circ_int,eq_c1/2,0)))/INDEX(lk_legs,8))&lt;(2*IF(circ_int,0,eq_c2/2)),-IF(circ_int,0,eq_c2/2)+((18+0.5)*(4*IF(circ_int,0,eq_c1/2)+4*IF(circ_int,0,eq_c2/2)+2*PI()*(s_0+7*s_r+IF(circ_int,eq_c1/2,0)))/INDEX(lk_legs,8)),IF(((18+0.5)*(4*IF(circ_int,0,eq_c1/2)+4*IF(circ_int,0,eq_c2/2)+2*PI()*(s_0+7*s_r+IF(circ_int,eq_c1/2,0)))/INDEX(lk_legs,8))&lt;((2*IF(circ_int,0,eq_c2/2))+(PI()*(s_0+7*s_r+IF(circ_int,eq_c1/2,0))/2)),IF(circ_int,0,eq_c2/2)+(s_0+7*s_r+IF(circ_int,eq_c1/2,0))*SIN((((18+0.5)*(4*IF(circ_int,0,eq_c1/2)+4*IF(circ_int,0,eq_c2/2)+2*PI()*(s_0+7*s_r+IF(circ_int,eq_c1/2,0)))/INDEX(lk_legs,8))-(2*IF(circ_int,0,eq_c2/2)))/(s_0+7*s_r+IF(circ_int,eq_c1/2,0))),IF(((18+0.5)*(4*IF(circ_int,0,eq_c1/2)+4*IF(circ_int,0,eq_c2/2)+2*PI()*(s_0+7*s_r+IF(circ_int,eq_c1/2,0)))/INDEX(lk_legs,8))&lt;(((2*IF(circ_int,0,eq_c2/2))+(PI()*(s_0+7*s_r+IF(circ_int,eq_c1/2,0))/2))+2*IF(circ_int,0,eq_c1/2)),IF(circ_int,0,eq_c2/2)+(s_0+7*s_r+IF(circ_int,eq_c1/2,0)),IF(((18+0.5)*(4*IF(circ_int,0,eq_c1/2)+4*IF(circ_int,0,eq_c2/2)+2*PI()*(s_0+7*s_r+IF(circ_int,eq_c1/2,0)))/INDEX(lk_legs,8))&lt;((((2*IF(circ_int,0,eq_c2/2))+(PI()*(s_0+7*s_r+IF(circ_int,eq_c1/2,0))/2))+2*IF(circ_int,0,eq_c1/2))+(PI()*(s_0+7*s_r+IF(circ_int,eq_c1/2,0))/2)),IF(circ_int,0,eq_c2/2)+(s_0+7*s_r+IF(circ_int,eq_c1/2,0))*SIN(PI()/2+(((18+0.5)*(4*IF(circ_int,0,eq_c1/2)+4*IF(circ_int,0,eq_c2/2)+2*PI()*(s_0+7*s_r+IF(circ_int,eq_c1/2,0)))/INDEX(lk_legs,8))-(((2*IF(circ_int,0,eq_c2/2))+(PI()*(s_0+7*s_r+IF(circ_int,eq_c1/2,0))/2))+2*IF(circ_int,0,eq_c1/2)))/(s_0+7*s_r+IF(circ_int,eq_c1/2,0))),IF(((18+0.5)*(4*IF(circ_int,0,eq_c1/2)+4*IF(circ_int,0,eq_c2/2)+2*PI()*(s_0+7*s_r+IF(circ_int,eq_c1/2,0)))/INDEX(lk_legs,8))&lt;(((((2*IF(circ_int,0,eq_c2/2))+(PI()*(s_0+7*s_r+IF(circ_int,eq_c1/2,0))/2))+2*IF(circ_int,0,eq_c1/2))+(PI()*(s_0+7*s_r+IF(circ_int,eq_c1/2,0))/2))+2*IF(circ_int,0,eq_c2/2)),IF(circ_int,0,eq_c2/2)-(((18+0.5)*(4*IF(circ_int,0,eq_c1/2)+4*IF(circ_int,0,eq_c2/2)+2*PI()*(s_0+7*s_r+IF(circ_int,eq_c1/2,0)))/INDEX(lk_legs,8))-((((2*IF(circ_int,0,eq_c2/2))+(PI()*(s_0+7*s_r+IF(circ_int,eq_c1/2,0))/2))+2*IF(circ_int,0,eq_c1/2))+(PI()*(s_0+7*s_r+IF(circ_int,eq_c1/2,0))/2))),IF(((18+0.5)*(4*IF(circ_int,0,eq_c1/2)+4*IF(circ_int,0,eq_c2/2)+2*PI()*(s_0+7*s_r+IF(circ_int,eq_c1/2,0)))/INDEX(lk_legs,8))&lt;((((((2*IF(circ_int,0,eq_c2/2))+(PI()*(s_0+7*s_r+IF(circ_int,eq_c1/2,0))/2))+2*IF(circ_int,0,eq_c1/2))+(PI()*(s_0+7*s_r+IF(circ_int,eq_c1/2,0))/2))+2*IF(circ_int,0,eq_c2/2))+(PI()*(s_0+7*s_r+IF(circ_int,eq_c1/2,0))/2)),-IF(circ_int,0,eq_c2/2)+(s_0+7*s_r+IF(circ_int,eq_c1/2,0))*SIN(PI()+(((18+0.5)*(4*IF(circ_int,0,eq_c1/2)+4*IF(circ_int,0,eq_c2/2)+2*PI()*(s_0+7*s_r+IF(circ_int,eq_c1/2,0)))/INDEX(lk_legs,8))-(((((2*IF(circ_int,0,eq_c2/2))+(PI()*(s_0+7*s_r+IF(circ_int,eq_c1/2,0))/2))+2*IF(circ_int,0,eq_c1/2))+(PI()*(s_0+7*s_r+IF(circ_int,eq_c1/2,0))/2))+2*IF(circ_int,0,eq_c2/2)))/(s_0+7*s_r+IF(circ_int,eq_c1/2,0))),IF(((18+0.5)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(18+0.5)*(4*IF(circ_int,0,eq_c1/2)+4*IF(circ_int,0,eq_c2/2)+2*PI()*(s_0+7*s_r+IF(circ_int,eq_c1/2,0)))/INDEX(lk_legs,8))-(((((((2*IF(circ_int,0,eq_c2/2))+(PI()*(s_0+7*s_r+IF(circ_int,eq_c1/2,0))/2))+2*IF(circ_int,0,eq_c1/2))+(PI()*(s_0+7*s_r+IF(circ_int,eq_c1/2,0))/2))+2*IF(circ_int,0,eq_c2/2))+(PI()*(s_0+7*s_r+IF(circ_int,eq_c1/2,0))/2))+2*IF(circ_int,0,eq_c1/2)))/(s_0+7*s_r+IF(circ_int,eq_c1/2,0)))))))))),NA())</f>
        <v/>
      </c>
      <c r="CS21">
        <f>IF(AND(links_on,9&lt;=n_per),IF(circ_int,(g_ox)+(c_1/2+(s_0+8*s_r))*-0.568065,CHOOSE(INDEX(lk_kind,9),(g_ox-eq_c1/2)+((s_0+8*s_r))*-0.608761,(eq_a1+eq_c1)+((s_0+8*s_r))*0.866025,eq_a1+eq_c1+(s_0+8*s_r),(eq_a1+eq_c1)+((s_0+8*s_r))*0.500000)),NA())</f>
        <v/>
      </c>
      <c r="CT21">
        <f>IF(AND(links_on,9&lt;=n_per),IF(circ_int,(g_oy)+(c_1/2+(s_0+8*s_r))*0.822984,CHOOSE(INDEX(lk_kind,9),(g_oy+eq_c2/2)+((s_0+8*s_r))*0.793353,(g_oy-eq_c2/2)+((s_0+8*s_r))*-0.500000,0,(eq_a2+eq_c2)+((s_0+8*s_r))*0.866025)),NA())</f>
        <v/>
      </c>
      <c r="CV21">
        <f>IF(AND(AND(links_on,9&lt;=n_per),INDEX(lk_kind,9)=1,18&lt;INDEX(lk_legs,9)),g_ox+IF(((18+0.5)*(4*IF(circ_int,0,eq_c1/2)+4*IF(circ_int,0,eq_c2/2)+2*PI()*(s_0+8*s_r+IF(circ_int,eq_c1/2,0)))/INDEX(lk_legs,9))&lt;(2*IF(circ_int,0,eq_c2/2)),IF(circ_int,0,eq_c1/2)+(s_0+8*s_r+IF(circ_int,eq_c1/2,0)),IF(((18+0.5)*(4*IF(circ_int,0,eq_c1/2)+4*IF(circ_int,0,eq_c2/2)+2*PI()*(s_0+8*s_r+IF(circ_int,eq_c1/2,0)))/INDEX(lk_legs,9))&lt;((2*IF(circ_int,0,eq_c2/2))+(PI()*(s_0+8*s_r+IF(circ_int,eq_c1/2,0))/2)),IF(circ_int,0,eq_c1/2)+(s_0+8*s_r+IF(circ_int,eq_c1/2,0))*COS((((18+0.5)*(4*IF(circ_int,0,eq_c1/2)+4*IF(circ_int,0,eq_c2/2)+2*PI()*(s_0+8*s_r+IF(circ_int,eq_c1/2,0)))/INDEX(lk_legs,9))-(2*IF(circ_int,0,eq_c2/2)))/(s_0+8*s_r+IF(circ_int,eq_c1/2,0))),IF(((18+0.5)*(4*IF(circ_int,0,eq_c1/2)+4*IF(circ_int,0,eq_c2/2)+2*PI()*(s_0+8*s_r+IF(circ_int,eq_c1/2,0)))/INDEX(lk_legs,9))&lt;(((2*IF(circ_int,0,eq_c2/2))+(PI()*(s_0+8*s_r+IF(circ_int,eq_c1/2,0))/2))+2*IF(circ_int,0,eq_c1/2)),IF(circ_int,0,eq_c1/2)-(((18+0.5)*(4*IF(circ_int,0,eq_c1/2)+4*IF(circ_int,0,eq_c2/2)+2*PI()*(s_0+8*s_r+IF(circ_int,eq_c1/2,0)))/INDEX(lk_legs,9))-((2*IF(circ_int,0,eq_c2/2))+(PI()*(s_0+8*s_r+IF(circ_int,eq_c1/2,0))/2))),IF(((18+0.5)*(4*IF(circ_int,0,eq_c1/2)+4*IF(circ_int,0,eq_c2/2)+2*PI()*(s_0+8*s_r+IF(circ_int,eq_c1/2,0)))/INDEX(lk_legs,9))&lt;((((2*IF(circ_int,0,eq_c2/2))+(PI()*(s_0+8*s_r+IF(circ_int,eq_c1/2,0))/2))+2*IF(circ_int,0,eq_c1/2))+(PI()*(s_0+8*s_r+IF(circ_int,eq_c1/2,0))/2)),-IF(circ_int,0,eq_c1/2)+(s_0+8*s_r+IF(circ_int,eq_c1/2,0))*COS(PI()/2+(((18+0.5)*(4*IF(circ_int,0,eq_c1/2)+4*IF(circ_int,0,eq_c2/2)+2*PI()*(s_0+8*s_r+IF(circ_int,eq_c1/2,0)))/INDEX(lk_legs,9))-(((2*IF(circ_int,0,eq_c2/2))+(PI()*(s_0+8*s_r+IF(circ_int,eq_c1/2,0))/2))+2*IF(circ_int,0,eq_c1/2)))/(s_0+8*s_r+IF(circ_int,eq_c1/2,0))),IF(((18+0.5)*(4*IF(circ_int,0,eq_c1/2)+4*IF(circ_int,0,eq_c2/2)+2*PI()*(s_0+8*s_r+IF(circ_int,eq_c1/2,0)))/INDEX(lk_legs,9))&lt;(((((2*IF(circ_int,0,eq_c2/2))+(PI()*(s_0+8*s_r+IF(circ_int,eq_c1/2,0))/2))+2*IF(circ_int,0,eq_c1/2))+(PI()*(s_0+8*s_r+IF(circ_int,eq_c1/2,0))/2))+2*IF(circ_int,0,eq_c2/2)),-IF(circ_int,0,eq_c1/2)-(s_0+8*s_r+IF(circ_int,eq_c1/2,0)),IF(((18+0.5)*(4*IF(circ_int,0,eq_c1/2)+4*IF(circ_int,0,eq_c2/2)+2*PI()*(s_0+8*s_r+IF(circ_int,eq_c1/2,0)))/INDEX(lk_legs,9))&lt;((((((2*IF(circ_int,0,eq_c2/2))+(PI()*(s_0+8*s_r+IF(circ_int,eq_c1/2,0))/2))+2*IF(circ_int,0,eq_c1/2))+(PI()*(s_0+8*s_r+IF(circ_int,eq_c1/2,0))/2))+2*IF(circ_int,0,eq_c2/2))+(PI()*(s_0+8*s_r+IF(circ_int,eq_c1/2,0))/2)),-IF(circ_int,0,eq_c1/2)+(s_0+8*s_r+IF(circ_int,eq_c1/2,0))*COS(PI()+(((18+0.5)*(4*IF(circ_int,0,eq_c1/2)+4*IF(circ_int,0,eq_c2/2)+2*PI()*(s_0+8*s_r+IF(circ_int,eq_c1/2,0)))/INDEX(lk_legs,9))-(((((2*IF(circ_int,0,eq_c2/2))+(PI()*(s_0+8*s_r+IF(circ_int,eq_c1/2,0))/2))+2*IF(circ_int,0,eq_c1/2))+(PI()*(s_0+8*s_r+IF(circ_int,eq_c1/2,0))/2))+2*IF(circ_int,0,eq_c2/2)))/(s_0+8*s_r+IF(circ_int,eq_c1/2,0))),IF(((18+0.5)*(4*IF(circ_int,0,eq_c1/2)+4*IF(circ_int,0,eq_c2/2)+2*PI()*(s_0+8*s_r+IF(circ_int,eq_c1/2,0)))/INDEX(lk_legs,9))&lt;(((((((2*IF(circ_int,0,eq_c2/2))+(PI()*(s_0+8*s_r+IF(circ_int,eq_c1/2,0))/2))+2*IF(circ_int,0,eq_c1/2))+(PI()*(s_0+8*s_r+IF(circ_int,eq_c1/2,0))/2))+2*IF(circ_int,0,eq_c2/2))+(PI()*(s_0+8*s_r+IF(circ_int,eq_c1/2,0))/2))+2*IF(circ_int,0,eq_c1/2)),-IF(circ_int,0,eq_c1/2)+(((18+0.5)*(4*IF(circ_int,0,eq_c1/2)+4*IF(circ_int,0,eq_c2/2)+2*PI()*(s_0+8*s_r+IF(circ_int,eq_c1/2,0)))/INDEX(lk_legs,9))-((((((2*IF(circ_int,0,eq_c2/2))+(PI()*(s_0+8*s_r+IF(circ_int,eq_c1/2,0))/2))+2*IF(circ_int,0,eq_c1/2))+(PI()*(s_0+8*s_r+IF(circ_int,eq_c1/2,0))/2))+2*IF(circ_int,0,eq_c2/2))+(PI()*(s_0+8*s_r+IF(circ_int,eq_c1/2,0))/2))),IF(circ_int,0,eq_c1/2)+(s_0+8*s_r+IF(circ_int,eq_c1/2,0))*COS(3*PI()/2+(((18+0.5)*(4*IF(circ_int,0,eq_c1/2)+4*IF(circ_int,0,eq_c2/2)+2*PI()*(s_0+8*s_r+IF(circ_int,eq_c1/2,0)))/INDEX(lk_legs,9))-(((((((2*IF(circ_int,0,eq_c2/2))+(PI()*(s_0+8*s_r+IF(circ_int,eq_c1/2,0))/2))+2*IF(circ_int,0,eq_c1/2))+(PI()*(s_0+8*s_r+IF(circ_int,eq_c1/2,0))/2))+2*IF(circ_int,0,eq_c2/2))+(PI()*(s_0+8*s_r+IF(circ_int,eq_c1/2,0))/2))+2*IF(circ_int,0,eq_c1/2)))/(s_0+8*s_r+IF(circ_int,eq_c1/2,0)))))))))),NA())</f>
        <v/>
      </c>
      <c r="CW21">
        <f>IF(AND(AND(links_on,9&lt;=n_per),INDEX(lk_kind,9)=1,18&lt;INDEX(lk_legs,9)),g_oy+IF(((18+0.5)*(4*IF(circ_int,0,eq_c1/2)+4*IF(circ_int,0,eq_c2/2)+2*PI()*(s_0+8*s_r+IF(circ_int,eq_c1/2,0)))/INDEX(lk_legs,9))&lt;(2*IF(circ_int,0,eq_c2/2)),-IF(circ_int,0,eq_c2/2)+((18+0.5)*(4*IF(circ_int,0,eq_c1/2)+4*IF(circ_int,0,eq_c2/2)+2*PI()*(s_0+8*s_r+IF(circ_int,eq_c1/2,0)))/INDEX(lk_legs,9)),IF(((18+0.5)*(4*IF(circ_int,0,eq_c1/2)+4*IF(circ_int,0,eq_c2/2)+2*PI()*(s_0+8*s_r+IF(circ_int,eq_c1/2,0)))/INDEX(lk_legs,9))&lt;((2*IF(circ_int,0,eq_c2/2))+(PI()*(s_0+8*s_r+IF(circ_int,eq_c1/2,0))/2)),IF(circ_int,0,eq_c2/2)+(s_0+8*s_r+IF(circ_int,eq_c1/2,0))*SIN((((18+0.5)*(4*IF(circ_int,0,eq_c1/2)+4*IF(circ_int,0,eq_c2/2)+2*PI()*(s_0+8*s_r+IF(circ_int,eq_c1/2,0)))/INDEX(lk_legs,9))-(2*IF(circ_int,0,eq_c2/2)))/(s_0+8*s_r+IF(circ_int,eq_c1/2,0))),IF(((18+0.5)*(4*IF(circ_int,0,eq_c1/2)+4*IF(circ_int,0,eq_c2/2)+2*PI()*(s_0+8*s_r+IF(circ_int,eq_c1/2,0)))/INDEX(lk_legs,9))&lt;(((2*IF(circ_int,0,eq_c2/2))+(PI()*(s_0+8*s_r+IF(circ_int,eq_c1/2,0))/2))+2*IF(circ_int,0,eq_c1/2)),IF(circ_int,0,eq_c2/2)+(s_0+8*s_r+IF(circ_int,eq_c1/2,0)),IF(((18+0.5)*(4*IF(circ_int,0,eq_c1/2)+4*IF(circ_int,0,eq_c2/2)+2*PI()*(s_0+8*s_r+IF(circ_int,eq_c1/2,0)))/INDEX(lk_legs,9))&lt;((((2*IF(circ_int,0,eq_c2/2))+(PI()*(s_0+8*s_r+IF(circ_int,eq_c1/2,0))/2))+2*IF(circ_int,0,eq_c1/2))+(PI()*(s_0+8*s_r+IF(circ_int,eq_c1/2,0))/2)),IF(circ_int,0,eq_c2/2)+(s_0+8*s_r+IF(circ_int,eq_c1/2,0))*SIN(PI()/2+(((18+0.5)*(4*IF(circ_int,0,eq_c1/2)+4*IF(circ_int,0,eq_c2/2)+2*PI()*(s_0+8*s_r+IF(circ_int,eq_c1/2,0)))/INDEX(lk_legs,9))-(((2*IF(circ_int,0,eq_c2/2))+(PI()*(s_0+8*s_r+IF(circ_int,eq_c1/2,0))/2))+2*IF(circ_int,0,eq_c1/2)))/(s_0+8*s_r+IF(circ_int,eq_c1/2,0))),IF(((18+0.5)*(4*IF(circ_int,0,eq_c1/2)+4*IF(circ_int,0,eq_c2/2)+2*PI()*(s_0+8*s_r+IF(circ_int,eq_c1/2,0)))/INDEX(lk_legs,9))&lt;(((((2*IF(circ_int,0,eq_c2/2))+(PI()*(s_0+8*s_r+IF(circ_int,eq_c1/2,0))/2))+2*IF(circ_int,0,eq_c1/2))+(PI()*(s_0+8*s_r+IF(circ_int,eq_c1/2,0))/2))+2*IF(circ_int,0,eq_c2/2)),IF(circ_int,0,eq_c2/2)-(((18+0.5)*(4*IF(circ_int,0,eq_c1/2)+4*IF(circ_int,0,eq_c2/2)+2*PI()*(s_0+8*s_r+IF(circ_int,eq_c1/2,0)))/INDEX(lk_legs,9))-((((2*IF(circ_int,0,eq_c2/2))+(PI()*(s_0+8*s_r+IF(circ_int,eq_c1/2,0))/2))+2*IF(circ_int,0,eq_c1/2))+(PI()*(s_0+8*s_r+IF(circ_int,eq_c1/2,0))/2))),IF(((18+0.5)*(4*IF(circ_int,0,eq_c1/2)+4*IF(circ_int,0,eq_c2/2)+2*PI()*(s_0+8*s_r+IF(circ_int,eq_c1/2,0)))/INDEX(lk_legs,9))&lt;((((((2*IF(circ_int,0,eq_c2/2))+(PI()*(s_0+8*s_r+IF(circ_int,eq_c1/2,0))/2))+2*IF(circ_int,0,eq_c1/2))+(PI()*(s_0+8*s_r+IF(circ_int,eq_c1/2,0))/2))+2*IF(circ_int,0,eq_c2/2))+(PI()*(s_0+8*s_r+IF(circ_int,eq_c1/2,0))/2)),-IF(circ_int,0,eq_c2/2)+(s_0+8*s_r+IF(circ_int,eq_c1/2,0))*SIN(PI()+(((18+0.5)*(4*IF(circ_int,0,eq_c1/2)+4*IF(circ_int,0,eq_c2/2)+2*PI()*(s_0+8*s_r+IF(circ_int,eq_c1/2,0)))/INDEX(lk_legs,9))-(((((2*IF(circ_int,0,eq_c2/2))+(PI()*(s_0+8*s_r+IF(circ_int,eq_c1/2,0))/2))+2*IF(circ_int,0,eq_c1/2))+(PI()*(s_0+8*s_r+IF(circ_int,eq_c1/2,0))/2))+2*IF(circ_int,0,eq_c2/2)))/(s_0+8*s_r+IF(circ_int,eq_c1/2,0))),IF(((18+0.5)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(18+0.5)*(4*IF(circ_int,0,eq_c1/2)+4*IF(circ_int,0,eq_c2/2)+2*PI()*(s_0+8*s_r+IF(circ_int,eq_c1/2,0)))/INDEX(lk_legs,9))-(((((((2*IF(circ_int,0,eq_c2/2))+(PI()*(s_0+8*s_r+IF(circ_int,eq_c1/2,0))/2))+2*IF(circ_int,0,eq_c1/2))+(PI()*(s_0+8*s_r+IF(circ_int,eq_c1/2,0))/2))+2*IF(circ_int,0,eq_c2/2))+(PI()*(s_0+8*s_r+IF(circ_int,eq_c1/2,0))/2))+2*IF(circ_int,0,eq_c1/2)))/(s_0+8*s_r+IF(circ_int,eq_c1/2,0)))))))))),NA())</f>
        <v/>
      </c>
      <c r="CY21">
        <f>IF(AND(links_on,10&lt;=n_per),IF(circ_int,(g_ox)+(c_1/2+(s_0+9*s_r))*-0.568065,CHOOSE(INDEX(lk_kind,10),(g_ox-eq_c1/2)+((s_0+9*s_r))*-0.608761,(eq_a1+eq_c1)+((s_0+9*s_r))*0.866025,eq_a1+eq_c1+(s_0+9*s_r),(eq_a1+eq_c1)+((s_0+9*s_r))*0.500000)),NA())</f>
        <v/>
      </c>
      <c r="CZ21">
        <f>IF(AND(links_on,10&lt;=n_per),IF(circ_int,(g_oy)+(c_1/2+(s_0+9*s_r))*0.822984,CHOOSE(INDEX(lk_kind,10),(g_oy+eq_c2/2)+((s_0+9*s_r))*0.793353,(g_oy-eq_c2/2)+((s_0+9*s_r))*-0.500000,0,(eq_a2+eq_c2)+((s_0+9*s_r))*0.866025)),NA())</f>
        <v/>
      </c>
      <c r="DB21">
        <f>IF(AND(AND(links_on,10&lt;=n_per),INDEX(lk_kind,10)=1,18&lt;INDEX(lk_legs,10)),g_ox+IF(((18+0.5)*(4*IF(circ_int,0,eq_c1/2)+4*IF(circ_int,0,eq_c2/2)+2*PI()*(s_0+9*s_r+IF(circ_int,eq_c1/2,0)))/INDEX(lk_legs,10))&lt;(2*IF(circ_int,0,eq_c2/2)),IF(circ_int,0,eq_c1/2)+(s_0+9*s_r+IF(circ_int,eq_c1/2,0)),IF(((18+0.5)*(4*IF(circ_int,0,eq_c1/2)+4*IF(circ_int,0,eq_c2/2)+2*PI()*(s_0+9*s_r+IF(circ_int,eq_c1/2,0)))/INDEX(lk_legs,10))&lt;((2*IF(circ_int,0,eq_c2/2))+(PI()*(s_0+9*s_r+IF(circ_int,eq_c1/2,0))/2)),IF(circ_int,0,eq_c1/2)+(s_0+9*s_r+IF(circ_int,eq_c1/2,0))*COS((((18+0.5)*(4*IF(circ_int,0,eq_c1/2)+4*IF(circ_int,0,eq_c2/2)+2*PI()*(s_0+9*s_r+IF(circ_int,eq_c1/2,0)))/INDEX(lk_legs,10))-(2*IF(circ_int,0,eq_c2/2)))/(s_0+9*s_r+IF(circ_int,eq_c1/2,0))),IF(((18+0.5)*(4*IF(circ_int,0,eq_c1/2)+4*IF(circ_int,0,eq_c2/2)+2*PI()*(s_0+9*s_r+IF(circ_int,eq_c1/2,0)))/INDEX(lk_legs,10))&lt;(((2*IF(circ_int,0,eq_c2/2))+(PI()*(s_0+9*s_r+IF(circ_int,eq_c1/2,0))/2))+2*IF(circ_int,0,eq_c1/2)),IF(circ_int,0,eq_c1/2)-(((18+0.5)*(4*IF(circ_int,0,eq_c1/2)+4*IF(circ_int,0,eq_c2/2)+2*PI()*(s_0+9*s_r+IF(circ_int,eq_c1/2,0)))/INDEX(lk_legs,10))-((2*IF(circ_int,0,eq_c2/2))+(PI()*(s_0+9*s_r+IF(circ_int,eq_c1/2,0))/2))),IF(((18+0.5)*(4*IF(circ_int,0,eq_c1/2)+4*IF(circ_int,0,eq_c2/2)+2*PI()*(s_0+9*s_r+IF(circ_int,eq_c1/2,0)))/INDEX(lk_legs,10))&lt;((((2*IF(circ_int,0,eq_c2/2))+(PI()*(s_0+9*s_r+IF(circ_int,eq_c1/2,0))/2))+2*IF(circ_int,0,eq_c1/2))+(PI()*(s_0+9*s_r+IF(circ_int,eq_c1/2,0))/2)),-IF(circ_int,0,eq_c1/2)+(s_0+9*s_r+IF(circ_int,eq_c1/2,0))*COS(PI()/2+(((18+0.5)*(4*IF(circ_int,0,eq_c1/2)+4*IF(circ_int,0,eq_c2/2)+2*PI()*(s_0+9*s_r+IF(circ_int,eq_c1/2,0)))/INDEX(lk_legs,10))-(((2*IF(circ_int,0,eq_c2/2))+(PI()*(s_0+9*s_r+IF(circ_int,eq_c1/2,0))/2))+2*IF(circ_int,0,eq_c1/2)))/(s_0+9*s_r+IF(circ_int,eq_c1/2,0))),IF(((18+0.5)*(4*IF(circ_int,0,eq_c1/2)+4*IF(circ_int,0,eq_c2/2)+2*PI()*(s_0+9*s_r+IF(circ_int,eq_c1/2,0)))/INDEX(lk_legs,10))&lt;(((((2*IF(circ_int,0,eq_c2/2))+(PI()*(s_0+9*s_r+IF(circ_int,eq_c1/2,0))/2))+2*IF(circ_int,0,eq_c1/2))+(PI()*(s_0+9*s_r+IF(circ_int,eq_c1/2,0))/2))+2*IF(circ_int,0,eq_c2/2)),-IF(circ_int,0,eq_c1/2)-(s_0+9*s_r+IF(circ_int,eq_c1/2,0)),IF(((18+0.5)*(4*IF(circ_int,0,eq_c1/2)+4*IF(circ_int,0,eq_c2/2)+2*PI()*(s_0+9*s_r+IF(circ_int,eq_c1/2,0)))/INDEX(lk_legs,10))&lt;((((((2*IF(circ_int,0,eq_c2/2))+(PI()*(s_0+9*s_r+IF(circ_int,eq_c1/2,0))/2))+2*IF(circ_int,0,eq_c1/2))+(PI()*(s_0+9*s_r+IF(circ_int,eq_c1/2,0))/2))+2*IF(circ_int,0,eq_c2/2))+(PI()*(s_0+9*s_r+IF(circ_int,eq_c1/2,0))/2)),-IF(circ_int,0,eq_c1/2)+(s_0+9*s_r+IF(circ_int,eq_c1/2,0))*COS(PI()+(((18+0.5)*(4*IF(circ_int,0,eq_c1/2)+4*IF(circ_int,0,eq_c2/2)+2*PI()*(s_0+9*s_r+IF(circ_int,eq_c1/2,0)))/INDEX(lk_legs,10))-(((((2*IF(circ_int,0,eq_c2/2))+(PI()*(s_0+9*s_r+IF(circ_int,eq_c1/2,0))/2))+2*IF(circ_int,0,eq_c1/2))+(PI()*(s_0+9*s_r+IF(circ_int,eq_c1/2,0))/2))+2*IF(circ_int,0,eq_c2/2)))/(s_0+9*s_r+IF(circ_int,eq_c1/2,0))),IF(((18+0.5)*(4*IF(circ_int,0,eq_c1/2)+4*IF(circ_int,0,eq_c2/2)+2*PI()*(s_0+9*s_r+IF(circ_int,eq_c1/2,0)))/INDEX(lk_legs,10))&lt;(((((((2*IF(circ_int,0,eq_c2/2))+(PI()*(s_0+9*s_r+IF(circ_int,eq_c1/2,0))/2))+2*IF(circ_int,0,eq_c1/2))+(PI()*(s_0+9*s_r+IF(circ_int,eq_c1/2,0))/2))+2*IF(circ_int,0,eq_c2/2))+(PI()*(s_0+9*s_r+IF(circ_int,eq_c1/2,0))/2))+2*IF(circ_int,0,eq_c1/2)),-IF(circ_int,0,eq_c1/2)+(((18+0.5)*(4*IF(circ_int,0,eq_c1/2)+4*IF(circ_int,0,eq_c2/2)+2*PI()*(s_0+9*s_r+IF(circ_int,eq_c1/2,0)))/INDEX(lk_legs,10))-((((((2*IF(circ_int,0,eq_c2/2))+(PI()*(s_0+9*s_r+IF(circ_int,eq_c1/2,0))/2))+2*IF(circ_int,0,eq_c1/2))+(PI()*(s_0+9*s_r+IF(circ_int,eq_c1/2,0))/2))+2*IF(circ_int,0,eq_c2/2))+(PI()*(s_0+9*s_r+IF(circ_int,eq_c1/2,0))/2))),IF(circ_int,0,eq_c1/2)+(s_0+9*s_r+IF(circ_int,eq_c1/2,0))*COS(3*PI()/2+(((18+0.5)*(4*IF(circ_int,0,eq_c1/2)+4*IF(circ_int,0,eq_c2/2)+2*PI()*(s_0+9*s_r+IF(circ_int,eq_c1/2,0)))/INDEX(lk_legs,10))-(((((((2*IF(circ_int,0,eq_c2/2))+(PI()*(s_0+9*s_r+IF(circ_int,eq_c1/2,0))/2))+2*IF(circ_int,0,eq_c1/2))+(PI()*(s_0+9*s_r+IF(circ_int,eq_c1/2,0))/2))+2*IF(circ_int,0,eq_c2/2))+(PI()*(s_0+9*s_r+IF(circ_int,eq_c1/2,0))/2))+2*IF(circ_int,0,eq_c1/2)))/(s_0+9*s_r+IF(circ_int,eq_c1/2,0)))))))))),NA())</f>
        <v/>
      </c>
      <c r="DC21">
        <f>IF(AND(AND(links_on,10&lt;=n_per),INDEX(lk_kind,10)=1,18&lt;INDEX(lk_legs,10)),g_oy+IF(((18+0.5)*(4*IF(circ_int,0,eq_c1/2)+4*IF(circ_int,0,eq_c2/2)+2*PI()*(s_0+9*s_r+IF(circ_int,eq_c1/2,0)))/INDEX(lk_legs,10))&lt;(2*IF(circ_int,0,eq_c2/2)),-IF(circ_int,0,eq_c2/2)+((18+0.5)*(4*IF(circ_int,0,eq_c1/2)+4*IF(circ_int,0,eq_c2/2)+2*PI()*(s_0+9*s_r+IF(circ_int,eq_c1/2,0)))/INDEX(lk_legs,10)),IF(((18+0.5)*(4*IF(circ_int,0,eq_c1/2)+4*IF(circ_int,0,eq_c2/2)+2*PI()*(s_0+9*s_r+IF(circ_int,eq_c1/2,0)))/INDEX(lk_legs,10))&lt;((2*IF(circ_int,0,eq_c2/2))+(PI()*(s_0+9*s_r+IF(circ_int,eq_c1/2,0))/2)),IF(circ_int,0,eq_c2/2)+(s_0+9*s_r+IF(circ_int,eq_c1/2,0))*SIN((((18+0.5)*(4*IF(circ_int,0,eq_c1/2)+4*IF(circ_int,0,eq_c2/2)+2*PI()*(s_0+9*s_r+IF(circ_int,eq_c1/2,0)))/INDEX(lk_legs,10))-(2*IF(circ_int,0,eq_c2/2)))/(s_0+9*s_r+IF(circ_int,eq_c1/2,0))),IF(((18+0.5)*(4*IF(circ_int,0,eq_c1/2)+4*IF(circ_int,0,eq_c2/2)+2*PI()*(s_0+9*s_r+IF(circ_int,eq_c1/2,0)))/INDEX(lk_legs,10))&lt;(((2*IF(circ_int,0,eq_c2/2))+(PI()*(s_0+9*s_r+IF(circ_int,eq_c1/2,0))/2))+2*IF(circ_int,0,eq_c1/2)),IF(circ_int,0,eq_c2/2)+(s_0+9*s_r+IF(circ_int,eq_c1/2,0)),IF(((18+0.5)*(4*IF(circ_int,0,eq_c1/2)+4*IF(circ_int,0,eq_c2/2)+2*PI()*(s_0+9*s_r+IF(circ_int,eq_c1/2,0)))/INDEX(lk_legs,10))&lt;((((2*IF(circ_int,0,eq_c2/2))+(PI()*(s_0+9*s_r+IF(circ_int,eq_c1/2,0))/2))+2*IF(circ_int,0,eq_c1/2))+(PI()*(s_0+9*s_r+IF(circ_int,eq_c1/2,0))/2)),IF(circ_int,0,eq_c2/2)+(s_0+9*s_r+IF(circ_int,eq_c1/2,0))*SIN(PI()/2+(((18+0.5)*(4*IF(circ_int,0,eq_c1/2)+4*IF(circ_int,0,eq_c2/2)+2*PI()*(s_0+9*s_r+IF(circ_int,eq_c1/2,0)))/INDEX(lk_legs,10))-(((2*IF(circ_int,0,eq_c2/2))+(PI()*(s_0+9*s_r+IF(circ_int,eq_c1/2,0))/2))+2*IF(circ_int,0,eq_c1/2)))/(s_0+9*s_r+IF(circ_int,eq_c1/2,0))),IF(((18+0.5)*(4*IF(circ_int,0,eq_c1/2)+4*IF(circ_int,0,eq_c2/2)+2*PI()*(s_0+9*s_r+IF(circ_int,eq_c1/2,0)))/INDEX(lk_legs,10))&lt;(((((2*IF(circ_int,0,eq_c2/2))+(PI()*(s_0+9*s_r+IF(circ_int,eq_c1/2,0))/2))+2*IF(circ_int,0,eq_c1/2))+(PI()*(s_0+9*s_r+IF(circ_int,eq_c1/2,0))/2))+2*IF(circ_int,0,eq_c2/2)),IF(circ_int,0,eq_c2/2)-(((18+0.5)*(4*IF(circ_int,0,eq_c1/2)+4*IF(circ_int,0,eq_c2/2)+2*PI()*(s_0+9*s_r+IF(circ_int,eq_c1/2,0)))/INDEX(lk_legs,10))-((((2*IF(circ_int,0,eq_c2/2))+(PI()*(s_0+9*s_r+IF(circ_int,eq_c1/2,0))/2))+2*IF(circ_int,0,eq_c1/2))+(PI()*(s_0+9*s_r+IF(circ_int,eq_c1/2,0))/2))),IF(((18+0.5)*(4*IF(circ_int,0,eq_c1/2)+4*IF(circ_int,0,eq_c2/2)+2*PI()*(s_0+9*s_r+IF(circ_int,eq_c1/2,0)))/INDEX(lk_legs,10))&lt;((((((2*IF(circ_int,0,eq_c2/2))+(PI()*(s_0+9*s_r+IF(circ_int,eq_c1/2,0))/2))+2*IF(circ_int,0,eq_c1/2))+(PI()*(s_0+9*s_r+IF(circ_int,eq_c1/2,0))/2))+2*IF(circ_int,0,eq_c2/2))+(PI()*(s_0+9*s_r+IF(circ_int,eq_c1/2,0))/2)),-IF(circ_int,0,eq_c2/2)+(s_0+9*s_r+IF(circ_int,eq_c1/2,0))*SIN(PI()+(((18+0.5)*(4*IF(circ_int,0,eq_c1/2)+4*IF(circ_int,0,eq_c2/2)+2*PI()*(s_0+9*s_r+IF(circ_int,eq_c1/2,0)))/INDEX(lk_legs,10))-(((((2*IF(circ_int,0,eq_c2/2))+(PI()*(s_0+9*s_r+IF(circ_int,eq_c1/2,0))/2))+2*IF(circ_int,0,eq_c1/2))+(PI()*(s_0+9*s_r+IF(circ_int,eq_c1/2,0))/2))+2*IF(circ_int,0,eq_c2/2)))/(s_0+9*s_r+IF(circ_int,eq_c1/2,0))),IF(((18+0.5)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(18+0.5)*(4*IF(circ_int,0,eq_c1/2)+4*IF(circ_int,0,eq_c2/2)+2*PI()*(s_0+9*s_r+IF(circ_int,eq_c1/2,0)))/INDEX(lk_legs,10))-(((((((2*IF(circ_int,0,eq_c2/2))+(PI()*(s_0+9*s_r+IF(circ_int,eq_c1/2,0))/2))+2*IF(circ_int,0,eq_c1/2))+(PI()*(s_0+9*s_r+IF(circ_int,eq_c1/2,0))/2))+2*IF(circ_int,0,eq_c2/2))+(PI()*(s_0+9*s_r+IF(circ_int,eq_c1/2,0))/2))+2*IF(circ_int,0,eq_c1/2)))/(s_0+9*s_r+IF(circ_int,eq_c1/2,0)))))))))),NA())</f>
        <v/>
      </c>
      <c r="DE21">
        <f>IF(AND(links_on,11&lt;=n_per),IF(circ_int,(g_ox)+(c_1/2+(s_0+10*s_r))*-0.568065,CHOOSE(INDEX(lk_kind,11),(g_ox-eq_c1/2)+((s_0+10*s_r))*-0.608761,(eq_a1+eq_c1)+((s_0+10*s_r))*0.866025,eq_a1+eq_c1+(s_0+10*s_r),(eq_a1+eq_c1)+((s_0+10*s_r))*0.500000)),NA())</f>
        <v/>
      </c>
      <c r="DF21">
        <f>IF(AND(links_on,11&lt;=n_per),IF(circ_int,(g_oy)+(c_1/2+(s_0+10*s_r))*0.822984,CHOOSE(INDEX(lk_kind,11),(g_oy+eq_c2/2)+((s_0+10*s_r))*0.793353,(g_oy-eq_c2/2)+((s_0+10*s_r))*-0.500000,0,(eq_a2+eq_c2)+((s_0+10*s_r))*0.866025)),NA())</f>
        <v/>
      </c>
      <c r="DH21">
        <f>IF(AND(AND(links_on,11&lt;=n_per),INDEX(lk_kind,11)=1,18&lt;INDEX(lk_legs,11)),g_ox+IF(((18+0.5)*(4*IF(circ_int,0,eq_c1/2)+4*IF(circ_int,0,eq_c2/2)+2*PI()*(s_0+10*s_r+IF(circ_int,eq_c1/2,0)))/INDEX(lk_legs,11))&lt;(2*IF(circ_int,0,eq_c2/2)),IF(circ_int,0,eq_c1/2)+(s_0+10*s_r+IF(circ_int,eq_c1/2,0)),IF(((18+0.5)*(4*IF(circ_int,0,eq_c1/2)+4*IF(circ_int,0,eq_c2/2)+2*PI()*(s_0+10*s_r+IF(circ_int,eq_c1/2,0)))/INDEX(lk_legs,11))&lt;((2*IF(circ_int,0,eq_c2/2))+(PI()*(s_0+10*s_r+IF(circ_int,eq_c1/2,0))/2)),IF(circ_int,0,eq_c1/2)+(s_0+10*s_r+IF(circ_int,eq_c1/2,0))*COS((((18+0.5)*(4*IF(circ_int,0,eq_c1/2)+4*IF(circ_int,0,eq_c2/2)+2*PI()*(s_0+10*s_r+IF(circ_int,eq_c1/2,0)))/INDEX(lk_legs,11))-(2*IF(circ_int,0,eq_c2/2)))/(s_0+10*s_r+IF(circ_int,eq_c1/2,0))),IF(((18+0.5)*(4*IF(circ_int,0,eq_c1/2)+4*IF(circ_int,0,eq_c2/2)+2*PI()*(s_0+10*s_r+IF(circ_int,eq_c1/2,0)))/INDEX(lk_legs,11))&lt;(((2*IF(circ_int,0,eq_c2/2))+(PI()*(s_0+10*s_r+IF(circ_int,eq_c1/2,0))/2))+2*IF(circ_int,0,eq_c1/2)),IF(circ_int,0,eq_c1/2)-(((18+0.5)*(4*IF(circ_int,0,eq_c1/2)+4*IF(circ_int,0,eq_c2/2)+2*PI()*(s_0+10*s_r+IF(circ_int,eq_c1/2,0)))/INDEX(lk_legs,11))-((2*IF(circ_int,0,eq_c2/2))+(PI()*(s_0+10*s_r+IF(circ_int,eq_c1/2,0))/2))),IF(((18+0.5)*(4*IF(circ_int,0,eq_c1/2)+4*IF(circ_int,0,eq_c2/2)+2*PI()*(s_0+10*s_r+IF(circ_int,eq_c1/2,0)))/INDEX(lk_legs,11))&lt;((((2*IF(circ_int,0,eq_c2/2))+(PI()*(s_0+10*s_r+IF(circ_int,eq_c1/2,0))/2))+2*IF(circ_int,0,eq_c1/2))+(PI()*(s_0+10*s_r+IF(circ_int,eq_c1/2,0))/2)),-IF(circ_int,0,eq_c1/2)+(s_0+10*s_r+IF(circ_int,eq_c1/2,0))*COS(PI()/2+(((18+0.5)*(4*IF(circ_int,0,eq_c1/2)+4*IF(circ_int,0,eq_c2/2)+2*PI()*(s_0+10*s_r+IF(circ_int,eq_c1/2,0)))/INDEX(lk_legs,11))-(((2*IF(circ_int,0,eq_c2/2))+(PI()*(s_0+10*s_r+IF(circ_int,eq_c1/2,0))/2))+2*IF(circ_int,0,eq_c1/2)))/(s_0+10*s_r+IF(circ_int,eq_c1/2,0))),IF(((18+0.5)*(4*IF(circ_int,0,eq_c1/2)+4*IF(circ_int,0,eq_c2/2)+2*PI()*(s_0+10*s_r+IF(circ_int,eq_c1/2,0)))/INDEX(lk_legs,11))&lt;(((((2*IF(circ_int,0,eq_c2/2))+(PI()*(s_0+10*s_r+IF(circ_int,eq_c1/2,0))/2))+2*IF(circ_int,0,eq_c1/2))+(PI()*(s_0+10*s_r+IF(circ_int,eq_c1/2,0))/2))+2*IF(circ_int,0,eq_c2/2)),-IF(circ_int,0,eq_c1/2)-(s_0+10*s_r+IF(circ_int,eq_c1/2,0)),IF(((18+0.5)*(4*IF(circ_int,0,eq_c1/2)+4*IF(circ_int,0,eq_c2/2)+2*PI()*(s_0+10*s_r+IF(circ_int,eq_c1/2,0)))/INDEX(lk_legs,11))&lt;((((((2*IF(circ_int,0,eq_c2/2))+(PI()*(s_0+10*s_r+IF(circ_int,eq_c1/2,0))/2))+2*IF(circ_int,0,eq_c1/2))+(PI()*(s_0+10*s_r+IF(circ_int,eq_c1/2,0))/2))+2*IF(circ_int,0,eq_c2/2))+(PI()*(s_0+10*s_r+IF(circ_int,eq_c1/2,0))/2)),-IF(circ_int,0,eq_c1/2)+(s_0+10*s_r+IF(circ_int,eq_c1/2,0))*COS(PI()+(((18+0.5)*(4*IF(circ_int,0,eq_c1/2)+4*IF(circ_int,0,eq_c2/2)+2*PI()*(s_0+10*s_r+IF(circ_int,eq_c1/2,0)))/INDEX(lk_legs,11))-(((((2*IF(circ_int,0,eq_c2/2))+(PI()*(s_0+10*s_r+IF(circ_int,eq_c1/2,0))/2))+2*IF(circ_int,0,eq_c1/2))+(PI()*(s_0+10*s_r+IF(circ_int,eq_c1/2,0))/2))+2*IF(circ_int,0,eq_c2/2)))/(s_0+10*s_r+IF(circ_int,eq_c1/2,0))),IF(((18+0.5)*(4*IF(circ_int,0,eq_c1/2)+4*IF(circ_int,0,eq_c2/2)+2*PI()*(s_0+10*s_r+IF(circ_int,eq_c1/2,0)))/INDEX(lk_legs,11))&lt;(((((((2*IF(circ_int,0,eq_c2/2))+(PI()*(s_0+10*s_r+IF(circ_int,eq_c1/2,0))/2))+2*IF(circ_int,0,eq_c1/2))+(PI()*(s_0+10*s_r+IF(circ_int,eq_c1/2,0))/2))+2*IF(circ_int,0,eq_c2/2))+(PI()*(s_0+10*s_r+IF(circ_int,eq_c1/2,0))/2))+2*IF(circ_int,0,eq_c1/2)),-IF(circ_int,0,eq_c1/2)+(((18+0.5)*(4*IF(circ_int,0,eq_c1/2)+4*IF(circ_int,0,eq_c2/2)+2*PI()*(s_0+10*s_r+IF(circ_int,eq_c1/2,0)))/INDEX(lk_legs,11))-((((((2*IF(circ_int,0,eq_c2/2))+(PI()*(s_0+10*s_r+IF(circ_int,eq_c1/2,0))/2))+2*IF(circ_int,0,eq_c1/2))+(PI()*(s_0+10*s_r+IF(circ_int,eq_c1/2,0))/2))+2*IF(circ_int,0,eq_c2/2))+(PI()*(s_0+10*s_r+IF(circ_int,eq_c1/2,0))/2))),IF(circ_int,0,eq_c1/2)+(s_0+10*s_r+IF(circ_int,eq_c1/2,0))*COS(3*PI()/2+(((18+0.5)*(4*IF(circ_int,0,eq_c1/2)+4*IF(circ_int,0,eq_c2/2)+2*PI()*(s_0+10*s_r+IF(circ_int,eq_c1/2,0)))/INDEX(lk_legs,11))-(((((((2*IF(circ_int,0,eq_c2/2))+(PI()*(s_0+10*s_r+IF(circ_int,eq_c1/2,0))/2))+2*IF(circ_int,0,eq_c1/2))+(PI()*(s_0+10*s_r+IF(circ_int,eq_c1/2,0))/2))+2*IF(circ_int,0,eq_c2/2))+(PI()*(s_0+10*s_r+IF(circ_int,eq_c1/2,0))/2))+2*IF(circ_int,0,eq_c1/2)))/(s_0+10*s_r+IF(circ_int,eq_c1/2,0)))))))))),NA())</f>
        <v/>
      </c>
      <c r="DI21">
        <f>IF(AND(AND(links_on,11&lt;=n_per),INDEX(lk_kind,11)=1,18&lt;INDEX(lk_legs,11)),g_oy+IF(((18+0.5)*(4*IF(circ_int,0,eq_c1/2)+4*IF(circ_int,0,eq_c2/2)+2*PI()*(s_0+10*s_r+IF(circ_int,eq_c1/2,0)))/INDEX(lk_legs,11))&lt;(2*IF(circ_int,0,eq_c2/2)),-IF(circ_int,0,eq_c2/2)+((18+0.5)*(4*IF(circ_int,0,eq_c1/2)+4*IF(circ_int,0,eq_c2/2)+2*PI()*(s_0+10*s_r+IF(circ_int,eq_c1/2,0)))/INDEX(lk_legs,11)),IF(((18+0.5)*(4*IF(circ_int,0,eq_c1/2)+4*IF(circ_int,0,eq_c2/2)+2*PI()*(s_0+10*s_r+IF(circ_int,eq_c1/2,0)))/INDEX(lk_legs,11))&lt;((2*IF(circ_int,0,eq_c2/2))+(PI()*(s_0+10*s_r+IF(circ_int,eq_c1/2,0))/2)),IF(circ_int,0,eq_c2/2)+(s_0+10*s_r+IF(circ_int,eq_c1/2,0))*SIN((((18+0.5)*(4*IF(circ_int,0,eq_c1/2)+4*IF(circ_int,0,eq_c2/2)+2*PI()*(s_0+10*s_r+IF(circ_int,eq_c1/2,0)))/INDEX(lk_legs,11))-(2*IF(circ_int,0,eq_c2/2)))/(s_0+10*s_r+IF(circ_int,eq_c1/2,0))),IF(((18+0.5)*(4*IF(circ_int,0,eq_c1/2)+4*IF(circ_int,0,eq_c2/2)+2*PI()*(s_0+10*s_r+IF(circ_int,eq_c1/2,0)))/INDEX(lk_legs,11))&lt;(((2*IF(circ_int,0,eq_c2/2))+(PI()*(s_0+10*s_r+IF(circ_int,eq_c1/2,0))/2))+2*IF(circ_int,0,eq_c1/2)),IF(circ_int,0,eq_c2/2)+(s_0+10*s_r+IF(circ_int,eq_c1/2,0)),IF(((18+0.5)*(4*IF(circ_int,0,eq_c1/2)+4*IF(circ_int,0,eq_c2/2)+2*PI()*(s_0+10*s_r+IF(circ_int,eq_c1/2,0)))/INDEX(lk_legs,11))&lt;((((2*IF(circ_int,0,eq_c2/2))+(PI()*(s_0+10*s_r+IF(circ_int,eq_c1/2,0))/2))+2*IF(circ_int,0,eq_c1/2))+(PI()*(s_0+10*s_r+IF(circ_int,eq_c1/2,0))/2)),IF(circ_int,0,eq_c2/2)+(s_0+10*s_r+IF(circ_int,eq_c1/2,0))*SIN(PI()/2+(((18+0.5)*(4*IF(circ_int,0,eq_c1/2)+4*IF(circ_int,0,eq_c2/2)+2*PI()*(s_0+10*s_r+IF(circ_int,eq_c1/2,0)))/INDEX(lk_legs,11))-(((2*IF(circ_int,0,eq_c2/2))+(PI()*(s_0+10*s_r+IF(circ_int,eq_c1/2,0))/2))+2*IF(circ_int,0,eq_c1/2)))/(s_0+10*s_r+IF(circ_int,eq_c1/2,0))),IF(((18+0.5)*(4*IF(circ_int,0,eq_c1/2)+4*IF(circ_int,0,eq_c2/2)+2*PI()*(s_0+10*s_r+IF(circ_int,eq_c1/2,0)))/INDEX(lk_legs,11))&lt;(((((2*IF(circ_int,0,eq_c2/2))+(PI()*(s_0+10*s_r+IF(circ_int,eq_c1/2,0))/2))+2*IF(circ_int,0,eq_c1/2))+(PI()*(s_0+10*s_r+IF(circ_int,eq_c1/2,0))/2))+2*IF(circ_int,0,eq_c2/2)),IF(circ_int,0,eq_c2/2)-(((18+0.5)*(4*IF(circ_int,0,eq_c1/2)+4*IF(circ_int,0,eq_c2/2)+2*PI()*(s_0+10*s_r+IF(circ_int,eq_c1/2,0)))/INDEX(lk_legs,11))-((((2*IF(circ_int,0,eq_c2/2))+(PI()*(s_0+10*s_r+IF(circ_int,eq_c1/2,0))/2))+2*IF(circ_int,0,eq_c1/2))+(PI()*(s_0+10*s_r+IF(circ_int,eq_c1/2,0))/2))),IF(((18+0.5)*(4*IF(circ_int,0,eq_c1/2)+4*IF(circ_int,0,eq_c2/2)+2*PI()*(s_0+10*s_r+IF(circ_int,eq_c1/2,0)))/INDEX(lk_legs,11))&lt;((((((2*IF(circ_int,0,eq_c2/2))+(PI()*(s_0+10*s_r+IF(circ_int,eq_c1/2,0))/2))+2*IF(circ_int,0,eq_c1/2))+(PI()*(s_0+10*s_r+IF(circ_int,eq_c1/2,0))/2))+2*IF(circ_int,0,eq_c2/2))+(PI()*(s_0+10*s_r+IF(circ_int,eq_c1/2,0))/2)),-IF(circ_int,0,eq_c2/2)+(s_0+10*s_r+IF(circ_int,eq_c1/2,0))*SIN(PI()+(((18+0.5)*(4*IF(circ_int,0,eq_c1/2)+4*IF(circ_int,0,eq_c2/2)+2*PI()*(s_0+10*s_r+IF(circ_int,eq_c1/2,0)))/INDEX(lk_legs,11))-(((((2*IF(circ_int,0,eq_c2/2))+(PI()*(s_0+10*s_r+IF(circ_int,eq_c1/2,0))/2))+2*IF(circ_int,0,eq_c1/2))+(PI()*(s_0+10*s_r+IF(circ_int,eq_c1/2,0))/2))+2*IF(circ_int,0,eq_c2/2)))/(s_0+10*s_r+IF(circ_int,eq_c1/2,0))),IF(((18+0.5)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(18+0.5)*(4*IF(circ_int,0,eq_c1/2)+4*IF(circ_int,0,eq_c2/2)+2*PI()*(s_0+10*s_r+IF(circ_int,eq_c1/2,0)))/INDEX(lk_legs,11))-(((((((2*IF(circ_int,0,eq_c2/2))+(PI()*(s_0+10*s_r+IF(circ_int,eq_c1/2,0))/2))+2*IF(circ_int,0,eq_c1/2))+(PI()*(s_0+10*s_r+IF(circ_int,eq_c1/2,0))/2))+2*IF(circ_int,0,eq_c2/2))+(PI()*(s_0+10*s_r+IF(circ_int,eq_c1/2,0))/2))+2*IF(circ_int,0,eq_c1/2)))/(s_0+10*s_r+IF(circ_int,eq_c1/2,0)))))))))),NA())</f>
        <v/>
      </c>
      <c r="DK21">
        <f>IF(AND(links_on,12&lt;=n_per),IF(circ_int,(g_ox)+(c_1/2+(s_0+11*s_r))*-0.568065,CHOOSE(INDEX(lk_kind,12),(g_ox-eq_c1/2)+((s_0+11*s_r))*-0.608761,(eq_a1+eq_c1)+((s_0+11*s_r))*0.866025,eq_a1+eq_c1+(s_0+11*s_r),(eq_a1+eq_c1)+((s_0+11*s_r))*0.500000)),NA())</f>
        <v/>
      </c>
      <c r="DL21">
        <f>IF(AND(links_on,12&lt;=n_per),IF(circ_int,(g_oy)+(c_1/2+(s_0+11*s_r))*0.822984,CHOOSE(INDEX(lk_kind,12),(g_oy+eq_c2/2)+((s_0+11*s_r))*0.793353,(g_oy-eq_c2/2)+((s_0+11*s_r))*-0.500000,0,(eq_a2+eq_c2)+((s_0+11*s_r))*0.866025)),NA())</f>
        <v/>
      </c>
      <c r="DN21">
        <f>IF(AND(AND(links_on,12&lt;=n_per),INDEX(lk_kind,12)=1,18&lt;INDEX(lk_legs,12)),g_ox+IF(((18+0.5)*(4*IF(circ_int,0,eq_c1/2)+4*IF(circ_int,0,eq_c2/2)+2*PI()*(s_0+11*s_r+IF(circ_int,eq_c1/2,0)))/INDEX(lk_legs,12))&lt;(2*IF(circ_int,0,eq_c2/2)),IF(circ_int,0,eq_c1/2)+(s_0+11*s_r+IF(circ_int,eq_c1/2,0)),IF(((18+0.5)*(4*IF(circ_int,0,eq_c1/2)+4*IF(circ_int,0,eq_c2/2)+2*PI()*(s_0+11*s_r+IF(circ_int,eq_c1/2,0)))/INDEX(lk_legs,12))&lt;((2*IF(circ_int,0,eq_c2/2))+(PI()*(s_0+11*s_r+IF(circ_int,eq_c1/2,0))/2)),IF(circ_int,0,eq_c1/2)+(s_0+11*s_r+IF(circ_int,eq_c1/2,0))*COS((((18+0.5)*(4*IF(circ_int,0,eq_c1/2)+4*IF(circ_int,0,eq_c2/2)+2*PI()*(s_0+11*s_r+IF(circ_int,eq_c1/2,0)))/INDEX(lk_legs,12))-(2*IF(circ_int,0,eq_c2/2)))/(s_0+11*s_r+IF(circ_int,eq_c1/2,0))),IF(((18+0.5)*(4*IF(circ_int,0,eq_c1/2)+4*IF(circ_int,0,eq_c2/2)+2*PI()*(s_0+11*s_r+IF(circ_int,eq_c1/2,0)))/INDEX(lk_legs,12))&lt;(((2*IF(circ_int,0,eq_c2/2))+(PI()*(s_0+11*s_r+IF(circ_int,eq_c1/2,0))/2))+2*IF(circ_int,0,eq_c1/2)),IF(circ_int,0,eq_c1/2)-(((18+0.5)*(4*IF(circ_int,0,eq_c1/2)+4*IF(circ_int,0,eq_c2/2)+2*PI()*(s_0+11*s_r+IF(circ_int,eq_c1/2,0)))/INDEX(lk_legs,12))-((2*IF(circ_int,0,eq_c2/2))+(PI()*(s_0+11*s_r+IF(circ_int,eq_c1/2,0))/2))),IF(((18+0.5)*(4*IF(circ_int,0,eq_c1/2)+4*IF(circ_int,0,eq_c2/2)+2*PI()*(s_0+11*s_r+IF(circ_int,eq_c1/2,0)))/INDEX(lk_legs,12))&lt;((((2*IF(circ_int,0,eq_c2/2))+(PI()*(s_0+11*s_r+IF(circ_int,eq_c1/2,0))/2))+2*IF(circ_int,0,eq_c1/2))+(PI()*(s_0+11*s_r+IF(circ_int,eq_c1/2,0))/2)),-IF(circ_int,0,eq_c1/2)+(s_0+11*s_r+IF(circ_int,eq_c1/2,0))*COS(PI()/2+(((18+0.5)*(4*IF(circ_int,0,eq_c1/2)+4*IF(circ_int,0,eq_c2/2)+2*PI()*(s_0+11*s_r+IF(circ_int,eq_c1/2,0)))/INDEX(lk_legs,12))-(((2*IF(circ_int,0,eq_c2/2))+(PI()*(s_0+11*s_r+IF(circ_int,eq_c1/2,0))/2))+2*IF(circ_int,0,eq_c1/2)))/(s_0+11*s_r+IF(circ_int,eq_c1/2,0))),IF(((18+0.5)*(4*IF(circ_int,0,eq_c1/2)+4*IF(circ_int,0,eq_c2/2)+2*PI()*(s_0+11*s_r+IF(circ_int,eq_c1/2,0)))/INDEX(lk_legs,12))&lt;(((((2*IF(circ_int,0,eq_c2/2))+(PI()*(s_0+11*s_r+IF(circ_int,eq_c1/2,0))/2))+2*IF(circ_int,0,eq_c1/2))+(PI()*(s_0+11*s_r+IF(circ_int,eq_c1/2,0))/2))+2*IF(circ_int,0,eq_c2/2)),-IF(circ_int,0,eq_c1/2)-(s_0+11*s_r+IF(circ_int,eq_c1/2,0)),IF(((18+0.5)*(4*IF(circ_int,0,eq_c1/2)+4*IF(circ_int,0,eq_c2/2)+2*PI()*(s_0+11*s_r+IF(circ_int,eq_c1/2,0)))/INDEX(lk_legs,12))&lt;((((((2*IF(circ_int,0,eq_c2/2))+(PI()*(s_0+11*s_r+IF(circ_int,eq_c1/2,0))/2))+2*IF(circ_int,0,eq_c1/2))+(PI()*(s_0+11*s_r+IF(circ_int,eq_c1/2,0))/2))+2*IF(circ_int,0,eq_c2/2))+(PI()*(s_0+11*s_r+IF(circ_int,eq_c1/2,0))/2)),-IF(circ_int,0,eq_c1/2)+(s_0+11*s_r+IF(circ_int,eq_c1/2,0))*COS(PI()+(((18+0.5)*(4*IF(circ_int,0,eq_c1/2)+4*IF(circ_int,0,eq_c2/2)+2*PI()*(s_0+11*s_r+IF(circ_int,eq_c1/2,0)))/INDEX(lk_legs,12))-(((((2*IF(circ_int,0,eq_c2/2))+(PI()*(s_0+11*s_r+IF(circ_int,eq_c1/2,0))/2))+2*IF(circ_int,0,eq_c1/2))+(PI()*(s_0+11*s_r+IF(circ_int,eq_c1/2,0))/2))+2*IF(circ_int,0,eq_c2/2)))/(s_0+11*s_r+IF(circ_int,eq_c1/2,0))),IF(((18+0.5)*(4*IF(circ_int,0,eq_c1/2)+4*IF(circ_int,0,eq_c2/2)+2*PI()*(s_0+11*s_r+IF(circ_int,eq_c1/2,0)))/INDEX(lk_legs,12))&lt;(((((((2*IF(circ_int,0,eq_c2/2))+(PI()*(s_0+11*s_r+IF(circ_int,eq_c1/2,0))/2))+2*IF(circ_int,0,eq_c1/2))+(PI()*(s_0+11*s_r+IF(circ_int,eq_c1/2,0))/2))+2*IF(circ_int,0,eq_c2/2))+(PI()*(s_0+11*s_r+IF(circ_int,eq_c1/2,0))/2))+2*IF(circ_int,0,eq_c1/2)),-IF(circ_int,0,eq_c1/2)+(((18+0.5)*(4*IF(circ_int,0,eq_c1/2)+4*IF(circ_int,0,eq_c2/2)+2*PI()*(s_0+11*s_r+IF(circ_int,eq_c1/2,0)))/INDEX(lk_legs,12))-((((((2*IF(circ_int,0,eq_c2/2))+(PI()*(s_0+11*s_r+IF(circ_int,eq_c1/2,0))/2))+2*IF(circ_int,0,eq_c1/2))+(PI()*(s_0+11*s_r+IF(circ_int,eq_c1/2,0))/2))+2*IF(circ_int,0,eq_c2/2))+(PI()*(s_0+11*s_r+IF(circ_int,eq_c1/2,0))/2))),IF(circ_int,0,eq_c1/2)+(s_0+11*s_r+IF(circ_int,eq_c1/2,0))*COS(3*PI()/2+(((18+0.5)*(4*IF(circ_int,0,eq_c1/2)+4*IF(circ_int,0,eq_c2/2)+2*PI()*(s_0+11*s_r+IF(circ_int,eq_c1/2,0)))/INDEX(lk_legs,12))-(((((((2*IF(circ_int,0,eq_c2/2))+(PI()*(s_0+11*s_r+IF(circ_int,eq_c1/2,0))/2))+2*IF(circ_int,0,eq_c1/2))+(PI()*(s_0+11*s_r+IF(circ_int,eq_c1/2,0))/2))+2*IF(circ_int,0,eq_c2/2))+(PI()*(s_0+11*s_r+IF(circ_int,eq_c1/2,0))/2))+2*IF(circ_int,0,eq_c1/2)))/(s_0+11*s_r+IF(circ_int,eq_c1/2,0)))))))))),NA())</f>
        <v/>
      </c>
      <c r="DO21">
        <f>IF(AND(AND(links_on,12&lt;=n_per),INDEX(lk_kind,12)=1,18&lt;INDEX(lk_legs,12)),g_oy+IF(((18+0.5)*(4*IF(circ_int,0,eq_c1/2)+4*IF(circ_int,0,eq_c2/2)+2*PI()*(s_0+11*s_r+IF(circ_int,eq_c1/2,0)))/INDEX(lk_legs,12))&lt;(2*IF(circ_int,0,eq_c2/2)),-IF(circ_int,0,eq_c2/2)+((18+0.5)*(4*IF(circ_int,0,eq_c1/2)+4*IF(circ_int,0,eq_c2/2)+2*PI()*(s_0+11*s_r+IF(circ_int,eq_c1/2,0)))/INDEX(lk_legs,12)),IF(((18+0.5)*(4*IF(circ_int,0,eq_c1/2)+4*IF(circ_int,0,eq_c2/2)+2*PI()*(s_0+11*s_r+IF(circ_int,eq_c1/2,0)))/INDEX(lk_legs,12))&lt;((2*IF(circ_int,0,eq_c2/2))+(PI()*(s_0+11*s_r+IF(circ_int,eq_c1/2,0))/2)),IF(circ_int,0,eq_c2/2)+(s_0+11*s_r+IF(circ_int,eq_c1/2,0))*SIN((((18+0.5)*(4*IF(circ_int,0,eq_c1/2)+4*IF(circ_int,0,eq_c2/2)+2*PI()*(s_0+11*s_r+IF(circ_int,eq_c1/2,0)))/INDEX(lk_legs,12))-(2*IF(circ_int,0,eq_c2/2)))/(s_0+11*s_r+IF(circ_int,eq_c1/2,0))),IF(((18+0.5)*(4*IF(circ_int,0,eq_c1/2)+4*IF(circ_int,0,eq_c2/2)+2*PI()*(s_0+11*s_r+IF(circ_int,eq_c1/2,0)))/INDEX(lk_legs,12))&lt;(((2*IF(circ_int,0,eq_c2/2))+(PI()*(s_0+11*s_r+IF(circ_int,eq_c1/2,0))/2))+2*IF(circ_int,0,eq_c1/2)),IF(circ_int,0,eq_c2/2)+(s_0+11*s_r+IF(circ_int,eq_c1/2,0)),IF(((18+0.5)*(4*IF(circ_int,0,eq_c1/2)+4*IF(circ_int,0,eq_c2/2)+2*PI()*(s_0+11*s_r+IF(circ_int,eq_c1/2,0)))/INDEX(lk_legs,12))&lt;((((2*IF(circ_int,0,eq_c2/2))+(PI()*(s_0+11*s_r+IF(circ_int,eq_c1/2,0))/2))+2*IF(circ_int,0,eq_c1/2))+(PI()*(s_0+11*s_r+IF(circ_int,eq_c1/2,0))/2)),IF(circ_int,0,eq_c2/2)+(s_0+11*s_r+IF(circ_int,eq_c1/2,0))*SIN(PI()/2+(((18+0.5)*(4*IF(circ_int,0,eq_c1/2)+4*IF(circ_int,0,eq_c2/2)+2*PI()*(s_0+11*s_r+IF(circ_int,eq_c1/2,0)))/INDEX(lk_legs,12))-(((2*IF(circ_int,0,eq_c2/2))+(PI()*(s_0+11*s_r+IF(circ_int,eq_c1/2,0))/2))+2*IF(circ_int,0,eq_c1/2)))/(s_0+11*s_r+IF(circ_int,eq_c1/2,0))),IF(((18+0.5)*(4*IF(circ_int,0,eq_c1/2)+4*IF(circ_int,0,eq_c2/2)+2*PI()*(s_0+11*s_r+IF(circ_int,eq_c1/2,0)))/INDEX(lk_legs,12))&lt;(((((2*IF(circ_int,0,eq_c2/2))+(PI()*(s_0+11*s_r+IF(circ_int,eq_c1/2,0))/2))+2*IF(circ_int,0,eq_c1/2))+(PI()*(s_0+11*s_r+IF(circ_int,eq_c1/2,0))/2))+2*IF(circ_int,0,eq_c2/2)),IF(circ_int,0,eq_c2/2)-(((18+0.5)*(4*IF(circ_int,0,eq_c1/2)+4*IF(circ_int,0,eq_c2/2)+2*PI()*(s_0+11*s_r+IF(circ_int,eq_c1/2,0)))/INDEX(lk_legs,12))-((((2*IF(circ_int,0,eq_c2/2))+(PI()*(s_0+11*s_r+IF(circ_int,eq_c1/2,0))/2))+2*IF(circ_int,0,eq_c1/2))+(PI()*(s_0+11*s_r+IF(circ_int,eq_c1/2,0))/2))),IF(((18+0.5)*(4*IF(circ_int,0,eq_c1/2)+4*IF(circ_int,0,eq_c2/2)+2*PI()*(s_0+11*s_r+IF(circ_int,eq_c1/2,0)))/INDEX(lk_legs,12))&lt;((((((2*IF(circ_int,0,eq_c2/2))+(PI()*(s_0+11*s_r+IF(circ_int,eq_c1/2,0))/2))+2*IF(circ_int,0,eq_c1/2))+(PI()*(s_0+11*s_r+IF(circ_int,eq_c1/2,0))/2))+2*IF(circ_int,0,eq_c2/2))+(PI()*(s_0+11*s_r+IF(circ_int,eq_c1/2,0))/2)),-IF(circ_int,0,eq_c2/2)+(s_0+11*s_r+IF(circ_int,eq_c1/2,0))*SIN(PI()+(((18+0.5)*(4*IF(circ_int,0,eq_c1/2)+4*IF(circ_int,0,eq_c2/2)+2*PI()*(s_0+11*s_r+IF(circ_int,eq_c1/2,0)))/INDEX(lk_legs,12))-(((((2*IF(circ_int,0,eq_c2/2))+(PI()*(s_0+11*s_r+IF(circ_int,eq_c1/2,0))/2))+2*IF(circ_int,0,eq_c1/2))+(PI()*(s_0+11*s_r+IF(circ_int,eq_c1/2,0))/2))+2*IF(circ_int,0,eq_c2/2)))/(s_0+11*s_r+IF(circ_int,eq_c1/2,0))),IF(((18+0.5)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(18+0.5)*(4*IF(circ_int,0,eq_c1/2)+4*IF(circ_int,0,eq_c2/2)+2*PI()*(s_0+11*s_r+IF(circ_int,eq_c1/2,0)))/INDEX(lk_legs,12))-(((((((2*IF(circ_int,0,eq_c2/2))+(PI()*(s_0+11*s_r+IF(circ_int,eq_c1/2,0))/2))+2*IF(circ_int,0,eq_c1/2))+(PI()*(s_0+11*s_r+IF(circ_int,eq_c1/2,0))/2))+2*IF(circ_int,0,eq_c2/2))+(PI()*(s_0+11*s_r+IF(circ_int,eq_c1/2,0))/2))+2*IF(circ_int,0,eq_c1/2)))/(s_0+11*s_r+IF(circ_int,eq_c1/2,0)))))))))),NA())</f>
        <v/>
      </c>
    </row>
    <row r="22">
      <c r="A22">
        <f>IF(shape="Circular",(g_ox)+(c_1/2+0)*-0.663123,CHOOSE(1,(g_ox-eq_c1/2)+(0)*-0.707107,(eq_a1+eq_c1)+(0)*0.793353,eq_a1+eq_c1+0,(eq_a1+eq_c1)+(0)*0.608761))</f>
        <v/>
      </c>
      <c r="B22">
        <f>IF(shape="Circular",(g_oy)+(c_1/2+0)*0.748511,CHOOSE(1,(g_oy+eq_c2/2)+(0)*0.707107,(g_oy-eq_c2/2)+(0)*-0.608761,0,(eq_a2+eq_c2)+(0)*0.793353))</f>
        <v/>
      </c>
      <c r="D22">
        <f>IF(circ_int,(g_ox)+(c_1/2+2*d_eff)*-0.663123,CHOOSE(geo_idx,(g_ox-eq_c1/2)+(2*d_eff)*-0.707107,(eq_a1+eq_c1)+(2*d_eff)*0.793353,eq_a1+eq_c1+2*d_eff,(eq_a1+eq_c1)+(2*d_eff)*0.608761))</f>
        <v/>
      </c>
      <c r="E22">
        <f>IF(circ_int,(g_oy)+(c_1/2+2*d_eff)*0.748511,CHOOSE(geo_idx,(g_oy+eq_c2/2)+(2*d_eff)*0.707107,(g_oy-eq_c2/2)+(2*d_eff)*-0.608761,0,(eq_a2+eq_c2)+(2*d_eff)*0.793353))</f>
        <v/>
      </c>
      <c r="G22">
        <f>IF(AND(inputs_ok,punch_ok,A_sw&gt;0),IF(circ_int,(g_ox)+(c_1/2+r_out)*-0.663123,CHOOSE(kind_out,(g_ox-eq_c1/2)+(r_out)*-0.707107,(eq_a1+eq_c1)+(r_out)*0.793353,eq_a1+eq_c1+r_out,(eq_a1+eq_c1)+(r_out)*0.608761)),NA())</f>
        <v/>
      </c>
      <c r="H22">
        <f>IF(AND(inputs_ok,punch_ok,A_sw&gt;0),IF(circ_int,(g_oy)+(c_1/2+r_out)*0.748511,CHOOSE(kind_out,(g_oy+eq_c2/2)+(r_out)*0.707107,(g_oy-eq_c2/2)+(r_out)*-0.608761,0,(eq_a2+eq_c2)+(r_out)*0.793353)),NA())</f>
        <v/>
      </c>
      <c r="AW22">
        <f>IF(AND(links_on,1&lt;=n_per),IF(circ_int,(g_ox)+(c_1/2+(s_0+0*s_r))*-0.663123,CHOOSE(INDEX(lk_kind,1),(g_ox-eq_c1/2)+((s_0+0*s_r))*-0.707107,(eq_a1+eq_c1)+((s_0+0*s_r))*0.793353,eq_a1+eq_c1+(s_0+0*s_r),(eq_a1+eq_c1)+((s_0+0*s_r))*0.608761)),NA())</f>
        <v/>
      </c>
      <c r="AX22">
        <f>IF(AND(links_on,1&lt;=n_per),IF(circ_int,(g_oy)+(c_1/2+(s_0+0*s_r))*0.748511,CHOOSE(INDEX(lk_kind,1),(g_oy+eq_c2/2)+((s_0+0*s_r))*0.707107,(g_oy-eq_c2/2)+((s_0+0*s_r))*-0.608761,0,(eq_a2+eq_c2)+((s_0+0*s_r))*0.793353)),NA())</f>
        <v/>
      </c>
      <c r="AZ22">
        <f>IF(AND(AND(links_on,1&lt;=n_per),INDEX(lk_kind,1)=1,19&lt;INDEX(lk_legs,1)),g_ox+IF(((19+0.5)*(4*IF(circ_int,0,eq_c1/2)+4*IF(circ_int,0,eq_c2/2)+2*PI()*(s_0+0*s_r+IF(circ_int,eq_c1/2,0)))/INDEX(lk_legs,1))&lt;(2*IF(circ_int,0,eq_c2/2)),IF(circ_int,0,eq_c1/2)+(s_0+0*s_r+IF(circ_int,eq_c1/2,0)),IF(((19+0.5)*(4*IF(circ_int,0,eq_c1/2)+4*IF(circ_int,0,eq_c2/2)+2*PI()*(s_0+0*s_r+IF(circ_int,eq_c1/2,0)))/INDEX(lk_legs,1))&lt;((2*IF(circ_int,0,eq_c2/2))+(PI()*(s_0+0*s_r+IF(circ_int,eq_c1/2,0))/2)),IF(circ_int,0,eq_c1/2)+(s_0+0*s_r+IF(circ_int,eq_c1/2,0))*COS((((19+0.5)*(4*IF(circ_int,0,eq_c1/2)+4*IF(circ_int,0,eq_c2/2)+2*PI()*(s_0+0*s_r+IF(circ_int,eq_c1/2,0)))/INDEX(lk_legs,1))-(2*IF(circ_int,0,eq_c2/2)))/(s_0+0*s_r+IF(circ_int,eq_c1/2,0))),IF(((19+0.5)*(4*IF(circ_int,0,eq_c1/2)+4*IF(circ_int,0,eq_c2/2)+2*PI()*(s_0+0*s_r+IF(circ_int,eq_c1/2,0)))/INDEX(lk_legs,1))&lt;(((2*IF(circ_int,0,eq_c2/2))+(PI()*(s_0+0*s_r+IF(circ_int,eq_c1/2,0))/2))+2*IF(circ_int,0,eq_c1/2)),IF(circ_int,0,eq_c1/2)-(((19+0.5)*(4*IF(circ_int,0,eq_c1/2)+4*IF(circ_int,0,eq_c2/2)+2*PI()*(s_0+0*s_r+IF(circ_int,eq_c1/2,0)))/INDEX(lk_legs,1))-((2*IF(circ_int,0,eq_c2/2))+(PI()*(s_0+0*s_r+IF(circ_int,eq_c1/2,0))/2))),IF(((19+0.5)*(4*IF(circ_int,0,eq_c1/2)+4*IF(circ_int,0,eq_c2/2)+2*PI()*(s_0+0*s_r+IF(circ_int,eq_c1/2,0)))/INDEX(lk_legs,1))&lt;((((2*IF(circ_int,0,eq_c2/2))+(PI()*(s_0+0*s_r+IF(circ_int,eq_c1/2,0))/2))+2*IF(circ_int,0,eq_c1/2))+(PI()*(s_0+0*s_r+IF(circ_int,eq_c1/2,0))/2)),-IF(circ_int,0,eq_c1/2)+(s_0+0*s_r+IF(circ_int,eq_c1/2,0))*COS(PI()/2+(((19+0.5)*(4*IF(circ_int,0,eq_c1/2)+4*IF(circ_int,0,eq_c2/2)+2*PI()*(s_0+0*s_r+IF(circ_int,eq_c1/2,0)))/INDEX(lk_legs,1))-(((2*IF(circ_int,0,eq_c2/2))+(PI()*(s_0+0*s_r+IF(circ_int,eq_c1/2,0))/2))+2*IF(circ_int,0,eq_c1/2)))/(s_0+0*s_r+IF(circ_int,eq_c1/2,0))),IF(((19+0.5)*(4*IF(circ_int,0,eq_c1/2)+4*IF(circ_int,0,eq_c2/2)+2*PI()*(s_0+0*s_r+IF(circ_int,eq_c1/2,0)))/INDEX(lk_legs,1))&lt;(((((2*IF(circ_int,0,eq_c2/2))+(PI()*(s_0+0*s_r+IF(circ_int,eq_c1/2,0))/2))+2*IF(circ_int,0,eq_c1/2))+(PI()*(s_0+0*s_r+IF(circ_int,eq_c1/2,0))/2))+2*IF(circ_int,0,eq_c2/2)),-IF(circ_int,0,eq_c1/2)-(s_0+0*s_r+IF(circ_int,eq_c1/2,0)),IF(((19+0.5)*(4*IF(circ_int,0,eq_c1/2)+4*IF(circ_int,0,eq_c2/2)+2*PI()*(s_0+0*s_r+IF(circ_int,eq_c1/2,0)))/INDEX(lk_legs,1))&lt;((((((2*IF(circ_int,0,eq_c2/2))+(PI()*(s_0+0*s_r+IF(circ_int,eq_c1/2,0))/2))+2*IF(circ_int,0,eq_c1/2))+(PI()*(s_0+0*s_r+IF(circ_int,eq_c1/2,0))/2))+2*IF(circ_int,0,eq_c2/2))+(PI()*(s_0+0*s_r+IF(circ_int,eq_c1/2,0))/2)),-IF(circ_int,0,eq_c1/2)+(s_0+0*s_r+IF(circ_int,eq_c1/2,0))*COS(PI()+(((19+0.5)*(4*IF(circ_int,0,eq_c1/2)+4*IF(circ_int,0,eq_c2/2)+2*PI()*(s_0+0*s_r+IF(circ_int,eq_c1/2,0)))/INDEX(lk_legs,1))-(((((2*IF(circ_int,0,eq_c2/2))+(PI()*(s_0+0*s_r+IF(circ_int,eq_c1/2,0))/2))+2*IF(circ_int,0,eq_c1/2))+(PI()*(s_0+0*s_r+IF(circ_int,eq_c1/2,0))/2))+2*IF(circ_int,0,eq_c2/2)))/(s_0+0*s_r+IF(circ_int,eq_c1/2,0))),IF(((19+0.5)*(4*IF(circ_int,0,eq_c1/2)+4*IF(circ_int,0,eq_c2/2)+2*PI()*(s_0+0*s_r+IF(circ_int,eq_c1/2,0)))/INDEX(lk_legs,1))&lt;(((((((2*IF(circ_int,0,eq_c2/2))+(PI()*(s_0+0*s_r+IF(circ_int,eq_c1/2,0))/2))+2*IF(circ_int,0,eq_c1/2))+(PI()*(s_0+0*s_r+IF(circ_int,eq_c1/2,0))/2))+2*IF(circ_int,0,eq_c2/2))+(PI()*(s_0+0*s_r+IF(circ_int,eq_c1/2,0))/2))+2*IF(circ_int,0,eq_c1/2)),-IF(circ_int,0,eq_c1/2)+(((19+0.5)*(4*IF(circ_int,0,eq_c1/2)+4*IF(circ_int,0,eq_c2/2)+2*PI()*(s_0+0*s_r+IF(circ_int,eq_c1/2,0)))/INDEX(lk_legs,1))-((((((2*IF(circ_int,0,eq_c2/2))+(PI()*(s_0+0*s_r+IF(circ_int,eq_c1/2,0))/2))+2*IF(circ_int,0,eq_c1/2))+(PI()*(s_0+0*s_r+IF(circ_int,eq_c1/2,0))/2))+2*IF(circ_int,0,eq_c2/2))+(PI()*(s_0+0*s_r+IF(circ_int,eq_c1/2,0))/2))),IF(circ_int,0,eq_c1/2)+(s_0+0*s_r+IF(circ_int,eq_c1/2,0))*COS(3*PI()/2+(((19+0.5)*(4*IF(circ_int,0,eq_c1/2)+4*IF(circ_int,0,eq_c2/2)+2*PI()*(s_0+0*s_r+IF(circ_int,eq_c1/2,0)))/INDEX(lk_legs,1))-(((((((2*IF(circ_int,0,eq_c2/2))+(PI()*(s_0+0*s_r+IF(circ_int,eq_c1/2,0))/2))+2*IF(circ_int,0,eq_c1/2))+(PI()*(s_0+0*s_r+IF(circ_int,eq_c1/2,0))/2))+2*IF(circ_int,0,eq_c2/2))+(PI()*(s_0+0*s_r+IF(circ_int,eq_c1/2,0))/2))+2*IF(circ_int,0,eq_c1/2)))/(s_0+0*s_r+IF(circ_int,eq_c1/2,0)))))))))),NA())</f>
        <v/>
      </c>
      <c r="BA22">
        <f>IF(AND(AND(links_on,1&lt;=n_per),INDEX(lk_kind,1)=1,19&lt;INDEX(lk_legs,1)),g_oy+IF(((19+0.5)*(4*IF(circ_int,0,eq_c1/2)+4*IF(circ_int,0,eq_c2/2)+2*PI()*(s_0+0*s_r+IF(circ_int,eq_c1/2,0)))/INDEX(lk_legs,1))&lt;(2*IF(circ_int,0,eq_c2/2)),-IF(circ_int,0,eq_c2/2)+((19+0.5)*(4*IF(circ_int,0,eq_c1/2)+4*IF(circ_int,0,eq_c2/2)+2*PI()*(s_0+0*s_r+IF(circ_int,eq_c1/2,0)))/INDEX(lk_legs,1)),IF(((19+0.5)*(4*IF(circ_int,0,eq_c1/2)+4*IF(circ_int,0,eq_c2/2)+2*PI()*(s_0+0*s_r+IF(circ_int,eq_c1/2,0)))/INDEX(lk_legs,1))&lt;((2*IF(circ_int,0,eq_c2/2))+(PI()*(s_0+0*s_r+IF(circ_int,eq_c1/2,0))/2)),IF(circ_int,0,eq_c2/2)+(s_0+0*s_r+IF(circ_int,eq_c1/2,0))*SIN((((19+0.5)*(4*IF(circ_int,0,eq_c1/2)+4*IF(circ_int,0,eq_c2/2)+2*PI()*(s_0+0*s_r+IF(circ_int,eq_c1/2,0)))/INDEX(lk_legs,1))-(2*IF(circ_int,0,eq_c2/2)))/(s_0+0*s_r+IF(circ_int,eq_c1/2,0))),IF(((19+0.5)*(4*IF(circ_int,0,eq_c1/2)+4*IF(circ_int,0,eq_c2/2)+2*PI()*(s_0+0*s_r+IF(circ_int,eq_c1/2,0)))/INDEX(lk_legs,1))&lt;(((2*IF(circ_int,0,eq_c2/2))+(PI()*(s_0+0*s_r+IF(circ_int,eq_c1/2,0))/2))+2*IF(circ_int,0,eq_c1/2)),IF(circ_int,0,eq_c2/2)+(s_0+0*s_r+IF(circ_int,eq_c1/2,0)),IF(((19+0.5)*(4*IF(circ_int,0,eq_c1/2)+4*IF(circ_int,0,eq_c2/2)+2*PI()*(s_0+0*s_r+IF(circ_int,eq_c1/2,0)))/INDEX(lk_legs,1))&lt;((((2*IF(circ_int,0,eq_c2/2))+(PI()*(s_0+0*s_r+IF(circ_int,eq_c1/2,0))/2))+2*IF(circ_int,0,eq_c1/2))+(PI()*(s_0+0*s_r+IF(circ_int,eq_c1/2,0))/2)),IF(circ_int,0,eq_c2/2)+(s_0+0*s_r+IF(circ_int,eq_c1/2,0))*SIN(PI()/2+(((19+0.5)*(4*IF(circ_int,0,eq_c1/2)+4*IF(circ_int,0,eq_c2/2)+2*PI()*(s_0+0*s_r+IF(circ_int,eq_c1/2,0)))/INDEX(lk_legs,1))-(((2*IF(circ_int,0,eq_c2/2))+(PI()*(s_0+0*s_r+IF(circ_int,eq_c1/2,0))/2))+2*IF(circ_int,0,eq_c1/2)))/(s_0+0*s_r+IF(circ_int,eq_c1/2,0))),IF(((19+0.5)*(4*IF(circ_int,0,eq_c1/2)+4*IF(circ_int,0,eq_c2/2)+2*PI()*(s_0+0*s_r+IF(circ_int,eq_c1/2,0)))/INDEX(lk_legs,1))&lt;(((((2*IF(circ_int,0,eq_c2/2))+(PI()*(s_0+0*s_r+IF(circ_int,eq_c1/2,0))/2))+2*IF(circ_int,0,eq_c1/2))+(PI()*(s_0+0*s_r+IF(circ_int,eq_c1/2,0))/2))+2*IF(circ_int,0,eq_c2/2)),IF(circ_int,0,eq_c2/2)-(((19+0.5)*(4*IF(circ_int,0,eq_c1/2)+4*IF(circ_int,0,eq_c2/2)+2*PI()*(s_0+0*s_r+IF(circ_int,eq_c1/2,0)))/INDEX(lk_legs,1))-((((2*IF(circ_int,0,eq_c2/2))+(PI()*(s_0+0*s_r+IF(circ_int,eq_c1/2,0))/2))+2*IF(circ_int,0,eq_c1/2))+(PI()*(s_0+0*s_r+IF(circ_int,eq_c1/2,0))/2))),IF(((19+0.5)*(4*IF(circ_int,0,eq_c1/2)+4*IF(circ_int,0,eq_c2/2)+2*PI()*(s_0+0*s_r+IF(circ_int,eq_c1/2,0)))/INDEX(lk_legs,1))&lt;((((((2*IF(circ_int,0,eq_c2/2))+(PI()*(s_0+0*s_r+IF(circ_int,eq_c1/2,0))/2))+2*IF(circ_int,0,eq_c1/2))+(PI()*(s_0+0*s_r+IF(circ_int,eq_c1/2,0))/2))+2*IF(circ_int,0,eq_c2/2))+(PI()*(s_0+0*s_r+IF(circ_int,eq_c1/2,0))/2)),-IF(circ_int,0,eq_c2/2)+(s_0+0*s_r+IF(circ_int,eq_c1/2,0))*SIN(PI()+(((19+0.5)*(4*IF(circ_int,0,eq_c1/2)+4*IF(circ_int,0,eq_c2/2)+2*PI()*(s_0+0*s_r+IF(circ_int,eq_c1/2,0)))/INDEX(lk_legs,1))-(((((2*IF(circ_int,0,eq_c2/2))+(PI()*(s_0+0*s_r+IF(circ_int,eq_c1/2,0))/2))+2*IF(circ_int,0,eq_c1/2))+(PI()*(s_0+0*s_r+IF(circ_int,eq_c1/2,0))/2))+2*IF(circ_int,0,eq_c2/2)))/(s_0+0*s_r+IF(circ_int,eq_c1/2,0))),IF(((19+0.5)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(19+0.5)*(4*IF(circ_int,0,eq_c1/2)+4*IF(circ_int,0,eq_c2/2)+2*PI()*(s_0+0*s_r+IF(circ_int,eq_c1/2,0)))/INDEX(lk_legs,1))-(((((((2*IF(circ_int,0,eq_c2/2))+(PI()*(s_0+0*s_r+IF(circ_int,eq_c1/2,0))/2))+2*IF(circ_int,0,eq_c1/2))+(PI()*(s_0+0*s_r+IF(circ_int,eq_c1/2,0))/2))+2*IF(circ_int,0,eq_c2/2))+(PI()*(s_0+0*s_r+IF(circ_int,eq_c1/2,0))/2))+2*IF(circ_int,0,eq_c1/2)))/(s_0+0*s_r+IF(circ_int,eq_c1/2,0)))))))))),NA())</f>
        <v/>
      </c>
      <c r="BC22">
        <f>IF(AND(links_on,2&lt;=n_per),IF(circ_int,(g_ox)+(c_1/2+(s_0+1*s_r))*-0.663123,CHOOSE(INDEX(lk_kind,2),(g_ox-eq_c1/2)+((s_0+1*s_r))*-0.707107,(eq_a1+eq_c1)+((s_0+1*s_r))*0.793353,eq_a1+eq_c1+(s_0+1*s_r),(eq_a1+eq_c1)+((s_0+1*s_r))*0.608761)),NA())</f>
        <v/>
      </c>
      <c r="BD22">
        <f>IF(AND(links_on,2&lt;=n_per),IF(circ_int,(g_oy)+(c_1/2+(s_0+1*s_r))*0.748511,CHOOSE(INDEX(lk_kind,2),(g_oy+eq_c2/2)+((s_0+1*s_r))*0.707107,(g_oy-eq_c2/2)+((s_0+1*s_r))*-0.608761,0,(eq_a2+eq_c2)+((s_0+1*s_r))*0.793353)),NA())</f>
        <v/>
      </c>
      <c r="BF22">
        <f>IF(AND(AND(links_on,2&lt;=n_per),INDEX(lk_kind,2)=1,19&lt;INDEX(lk_legs,2)),g_ox+IF(((19+0.5)*(4*IF(circ_int,0,eq_c1/2)+4*IF(circ_int,0,eq_c2/2)+2*PI()*(s_0+1*s_r+IF(circ_int,eq_c1/2,0)))/INDEX(lk_legs,2))&lt;(2*IF(circ_int,0,eq_c2/2)),IF(circ_int,0,eq_c1/2)+(s_0+1*s_r+IF(circ_int,eq_c1/2,0)),IF(((19+0.5)*(4*IF(circ_int,0,eq_c1/2)+4*IF(circ_int,0,eq_c2/2)+2*PI()*(s_0+1*s_r+IF(circ_int,eq_c1/2,0)))/INDEX(lk_legs,2))&lt;((2*IF(circ_int,0,eq_c2/2))+(PI()*(s_0+1*s_r+IF(circ_int,eq_c1/2,0))/2)),IF(circ_int,0,eq_c1/2)+(s_0+1*s_r+IF(circ_int,eq_c1/2,0))*COS((((19+0.5)*(4*IF(circ_int,0,eq_c1/2)+4*IF(circ_int,0,eq_c2/2)+2*PI()*(s_0+1*s_r+IF(circ_int,eq_c1/2,0)))/INDEX(lk_legs,2))-(2*IF(circ_int,0,eq_c2/2)))/(s_0+1*s_r+IF(circ_int,eq_c1/2,0))),IF(((19+0.5)*(4*IF(circ_int,0,eq_c1/2)+4*IF(circ_int,0,eq_c2/2)+2*PI()*(s_0+1*s_r+IF(circ_int,eq_c1/2,0)))/INDEX(lk_legs,2))&lt;(((2*IF(circ_int,0,eq_c2/2))+(PI()*(s_0+1*s_r+IF(circ_int,eq_c1/2,0))/2))+2*IF(circ_int,0,eq_c1/2)),IF(circ_int,0,eq_c1/2)-(((19+0.5)*(4*IF(circ_int,0,eq_c1/2)+4*IF(circ_int,0,eq_c2/2)+2*PI()*(s_0+1*s_r+IF(circ_int,eq_c1/2,0)))/INDEX(lk_legs,2))-((2*IF(circ_int,0,eq_c2/2))+(PI()*(s_0+1*s_r+IF(circ_int,eq_c1/2,0))/2))),IF(((19+0.5)*(4*IF(circ_int,0,eq_c1/2)+4*IF(circ_int,0,eq_c2/2)+2*PI()*(s_0+1*s_r+IF(circ_int,eq_c1/2,0)))/INDEX(lk_legs,2))&lt;((((2*IF(circ_int,0,eq_c2/2))+(PI()*(s_0+1*s_r+IF(circ_int,eq_c1/2,0))/2))+2*IF(circ_int,0,eq_c1/2))+(PI()*(s_0+1*s_r+IF(circ_int,eq_c1/2,0))/2)),-IF(circ_int,0,eq_c1/2)+(s_0+1*s_r+IF(circ_int,eq_c1/2,0))*COS(PI()/2+(((19+0.5)*(4*IF(circ_int,0,eq_c1/2)+4*IF(circ_int,0,eq_c2/2)+2*PI()*(s_0+1*s_r+IF(circ_int,eq_c1/2,0)))/INDEX(lk_legs,2))-(((2*IF(circ_int,0,eq_c2/2))+(PI()*(s_0+1*s_r+IF(circ_int,eq_c1/2,0))/2))+2*IF(circ_int,0,eq_c1/2)))/(s_0+1*s_r+IF(circ_int,eq_c1/2,0))),IF(((19+0.5)*(4*IF(circ_int,0,eq_c1/2)+4*IF(circ_int,0,eq_c2/2)+2*PI()*(s_0+1*s_r+IF(circ_int,eq_c1/2,0)))/INDEX(lk_legs,2))&lt;(((((2*IF(circ_int,0,eq_c2/2))+(PI()*(s_0+1*s_r+IF(circ_int,eq_c1/2,0))/2))+2*IF(circ_int,0,eq_c1/2))+(PI()*(s_0+1*s_r+IF(circ_int,eq_c1/2,0))/2))+2*IF(circ_int,0,eq_c2/2)),-IF(circ_int,0,eq_c1/2)-(s_0+1*s_r+IF(circ_int,eq_c1/2,0)),IF(((19+0.5)*(4*IF(circ_int,0,eq_c1/2)+4*IF(circ_int,0,eq_c2/2)+2*PI()*(s_0+1*s_r+IF(circ_int,eq_c1/2,0)))/INDEX(lk_legs,2))&lt;((((((2*IF(circ_int,0,eq_c2/2))+(PI()*(s_0+1*s_r+IF(circ_int,eq_c1/2,0))/2))+2*IF(circ_int,0,eq_c1/2))+(PI()*(s_0+1*s_r+IF(circ_int,eq_c1/2,0))/2))+2*IF(circ_int,0,eq_c2/2))+(PI()*(s_0+1*s_r+IF(circ_int,eq_c1/2,0))/2)),-IF(circ_int,0,eq_c1/2)+(s_0+1*s_r+IF(circ_int,eq_c1/2,0))*COS(PI()+(((19+0.5)*(4*IF(circ_int,0,eq_c1/2)+4*IF(circ_int,0,eq_c2/2)+2*PI()*(s_0+1*s_r+IF(circ_int,eq_c1/2,0)))/INDEX(lk_legs,2))-(((((2*IF(circ_int,0,eq_c2/2))+(PI()*(s_0+1*s_r+IF(circ_int,eq_c1/2,0))/2))+2*IF(circ_int,0,eq_c1/2))+(PI()*(s_0+1*s_r+IF(circ_int,eq_c1/2,0))/2))+2*IF(circ_int,0,eq_c2/2)))/(s_0+1*s_r+IF(circ_int,eq_c1/2,0))),IF(((19+0.5)*(4*IF(circ_int,0,eq_c1/2)+4*IF(circ_int,0,eq_c2/2)+2*PI()*(s_0+1*s_r+IF(circ_int,eq_c1/2,0)))/INDEX(lk_legs,2))&lt;(((((((2*IF(circ_int,0,eq_c2/2))+(PI()*(s_0+1*s_r+IF(circ_int,eq_c1/2,0))/2))+2*IF(circ_int,0,eq_c1/2))+(PI()*(s_0+1*s_r+IF(circ_int,eq_c1/2,0))/2))+2*IF(circ_int,0,eq_c2/2))+(PI()*(s_0+1*s_r+IF(circ_int,eq_c1/2,0))/2))+2*IF(circ_int,0,eq_c1/2)),-IF(circ_int,0,eq_c1/2)+(((19+0.5)*(4*IF(circ_int,0,eq_c1/2)+4*IF(circ_int,0,eq_c2/2)+2*PI()*(s_0+1*s_r+IF(circ_int,eq_c1/2,0)))/INDEX(lk_legs,2))-((((((2*IF(circ_int,0,eq_c2/2))+(PI()*(s_0+1*s_r+IF(circ_int,eq_c1/2,0))/2))+2*IF(circ_int,0,eq_c1/2))+(PI()*(s_0+1*s_r+IF(circ_int,eq_c1/2,0))/2))+2*IF(circ_int,0,eq_c2/2))+(PI()*(s_0+1*s_r+IF(circ_int,eq_c1/2,0))/2))),IF(circ_int,0,eq_c1/2)+(s_0+1*s_r+IF(circ_int,eq_c1/2,0))*COS(3*PI()/2+(((19+0.5)*(4*IF(circ_int,0,eq_c1/2)+4*IF(circ_int,0,eq_c2/2)+2*PI()*(s_0+1*s_r+IF(circ_int,eq_c1/2,0)))/INDEX(lk_legs,2))-(((((((2*IF(circ_int,0,eq_c2/2))+(PI()*(s_0+1*s_r+IF(circ_int,eq_c1/2,0))/2))+2*IF(circ_int,0,eq_c1/2))+(PI()*(s_0+1*s_r+IF(circ_int,eq_c1/2,0))/2))+2*IF(circ_int,0,eq_c2/2))+(PI()*(s_0+1*s_r+IF(circ_int,eq_c1/2,0))/2))+2*IF(circ_int,0,eq_c1/2)))/(s_0+1*s_r+IF(circ_int,eq_c1/2,0)))))))))),NA())</f>
        <v/>
      </c>
      <c r="BG22">
        <f>IF(AND(AND(links_on,2&lt;=n_per),INDEX(lk_kind,2)=1,19&lt;INDEX(lk_legs,2)),g_oy+IF(((19+0.5)*(4*IF(circ_int,0,eq_c1/2)+4*IF(circ_int,0,eq_c2/2)+2*PI()*(s_0+1*s_r+IF(circ_int,eq_c1/2,0)))/INDEX(lk_legs,2))&lt;(2*IF(circ_int,0,eq_c2/2)),-IF(circ_int,0,eq_c2/2)+((19+0.5)*(4*IF(circ_int,0,eq_c1/2)+4*IF(circ_int,0,eq_c2/2)+2*PI()*(s_0+1*s_r+IF(circ_int,eq_c1/2,0)))/INDEX(lk_legs,2)),IF(((19+0.5)*(4*IF(circ_int,0,eq_c1/2)+4*IF(circ_int,0,eq_c2/2)+2*PI()*(s_0+1*s_r+IF(circ_int,eq_c1/2,0)))/INDEX(lk_legs,2))&lt;((2*IF(circ_int,0,eq_c2/2))+(PI()*(s_0+1*s_r+IF(circ_int,eq_c1/2,0))/2)),IF(circ_int,0,eq_c2/2)+(s_0+1*s_r+IF(circ_int,eq_c1/2,0))*SIN((((19+0.5)*(4*IF(circ_int,0,eq_c1/2)+4*IF(circ_int,0,eq_c2/2)+2*PI()*(s_0+1*s_r+IF(circ_int,eq_c1/2,0)))/INDEX(lk_legs,2))-(2*IF(circ_int,0,eq_c2/2)))/(s_0+1*s_r+IF(circ_int,eq_c1/2,0))),IF(((19+0.5)*(4*IF(circ_int,0,eq_c1/2)+4*IF(circ_int,0,eq_c2/2)+2*PI()*(s_0+1*s_r+IF(circ_int,eq_c1/2,0)))/INDEX(lk_legs,2))&lt;(((2*IF(circ_int,0,eq_c2/2))+(PI()*(s_0+1*s_r+IF(circ_int,eq_c1/2,0))/2))+2*IF(circ_int,0,eq_c1/2)),IF(circ_int,0,eq_c2/2)+(s_0+1*s_r+IF(circ_int,eq_c1/2,0)),IF(((19+0.5)*(4*IF(circ_int,0,eq_c1/2)+4*IF(circ_int,0,eq_c2/2)+2*PI()*(s_0+1*s_r+IF(circ_int,eq_c1/2,0)))/INDEX(lk_legs,2))&lt;((((2*IF(circ_int,0,eq_c2/2))+(PI()*(s_0+1*s_r+IF(circ_int,eq_c1/2,0))/2))+2*IF(circ_int,0,eq_c1/2))+(PI()*(s_0+1*s_r+IF(circ_int,eq_c1/2,0))/2)),IF(circ_int,0,eq_c2/2)+(s_0+1*s_r+IF(circ_int,eq_c1/2,0))*SIN(PI()/2+(((19+0.5)*(4*IF(circ_int,0,eq_c1/2)+4*IF(circ_int,0,eq_c2/2)+2*PI()*(s_0+1*s_r+IF(circ_int,eq_c1/2,0)))/INDEX(lk_legs,2))-(((2*IF(circ_int,0,eq_c2/2))+(PI()*(s_0+1*s_r+IF(circ_int,eq_c1/2,0))/2))+2*IF(circ_int,0,eq_c1/2)))/(s_0+1*s_r+IF(circ_int,eq_c1/2,0))),IF(((19+0.5)*(4*IF(circ_int,0,eq_c1/2)+4*IF(circ_int,0,eq_c2/2)+2*PI()*(s_0+1*s_r+IF(circ_int,eq_c1/2,0)))/INDEX(lk_legs,2))&lt;(((((2*IF(circ_int,0,eq_c2/2))+(PI()*(s_0+1*s_r+IF(circ_int,eq_c1/2,0))/2))+2*IF(circ_int,0,eq_c1/2))+(PI()*(s_0+1*s_r+IF(circ_int,eq_c1/2,0))/2))+2*IF(circ_int,0,eq_c2/2)),IF(circ_int,0,eq_c2/2)-(((19+0.5)*(4*IF(circ_int,0,eq_c1/2)+4*IF(circ_int,0,eq_c2/2)+2*PI()*(s_0+1*s_r+IF(circ_int,eq_c1/2,0)))/INDEX(lk_legs,2))-((((2*IF(circ_int,0,eq_c2/2))+(PI()*(s_0+1*s_r+IF(circ_int,eq_c1/2,0))/2))+2*IF(circ_int,0,eq_c1/2))+(PI()*(s_0+1*s_r+IF(circ_int,eq_c1/2,0))/2))),IF(((19+0.5)*(4*IF(circ_int,0,eq_c1/2)+4*IF(circ_int,0,eq_c2/2)+2*PI()*(s_0+1*s_r+IF(circ_int,eq_c1/2,0)))/INDEX(lk_legs,2))&lt;((((((2*IF(circ_int,0,eq_c2/2))+(PI()*(s_0+1*s_r+IF(circ_int,eq_c1/2,0))/2))+2*IF(circ_int,0,eq_c1/2))+(PI()*(s_0+1*s_r+IF(circ_int,eq_c1/2,0))/2))+2*IF(circ_int,0,eq_c2/2))+(PI()*(s_0+1*s_r+IF(circ_int,eq_c1/2,0))/2)),-IF(circ_int,0,eq_c2/2)+(s_0+1*s_r+IF(circ_int,eq_c1/2,0))*SIN(PI()+(((19+0.5)*(4*IF(circ_int,0,eq_c1/2)+4*IF(circ_int,0,eq_c2/2)+2*PI()*(s_0+1*s_r+IF(circ_int,eq_c1/2,0)))/INDEX(lk_legs,2))-(((((2*IF(circ_int,0,eq_c2/2))+(PI()*(s_0+1*s_r+IF(circ_int,eq_c1/2,0))/2))+2*IF(circ_int,0,eq_c1/2))+(PI()*(s_0+1*s_r+IF(circ_int,eq_c1/2,0))/2))+2*IF(circ_int,0,eq_c2/2)))/(s_0+1*s_r+IF(circ_int,eq_c1/2,0))),IF(((19+0.5)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(19+0.5)*(4*IF(circ_int,0,eq_c1/2)+4*IF(circ_int,0,eq_c2/2)+2*PI()*(s_0+1*s_r+IF(circ_int,eq_c1/2,0)))/INDEX(lk_legs,2))-(((((((2*IF(circ_int,0,eq_c2/2))+(PI()*(s_0+1*s_r+IF(circ_int,eq_c1/2,0))/2))+2*IF(circ_int,0,eq_c1/2))+(PI()*(s_0+1*s_r+IF(circ_int,eq_c1/2,0))/2))+2*IF(circ_int,0,eq_c2/2))+(PI()*(s_0+1*s_r+IF(circ_int,eq_c1/2,0))/2))+2*IF(circ_int,0,eq_c1/2)))/(s_0+1*s_r+IF(circ_int,eq_c1/2,0)))))))))),NA())</f>
        <v/>
      </c>
      <c r="BI22">
        <f>IF(AND(links_on,3&lt;=n_per),IF(circ_int,(g_ox)+(c_1/2+(s_0+2*s_r))*-0.663123,CHOOSE(INDEX(lk_kind,3),(g_ox-eq_c1/2)+((s_0+2*s_r))*-0.707107,(eq_a1+eq_c1)+((s_0+2*s_r))*0.793353,eq_a1+eq_c1+(s_0+2*s_r),(eq_a1+eq_c1)+((s_0+2*s_r))*0.608761)),NA())</f>
        <v/>
      </c>
      <c r="BJ22">
        <f>IF(AND(links_on,3&lt;=n_per),IF(circ_int,(g_oy)+(c_1/2+(s_0+2*s_r))*0.748511,CHOOSE(INDEX(lk_kind,3),(g_oy+eq_c2/2)+((s_0+2*s_r))*0.707107,(g_oy-eq_c2/2)+((s_0+2*s_r))*-0.608761,0,(eq_a2+eq_c2)+((s_0+2*s_r))*0.793353)),NA())</f>
        <v/>
      </c>
      <c r="BL22">
        <f>IF(AND(AND(links_on,3&lt;=n_per),INDEX(lk_kind,3)=1,19&lt;INDEX(lk_legs,3)),g_ox+IF(((19+0.5)*(4*IF(circ_int,0,eq_c1/2)+4*IF(circ_int,0,eq_c2/2)+2*PI()*(s_0+2*s_r+IF(circ_int,eq_c1/2,0)))/INDEX(lk_legs,3))&lt;(2*IF(circ_int,0,eq_c2/2)),IF(circ_int,0,eq_c1/2)+(s_0+2*s_r+IF(circ_int,eq_c1/2,0)),IF(((19+0.5)*(4*IF(circ_int,0,eq_c1/2)+4*IF(circ_int,0,eq_c2/2)+2*PI()*(s_0+2*s_r+IF(circ_int,eq_c1/2,0)))/INDEX(lk_legs,3))&lt;((2*IF(circ_int,0,eq_c2/2))+(PI()*(s_0+2*s_r+IF(circ_int,eq_c1/2,0))/2)),IF(circ_int,0,eq_c1/2)+(s_0+2*s_r+IF(circ_int,eq_c1/2,0))*COS((((19+0.5)*(4*IF(circ_int,0,eq_c1/2)+4*IF(circ_int,0,eq_c2/2)+2*PI()*(s_0+2*s_r+IF(circ_int,eq_c1/2,0)))/INDEX(lk_legs,3))-(2*IF(circ_int,0,eq_c2/2)))/(s_0+2*s_r+IF(circ_int,eq_c1/2,0))),IF(((19+0.5)*(4*IF(circ_int,0,eq_c1/2)+4*IF(circ_int,0,eq_c2/2)+2*PI()*(s_0+2*s_r+IF(circ_int,eq_c1/2,0)))/INDEX(lk_legs,3))&lt;(((2*IF(circ_int,0,eq_c2/2))+(PI()*(s_0+2*s_r+IF(circ_int,eq_c1/2,0))/2))+2*IF(circ_int,0,eq_c1/2)),IF(circ_int,0,eq_c1/2)-(((19+0.5)*(4*IF(circ_int,0,eq_c1/2)+4*IF(circ_int,0,eq_c2/2)+2*PI()*(s_0+2*s_r+IF(circ_int,eq_c1/2,0)))/INDEX(lk_legs,3))-((2*IF(circ_int,0,eq_c2/2))+(PI()*(s_0+2*s_r+IF(circ_int,eq_c1/2,0))/2))),IF(((19+0.5)*(4*IF(circ_int,0,eq_c1/2)+4*IF(circ_int,0,eq_c2/2)+2*PI()*(s_0+2*s_r+IF(circ_int,eq_c1/2,0)))/INDEX(lk_legs,3))&lt;((((2*IF(circ_int,0,eq_c2/2))+(PI()*(s_0+2*s_r+IF(circ_int,eq_c1/2,0))/2))+2*IF(circ_int,0,eq_c1/2))+(PI()*(s_0+2*s_r+IF(circ_int,eq_c1/2,0))/2)),-IF(circ_int,0,eq_c1/2)+(s_0+2*s_r+IF(circ_int,eq_c1/2,0))*COS(PI()/2+(((19+0.5)*(4*IF(circ_int,0,eq_c1/2)+4*IF(circ_int,0,eq_c2/2)+2*PI()*(s_0+2*s_r+IF(circ_int,eq_c1/2,0)))/INDEX(lk_legs,3))-(((2*IF(circ_int,0,eq_c2/2))+(PI()*(s_0+2*s_r+IF(circ_int,eq_c1/2,0))/2))+2*IF(circ_int,0,eq_c1/2)))/(s_0+2*s_r+IF(circ_int,eq_c1/2,0))),IF(((19+0.5)*(4*IF(circ_int,0,eq_c1/2)+4*IF(circ_int,0,eq_c2/2)+2*PI()*(s_0+2*s_r+IF(circ_int,eq_c1/2,0)))/INDEX(lk_legs,3))&lt;(((((2*IF(circ_int,0,eq_c2/2))+(PI()*(s_0+2*s_r+IF(circ_int,eq_c1/2,0))/2))+2*IF(circ_int,0,eq_c1/2))+(PI()*(s_0+2*s_r+IF(circ_int,eq_c1/2,0))/2))+2*IF(circ_int,0,eq_c2/2)),-IF(circ_int,0,eq_c1/2)-(s_0+2*s_r+IF(circ_int,eq_c1/2,0)),IF(((19+0.5)*(4*IF(circ_int,0,eq_c1/2)+4*IF(circ_int,0,eq_c2/2)+2*PI()*(s_0+2*s_r+IF(circ_int,eq_c1/2,0)))/INDEX(lk_legs,3))&lt;((((((2*IF(circ_int,0,eq_c2/2))+(PI()*(s_0+2*s_r+IF(circ_int,eq_c1/2,0))/2))+2*IF(circ_int,0,eq_c1/2))+(PI()*(s_0+2*s_r+IF(circ_int,eq_c1/2,0))/2))+2*IF(circ_int,0,eq_c2/2))+(PI()*(s_0+2*s_r+IF(circ_int,eq_c1/2,0))/2)),-IF(circ_int,0,eq_c1/2)+(s_0+2*s_r+IF(circ_int,eq_c1/2,0))*COS(PI()+(((19+0.5)*(4*IF(circ_int,0,eq_c1/2)+4*IF(circ_int,0,eq_c2/2)+2*PI()*(s_0+2*s_r+IF(circ_int,eq_c1/2,0)))/INDEX(lk_legs,3))-(((((2*IF(circ_int,0,eq_c2/2))+(PI()*(s_0+2*s_r+IF(circ_int,eq_c1/2,0))/2))+2*IF(circ_int,0,eq_c1/2))+(PI()*(s_0+2*s_r+IF(circ_int,eq_c1/2,0))/2))+2*IF(circ_int,0,eq_c2/2)))/(s_0+2*s_r+IF(circ_int,eq_c1/2,0))),IF(((19+0.5)*(4*IF(circ_int,0,eq_c1/2)+4*IF(circ_int,0,eq_c2/2)+2*PI()*(s_0+2*s_r+IF(circ_int,eq_c1/2,0)))/INDEX(lk_legs,3))&lt;(((((((2*IF(circ_int,0,eq_c2/2))+(PI()*(s_0+2*s_r+IF(circ_int,eq_c1/2,0))/2))+2*IF(circ_int,0,eq_c1/2))+(PI()*(s_0+2*s_r+IF(circ_int,eq_c1/2,0))/2))+2*IF(circ_int,0,eq_c2/2))+(PI()*(s_0+2*s_r+IF(circ_int,eq_c1/2,0))/2))+2*IF(circ_int,0,eq_c1/2)),-IF(circ_int,0,eq_c1/2)+(((19+0.5)*(4*IF(circ_int,0,eq_c1/2)+4*IF(circ_int,0,eq_c2/2)+2*PI()*(s_0+2*s_r+IF(circ_int,eq_c1/2,0)))/INDEX(lk_legs,3))-((((((2*IF(circ_int,0,eq_c2/2))+(PI()*(s_0+2*s_r+IF(circ_int,eq_c1/2,0))/2))+2*IF(circ_int,0,eq_c1/2))+(PI()*(s_0+2*s_r+IF(circ_int,eq_c1/2,0))/2))+2*IF(circ_int,0,eq_c2/2))+(PI()*(s_0+2*s_r+IF(circ_int,eq_c1/2,0))/2))),IF(circ_int,0,eq_c1/2)+(s_0+2*s_r+IF(circ_int,eq_c1/2,0))*COS(3*PI()/2+(((19+0.5)*(4*IF(circ_int,0,eq_c1/2)+4*IF(circ_int,0,eq_c2/2)+2*PI()*(s_0+2*s_r+IF(circ_int,eq_c1/2,0)))/INDEX(lk_legs,3))-(((((((2*IF(circ_int,0,eq_c2/2))+(PI()*(s_0+2*s_r+IF(circ_int,eq_c1/2,0))/2))+2*IF(circ_int,0,eq_c1/2))+(PI()*(s_0+2*s_r+IF(circ_int,eq_c1/2,0))/2))+2*IF(circ_int,0,eq_c2/2))+(PI()*(s_0+2*s_r+IF(circ_int,eq_c1/2,0))/2))+2*IF(circ_int,0,eq_c1/2)))/(s_0+2*s_r+IF(circ_int,eq_c1/2,0)))))))))),NA())</f>
        <v/>
      </c>
      <c r="BM22">
        <f>IF(AND(AND(links_on,3&lt;=n_per),INDEX(lk_kind,3)=1,19&lt;INDEX(lk_legs,3)),g_oy+IF(((19+0.5)*(4*IF(circ_int,0,eq_c1/2)+4*IF(circ_int,0,eq_c2/2)+2*PI()*(s_0+2*s_r+IF(circ_int,eq_c1/2,0)))/INDEX(lk_legs,3))&lt;(2*IF(circ_int,0,eq_c2/2)),-IF(circ_int,0,eq_c2/2)+((19+0.5)*(4*IF(circ_int,0,eq_c1/2)+4*IF(circ_int,0,eq_c2/2)+2*PI()*(s_0+2*s_r+IF(circ_int,eq_c1/2,0)))/INDEX(lk_legs,3)),IF(((19+0.5)*(4*IF(circ_int,0,eq_c1/2)+4*IF(circ_int,0,eq_c2/2)+2*PI()*(s_0+2*s_r+IF(circ_int,eq_c1/2,0)))/INDEX(lk_legs,3))&lt;((2*IF(circ_int,0,eq_c2/2))+(PI()*(s_0+2*s_r+IF(circ_int,eq_c1/2,0))/2)),IF(circ_int,0,eq_c2/2)+(s_0+2*s_r+IF(circ_int,eq_c1/2,0))*SIN((((19+0.5)*(4*IF(circ_int,0,eq_c1/2)+4*IF(circ_int,0,eq_c2/2)+2*PI()*(s_0+2*s_r+IF(circ_int,eq_c1/2,0)))/INDEX(lk_legs,3))-(2*IF(circ_int,0,eq_c2/2)))/(s_0+2*s_r+IF(circ_int,eq_c1/2,0))),IF(((19+0.5)*(4*IF(circ_int,0,eq_c1/2)+4*IF(circ_int,0,eq_c2/2)+2*PI()*(s_0+2*s_r+IF(circ_int,eq_c1/2,0)))/INDEX(lk_legs,3))&lt;(((2*IF(circ_int,0,eq_c2/2))+(PI()*(s_0+2*s_r+IF(circ_int,eq_c1/2,0))/2))+2*IF(circ_int,0,eq_c1/2)),IF(circ_int,0,eq_c2/2)+(s_0+2*s_r+IF(circ_int,eq_c1/2,0)),IF(((19+0.5)*(4*IF(circ_int,0,eq_c1/2)+4*IF(circ_int,0,eq_c2/2)+2*PI()*(s_0+2*s_r+IF(circ_int,eq_c1/2,0)))/INDEX(lk_legs,3))&lt;((((2*IF(circ_int,0,eq_c2/2))+(PI()*(s_0+2*s_r+IF(circ_int,eq_c1/2,0))/2))+2*IF(circ_int,0,eq_c1/2))+(PI()*(s_0+2*s_r+IF(circ_int,eq_c1/2,0))/2)),IF(circ_int,0,eq_c2/2)+(s_0+2*s_r+IF(circ_int,eq_c1/2,0))*SIN(PI()/2+(((19+0.5)*(4*IF(circ_int,0,eq_c1/2)+4*IF(circ_int,0,eq_c2/2)+2*PI()*(s_0+2*s_r+IF(circ_int,eq_c1/2,0)))/INDEX(lk_legs,3))-(((2*IF(circ_int,0,eq_c2/2))+(PI()*(s_0+2*s_r+IF(circ_int,eq_c1/2,0))/2))+2*IF(circ_int,0,eq_c1/2)))/(s_0+2*s_r+IF(circ_int,eq_c1/2,0))),IF(((19+0.5)*(4*IF(circ_int,0,eq_c1/2)+4*IF(circ_int,0,eq_c2/2)+2*PI()*(s_0+2*s_r+IF(circ_int,eq_c1/2,0)))/INDEX(lk_legs,3))&lt;(((((2*IF(circ_int,0,eq_c2/2))+(PI()*(s_0+2*s_r+IF(circ_int,eq_c1/2,0))/2))+2*IF(circ_int,0,eq_c1/2))+(PI()*(s_0+2*s_r+IF(circ_int,eq_c1/2,0))/2))+2*IF(circ_int,0,eq_c2/2)),IF(circ_int,0,eq_c2/2)-(((19+0.5)*(4*IF(circ_int,0,eq_c1/2)+4*IF(circ_int,0,eq_c2/2)+2*PI()*(s_0+2*s_r+IF(circ_int,eq_c1/2,0)))/INDEX(lk_legs,3))-((((2*IF(circ_int,0,eq_c2/2))+(PI()*(s_0+2*s_r+IF(circ_int,eq_c1/2,0))/2))+2*IF(circ_int,0,eq_c1/2))+(PI()*(s_0+2*s_r+IF(circ_int,eq_c1/2,0))/2))),IF(((19+0.5)*(4*IF(circ_int,0,eq_c1/2)+4*IF(circ_int,0,eq_c2/2)+2*PI()*(s_0+2*s_r+IF(circ_int,eq_c1/2,0)))/INDEX(lk_legs,3))&lt;((((((2*IF(circ_int,0,eq_c2/2))+(PI()*(s_0+2*s_r+IF(circ_int,eq_c1/2,0))/2))+2*IF(circ_int,0,eq_c1/2))+(PI()*(s_0+2*s_r+IF(circ_int,eq_c1/2,0))/2))+2*IF(circ_int,0,eq_c2/2))+(PI()*(s_0+2*s_r+IF(circ_int,eq_c1/2,0))/2)),-IF(circ_int,0,eq_c2/2)+(s_0+2*s_r+IF(circ_int,eq_c1/2,0))*SIN(PI()+(((19+0.5)*(4*IF(circ_int,0,eq_c1/2)+4*IF(circ_int,0,eq_c2/2)+2*PI()*(s_0+2*s_r+IF(circ_int,eq_c1/2,0)))/INDEX(lk_legs,3))-(((((2*IF(circ_int,0,eq_c2/2))+(PI()*(s_0+2*s_r+IF(circ_int,eq_c1/2,0))/2))+2*IF(circ_int,0,eq_c1/2))+(PI()*(s_0+2*s_r+IF(circ_int,eq_c1/2,0))/2))+2*IF(circ_int,0,eq_c2/2)))/(s_0+2*s_r+IF(circ_int,eq_c1/2,0))),IF(((19+0.5)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(19+0.5)*(4*IF(circ_int,0,eq_c1/2)+4*IF(circ_int,0,eq_c2/2)+2*PI()*(s_0+2*s_r+IF(circ_int,eq_c1/2,0)))/INDEX(lk_legs,3))-(((((((2*IF(circ_int,0,eq_c2/2))+(PI()*(s_0+2*s_r+IF(circ_int,eq_c1/2,0))/2))+2*IF(circ_int,0,eq_c1/2))+(PI()*(s_0+2*s_r+IF(circ_int,eq_c1/2,0))/2))+2*IF(circ_int,0,eq_c2/2))+(PI()*(s_0+2*s_r+IF(circ_int,eq_c1/2,0))/2))+2*IF(circ_int,0,eq_c1/2)))/(s_0+2*s_r+IF(circ_int,eq_c1/2,0)))))))))),NA())</f>
        <v/>
      </c>
      <c r="BO22">
        <f>IF(AND(links_on,4&lt;=n_per),IF(circ_int,(g_ox)+(c_1/2+(s_0+3*s_r))*-0.663123,CHOOSE(INDEX(lk_kind,4),(g_ox-eq_c1/2)+((s_0+3*s_r))*-0.707107,(eq_a1+eq_c1)+((s_0+3*s_r))*0.793353,eq_a1+eq_c1+(s_0+3*s_r),(eq_a1+eq_c1)+((s_0+3*s_r))*0.608761)),NA())</f>
        <v/>
      </c>
      <c r="BP22">
        <f>IF(AND(links_on,4&lt;=n_per),IF(circ_int,(g_oy)+(c_1/2+(s_0+3*s_r))*0.748511,CHOOSE(INDEX(lk_kind,4),(g_oy+eq_c2/2)+((s_0+3*s_r))*0.707107,(g_oy-eq_c2/2)+((s_0+3*s_r))*-0.608761,0,(eq_a2+eq_c2)+((s_0+3*s_r))*0.793353)),NA())</f>
        <v/>
      </c>
      <c r="BR22">
        <f>IF(AND(AND(links_on,4&lt;=n_per),INDEX(lk_kind,4)=1,19&lt;INDEX(lk_legs,4)),g_ox+IF(((19+0.5)*(4*IF(circ_int,0,eq_c1/2)+4*IF(circ_int,0,eq_c2/2)+2*PI()*(s_0+3*s_r+IF(circ_int,eq_c1/2,0)))/INDEX(lk_legs,4))&lt;(2*IF(circ_int,0,eq_c2/2)),IF(circ_int,0,eq_c1/2)+(s_0+3*s_r+IF(circ_int,eq_c1/2,0)),IF(((19+0.5)*(4*IF(circ_int,0,eq_c1/2)+4*IF(circ_int,0,eq_c2/2)+2*PI()*(s_0+3*s_r+IF(circ_int,eq_c1/2,0)))/INDEX(lk_legs,4))&lt;((2*IF(circ_int,0,eq_c2/2))+(PI()*(s_0+3*s_r+IF(circ_int,eq_c1/2,0))/2)),IF(circ_int,0,eq_c1/2)+(s_0+3*s_r+IF(circ_int,eq_c1/2,0))*COS((((19+0.5)*(4*IF(circ_int,0,eq_c1/2)+4*IF(circ_int,0,eq_c2/2)+2*PI()*(s_0+3*s_r+IF(circ_int,eq_c1/2,0)))/INDEX(lk_legs,4))-(2*IF(circ_int,0,eq_c2/2)))/(s_0+3*s_r+IF(circ_int,eq_c1/2,0))),IF(((19+0.5)*(4*IF(circ_int,0,eq_c1/2)+4*IF(circ_int,0,eq_c2/2)+2*PI()*(s_0+3*s_r+IF(circ_int,eq_c1/2,0)))/INDEX(lk_legs,4))&lt;(((2*IF(circ_int,0,eq_c2/2))+(PI()*(s_0+3*s_r+IF(circ_int,eq_c1/2,0))/2))+2*IF(circ_int,0,eq_c1/2)),IF(circ_int,0,eq_c1/2)-(((19+0.5)*(4*IF(circ_int,0,eq_c1/2)+4*IF(circ_int,0,eq_c2/2)+2*PI()*(s_0+3*s_r+IF(circ_int,eq_c1/2,0)))/INDEX(lk_legs,4))-((2*IF(circ_int,0,eq_c2/2))+(PI()*(s_0+3*s_r+IF(circ_int,eq_c1/2,0))/2))),IF(((19+0.5)*(4*IF(circ_int,0,eq_c1/2)+4*IF(circ_int,0,eq_c2/2)+2*PI()*(s_0+3*s_r+IF(circ_int,eq_c1/2,0)))/INDEX(lk_legs,4))&lt;((((2*IF(circ_int,0,eq_c2/2))+(PI()*(s_0+3*s_r+IF(circ_int,eq_c1/2,0))/2))+2*IF(circ_int,0,eq_c1/2))+(PI()*(s_0+3*s_r+IF(circ_int,eq_c1/2,0))/2)),-IF(circ_int,0,eq_c1/2)+(s_0+3*s_r+IF(circ_int,eq_c1/2,0))*COS(PI()/2+(((19+0.5)*(4*IF(circ_int,0,eq_c1/2)+4*IF(circ_int,0,eq_c2/2)+2*PI()*(s_0+3*s_r+IF(circ_int,eq_c1/2,0)))/INDEX(lk_legs,4))-(((2*IF(circ_int,0,eq_c2/2))+(PI()*(s_0+3*s_r+IF(circ_int,eq_c1/2,0))/2))+2*IF(circ_int,0,eq_c1/2)))/(s_0+3*s_r+IF(circ_int,eq_c1/2,0))),IF(((19+0.5)*(4*IF(circ_int,0,eq_c1/2)+4*IF(circ_int,0,eq_c2/2)+2*PI()*(s_0+3*s_r+IF(circ_int,eq_c1/2,0)))/INDEX(lk_legs,4))&lt;(((((2*IF(circ_int,0,eq_c2/2))+(PI()*(s_0+3*s_r+IF(circ_int,eq_c1/2,0))/2))+2*IF(circ_int,0,eq_c1/2))+(PI()*(s_0+3*s_r+IF(circ_int,eq_c1/2,0))/2))+2*IF(circ_int,0,eq_c2/2)),-IF(circ_int,0,eq_c1/2)-(s_0+3*s_r+IF(circ_int,eq_c1/2,0)),IF(((19+0.5)*(4*IF(circ_int,0,eq_c1/2)+4*IF(circ_int,0,eq_c2/2)+2*PI()*(s_0+3*s_r+IF(circ_int,eq_c1/2,0)))/INDEX(lk_legs,4))&lt;((((((2*IF(circ_int,0,eq_c2/2))+(PI()*(s_0+3*s_r+IF(circ_int,eq_c1/2,0))/2))+2*IF(circ_int,0,eq_c1/2))+(PI()*(s_0+3*s_r+IF(circ_int,eq_c1/2,0))/2))+2*IF(circ_int,0,eq_c2/2))+(PI()*(s_0+3*s_r+IF(circ_int,eq_c1/2,0))/2)),-IF(circ_int,0,eq_c1/2)+(s_0+3*s_r+IF(circ_int,eq_c1/2,0))*COS(PI()+(((19+0.5)*(4*IF(circ_int,0,eq_c1/2)+4*IF(circ_int,0,eq_c2/2)+2*PI()*(s_0+3*s_r+IF(circ_int,eq_c1/2,0)))/INDEX(lk_legs,4))-(((((2*IF(circ_int,0,eq_c2/2))+(PI()*(s_0+3*s_r+IF(circ_int,eq_c1/2,0))/2))+2*IF(circ_int,0,eq_c1/2))+(PI()*(s_0+3*s_r+IF(circ_int,eq_c1/2,0))/2))+2*IF(circ_int,0,eq_c2/2)))/(s_0+3*s_r+IF(circ_int,eq_c1/2,0))),IF(((19+0.5)*(4*IF(circ_int,0,eq_c1/2)+4*IF(circ_int,0,eq_c2/2)+2*PI()*(s_0+3*s_r+IF(circ_int,eq_c1/2,0)))/INDEX(lk_legs,4))&lt;(((((((2*IF(circ_int,0,eq_c2/2))+(PI()*(s_0+3*s_r+IF(circ_int,eq_c1/2,0))/2))+2*IF(circ_int,0,eq_c1/2))+(PI()*(s_0+3*s_r+IF(circ_int,eq_c1/2,0))/2))+2*IF(circ_int,0,eq_c2/2))+(PI()*(s_0+3*s_r+IF(circ_int,eq_c1/2,0))/2))+2*IF(circ_int,0,eq_c1/2)),-IF(circ_int,0,eq_c1/2)+(((19+0.5)*(4*IF(circ_int,0,eq_c1/2)+4*IF(circ_int,0,eq_c2/2)+2*PI()*(s_0+3*s_r+IF(circ_int,eq_c1/2,0)))/INDEX(lk_legs,4))-((((((2*IF(circ_int,0,eq_c2/2))+(PI()*(s_0+3*s_r+IF(circ_int,eq_c1/2,0))/2))+2*IF(circ_int,0,eq_c1/2))+(PI()*(s_0+3*s_r+IF(circ_int,eq_c1/2,0))/2))+2*IF(circ_int,0,eq_c2/2))+(PI()*(s_0+3*s_r+IF(circ_int,eq_c1/2,0))/2))),IF(circ_int,0,eq_c1/2)+(s_0+3*s_r+IF(circ_int,eq_c1/2,0))*COS(3*PI()/2+(((19+0.5)*(4*IF(circ_int,0,eq_c1/2)+4*IF(circ_int,0,eq_c2/2)+2*PI()*(s_0+3*s_r+IF(circ_int,eq_c1/2,0)))/INDEX(lk_legs,4))-(((((((2*IF(circ_int,0,eq_c2/2))+(PI()*(s_0+3*s_r+IF(circ_int,eq_c1/2,0))/2))+2*IF(circ_int,0,eq_c1/2))+(PI()*(s_0+3*s_r+IF(circ_int,eq_c1/2,0))/2))+2*IF(circ_int,0,eq_c2/2))+(PI()*(s_0+3*s_r+IF(circ_int,eq_c1/2,0))/2))+2*IF(circ_int,0,eq_c1/2)))/(s_0+3*s_r+IF(circ_int,eq_c1/2,0)))))))))),NA())</f>
        <v/>
      </c>
      <c r="BS22">
        <f>IF(AND(AND(links_on,4&lt;=n_per),INDEX(lk_kind,4)=1,19&lt;INDEX(lk_legs,4)),g_oy+IF(((19+0.5)*(4*IF(circ_int,0,eq_c1/2)+4*IF(circ_int,0,eq_c2/2)+2*PI()*(s_0+3*s_r+IF(circ_int,eq_c1/2,0)))/INDEX(lk_legs,4))&lt;(2*IF(circ_int,0,eq_c2/2)),-IF(circ_int,0,eq_c2/2)+((19+0.5)*(4*IF(circ_int,0,eq_c1/2)+4*IF(circ_int,0,eq_c2/2)+2*PI()*(s_0+3*s_r+IF(circ_int,eq_c1/2,0)))/INDEX(lk_legs,4)),IF(((19+0.5)*(4*IF(circ_int,0,eq_c1/2)+4*IF(circ_int,0,eq_c2/2)+2*PI()*(s_0+3*s_r+IF(circ_int,eq_c1/2,0)))/INDEX(lk_legs,4))&lt;((2*IF(circ_int,0,eq_c2/2))+(PI()*(s_0+3*s_r+IF(circ_int,eq_c1/2,0))/2)),IF(circ_int,0,eq_c2/2)+(s_0+3*s_r+IF(circ_int,eq_c1/2,0))*SIN((((19+0.5)*(4*IF(circ_int,0,eq_c1/2)+4*IF(circ_int,0,eq_c2/2)+2*PI()*(s_0+3*s_r+IF(circ_int,eq_c1/2,0)))/INDEX(lk_legs,4))-(2*IF(circ_int,0,eq_c2/2)))/(s_0+3*s_r+IF(circ_int,eq_c1/2,0))),IF(((19+0.5)*(4*IF(circ_int,0,eq_c1/2)+4*IF(circ_int,0,eq_c2/2)+2*PI()*(s_0+3*s_r+IF(circ_int,eq_c1/2,0)))/INDEX(lk_legs,4))&lt;(((2*IF(circ_int,0,eq_c2/2))+(PI()*(s_0+3*s_r+IF(circ_int,eq_c1/2,0))/2))+2*IF(circ_int,0,eq_c1/2)),IF(circ_int,0,eq_c2/2)+(s_0+3*s_r+IF(circ_int,eq_c1/2,0)),IF(((19+0.5)*(4*IF(circ_int,0,eq_c1/2)+4*IF(circ_int,0,eq_c2/2)+2*PI()*(s_0+3*s_r+IF(circ_int,eq_c1/2,0)))/INDEX(lk_legs,4))&lt;((((2*IF(circ_int,0,eq_c2/2))+(PI()*(s_0+3*s_r+IF(circ_int,eq_c1/2,0))/2))+2*IF(circ_int,0,eq_c1/2))+(PI()*(s_0+3*s_r+IF(circ_int,eq_c1/2,0))/2)),IF(circ_int,0,eq_c2/2)+(s_0+3*s_r+IF(circ_int,eq_c1/2,0))*SIN(PI()/2+(((19+0.5)*(4*IF(circ_int,0,eq_c1/2)+4*IF(circ_int,0,eq_c2/2)+2*PI()*(s_0+3*s_r+IF(circ_int,eq_c1/2,0)))/INDEX(lk_legs,4))-(((2*IF(circ_int,0,eq_c2/2))+(PI()*(s_0+3*s_r+IF(circ_int,eq_c1/2,0))/2))+2*IF(circ_int,0,eq_c1/2)))/(s_0+3*s_r+IF(circ_int,eq_c1/2,0))),IF(((19+0.5)*(4*IF(circ_int,0,eq_c1/2)+4*IF(circ_int,0,eq_c2/2)+2*PI()*(s_0+3*s_r+IF(circ_int,eq_c1/2,0)))/INDEX(lk_legs,4))&lt;(((((2*IF(circ_int,0,eq_c2/2))+(PI()*(s_0+3*s_r+IF(circ_int,eq_c1/2,0))/2))+2*IF(circ_int,0,eq_c1/2))+(PI()*(s_0+3*s_r+IF(circ_int,eq_c1/2,0))/2))+2*IF(circ_int,0,eq_c2/2)),IF(circ_int,0,eq_c2/2)-(((19+0.5)*(4*IF(circ_int,0,eq_c1/2)+4*IF(circ_int,0,eq_c2/2)+2*PI()*(s_0+3*s_r+IF(circ_int,eq_c1/2,0)))/INDEX(lk_legs,4))-((((2*IF(circ_int,0,eq_c2/2))+(PI()*(s_0+3*s_r+IF(circ_int,eq_c1/2,0))/2))+2*IF(circ_int,0,eq_c1/2))+(PI()*(s_0+3*s_r+IF(circ_int,eq_c1/2,0))/2))),IF(((19+0.5)*(4*IF(circ_int,0,eq_c1/2)+4*IF(circ_int,0,eq_c2/2)+2*PI()*(s_0+3*s_r+IF(circ_int,eq_c1/2,0)))/INDEX(lk_legs,4))&lt;((((((2*IF(circ_int,0,eq_c2/2))+(PI()*(s_0+3*s_r+IF(circ_int,eq_c1/2,0))/2))+2*IF(circ_int,0,eq_c1/2))+(PI()*(s_0+3*s_r+IF(circ_int,eq_c1/2,0))/2))+2*IF(circ_int,0,eq_c2/2))+(PI()*(s_0+3*s_r+IF(circ_int,eq_c1/2,0))/2)),-IF(circ_int,0,eq_c2/2)+(s_0+3*s_r+IF(circ_int,eq_c1/2,0))*SIN(PI()+(((19+0.5)*(4*IF(circ_int,0,eq_c1/2)+4*IF(circ_int,0,eq_c2/2)+2*PI()*(s_0+3*s_r+IF(circ_int,eq_c1/2,0)))/INDEX(lk_legs,4))-(((((2*IF(circ_int,0,eq_c2/2))+(PI()*(s_0+3*s_r+IF(circ_int,eq_c1/2,0))/2))+2*IF(circ_int,0,eq_c1/2))+(PI()*(s_0+3*s_r+IF(circ_int,eq_c1/2,0))/2))+2*IF(circ_int,0,eq_c2/2)))/(s_0+3*s_r+IF(circ_int,eq_c1/2,0))),IF(((19+0.5)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(19+0.5)*(4*IF(circ_int,0,eq_c1/2)+4*IF(circ_int,0,eq_c2/2)+2*PI()*(s_0+3*s_r+IF(circ_int,eq_c1/2,0)))/INDEX(lk_legs,4))-(((((((2*IF(circ_int,0,eq_c2/2))+(PI()*(s_0+3*s_r+IF(circ_int,eq_c1/2,0))/2))+2*IF(circ_int,0,eq_c1/2))+(PI()*(s_0+3*s_r+IF(circ_int,eq_c1/2,0))/2))+2*IF(circ_int,0,eq_c2/2))+(PI()*(s_0+3*s_r+IF(circ_int,eq_c1/2,0))/2))+2*IF(circ_int,0,eq_c1/2)))/(s_0+3*s_r+IF(circ_int,eq_c1/2,0)))))))))),NA())</f>
        <v/>
      </c>
      <c r="BU22">
        <f>IF(AND(links_on,5&lt;=n_per),IF(circ_int,(g_ox)+(c_1/2+(s_0+4*s_r))*-0.663123,CHOOSE(INDEX(lk_kind,5),(g_ox-eq_c1/2)+((s_0+4*s_r))*-0.707107,(eq_a1+eq_c1)+((s_0+4*s_r))*0.793353,eq_a1+eq_c1+(s_0+4*s_r),(eq_a1+eq_c1)+((s_0+4*s_r))*0.608761)),NA())</f>
        <v/>
      </c>
      <c r="BV22">
        <f>IF(AND(links_on,5&lt;=n_per),IF(circ_int,(g_oy)+(c_1/2+(s_0+4*s_r))*0.748511,CHOOSE(INDEX(lk_kind,5),(g_oy+eq_c2/2)+((s_0+4*s_r))*0.707107,(g_oy-eq_c2/2)+((s_0+4*s_r))*-0.608761,0,(eq_a2+eq_c2)+((s_0+4*s_r))*0.793353)),NA())</f>
        <v/>
      </c>
      <c r="BX22">
        <f>IF(AND(AND(links_on,5&lt;=n_per),INDEX(lk_kind,5)=1,19&lt;INDEX(lk_legs,5)),g_ox+IF(((19+0.5)*(4*IF(circ_int,0,eq_c1/2)+4*IF(circ_int,0,eq_c2/2)+2*PI()*(s_0+4*s_r+IF(circ_int,eq_c1/2,0)))/INDEX(lk_legs,5))&lt;(2*IF(circ_int,0,eq_c2/2)),IF(circ_int,0,eq_c1/2)+(s_0+4*s_r+IF(circ_int,eq_c1/2,0)),IF(((19+0.5)*(4*IF(circ_int,0,eq_c1/2)+4*IF(circ_int,0,eq_c2/2)+2*PI()*(s_0+4*s_r+IF(circ_int,eq_c1/2,0)))/INDEX(lk_legs,5))&lt;((2*IF(circ_int,0,eq_c2/2))+(PI()*(s_0+4*s_r+IF(circ_int,eq_c1/2,0))/2)),IF(circ_int,0,eq_c1/2)+(s_0+4*s_r+IF(circ_int,eq_c1/2,0))*COS((((19+0.5)*(4*IF(circ_int,0,eq_c1/2)+4*IF(circ_int,0,eq_c2/2)+2*PI()*(s_0+4*s_r+IF(circ_int,eq_c1/2,0)))/INDEX(lk_legs,5))-(2*IF(circ_int,0,eq_c2/2)))/(s_0+4*s_r+IF(circ_int,eq_c1/2,0))),IF(((19+0.5)*(4*IF(circ_int,0,eq_c1/2)+4*IF(circ_int,0,eq_c2/2)+2*PI()*(s_0+4*s_r+IF(circ_int,eq_c1/2,0)))/INDEX(lk_legs,5))&lt;(((2*IF(circ_int,0,eq_c2/2))+(PI()*(s_0+4*s_r+IF(circ_int,eq_c1/2,0))/2))+2*IF(circ_int,0,eq_c1/2)),IF(circ_int,0,eq_c1/2)-(((19+0.5)*(4*IF(circ_int,0,eq_c1/2)+4*IF(circ_int,0,eq_c2/2)+2*PI()*(s_0+4*s_r+IF(circ_int,eq_c1/2,0)))/INDEX(lk_legs,5))-((2*IF(circ_int,0,eq_c2/2))+(PI()*(s_0+4*s_r+IF(circ_int,eq_c1/2,0))/2))),IF(((19+0.5)*(4*IF(circ_int,0,eq_c1/2)+4*IF(circ_int,0,eq_c2/2)+2*PI()*(s_0+4*s_r+IF(circ_int,eq_c1/2,0)))/INDEX(lk_legs,5))&lt;((((2*IF(circ_int,0,eq_c2/2))+(PI()*(s_0+4*s_r+IF(circ_int,eq_c1/2,0))/2))+2*IF(circ_int,0,eq_c1/2))+(PI()*(s_0+4*s_r+IF(circ_int,eq_c1/2,0))/2)),-IF(circ_int,0,eq_c1/2)+(s_0+4*s_r+IF(circ_int,eq_c1/2,0))*COS(PI()/2+(((19+0.5)*(4*IF(circ_int,0,eq_c1/2)+4*IF(circ_int,0,eq_c2/2)+2*PI()*(s_0+4*s_r+IF(circ_int,eq_c1/2,0)))/INDEX(lk_legs,5))-(((2*IF(circ_int,0,eq_c2/2))+(PI()*(s_0+4*s_r+IF(circ_int,eq_c1/2,0))/2))+2*IF(circ_int,0,eq_c1/2)))/(s_0+4*s_r+IF(circ_int,eq_c1/2,0))),IF(((19+0.5)*(4*IF(circ_int,0,eq_c1/2)+4*IF(circ_int,0,eq_c2/2)+2*PI()*(s_0+4*s_r+IF(circ_int,eq_c1/2,0)))/INDEX(lk_legs,5))&lt;(((((2*IF(circ_int,0,eq_c2/2))+(PI()*(s_0+4*s_r+IF(circ_int,eq_c1/2,0))/2))+2*IF(circ_int,0,eq_c1/2))+(PI()*(s_0+4*s_r+IF(circ_int,eq_c1/2,0))/2))+2*IF(circ_int,0,eq_c2/2)),-IF(circ_int,0,eq_c1/2)-(s_0+4*s_r+IF(circ_int,eq_c1/2,0)),IF(((19+0.5)*(4*IF(circ_int,0,eq_c1/2)+4*IF(circ_int,0,eq_c2/2)+2*PI()*(s_0+4*s_r+IF(circ_int,eq_c1/2,0)))/INDEX(lk_legs,5))&lt;((((((2*IF(circ_int,0,eq_c2/2))+(PI()*(s_0+4*s_r+IF(circ_int,eq_c1/2,0))/2))+2*IF(circ_int,0,eq_c1/2))+(PI()*(s_0+4*s_r+IF(circ_int,eq_c1/2,0))/2))+2*IF(circ_int,0,eq_c2/2))+(PI()*(s_0+4*s_r+IF(circ_int,eq_c1/2,0))/2)),-IF(circ_int,0,eq_c1/2)+(s_0+4*s_r+IF(circ_int,eq_c1/2,0))*COS(PI()+(((19+0.5)*(4*IF(circ_int,0,eq_c1/2)+4*IF(circ_int,0,eq_c2/2)+2*PI()*(s_0+4*s_r+IF(circ_int,eq_c1/2,0)))/INDEX(lk_legs,5))-(((((2*IF(circ_int,0,eq_c2/2))+(PI()*(s_0+4*s_r+IF(circ_int,eq_c1/2,0))/2))+2*IF(circ_int,0,eq_c1/2))+(PI()*(s_0+4*s_r+IF(circ_int,eq_c1/2,0))/2))+2*IF(circ_int,0,eq_c2/2)))/(s_0+4*s_r+IF(circ_int,eq_c1/2,0))),IF(((19+0.5)*(4*IF(circ_int,0,eq_c1/2)+4*IF(circ_int,0,eq_c2/2)+2*PI()*(s_0+4*s_r+IF(circ_int,eq_c1/2,0)))/INDEX(lk_legs,5))&lt;(((((((2*IF(circ_int,0,eq_c2/2))+(PI()*(s_0+4*s_r+IF(circ_int,eq_c1/2,0))/2))+2*IF(circ_int,0,eq_c1/2))+(PI()*(s_0+4*s_r+IF(circ_int,eq_c1/2,0))/2))+2*IF(circ_int,0,eq_c2/2))+(PI()*(s_0+4*s_r+IF(circ_int,eq_c1/2,0))/2))+2*IF(circ_int,0,eq_c1/2)),-IF(circ_int,0,eq_c1/2)+(((19+0.5)*(4*IF(circ_int,0,eq_c1/2)+4*IF(circ_int,0,eq_c2/2)+2*PI()*(s_0+4*s_r+IF(circ_int,eq_c1/2,0)))/INDEX(lk_legs,5))-((((((2*IF(circ_int,0,eq_c2/2))+(PI()*(s_0+4*s_r+IF(circ_int,eq_c1/2,0))/2))+2*IF(circ_int,0,eq_c1/2))+(PI()*(s_0+4*s_r+IF(circ_int,eq_c1/2,0))/2))+2*IF(circ_int,0,eq_c2/2))+(PI()*(s_0+4*s_r+IF(circ_int,eq_c1/2,0))/2))),IF(circ_int,0,eq_c1/2)+(s_0+4*s_r+IF(circ_int,eq_c1/2,0))*COS(3*PI()/2+(((19+0.5)*(4*IF(circ_int,0,eq_c1/2)+4*IF(circ_int,0,eq_c2/2)+2*PI()*(s_0+4*s_r+IF(circ_int,eq_c1/2,0)))/INDEX(lk_legs,5))-(((((((2*IF(circ_int,0,eq_c2/2))+(PI()*(s_0+4*s_r+IF(circ_int,eq_c1/2,0))/2))+2*IF(circ_int,0,eq_c1/2))+(PI()*(s_0+4*s_r+IF(circ_int,eq_c1/2,0))/2))+2*IF(circ_int,0,eq_c2/2))+(PI()*(s_0+4*s_r+IF(circ_int,eq_c1/2,0))/2))+2*IF(circ_int,0,eq_c1/2)))/(s_0+4*s_r+IF(circ_int,eq_c1/2,0)))))))))),NA())</f>
        <v/>
      </c>
      <c r="BY22">
        <f>IF(AND(AND(links_on,5&lt;=n_per),INDEX(lk_kind,5)=1,19&lt;INDEX(lk_legs,5)),g_oy+IF(((19+0.5)*(4*IF(circ_int,0,eq_c1/2)+4*IF(circ_int,0,eq_c2/2)+2*PI()*(s_0+4*s_r+IF(circ_int,eq_c1/2,0)))/INDEX(lk_legs,5))&lt;(2*IF(circ_int,0,eq_c2/2)),-IF(circ_int,0,eq_c2/2)+((19+0.5)*(4*IF(circ_int,0,eq_c1/2)+4*IF(circ_int,0,eq_c2/2)+2*PI()*(s_0+4*s_r+IF(circ_int,eq_c1/2,0)))/INDEX(lk_legs,5)),IF(((19+0.5)*(4*IF(circ_int,0,eq_c1/2)+4*IF(circ_int,0,eq_c2/2)+2*PI()*(s_0+4*s_r+IF(circ_int,eq_c1/2,0)))/INDEX(lk_legs,5))&lt;((2*IF(circ_int,0,eq_c2/2))+(PI()*(s_0+4*s_r+IF(circ_int,eq_c1/2,0))/2)),IF(circ_int,0,eq_c2/2)+(s_0+4*s_r+IF(circ_int,eq_c1/2,0))*SIN((((19+0.5)*(4*IF(circ_int,0,eq_c1/2)+4*IF(circ_int,0,eq_c2/2)+2*PI()*(s_0+4*s_r+IF(circ_int,eq_c1/2,0)))/INDEX(lk_legs,5))-(2*IF(circ_int,0,eq_c2/2)))/(s_0+4*s_r+IF(circ_int,eq_c1/2,0))),IF(((19+0.5)*(4*IF(circ_int,0,eq_c1/2)+4*IF(circ_int,0,eq_c2/2)+2*PI()*(s_0+4*s_r+IF(circ_int,eq_c1/2,0)))/INDEX(lk_legs,5))&lt;(((2*IF(circ_int,0,eq_c2/2))+(PI()*(s_0+4*s_r+IF(circ_int,eq_c1/2,0))/2))+2*IF(circ_int,0,eq_c1/2)),IF(circ_int,0,eq_c2/2)+(s_0+4*s_r+IF(circ_int,eq_c1/2,0)),IF(((19+0.5)*(4*IF(circ_int,0,eq_c1/2)+4*IF(circ_int,0,eq_c2/2)+2*PI()*(s_0+4*s_r+IF(circ_int,eq_c1/2,0)))/INDEX(lk_legs,5))&lt;((((2*IF(circ_int,0,eq_c2/2))+(PI()*(s_0+4*s_r+IF(circ_int,eq_c1/2,0))/2))+2*IF(circ_int,0,eq_c1/2))+(PI()*(s_0+4*s_r+IF(circ_int,eq_c1/2,0))/2)),IF(circ_int,0,eq_c2/2)+(s_0+4*s_r+IF(circ_int,eq_c1/2,0))*SIN(PI()/2+(((19+0.5)*(4*IF(circ_int,0,eq_c1/2)+4*IF(circ_int,0,eq_c2/2)+2*PI()*(s_0+4*s_r+IF(circ_int,eq_c1/2,0)))/INDEX(lk_legs,5))-(((2*IF(circ_int,0,eq_c2/2))+(PI()*(s_0+4*s_r+IF(circ_int,eq_c1/2,0))/2))+2*IF(circ_int,0,eq_c1/2)))/(s_0+4*s_r+IF(circ_int,eq_c1/2,0))),IF(((19+0.5)*(4*IF(circ_int,0,eq_c1/2)+4*IF(circ_int,0,eq_c2/2)+2*PI()*(s_0+4*s_r+IF(circ_int,eq_c1/2,0)))/INDEX(lk_legs,5))&lt;(((((2*IF(circ_int,0,eq_c2/2))+(PI()*(s_0+4*s_r+IF(circ_int,eq_c1/2,0))/2))+2*IF(circ_int,0,eq_c1/2))+(PI()*(s_0+4*s_r+IF(circ_int,eq_c1/2,0))/2))+2*IF(circ_int,0,eq_c2/2)),IF(circ_int,0,eq_c2/2)-(((19+0.5)*(4*IF(circ_int,0,eq_c1/2)+4*IF(circ_int,0,eq_c2/2)+2*PI()*(s_0+4*s_r+IF(circ_int,eq_c1/2,0)))/INDEX(lk_legs,5))-((((2*IF(circ_int,0,eq_c2/2))+(PI()*(s_0+4*s_r+IF(circ_int,eq_c1/2,0))/2))+2*IF(circ_int,0,eq_c1/2))+(PI()*(s_0+4*s_r+IF(circ_int,eq_c1/2,0))/2))),IF(((19+0.5)*(4*IF(circ_int,0,eq_c1/2)+4*IF(circ_int,0,eq_c2/2)+2*PI()*(s_0+4*s_r+IF(circ_int,eq_c1/2,0)))/INDEX(lk_legs,5))&lt;((((((2*IF(circ_int,0,eq_c2/2))+(PI()*(s_0+4*s_r+IF(circ_int,eq_c1/2,0))/2))+2*IF(circ_int,0,eq_c1/2))+(PI()*(s_0+4*s_r+IF(circ_int,eq_c1/2,0))/2))+2*IF(circ_int,0,eq_c2/2))+(PI()*(s_0+4*s_r+IF(circ_int,eq_c1/2,0))/2)),-IF(circ_int,0,eq_c2/2)+(s_0+4*s_r+IF(circ_int,eq_c1/2,0))*SIN(PI()+(((19+0.5)*(4*IF(circ_int,0,eq_c1/2)+4*IF(circ_int,0,eq_c2/2)+2*PI()*(s_0+4*s_r+IF(circ_int,eq_c1/2,0)))/INDEX(lk_legs,5))-(((((2*IF(circ_int,0,eq_c2/2))+(PI()*(s_0+4*s_r+IF(circ_int,eq_c1/2,0))/2))+2*IF(circ_int,0,eq_c1/2))+(PI()*(s_0+4*s_r+IF(circ_int,eq_c1/2,0))/2))+2*IF(circ_int,0,eq_c2/2)))/(s_0+4*s_r+IF(circ_int,eq_c1/2,0))),IF(((19+0.5)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(19+0.5)*(4*IF(circ_int,0,eq_c1/2)+4*IF(circ_int,0,eq_c2/2)+2*PI()*(s_0+4*s_r+IF(circ_int,eq_c1/2,0)))/INDEX(lk_legs,5))-(((((((2*IF(circ_int,0,eq_c2/2))+(PI()*(s_0+4*s_r+IF(circ_int,eq_c1/2,0))/2))+2*IF(circ_int,0,eq_c1/2))+(PI()*(s_0+4*s_r+IF(circ_int,eq_c1/2,0))/2))+2*IF(circ_int,0,eq_c2/2))+(PI()*(s_0+4*s_r+IF(circ_int,eq_c1/2,0))/2))+2*IF(circ_int,0,eq_c1/2)))/(s_0+4*s_r+IF(circ_int,eq_c1/2,0)))))))))),NA())</f>
        <v/>
      </c>
      <c r="CA22">
        <f>IF(AND(links_on,6&lt;=n_per),IF(circ_int,(g_ox)+(c_1/2+(s_0+5*s_r))*-0.663123,CHOOSE(INDEX(lk_kind,6),(g_ox-eq_c1/2)+((s_0+5*s_r))*-0.707107,(eq_a1+eq_c1)+((s_0+5*s_r))*0.793353,eq_a1+eq_c1+(s_0+5*s_r),(eq_a1+eq_c1)+((s_0+5*s_r))*0.608761)),NA())</f>
        <v/>
      </c>
      <c r="CB22">
        <f>IF(AND(links_on,6&lt;=n_per),IF(circ_int,(g_oy)+(c_1/2+(s_0+5*s_r))*0.748511,CHOOSE(INDEX(lk_kind,6),(g_oy+eq_c2/2)+((s_0+5*s_r))*0.707107,(g_oy-eq_c2/2)+((s_0+5*s_r))*-0.608761,0,(eq_a2+eq_c2)+((s_0+5*s_r))*0.793353)),NA())</f>
        <v/>
      </c>
      <c r="CD22">
        <f>IF(AND(AND(links_on,6&lt;=n_per),INDEX(lk_kind,6)=1,19&lt;INDEX(lk_legs,6)),g_ox+IF(((19+0.5)*(4*IF(circ_int,0,eq_c1/2)+4*IF(circ_int,0,eq_c2/2)+2*PI()*(s_0+5*s_r+IF(circ_int,eq_c1/2,0)))/INDEX(lk_legs,6))&lt;(2*IF(circ_int,0,eq_c2/2)),IF(circ_int,0,eq_c1/2)+(s_0+5*s_r+IF(circ_int,eq_c1/2,0)),IF(((19+0.5)*(4*IF(circ_int,0,eq_c1/2)+4*IF(circ_int,0,eq_c2/2)+2*PI()*(s_0+5*s_r+IF(circ_int,eq_c1/2,0)))/INDEX(lk_legs,6))&lt;((2*IF(circ_int,0,eq_c2/2))+(PI()*(s_0+5*s_r+IF(circ_int,eq_c1/2,0))/2)),IF(circ_int,0,eq_c1/2)+(s_0+5*s_r+IF(circ_int,eq_c1/2,0))*COS((((19+0.5)*(4*IF(circ_int,0,eq_c1/2)+4*IF(circ_int,0,eq_c2/2)+2*PI()*(s_0+5*s_r+IF(circ_int,eq_c1/2,0)))/INDEX(lk_legs,6))-(2*IF(circ_int,0,eq_c2/2)))/(s_0+5*s_r+IF(circ_int,eq_c1/2,0))),IF(((19+0.5)*(4*IF(circ_int,0,eq_c1/2)+4*IF(circ_int,0,eq_c2/2)+2*PI()*(s_0+5*s_r+IF(circ_int,eq_c1/2,0)))/INDEX(lk_legs,6))&lt;(((2*IF(circ_int,0,eq_c2/2))+(PI()*(s_0+5*s_r+IF(circ_int,eq_c1/2,0))/2))+2*IF(circ_int,0,eq_c1/2)),IF(circ_int,0,eq_c1/2)-(((19+0.5)*(4*IF(circ_int,0,eq_c1/2)+4*IF(circ_int,0,eq_c2/2)+2*PI()*(s_0+5*s_r+IF(circ_int,eq_c1/2,0)))/INDEX(lk_legs,6))-((2*IF(circ_int,0,eq_c2/2))+(PI()*(s_0+5*s_r+IF(circ_int,eq_c1/2,0))/2))),IF(((19+0.5)*(4*IF(circ_int,0,eq_c1/2)+4*IF(circ_int,0,eq_c2/2)+2*PI()*(s_0+5*s_r+IF(circ_int,eq_c1/2,0)))/INDEX(lk_legs,6))&lt;((((2*IF(circ_int,0,eq_c2/2))+(PI()*(s_0+5*s_r+IF(circ_int,eq_c1/2,0))/2))+2*IF(circ_int,0,eq_c1/2))+(PI()*(s_0+5*s_r+IF(circ_int,eq_c1/2,0))/2)),-IF(circ_int,0,eq_c1/2)+(s_0+5*s_r+IF(circ_int,eq_c1/2,0))*COS(PI()/2+(((19+0.5)*(4*IF(circ_int,0,eq_c1/2)+4*IF(circ_int,0,eq_c2/2)+2*PI()*(s_0+5*s_r+IF(circ_int,eq_c1/2,0)))/INDEX(lk_legs,6))-(((2*IF(circ_int,0,eq_c2/2))+(PI()*(s_0+5*s_r+IF(circ_int,eq_c1/2,0))/2))+2*IF(circ_int,0,eq_c1/2)))/(s_0+5*s_r+IF(circ_int,eq_c1/2,0))),IF(((19+0.5)*(4*IF(circ_int,0,eq_c1/2)+4*IF(circ_int,0,eq_c2/2)+2*PI()*(s_0+5*s_r+IF(circ_int,eq_c1/2,0)))/INDEX(lk_legs,6))&lt;(((((2*IF(circ_int,0,eq_c2/2))+(PI()*(s_0+5*s_r+IF(circ_int,eq_c1/2,0))/2))+2*IF(circ_int,0,eq_c1/2))+(PI()*(s_0+5*s_r+IF(circ_int,eq_c1/2,0))/2))+2*IF(circ_int,0,eq_c2/2)),-IF(circ_int,0,eq_c1/2)-(s_0+5*s_r+IF(circ_int,eq_c1/2,0)),IF(((19+0.5)*(4*IF(circ_int,0,eq_c1/2)+4*IF(circ_int,0,eq_c2/2)+2*PI()*(s_0+5*s_r+IF(circ_int,eq_c1/2,0)))/INDEX(lk_legs,6))&lt;((((((2*IF(circ_int,0,eq_c2/2))+(PI()*(s_0+5*s_r+IF(circ_int,eq_c1/2,0))/2))+2*IF(circ_int,0,eq_c1/2))+(PI()*(s_0+5*s_r+IF(circ_int,eq_c1/2,0))/2))+2*IF(circ_int,0,eq_c2/2))+(PI()*(s_0+5*s_r+IF(circ_int,eq_c1/2,0))/2)),-IF(circ_int,0,eq_c1/2)+(s_0+5*s_r+IF(circ_int,eq_c1/2,0))*COS(PI()+(((19+0.5)*(4*IF(circ_int,0,eq_c1/2)+4*IF(circ_int,0,eq_c2/2)+2*PI()*(s_0+5*s_r+IF(circ_int,eq_c1/2,0)))/INDEX(lk_legs,6))-(((((2*IF(circ_int,0,eq_c2/2))+(PI()*(s_0+5*s_r+IF(circ_int,eq_c1/2,0))/2))+2*IF(circ_int,0,eq_c1/2))+(PI()*(s_0+5*s_r+IF(circ_int,eq_c1/2,0))/2))+2*IF(circ_int,0,eq_c2/2)))/(s_0+5*s_r+IF(circ_int,eq_c1/2,0))),IF(((19+0.5)*(4*IF(circ_int,0,eq_c1/2)+4*IF(circ_int,0,eq_c2/2)+2*PI()*(s_0+5*s_r+IF(circ_int,eq_c1/2,0)))/INDEX(lk_legs,6))&lt;(((((((2*IF(circ_int,0,eq_c2/2))+(PI()*(s_0+5*s_r+IF(circ_int,eq_c1/2,0))/2))+2*IF(circ_int,0,eq_c1/2))+(PI()*(s_0+5*s_r+IF(circ_int,eq_c1/2,0))/2))+2*IF(circ_int,0,eq_c2/2))+(PI()*(s_0+5*s_r+IF(circ_int,eq_c1/2,0))/2))+2*IF(circ_int,0,eq_c1/2)),-IF(circ_int,0,eq_c1/2)+(((19+0.5)*(4*IF(circ_int,0,eq_c1/2)+4*IF(circ_int,0,eq_c2/2)+2*PI()*(s_0+5*s_r+IF(circ_int,eq_c1/2,0)))/INDEX(lk_legs,6))-((((((2*IF(circ_int,0,eq_c2/2))+(PI()*(s_0+5*s_r+IF(circ_int,eq_c1/2,0))/2))+2*IF(circ_int,0,eq_c1/2))+(PI()*(s_0+5*s_r+IF(circ_int,eq_c1/2,0))/2))+2*IF(circ_int,0,eq_c2/2))+(PI()*(s_0+5*s_r+IF(circ_int,eq_c1/2,0))/2))),IF(circ_int,0,eq_c1/2)+(s_0+5*s_r+IF(circ_int,eq_c1/2,0))*COS(3*PI()/2+(((19+0.5)*(4*IF(circ_int,0,eq_c1/2)+4*IF(circ_int,0,eq_c2/2)+2*PI()*(s_0+5*s_r+IF(circ_int,eq_c1/2,0)))/INDEX(lk_legs,6))-(((((((2*IF(circ_int,0,eq_c2/2))+(PI()*(s_0+5*s_r+IF(circ_int,eq_c1/2,0))/2))+2*IF(circ_int,0,eq_c1/2))+(PI()*(s_0+5*s_r+IF(circ_int,eq_c1/2,0))/2))+2*IF(circ_int,0,eq_c2/2))+(PI()*(s_0+5*s_r+IF(circ_int,eq_c1/2,0))/2))+2*IF(circ_int,0,eq_c1/2)))/(s_0+5*s_r+IF(circ_int,eq_c1/2,0)))))))))),NA())</f>
        <v/>
      </c>
      <c r="CE22">
        <f>IF(AND(AND(links_on,6&lt;=n_per),INDEX(lk_kind,6)=1,19&lt;INDEX(lk_legs,6)),g_oy+IF(((19+0.5)*(4*IF(circ_int,0,eq_c1/2)+4*IF(circ_int,0,eq_c2/2)+2*PI()*(s_0+5*s_r+IF(circ_int,eq_c1/2,0)))/INDEX(lk_legs,6))&lt;(2*IF(circ_int,0,eq_c2/2)),-IF(circ_int,0,eq_c2/2)+((19+0.5)*(4*IF(circ_int,0,eq_c1/2)+4*IF(circ_int,0,eq_c2/2)+2*PI()*(s_0+5*s_r+IF(circ_int,eq_c1/2,0)))/INDEX(lk_legs,6)),IF(((19+0.5)*(4*IF(circ_int,0,eq_c1/2)+4*IF(circ_int,0,eq_c2/2)+2*PI()*(s_0+5*s_r+IF(circ_int,eq_c1/2,0)))/INDEX(lk_legs,6))&lt;((2*IF(circ_int,0,eq_c2/2))+(PI()*(s_0+5*s_r+IF(circ_int,eq_c1/2,0))/2)),IF(circ_int,0,eq_c2/2)+(s_0+5*s_r+IF(circ_int,eq_c1/2,0))*SIN((((19+0.5)*(4*IF(circ_int,0,eq_c1/2)+4*IF(circ_int,0,eq_c2/2)+2*PI()*(s_0+5*s_r+IF(circ_int,eq_c1/2,0)))/INDEX(lk_legs,6))-(2*IF(circ_int,0,eq_c2/2)))/(s_0+5*s_r+IF(circ_int,eq_c1/2,0))),IF(((19+0.5)*(4*IF(circ_int,0,eq_c1/2)+4*IF(circ_int,0,eq_c2/2)+2*PI()*(s_0+5*s_r+IF(circ_int,eq_c1/2,0)))/INDEX(lk_legs,6))&lt;(((2*IF(circ_int,0,eq_c2/2))+(PI()*(s_0+5*s_r+IF(circ_int,eq_c1/2,0))/2))+2*IF(circ_int,0,eq_c1/2)),IF(circ_int,0,eq_c2/2)+(s_0+5*s_r+IF(circ_int,eq_c1/2,0)),IF(((19+0.5)*(4*IF(circ_int,0,eq_c1/2)+4*IF(circ_int,0,eq_c2/2)+2*PI()*(s_0+5*s_r+IF(circ_int,eq_c1/2,0)))/INDEX(lk_legs,6))&lt;((((2*IF(circ_int,0,eq_c2/2))+(PI()*(s_0+5*s_r+IF(circ_int,eq_c1/2,0))/2))+2*IF(circ_int,0,eq_c1/2))+(PI()*(s_0+5*s_r+IF(circ_int,eq_c1/2,0))/2)),IF(circ_int,0,eq_c2/2)+(s_0+5*s_r+IF(circ_int,eq_c1/2,0))*SIN(PI()/2+(((19+0.5)*(4*IF(circ_int,0,eq_c1/2)+4*IF(circ_int,0,eq_c2/2)+2*PI()*(s_0+5*s_r+IF(circ_int,eq_c1/2,0)))/INDEX(lk_legs,6))-(((2*IF(circ_int,0,eq_c2/2))+(PI()*(s_0+5*s_r+IF(circ_int,eq_c1/2,0))/2))+2*IF(circ_int,0,eq_c1/2)))/(s_0+5*s_r+IF(circ_int,eq_c1/2,0))),IF(((19+0.5)*(4*IF(circ_int,0,eq_c1/2)+4*IF(circ_int,0,eq_c2/2)+2*PI()*(s_0+5*s_r+IF(circ_int,eq_c1/2,0)))/INDEX(lk_legs,6))&lt;(((((2*IF(circ_int,0,eq_c2/2))+(PI()*(s_0+5*s_r+IF(circ_int,eq_c1/2,0))/2))+2*IF(circ_int,0,eq_c1/2))+(PI()*(s_0+5*s_r+IF(circ_int,eq_c1/2,0))/2))+2*IF(circ_int,0,eq_c2/2)),IF(circ_int,0,eq_c2/2)-(((19+0.5)*(4*IF(circ_int,0,eq_c1/2)+4*IF(circ_int,0,eq_c2/2)+2*PI()*(s_0+5*s_r+IF(circ_int,eq_c1/2,0)))/INDEX(lk_legs,6))-((((2*IF(circ_int,0,eq_c2/2))+(PI()*(s_0+5*s_r+IF(circ_int,eq_c1/2,0))/2))+2*IF(circ_int,0,eq_c1/2))+(PI()*(s_0+5*s_r+IF(circ_int,eq_c1/2,0))/2))),IF(((19+0.5)*(4*IF(circ_int,0,eq_c1/2)+4*IF(circ_int,0,eq_c2/2)+2*PI()*(s_0+5*s_r+IF(circ_int,eq_c1/2,0)))/INDEX(lk_legs,6))&lt;((((((2*IF(circ_int,0,eq_c2/2))+(PI()*(s_0+5*s_r+IF(circ_int,eq_c1/2,0))/2))+2*IF(circ_int,0,eq_c1/2))+(PI()*(s_0+5*s_r+IF(circ_int,eq_c1/2,0))/2))+2*IF(circ_int,0,eq_c2/2))+(PI()*(s_0+5*s_r+IF(circ_int,eq_c1/2,0))/2)),-IF(circ_int,0,eq_c2/2)+(s_0+5*s_r+IF(circ_int,eq_c1/2,0))*SIN(PI()+(((19+0.5)*(4*IF(circ_int,0,eq_c1/2)+4*IF(circ_int,0,eq_c2/2)+2*PI()*(s_0+5*s_r+IF(circ_int,eq_c1/2,0)))/INDEX(lk_legs,6))-(((((2*IF(circ_int,0,eq_c2/2))+(PI()*(s_0+5*s_r+IF(circ_int,eq_c1/2,0))/2))+2*IF(circ_int,0,eq_c1/2))+(PI()*(s_0+5*s_r+IF(circ_int,eq_c1/2,0))/2))+2*IF(circ_int,0,eq_c2/2)))/(s_0+5*s_r+IF(circ_int,eq_c1/2,0))),IF(((19+0.5)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(19+0.5)*(4*IF(circ_int,0,eq_c1/2)+4*IF(circ_int,0,eq_c2/2)+2*PI()*(s_0+5*s_r+IF(circ_int,eq_c1/2,0)))/INDEX(lk_legs,6))-(((((((2*IF(circ_int,0,eq_c2/2))+(PI()*(s_0+5*s_r+IF(circ_int,eq_c1/2,0))/2))+2*IF(circ_int,0,eq_c1/2))+(PI()*(s_0+5*s_r+IF(circ_int,eq_c1/2,0))/2))+2*IF(circ_int,0,eq_c2/2))+(PI()*(s_0+5*s_r+IF(circ_int,eq_c1/2,0))/2))+2*IF(circ_int,0,eq_c1/2)))/(s_0+5*s_r+IF(circ_int,eq_c1/2,0)))))))))),NA())</f>
        <v/>
      </c>
      <c r="CG22">
        <f>IF(AND(links_on,7&lt;=n_per),IF(circ_int,(g_ox)+(c_1/2+(s_0+6*s_r))*-0.663123,CHOOSE(INDEX(lk_kind,7),(g_ox-eq_c1/2)+((s_0+6*s_r))*-0.707107,(eq_a1+eq_c1)+((s_0+6*s_r))*0.793353,eq_a1+eq_c1+(s_0+6*s_r),(eq_a1+eq_c1)+((s_0+6*s_r))*0.608761)),NA())</f>
        <v/>
      </c>
      <c r="CH22">
        <f>IF(AND(links_on,7&lt;=n_per),IF(circ_int,(g_oy)+(c_1/2+(s_0+6*s_r))*0.748511,CHOOSE(INDEX(lk_kind,7),(g_oy+eq_c2/2)+((s_0+6*s_r))*0.707107,(g_oy-eq_c2/2)+((s_0+6*s_r))*-0.608761,0,(eq_a2+eq_c2)+((s_0+6*s_r))*0.793353)),NA())</f>
        <v/>
      </c>
      <c r="CJ22">
        <f>IF(AND(AND(links_on,7&lt;=n_per),INDEX(lk_kind,7)=1,19&lt;INDEX(lk_legs,7)),g_ox+IF(((19+0.5)*(4*IF(circ_int,0,eq_c1/2)+4*IF(circ_int,0,eq_c2/2)+2*PI()*(s_0+6*s_r+IF(circ_int,eq_c1/2,0)))/INDEX(lk_legs,7))&lt;(2*IF(circ_int,0,eq_c2/2)),IF(circ_int,0,eq_c1/2)+(s_0+6*s_r+IF(circ_int,eq_c1/2,0)),IF(((19+0.5)*(4*IF(circ_int,0,eq_c1/2)+4*IF(circ_int,0,eq_c2/2)+2*PI()*(s_0+6*s_r+IF(circ_int,eq_c1/2,0)))/INDEX(lk_legs,7))&lt;((2*IF(circ_int,0,eq_c2/2))+(PI()*(s_0+6*s_r+IF(circ_int,eq_c1/2,0))/2)),IF(circ_int,0,eq_c1/2)+(s_0+6*s_r+IF(circ_int,eq_c1/2,0))*COS((((19+0.5)*(4*IF(circ_int,0,eq_c1/2)+4*IF(circ_int,0,eq_c2/2)+2*PI()*(s_0+6*s_r+IF(circ_int,eq_c1/2,0)))/INDEX(lk_legs,7))-(2*IF(circ_int,0,eq_c2/2)))/(s_0+6*s_r+IF(circ_int,eq_c1/2,0))),IF(((19+0.5)*(4*IF(circ_int,0,eq_c1/2)+4*IF(circ_int,0,eq_c2/2)+2*PI()*(s_0+6*s_r+IF(circ_int,eq_c1/2,0)))/INDEX(lk_legs,7))&lt;(((2*IF(circ_int,0,eq_c2/2))+(PI()*(s_0+6*s_r+IF(circ_int,eq_c1/2,0))/2))+2*IF(circ_int,0,eq_c1/2)),IF(circ_int,0,eq_c1/2)-(((19+0.5)*(4*IF(circ_int,0,eq_c1/2)+4*IF(circ_int,0,eq_c2/2)+2*PI()*(s_0+6*s_r+IF(circ_int,eq_c1/2,0)))/INDEX(lk_legs,7))-((2*IF(circ_int,0,eq_c2/2))+(PI()*(s_0+6*s_r+IF(circ_int,eq_c1/2,0))/2))),IF(((19+0.5)*(4*IF(circ_int,0,eq_c1/2)+4*IF(circ_int,0,eq_c2/2)+2*PI()*(s_0+6*s_r+IF(circ_int,eq_c1/2,0)))/INDEX(lk_legs,7))&lt;((((2*IF(circ_int,0,eq_c2/2))+(PI()*(s_0+6*s_r+IF(circ_int,eq_c1/2,0))/2))+2*IF(circ_int,0,eq_c1/2))+(PI()*(s_0+6*s_r+IF(circ_int,eq_c1/2,0))/2)),-IF(circ_int,0,eq_c1/2)+(s_0+6*s_r+IF(circ_int,eq_c1/2,0))*COS(PI()/2+(((19+0.5)*(4*IF(circ_int,0,eq_c1/2)+4*IF(circ_int,0,eq_c2/2)+2*PI()*(s_0+6*s_r+IF(circ_int,eq_c1/2,0)))/INDEX(lk_legs,7))-(((2*IF(circ_int,0,eq_c2/2))+(PI()*(s_0+6*s_r+IF(circ_int,eq_c1/2,0))/2))+2*IF(circ_int,0,eq_c1/2)))/(s_0+6*s_r+IF(circ_int,eq_c1/2,0))),IF(((19+0.5)*(4*IF(circ_int,0,eq_c1/2)+4*IF(circ_int,0,eq_c2/2)+2*PI()*(s_0+6*s_r+IF(circ_int,eq_c1/2,0)))/INDEX(lk_legs,7))&lt;(((((2*IF(circ_int,0,eq_c2/2))+(PI()*(s_0+6*s_r+IF(circ_int,eq_c1/2,0))/2))+2*IF(circ_int,0,eq_c1/2))+(PI()*(s_0+6*s_r+IF(circ_int,eq_c1/2,0))/2))+2*IF(circ_int,0,eq_c2/2)),-IF(circ_int,0,eq_c1/2)-(s_0+6*s_r+IF(circ_int,eq_c1/2,0)),IF(((19+0.5)*(4*IF(circ_int,0,eq_c1/2)+4*IF(circ_int,0,eq_c2/2)+2*PI()*(s_0+6*s_r+IF(circ_int,eq_c1/2,0)))/INDEX(lk_legs,7))&lt;((((((2*IF(circ_int,0,eq_c2/2))+(PI()*(s_0+6*s_r+IF(circ_int,eq_c1/2,0))/2))+2*IF(circ_int,0,eq_c1/2))+(PI()*(s_0+6*s_r+IF(circ_int,eq_c1/2,0))/2))+2*IF(circ_int,0,eq_c2/2))+(PI()*(s_0+6*s_r+IF(circ_int,eq_c1/2,0))/2)),-IF(circ_int,0,eq_c1/2)+(s_0+6*s_r+IF(circ_int,eq_c1/2,0))*COS(PI()+(((19+0.5)*(4*IF(circ_int,0,eq_c1/2)+4*IF(circ_int,0,eq_c2/2)+2*PI()*(s_0+6*s_r+IF(circ_int,eq_c1/2,0)))/INDEX(lk_legs,7))-(((((2*IF(circ_int,0,eq_c2/2))+(PI()*(s_0+6*s_r+IF(circ_int,eq_c1/2,0))/2))+2*IF(circ_int,0,eq_c1/2))+(PI()*(s_0+6*s_r+IF(circ_int,eq_c1/2,0))/2))+2*IF(circ_int,0,eq_c2/2)))/(s_0+6*s_r+IF(circ_int,eq_c1/2,0))),IF(((19+0.5)*(4*IF(circ_int,0,eq_c1/2)+4*IF(circ_int,0,eq_c2/2)+2*PI()*(s_0+6*s_r+IF(circ_int,eq_c1/2,0)))/INDEX(lk_legs,7))&lt;(((((((2*IF(circ_int,0,eq_c2/2))+(PI()*(s_0+6*s_r+IF(circ_int,eq_c1/2,0))/2))+2*IF(circ_int,0,eq_c1/2))+(PI()*(s_0+6*s_r+IF(circ_int,eq_c1/2,0))/2))+2*IF(circ_int,0,eq_c2/2))+(PI()*(s_0+6*s_r+IF(circ_int,eq_c1/2,0))/2))+2*IF(circ_int,0,eq_c1/2)),-IF(circ_int,0,eq_c1/2)+(((19+0.5)*(4*IF(circ_int,0,eq_c1/2)+4*IF(circ_int,0,eq_c2/2)+2*PI()*(s_0+6*s_r+IF(circ_int,eq_c1/2,0)))/INDEX(lk_legs,7))-((((((2*IF(circ_int,0,eq_c2/2))+(PI()*(s_0+6*s_r+IF(circ_int,eq_c1/2,0))/2))+2*IF(circ_int,0,eq_c1/2))+(PI()*(s_0+6*s_r+IF(circ_int,eq_c1/2,0))/2))+2*IF(circ_int,0,eq_c2/2))+(PI()*(s_0+6*s_r+IF(circ_int,eq_c1/2,0))/2))),IF(circ_int,0,eq_c1/2)+(s_0+6*s_r+IF(circ_int,eq_c1/2,0))*COS(3*PI()/2+(((19+0.5)*(4*IF(circ_int,0,eq_c1/2)+4*IF(circ_int,0,eq_c2/2)+2*PI()*(s_0+6*s_r+IF(circ_int,eq_c1/2,0)))/INDEX(lk_legs,7))-(((((((2*IF(circ_int,0,eq_c2/2))+(PI()*(s_0+6*s_r+IF(circ_int,eq_c1/2,0))/2))+2*IF(circ_int,0,eq_c1/2))+(PI()*(s_0+6*s_r+IF(circ_int,eq_c1/2,0))/2))+2*IF(circ_int,0,eq_c2/2))+(PI()*(s_0+6*s_r+IF(circ_int,eq_c1/2,0))/2))+2*IF(circ_int,0,eq_c1/2)))/(s_0+6*s_r+IF(circ_int,eq_c1/2,0)))))))))),NA())</f>
        <v/>
      </c>
      <c r="CK22">
        <f>IF(AND(AND(links_on,7&lt;=n_per),INDEX(lk_kind,7)=1,19&lt;INDEX(lk_legs,7)),g_oy+IF(((19+0.5)*(4*IF(circ_int,0,eq_c1/2)+4*IF(circ_int,0,eq_c2/2)+2*PI()*(s_0+6*s_r+IF(circ_int,eq_c1/2,0)))/INDEX(lk_legs,7))&lt;(2*IF(circ_int,0,eq_c2/2)),-IF(circ_int,0,eq_c2/2)+((19+0.5)*(4*IF(circ_int,0,eq_c1/2)+4*IF(circ_int,0,eq_c2/2)+2*PI()*(s_0+6*s_r+IF(circ_int,eq_c1/2,0)))/INDEX(lk_legs,7)),IF(((19+0.5)*(4*IF(circ_int,0,eq_c1/2)+4*IF(circ_int,0,eq_c2/2)+2*PI()*(s_0+6*s_r+IF(circ_int,eq_c1/2,0)))/INDEX(lk_legs,7))&lt;((2*IF(circ_int,0,eq_c2/2))+(PI()*(s_0+6*s_r+IF(circ_int,eq_c1/2,0))/2)),IF(circ_int,0,eq_c2/2)+(s_0+6*s_r+IF(circ_int,eq_c1/2,0))*SIN((((19+0.5)*(4*IF(circ_int,0,eq_c1/2)+4*IF(circ_int,0,eq_c2/2)+2*PI()*(s_0+6*s_r+IF(circ_int,eq_c1/2,0)))/INDEX(lk_legs,7))-(2*IF(circ_int,0,eq_c2/2)))/(s_0+6*s_r+IF(circ_int,eq_c1/2,0))),IF(((19+0.5)*(4*IF(circ_int,0,eq_c1/2)+4*IF(circ_int,0,eq_c2/2)+2*PI()*(s_0+6*s_r+IF(circ_int,eq_c1/2,0)))/INDEX(lk_legs,7))&lt;(((2*IF(circ_int,0,eq_c2/2))+(PI()*(s_0+6*s_r+IF(circ_int,eq_c1/2,0))/2))+2*IF(circ_int,0,eq_c1/2)),IF(circ_int,0,eq_c2/2)+(s_0+6*s_r+IF(circ_int,eq_c1/2,0)),IF(((19+0.5)*(4*IF(circ_int,0,eq_c1/2)+4*IF(circ_int,0,eq_c2/2)+2*PI()*(s_0+6*s_r+IF(circ_int,eq_c1/2,0)))/INDEX(lk_legs,7))&lt;((((2*IF(circ_int,0,eq_c2/2))+(PI()*(s_0+6*s_r+IF(circ_int,eq_c1/2,0))/2))+2*IF(circ_int,0,eq_c1/2))+(PI()*(s_0+6*s_r+IF(circ_int,eq_c1/2,0))/2)),IF(circ_int,0,eq_c2/2)+(s_0+6*s_r+IF(circ_int,eq_c1/2,0))*SIN(PI()/2+(((19+0.5)*(4*IF(circ_int,0,eq_c1/2)+4*IF(circ_int,0,eq_c2/2)+2*PI()*(s_0+6*s_r+IF(circ_int,eq_c1/2,0)))/INDEX(lk_legs,7))-(((2*IF(circ_int,0,eq_c2/2))+(PI()*(s_0+6*s_r+IF(circ_int,eq_c1/2,0))/2))+2*IF(circ_int,0,eq_c1/2)))/(s_0+6*s_r+IF(circ_int,eq_c1/2,0))),IF(((19+0.5)*(4*IF(circ_int,0,eq_c1/2)+4*IF(circ_int,0,eq_c2/2)+2*PI()*(s_0+6*s_r+IF(circ_int,eq_c1/2,0)))/INDEX(lk_legs,7))&lt;(((((2*IF(circ_int,0,eq_c2/2))+(PI()*(s_0+6*s_r+IF(circ_int,eq_c1/2,0))/2))+2*IF(circ_int,0,eq_c1/2))+(PI()*(s_0+6*s_r+IF(circ_int,eq_c1/2,0))/2))+2*IF(circ_int,0,eq_c2/2)),IF(circ_int,0,eq_c2/2)-(((19+0.5)*(4*IF(circ_int,0,eq_c1/2)+4*IF(circ_int,0,eq_c2/2)+2*PI()*(s_0+6*s_r+IF(circ_int,eq_c1/2,0)))/INDEX(lk_legs,7))-((((2*IF(circ_int,0,eq_c2/2))+(PI()*(s_0+6*s_r+IF(circ_int,eq_c1/2,0))/2))+2*IF(circ_int,0,eq_c1/2))+(PI()*(s_0+6*s_r+IF(circ_int,eq_c1/2,0))/2))),IF(((19+0.5)*(4*IF(circ_int,0,eq_c1/2)+4*IF(circ_int,0,eq_c2/2)+2*PI()*(s_0+6*s_r+IF(circ_int,eq_c1/2,0)))/INDEX(lk_legs,7))&lt;((((((2*IF(circ_int,0,eq_c2/2))+(PI()*(s_0+6*s_r+IF(circ_int,eq_c1/2,0))/2))+2*IF(circ_int,0,eq_c1/2))+(PI()*(s_0+6*s_r+IF(circ_int,eq_c1/2,0))/2))+2*IF(circ_int,0,eq_c2/2))+(PI()*(s_0+6*s_r+IF(circ_int,eq_c1/2,0))/2)),-IF(circ_int,0,eq_c2/2)+(s_0+6*s_r+IF(circ_int,eq_c1/2,0))*SIN(PI()+(((19+0.5)*(4*IF(circ_int,0,eq_c1/2)+4*IF(circ_int,0,eq_c2/2)+2*PI()*(s_0+6*s_r+IF(circ_int,eq_c1/2,0)))/INDEX(lk_legs,7))-(((((2*IF(circ_int,0,eq_c2/2))+(PI()*(s_0+6*s_r+IF(circ_int,eq_c1/2,0))/2))+2*IF(circ_int,0,eq_c1/2))+(PI()*(s_0+6*s_r+IF(circ_int,eq_c1/2,0))/2))+2*IF(circ_int,0,eq_c2/2)))/(s_0+6*s_r+IF(circ_int,eq_c1/2,0))),IF(((19+0.5)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(19+0.5)*(4*IF(circ_int,0,eq_c1/2)+4*IF(circ_int,0,eq_c2/2)+2*PI()*(s_0+6*s_r+IF(circ_int,eq_c1/2,0)))/INDEX(lk_legs,7))-(((((((2*IF(circ_int,0,eq_c2/2))+(PI()*(s_0+6*s_r+IF(circ_int,eq_c1/2,0))/2))+2*IF(circ_int,0,eq_c1/2))+(PI()*(s_0+6*s_r+IF(circ_int,eq_c1/2,0))/2))+2*IF(circ_int,0,eq_c2/2))+(PI()*(s_0+6*s_r+IF(circ_int,eq_c1/2,0))/2))+2*IF(circ_int,0,eq_c1/2)))/(s_0+6*s_r+IF(circ_int,eq_c1/2,0)))))))))),NA())</f>
        <v/>
      </c>
      <c r="CM22">
        <f>IF(AND(links_on,8&lt;=n_per),IF(circ_int,(g_ox)+(c_1/2+(s_0+7*s_r))*-0.663123,CHOOSE(INDEX(lk_kind,8),(g_ox-eq_c1/2)+((s_0+7*s_r))*-0.707107,(eq_a1+eq_c1)+((s_0+7*s_r))*0.793353,eq_a1+eq_c1+(s_0+7*s_r),(eq_a1+eq_c1)+((s_0+7*s_r))*0.608761)),NA())</f>
        <v/>
      </c>
      <c r="CN22">
        <f>IF(AND(links_on,8&lt;=n_per),IF(circ_int,(g_oy)+(c_1/2+(s_0+7*s_r))*0.748511,CHOOSE(INDEX(lk_kind,8),(g_oy+eq_c2/2)+((s_0+7*s_r))*0.707107,(g_oy-eq_c2/2)+((s_0+7*s_r))*-0.608761,0,(eq_a2+eq_c2)+((s_0+7*s_r))*0.793353)),NA())</f>
        <v/>
      </c>
      <c r="CP22">
        <f>IF(AND(AND(links_on,8&lt;=n_per),INDEX(lk_kind,8)=1,19&lt;INDEX(lk_legs,8)),g_ox+IF(((19+0.5)*(4*IF(circ_int,0,eq_c1/2)+4*IF(circ_int,0,eq_c2/2)+2*PI()*(s_0+7*s_r+IF(circ_int,eq_c1/2,0)))/INDEX(lk_legs,8))&lt;(2*IF(circ_int,0,eq_c2/2)),IF(circ_int,0,eq_c1/2)+(s_0+7*s_r+IF(circ_int,eq_c1/2,0)),IF(((19+0.5)*(4*IF(circ_int,0,eq_c1/2)+4*IF(circ_int,0,eq_c2/2)+2*PI()*(s_0+7*s_r+IF(circ_int,eq_c1/2,0)))/INDEX(lk_legs,8))&lt;((2*IF(circ_int,0,eq_c2/2))+(PI()*(s_0+7*s_r+IF(circ_int,eq_c1/2,0))/2)),IF(circ_int,0,eq_c1/2)+(s_0+7*s_r+IF(circ_int,eq_c1/2,0))*COS((((19+0.5)*(4*IF(circ_int,0,eq_c1/2)+4*IF(circ_int,0,eq_c2/2)+2*PI()*(s_0+7*s_r+IF(circ_int,eq_c1/2,0)))/INDEX(lk_legs,8))-(2*IF(circ_int,0,eq_c2/2)))/(s_0+7*s_r+IF(circ_int,eq_c1/2,0))),IF(((19+0.5)*(4*IF(circ_int,0,eq_c1/2)+4*IF(circ_int,0,eq_c2/2)+2*PI()*(s_0+7*s_r+IF(circ_int,eq_c1/2,0)))/INDEX(lk_legs,8))&lt;(((2*IF(circ_int,0,eq_c2/2))+(PI()*(s_0+7*s_r+IF(circ_int,eq_c1/2,0))/2))+2*IF(circ_int,0,eq_c1/2)),IF(circ_int,0,eq_c1/2)-(((19+0.5)*(4*IF(circ_int,0,eq_c1/2)+4*IF(circ_int,0,eq_c2/2)+2*PI()*(s_0+7*s_r+IF(circ_int,eq_c1/2,0)))/INDEX(lk_legs,8))-((2*IF(circ_int,0,eq_c2/2))+(PI()*(s_0+7*s_r+IF(circ_int,eq_c1/2,0))/2))),IF(((19+0.5)*(4*IF(circ_int,0,eq_c1/2)+4*IF(circ_int,0,eq_c2/2)+2*PI()*(s_0+7*s_r+IF(circ_int,eq_c1/2,0)))/INDEX(lk_legs,8))&lt;((((2*IF(circ_int,0,eq_c2/2))+(PI()*(s_0+7*s_r+IF(circ_int,eq_c1/2,0))/2))+2*IF(circ_int,0,eq_c1/2))+(PI()*(s_0+7*s_r+IF(circ_int,eq_c1/2,0))/2)),-IF(circ_int,0,eq_c1/2)+(s_0+7*s_r+IF(circ_int,eq_c1/2,0))*COS(PI()/2+(((19+0.5)*(4*IF(circ_int,0,eq_c1/2)+4*IF(circ_int,0,eq_c2/2)+2*PI()*(s_0+7*s_r+IF(circ_int,eq_c1/2,0)))/INDEX(lk_legs,8))-(((2*IF(circ_int,0,eq_c2/2))+(PI()*(s_0+7*s_r+IF(circ_int,eq_c1/2,0))/2))+2*IF(circ_int,0,eq_c1/2)))/(s_0+7*s_r+IF(circ_int,eq_c1/2,0))),IF(((19+0.5)*(4*IF(circ_int,0,eq_c1/2)+4*IF(circ_int,0,eq_c2/2)+2*PI()*(s_0+7*s_r+IF(circ_int,eq_c1/2,0)))/INDEX(lk_legs,8))&lt;(((((2*IF(circ_int,0,eq_c2/2))+(PI()*(s_0+7*s_r+IF(circ_int,eq_c1/2,0))/2))+2*IF(circ_int,0,eq_c1/2))+(PI()*(s_0+7*s_r+IF(circ_int,eq_c1/2,0))/2))+2*IF(circ_int,0,eq_c2/2)),-IF(circ_int,0,eq_c1/2)-(s_0+7*s_r+IF(circ_int,eq_c1/2,0)),IF(((19+0.5)*(4*IF(circ_int,0,eq_c1/2)+4*IF(circ_int,0,eq_c2/2)+2*PI()*(s_0+7*s_r+IF(circ_int,eq_c1/2,0)))/INDEX(lk_legs,8))&lt;((((((2*IF(circ_int,0,eq_c2/2))+(PI()*(s_0+7*s_r+IF(circ_int,eq_c1/2,0))/2))+2*IF(circ_int,0,eq_c1/2))+(PI()*(s_0+7*s_r+IF(circ_int,eq_c1/2,0))/2))+2*IF(circ_int,0,eq_c2/2))+(PI()*(s_0+7*s_r+IF(circ_int,eq_c1/2,0))/2)),-IF(circ_int,0,eq_c1/2)+(s_0+7*s_r+IF(circ_int,eq_c1/2,0))*COS(PI()+(((19+0.5)*(4*IF(circ_int,0,eq_c1/2)+4*IF(circ_int,0,eq_c2/2)+2*PI()*(s_0+7*s_r+IF(circ_int,eq_c1/2,0)))/INDEX(lk_legs,8))-(((((2*IF(circ_int,0,eq_c2/2))+(PI()*(s_0+7*s_r+IF(circ_int,eq_c1/2,0))/2))+2*IF(circ_int,0,eq_c1/2))+(PI()*(s_0+7*s_r+IF(circ_int,eq_c1/2,0))/2))+2*IF(circ_int,0,eq_c2/2)))/(s_0+7*s_r+IF(circ_int,eq_c1/2,0))),IF(((19+0.5)*(4*IF(circ_int,0,eq_c1/2)+4*IF(circ_int,0,eq_c2/2)+2*PI()*(s_0+7*s_r+IF(circ_int,eq_c1/2,0)))/INDEX(lk_legs,8))&lt;(((((((2*IF(circ_int,0,eq_c2/2))+(PI()*(s_0+7*s_r+IF(circ_int,eq_c1/2,0))/2))+2*IF(circ_int,0,eq_c1/2))+(PI()*(s_0+7*s_r+IF(circ_int,eq_c1/2,0))/2))+2*IF(circ_int,0,eq_c2/2))+(PI()*(s_0+7*s_r+IF(circ_int,eq_c1/2,0))/2))+2*IF(circ_int,0,eq_c1/2)),-IF(circ_int,0,eq_c1/2)+(((19+0.5)*(4*IF(circ_int,0,eq_c1/2)+4*IF(circ_int,0,eq_c2/2)+2*PI()*(s_0+7*s_r+IF(circ_int,eq_c1/2,0)))/INDEX(lk_legs,8))-((((((2*IF(circ_int,0,eq_c2/2))+(PI()*(s_0+7*s_r+IF(circ_int,eq_c1/2,0))/2))+2*IF(circ_int,0,eq_c1/2))+(PI()*(s_0+7*s_r+IF(circ_int,eq_c1/2,0))/2))+2*IF(circ_int,0,eq_c2/2))+(PI()*(s_0+7*s_r+IF(circ_int,eq_c1/2,0))/2))),IF(circ_int,0,eq_c1/2)+(s_0+7*s_r+IF(circ_int,eq_c1/2,0))*COS(3*PI()/2+(((19+0.5)*(4*IF(circ_int,0,eq_c1/2)+4*IF(circ_int,0,eq_c2/2)+2*PI()*(s_0+7*s_r+IF(circ_int,eq_c1/2,0)))/INDEX(lk_legs,8))-(((((((2*IF(circ_int,0,eq_c2/2))+(PI()*(s_0+7*s_r+IF(circ_int,eq_c1/2,0))/2))+2*IF(circ_int,0,eq_c1/2))+(PI()*(s_0+7*s_r+IF(circ_int,eq_c1/2,0))/2))+2*IF(circ_int,0,eq_c2/2))+(PI()*(s_0+7*s_r+IF(circ_int,eq_c1/2,0))/2))+2*IF(circ_int,0,eq_c1/2)))/(s_0+7*s_r+IF(circ_int,eq_c1/2,0)))))))))),NA())</f>
        <v/>
      </c>
      <c r="CQ22">
        <f>IF(AND(AND(links_on,8&lt;=n_per),INDEX(lk_kind,8)=1,19&lt;INDEX(lk_legs,8)),g_oy+IF(((19+0.5)*(4*IF(circ_int,0,eq_c1/2)+4*IF(circ_int,0,eq_c2/2)+2*PI()*(s_0+7*s_r+IF(circ_int,eq_c1/2,0)))/INDEX(lk_legs,8))&lt;(2*IF(circ_int,0,eq_c2/2)),-IF(circ_int,0,eq_c2/2)+((19+0.5)*(4*IF(circ_int,0,eq_c1/2)+4*IF(circ_int,0,eq_c2/2)+2*PI()*(s_0+7*s_r+IF(circ_int,eq_c1/2,0)))/INDEX(lk_legs,8)),IF(((19+0.5)*(4*IF(circ_int,0,eq_c1/2)+4*IF(circ_int,0,eq_c2/2)+2*PI()*(s_0+7*s_r+IF(circ_int,eq_c1/2,0)))/INDEX(lk_legs,8))&lt;((2*IF(circ_int,0,eq_c2/2))+(PI()*(s_0+7*s_r+IF(circ_int,eq_c1/2,0))/2)),IF(circ_int,0,eq_c2/2)+(s_0+7*s_r+IF(circ_int,eq_c1/2,0))*SIN((((19+0.5)*(4*IF(circ_int,0,eq_c1/2)+4*IF(circ_int,0,eq_c2/2)+2*PI()*(s_0+7*s_r+IF(circ_int,eq_c1/2,0)))/INDEX(lk_legs,8))-(2*IF(circ_int,0,eq_c2/2)))/(s_0+7*s_r+IF(circ_int,eq_c1/2,0))),IF(((19+0.5)*(4*IF(circ_int,0,eq_c1/2)+4*IF(circ_int,0,eq_c2/2)+2*PI()*(s_0+7*s_r+IF(circ_int,eq_c1/2,0)))/INDEX(lk_legs,8))&lt;(((2*IF(circ_int,0,eq_c2/2))+(PI()*(s_0+7*s_r+IF(circ_int,eq_c1/2,0))/2))+2*IF(circ_int,0,eq_c1/2)),IF(circ_int,0,eq_c2/2)+(s_0+7*s_r+IF(circ_int,eq_c1/2,0)),IF(((19+0.5)*(4*IF(circ_int,0,eq_c1/2)+4*IF(circ_int,0,eq_c2/2)+2*PI()*(s_0+7*s_r+IF(circ_int,eq_c1/2,0)))/INDEX(lk_legs,8))&lt;((((2*IF(circ_int,0,eq_c2/2))+(PI()*(s_0+7*s_r+IF(circ_int,eq_c1/2,0))/2))+2*IF(circ_int,0,eq_c1/2))+(PI()*(s_0+7*s_r+IF(circ_int,eq_c1/2,0))/2)),IF(circ_int,0,eq_c2/2)+(s_0+7*s_r+IF(circ_int,eq_c1/2,0))*SIN(PI()/2+(((19+0.5)*(4*IF(circ_int,0,eq_c1/2)+4*IF(circ_int,0,eq_c2/2)+2*PI()*(s_0+7*s_r+IF(circ_int,eq_c1/2,0)))/INDEX(lk_legs,8))-(((2*IF(circ_int,0,eq_c2/2))+(PI()*(s_0+7*s_r+IF(circ_int,eq_c1/2,0))/2))+2*IF(circ_int,0,eq_c1/2)))/(s_0+7*s_r+IF(circ_int,eq_c1/2,0))),IF(((19+0.5)*(4*IF(circ_int,0,eq_c1/2)+4*IF(circ_int,0,eq_c2/2)+2*PI()*(s_0+7*s_r+IF(circ_int,eq_c1/2,0)))/INDEX(lk_legs,8))&lt;(((((2*IF(circ_int,0,eq_c2/2))+(PI()*(s_0+7*s_r+IF(circ_int,eq_c1/2,0))/2))+2*IF(circ_int,0,eq_c1/2))+(PI()*(s_0+7*s_r+IF(circ_int,eq_c1/2,0))/2))+2*IF(circ_int,0,eq_c2/2)),IF(circ_int,0,eq_c2/2)-(((19+0.5)*(4*IF(circ_int,0,eq_c1/2)+4*IF(circ_int,0,eq_c2/2)+2*PI()*(s_0+7*s_r+IF(circ_int,eq_c1/2,0)))/INDEX(lk_legs,8))-((((2*IF(circ_int,0,eq_c2/2))+(PI()*(s_0+7*s_r+IF(circ_int,eq_c1/2,0))/2))+2*IF(circ_int,0,eq_c1/2))+(PI()*(s_0+7*s_r+IF(circ_int,eq_c1/2,0))/2))),IF(((19+0.5)*(4*IF(circ_int,0,eq_c1/2)+4*IF(circ_int,0,eq_c2/2)+2*PI()*(s_0+7*s_r+IF(circ_int,eq_c1/2,0)))/INDEX(lk_legs,8))&lt;((((((2*IF(circ_int,0,eq_c2/2))+(PI()*(s_0+7*s_r+IF(circ_int,eq_c1/2,0))/2))+2*IF(circ_int,0,eq_c1/2))+(PI()*(s_0+7*s_r+IF(circ_int,eq_c1/2,0))/2))+2*IF(circ_int,0,eq_c2/2))+(PI()*(s_0+7*s_r+IF(circ_int,eq_c1/2,0))/2)),-IF(circ_int,0,eq_c2/2)+(s_0+7*s_r+IF(circ_int,eq_c1/2,0))*SIN(PI()+(((19+0.5)*(4*IF(circ_int,0,eq_c1/2)+4*IF(circ_int,0,eq_c2/2)+2*PI()*(s_0+7*s_r+IF(circ_int,eq_c1/2,0)))/INDEX(lk_legs,8))-(((((2*IF(circ_int,0,eq_c2/2))+(PI()*(s_0+7*s_r+IF(circ_int,eq_c1/2,0))/2))+2*IF(circ_int,0,eq_c1/2))+(PI()*(s_0+7*s_r+IF(circ_int,eq_c1/2,0))/2))+2*IF(circ_int,0,eq_c2/2)))/(s_0+7*s_r+IF(circ_int,eq_c1/2,0))),IF(((19+0.5)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(19+0.5)*(4*IF(circ_int,0,eq_c1/2)+4*IF(circ_int,0,eq_c2/2)+2*PI()*(s_0+7*s_r+IF(circ_int,eq_c1/2,0)))/INDEX(lk_legs,8))-(((((((2*IF(circ_int,0,eq_c2/2))+(PI()*(s_0+7*s_r+IF(circ_int,eq_c1/2,0))/2))+2*IF(circ_int,0,eq_c1/2))+(PI()*(s_0+7*s_r+IF(circ_int,eq_c1/2,0))/2))+2*IF(circ_int,0,eq_c2/2))+(PI()*(s_0+7*s_r+IF(circ_int,eq_c1/2,0))/2))+2*IF(circ_int,0,eq_c1/2)))/(s_0+7*s_r+IF(circ_int,eq_c1/2,0)))))))))),NA())</f>
        <v/>
      </c>
      <c r="CS22">
        <f>IF(AND(links_on,9&lt;=n_per),IF(circ_int,(g_ox)+(c_1/2+(s_0+8*s_r))*-0.663123,CHOOSE(INDEX(lk_kind,9),(g_ox-eq_c1/2)+((s_0+8*s_r))*-0.707107,(eq_a1+eq_c1)+((s_0+8*s_r))*0.793353,eq_a1+eq_c1+(s_0+8*s_r),(eq_a1+eq_c1)+((s_0+8*s_r))*0.608761)),NA())</f>
        <v/>
      </c>
      <c r="CT22">
        <f>IF(AND(links_on,9&lt;=n_per),IF(circ_int,(g_oy)+(c_1/2+(s_0+8*s_r))*0.748511,CHOOSE(INDEX(lk_kind,9),(g_oy+eq_c2/2)+((s_0+8*s_r))*0.707107,(g_oy-eq_c2/2)+((s_0+8*s_r))*-0.608761,0,(eq_a2+eq_c2)+((s_0+8*s_r))*0.793353)),NA())</f>
        <v/>
      </c>
      <c r="CV22">
        <f>IF(AND(AND(links_on,9&lt;=n_per),INDEX(lk_kind,9)=1,19&lt;INDEX(lk_legs,9)),g_ox+IF(((19+0.5)*(4*IF(circ_int,0,eq_c1/2)+4*IF(circ_int,0,eq_c2/2)+2*PI()*(s_0+8*s_r+IF(circ_int,eq_c1/2,0)))/INDEX(lk_legs,9))&lt;(2*IF(circ_int,0,eq_c2/2)),IF(circ_int,0,eq_c1/2)+(s_0+8*s_r+IF(circ_int,eq_c1/2,0)),IF(((19+0.5)*(4*IF(circ_int,0,eq_c1/2)+4*IF(circ_int,0,eq_c2/2)+2*PI()*(s_0+8*s_r+IF(circ_int,eq_c1/2,0)))/INDEX(lk_legs,9))&lt;((2*IF(circ_int,0,eq_c2/2))+(PI()*(s_0+8*s_r+IF(circ_int,eq_c1/2,0))/2)),IF(circ_int,0,eq_c1/2)+(s_0+8*s_r+IF(circ_int,eq_c1/2,0))*COS((((19+0.5)*(4*IF(circ_int,0,eq_c1/2)+4*IF(circ_int,0,eq_c2/2)+2*PI()*(s_0+8*s_r+IF(circ_int,eq_c1/2,0)))/INDEX(lk_legs,9))-(2*IF(circ_int,0,eq_c2/2)))/(s_0+8*s_r+IF(circ_int,eq_c1/2,0))),IF(((19+0.5)*(4*IF(circ_int,0,eq_c1/2)+4*IF(circ_int,0,eq_c2/2)+2*PI()*(s_0+8*s_r+IF(circ_int,eq_c1/2,0)))/INDEX(lk_legs,9))&lt;(((2*IF(circ_int,0,eq_c2/2))+(PI()*(s_0+8*s_r+IF(circ_int,eq_c1/2,0))/2))+2*IF(circ_int,0,eq_c1/2)),IF(circ_int,0,eq_c1/2)-(((19+0.5)*(4*IF(circ_int,0,eq_c1/2)+4*IF(circ_int,0,eq_c2/2)+2*PI()*(s_0+8*s_r+IF(circ_int,eq_c1/2,0)))/INDEX(lk_legs,9))-((2*IF(circ_int,0,eq_c2/2))+(PI()*(s_0+8*s_r+IF(circ_int,eq_c1/2,0))/2))),IF(((19+0.5)*(4*IF(circ_int,0,eq_c1/2)+4*IF(circ_int,0,eq_c2/2)+2*PI()*(s_0+8*s_r+IF(circ_int,eq_c1/2,0)))/INDEX(lk_legs,9))&lt;((((2*IF(circ_int,0,eq_c2/2))+(PI()*(s_0+8*s_r+IF(circ_int,eq_c1/2,0))/2))+2*IF(circ_int,0,eq_c1/2))+(PI()*(s_0+8*s_r+IF(circ_int,eq_c1/2,0))/2)),-IF(circ_int,0,eq_c1/2)+(s_0+8*s_r+IF(circ_int,eq_c1/2,0))*COS(PI()/2+(((19+0.5)*(4*IF(circ_int,0,eq_c1/2)+4*IF(circ_int,0,eq_c2/2)+2*PI()*(s_0+8*s_r+IF(circ_int,eq_c1/2,0)))/INDEX(lk_legs,9))-(((2*IF(circ_int,0,eq_c2/2))+(PI()*(s_0+8*s_r+IF(circ_int,eq_c1/2,0))/2))+2*IF(circ_int,0,eq_c1/2)))/(s_0+8*s_r+IF(circ_int,eq_c1/2,0))),IF(((19+0.5)*(4*IF(circ_int,0,eq_c1/2)+4*IF(circ_int,0,eq_c2/2)+2*PI()*(s_0+8*s_r+IF(circ_int,eq_c1/2,0)))/INDEX(lk_legs,9))&lt;(((((2*IF(circ_int,0,eq_c2/2))+(PI()*(s_0+8*s_r+IF(circ_int,eq_c1/2,0))/2))+2*IF(circ_int,0,eq_c1/2))+(PI()*(s_0+8*s_r+IF(circ_int,eq_c1/2,0))/2))+2*IF(circ_int,0,eq_c2/2)),-IF(circ_int,0,eq_c1/2)-(s_0+8*s_r+IF(circ_int,eq_c1/2,0)),IF(((19+0.5)*(4*IF(circ_int,0,eq_c1/2)+4*IF(circ_int,0,eq_c2/2)+2*PI()*(s_0+8*s_r+IF(circ_int,eq_c1/2,0)))/INDEX(lk_legs,9))&lt;((((((2*IF(circ_int,0,eq_c2/2))+(PI()*(s_0+8*s_r+IF(circ_int,eq_c1/2,0))/2))+2*IF(circ_int,0,eq_c1/2))+(PI()*(s_0+8*s_r+IF(circ_int,eq_c1/2,0))/2))+2*IF(circ_int,0,eq_c2/2))+(PI()*(s_0+8*s_r+IF(circ_int,eq_c1/2,0))/2)),-IF(circ_int,0,eq_c1/2)+(s_0+8*s_r+IF(circ_int,eq_c1/2,0))*COS(PI()+(((19+0.5)*(4*IF(circ_int,0,eq_c1/2)+4*IF(circ_int,0,eq_c2/2)+2*PI()*(s_0+8*s_r+IF(circ_int,eq_c1/2,0)))/INDEX(lk_legs,9))-(((((2*IF(circ_int,0,eq_c2/2))+(PI()*(s_0+8*s_r+IF(circ_int,eq_c1/2,0))/2))+2*IF(circ_int,0,eq_c1/2))+(PI()*(s_0+8*s_r+IF(circ_int,eq_c1/2,0))/2))+2*IF(circ_int,0,eq_c2/2)))/(s_0+8*s_r+IF(circ_int,eq_c1/2,0))),IF(((19+0.5)*(4*IF(circ_int,0,eq_c1/2)+4*IF(circ_int,0,eq_c2/2)+2*PI()*(s_0+8*s_r+IF(circ_int,eq_c1/2,0)))/INDEX(lk_legs,9))&lt;(((((((2*IF(circ_int,0,eq_c2/2))+(PI()*(s_0+8*s_r+IF(circ_int,eq_c1/2,0))/2))+2*IF(circ_int,0,eq_c1/2))+(PI()*(s_0+8*s_r+IF(circ_int,eq_c1/2,0))/2))+2*IF(circ_int,0,eq_c2/2))+(PI()*(s_0+8*s_r+IF(circ_int,eq_c1/2,0))/2))+2*IF(circ_int,0,eq_c1/2)),-IF(circ_int,0,eq_c1/2)+(((19+0.5)*(4*IF(circ_int,0,eq_c1/2)+4*IF(circ_int,0,eq_c2/2)+2*PI()*(s_0+8*s_r+IF(circ_int,eq_c1/2,0)))/INDEX(lk_legs,9))-((((((2*IF(circ_int,0,eq_c2/2))+(PI()*(s_0+8*s_r+IF(circ_int,eq_c1/2,0))/2))+2*IF(circ_int,0,eq_c1/2))+(PI()*(s_0+8*s_r+IF(circ_int,eq_c1/2,0))/2))+2*IF(circ_int,0,eq_c2/2))+(PI()*(s_0+8*s_r+IF(circ_int,eq_c1/2,0))/2))),IF(circ_int,0,eq_c1/2)+(s_0+8*s_r+IF(circ_int,eq_c1/2,0))*COS(3*PI()/2+(((19+0.5)*(4*IF(circ_int,0,eq_c1/2)+4*IF(circ_int,0,eq_c2/2)+2*PI()*(s_0+8*s_r+IF(circ_int,eq_c1/2,0)))/INDEX(lk_legs,9))-(((((((2*IF(circ_int,0,eq_c2/2))+(PI()*(s_0+8*s_r+IF(circ_int,eq_c1/2,0))/2))+2*IF(circ_int,0,eq_c1/2))+(PI()*(s_0+8*s_r+IF(circ_int,eq_c1/2,0))/2))+2*IF(circ_int,0,eq_c2/2))+(PI()*(s_0+8*s_r+IF(circ_int,eq_c1/2,0))/2))+2*IF(circ_int,0,eq_c1/2)))/(s_0+8*s_r+IF(circ_int,eq_c1/2,0)))))))))),NA())</f>
        <v/>
      </c>
      <c r="CW22">
        <f>IF(AND(AND(links_on,9&lt;=n_per),INDEX(lk_kind,9)=1,19&lt;INDEX(lk_legs,9)),g_oy+IF(((19+0.5)*(4*IF(circ_int,0,eq_c1/2)+4*IF(circ_int,0,eq_c2/2)+2*PI()*(s_0+8*s_r+IF(circ_int,eq_c1/2,0)))/INDEX(lk_legs,9))&lt;(2*IF(circ_int,0,eq_c2/2)),-IF(circ_int,0,eq_c2/2)+((19+0.5)*(4*IF(circ_int,0,eq_c1/2)+4*IF(circ_int,0,eq_c2/2)+2*PI()*(s_0+8*s_r+IF(circ_int,eq_c1/2,0)))/INDEX(lk_legs,9)),IF(((19+0.5)*(4*IF(circ_int,0,eq_c1/2)+4*IF(circ_int,0,eq_c2/2)+2*PI()*(s_0+8*s_r+IF(circ_int,eq_c1/2,0)))/INDEX(lk_legs,9))&lt;((2*IF(circ_int,0,eq_c2/2))+(PI()*(s_0+8*s_r+IF(circ_int,eq_c1/2,0))/2)),IF(circ_int,0,eq_c2/2)+(s_0+8*s_r+IF(circ_int,eq_c1/2,0))*SIN((((19+0.5)*(4*IF(circ_int,0,eq_c1/2)+4*IF(circ_int,0,eq_c2/2)+2*PI()*(s_0+8*s_r+IF(circ_int,eq_c1/2,0)))/INDEX(lk_legs,9))-(2*IF(circ_int,0,eq_c2/2)))/(s_0+8*s_r+IF(circ_int,eq_c1/2,0))),IF(((19+0.5)*(4*IF(circ_int,0,eq_c1/2)+4*IF(circ_int,0,eq_c2/2)+2*PI()*(s_0+8*s_r+IF(circ_int,eq_c1/2,0)))/INDEX(lk_legs,9))&lt;(((2*IF(circ_int,0,eq_c2/2))+(PI()*(s_0+8*s_r+IF(circ_int,eq_c1/2,0))/2))+2*IF(circ_int,0,eq_c1/2)),IF(circ_int,0,eq_c2/2)+(s_0+8*s_r+IF(circ_int,eq_c1/2,0)),IF(((19+0.5)*(4*IF(circ_int,0,eq_c1/2)+4*IF(circ_int,0,eq_c2/2)+2*PI()*(s_0+8*s_r+IF(circ_int,eq_c1/2,0)))/INDEX(lk_legs,9))&lt;((((2*IF(circ_int,0,eq_c2/2))+(PI()*(s_0+8*s_r+IF(circ_int,eq_c1/2,0))/2))+2*IF(circ_int,0,eq_c1/2))+(PI()*(s_0+8*s_r+IF(circ_int,eq_c1/2,0))/2)),IF(circ_int,0,eq_c2/2)+(s_0+8*s_r+IF(circ_int,eq_c1/2,0))*SIN(PI()/2+(((19+0.5)*(4*IF(circ_int,0,eq_c1/2)+4*IF(circ_int,0,eq_c2/2)+2*PI()*(s_0+8*s_r+IF(circ_int,eq_c1/2,0)))/INDEX(lk_legs,9))-(((2*IF(circ_int,0,eq_c2/2))+(PI()*(s_0+8*s_r+IF(circ_int,eq_c1/2,0))/2))+2*IF(circ_int,0,eq_c1/2)))/(s_0+8*s_r+IF(circ_int,eq_c1/2,0))),IF(((19+0.5)*(4*IF(circ_int,0,eq_c1/2)+4*IF(circ_int,0,eq_c2/2)+2*PI()*(s_0+8*s_r+IF(circ_int,eq_c1/2,0)))/INDEX(lk_legs,9))&lt;(((((2*IF(circ_int,0,eq_c2/2))+(PI()*(s_0+8*s_r+IF(circ_int,eq_c1/2,0))/2))+2*IF(circ_int,0,eq_c1/2))+(PI()*(s_0+8*s_r+IF(circ_int,eq_c1/2,0))/2))+2*IF(circ_int,0,eq_c2/2)),IF(circ_int,0,eq_c2/2)-(((19+0.5)*(4*IF(circ_int,0,eq_c1/2)+4*IF(circ_int,0,eq_c2/2)+2*PI()*(s_0+8*s_r+IF(circ_int,eq_c1/2,0)))/INDEX(lk_legs,9))-((((2*IF(circ_int,0,eq_c2/2))+(PI()*(s_0+8*s_r+IF(circ_int,eq_c1/2,0))/2))+2*IF(circ_int,0,eq_c1/2))+(PI()*(s_0+8*s_r+IF(circ_int,eq_c1/2,0))/2))),IF(((19+0.5)*(4*IF(circ_int,0,eq_c1/2)+4*IF(circ_int,0,eq_c2/2)+2*PI()*(s_0+8*s_r+IF(circ_int,eq_c1/2,0)))/INDEX(lk_legs,9))&lt;((((((2*IF(circ_int,0,eq_c2/2))+(PI()*(s_0+8*s_r+IF(circ_int,eq_c1/2,0))/2))+2*IF(circ_int,0,eq_c1/2))+(PI()*(s_0+8*s_r+IF(circ_int,eq_c1/2,0))/2))+2*IF(circ_int,0,eq_c2/2))+(PI()*(s_0+8*s_r+IF(circ_int,eq_c1/2,0))/2)),-IF(circ_int,0,eq_c2/2)+(s_0+8*s_r+IF(circ_int,eq_c1/2,0))*SIN(PI()+(((19+0.5)*(4*IF(circ_int,0,eq_c1/2)+4*IF(circ_int,0,eq_c2/2)+2*PI()*(s_0+8*s_r+IF(circ_int,eq_c1/2,0)))/INDEX(lk_legs,9))-(((((2*IF(circ_int,0,eq_c2/2))+(PI()*(s_0+8*s_r+IF(circ_int,eq_c1/2,0))/2))+2*IF(circ_int,0,eq_c1/2))+(PI()*(s_0+8*s_r+IF(circ_int,eq_c1/2,0))/2))+2*IF(circ_int,0,eq_c2/2)))/(s_0+8*s_r+IF(circ_int,eq_c1/2,0))),IF(((19+0.5)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(19+0.5)*(4*IF(circ_int,0,eq_c1/2)+4*IF(circ_int,0,eq_c2/2)+2*PI()*(s_0+8*s_r+IF(circ_int,eq_c1/2,0)))/INDEX(lk_legs,9))-(((((((2*IF(circ_int,0,eq_c2/2))+(PI()*(s_0+8*s_r+IF(circ_int,eq_c1/2,0))/2))+2*IF(circ_int,0,eq_c1/2))+(PI()*(s_0+8*s_r+IF(circ_int,eq_c1/2,0))/2))+2*IF(circ_int,0,eq_c2/2))+(PI()*(s_0+8*s_r+IF(circ_int,eq_c1/2,0))/2))+2*IF(circ_int,0,eq_c1/2)))/(s_0+8*s_r+IF(circ_int,eq_c1/2,0)))))))))),NA())</f>
        <v/>
      </c>
      <c r="CY22">
        <f>IF(AND(links_on,10&lt;=n_per),IF(circ_int,(g_ox)+(c_1/2+(s_0+9*s_r))*-0.663123,CHOOSE(INDEX(lk_kind,10),(g_ox-eq_c1/2)+((s_0+9*s_r))*-0.707107,(eq_a1+eq_c1)+((s_0+9*s_r))*0.793353,eq_a1+eq_c1+(s_0+9*s_r),(eq_a1+eq_c1)+((s_0+9*s_r))*0.608761)),NA())</f>
        <v/>
      </c>
      <c r="CZ22">
        <f>IF(AND(links_on,10&lt;=n_per),IF(circ_int,(g_oy)+(c_1/2+(s_0+9*s_r))*0.748511,CHOOSE(INDEX(lk_kind,10),(g_oy+eq_c2/2)+((s_0+9*s_r))*0.707107,(g_oy-eq_c2/2)+((s_0+9*s_r))*-0.608761,0,(eq_a2+eq_c2)+((s_0+9*s_r))*0.793353)),NA())</f>
        <v/>
      </c>
      <c r="DB22">
        <f>IF(AND(AND(links_on,10&lt;=n_per),INDEX(lk_kind,10)=1,19&lt;INDEX(lk_legs,10)),g_ox+IF(((19+0.5)*(4*IF(circ_int,0,eq_c1/2)+4*IF(circ_int,0,eq_c2/2)+2*PI()*(s_0+9*s_r+IF(circ_int,eq_c1/2,0)))/INDEX(lk_legs,10))&lt;(2*IF(circ_int,0,eq_c2/2)),IF(circ_int,0,eq_c1/2)+(s_0+9*s_r+IF(circ_int,eq_c1/2,0)),IF(((19+0.5)*(4*IF(circ_int,0,eq_c1/2)+4*IF(circ_int,0,eq_c2/2)+2*PI()*(s_0+9*s_r+IF(circ_int,eq_c1/2,0)))/INDEX(lk_legs,10))&lt;((2*IF(circ_int,0,eq_c2/2))+(PI()*(s_0+9*s_r+IF(circ_int,eq_c1/2,0))/2)),IF(circ_int,0,eq_c1/2)+(s_0+9*s_r+IF(circ_int,eq_c1/2,0))*COS((((19+0.5)*(4*IF(circ_int,0,eq_c1/2)+4*IF(circ_int,0,eq_c2/2)+2*PI()*(s_0+9*s_r+IF(circ_int,eq_c1/2,0)))/INDEX(lk_legs,10))-(2*IF(circ_int,0,eq_c2/2)))/(s_0+9*s_r+IF(circ_int,eq_c1/2,0))),IF(((19+0.5)*(4*IF(circ_int,0,eq_c1/2)+4*IF(circ_int,0,eq_c2/2)+2*PI()*(s_0+9*s_r+IF(circ_int,eq_c1/2,0)))/INDEX(lk_legs,10))&lt;(((2*IF(circ_int,0,eq_c2/2))+(PI()*(s_0+9*s_r+IF(circ_int,eq_c1/2,0))/2))+2*IF(circ_int,0,eq_c1/2)),IF(circ_int,0,eq_c1/2)-(((19+0.5)*(4*IF(circ_int,0,eq_c1/2)+4*IF(circ_int,0,eq_c2/2)+2*PI()*(s_0+9*s_r+IF(circ_int,eq_c1/2,0)))/INDEX(lk_legs,10))-((2*IF(circ_int,0,eq_c2/2))+(PI()*(s_0+9*s_r+IF(circ_int,eq_c1/2,0))/2))),IF(((19+0.5)*(4*IF(circ_int,0,eq_c1/2)+4*IF(circ_int,0,eq_c2/2)+2*PI()*(s_0+9*s_r+IF(circ_int,eq_c1/2,0)))/INDEX(lk_legs,10))&lt;((((2*IF(circ_int,0,eq_c2/2))+(PI()*(s_0+9*s_r+IF(circ_int,eq_c1/2,0))/2))+2*IF(circ_int,0,eq_c1/2))+(PI()*(s_0+9*s_r+IF(circ_int,eq_c1/2,0))/2)),-IF(circ_int,0,eq_c1/2)+(s_0+9*s_r+IF(circ_int,eq_c1/2,0))*COS(PI()/2+(((19+0.5)*(4*IF(circ_int,0,eq_c1/2)+4*IF(circ_int,0,eq_c2/2)+2*PI()*(s_0+9*s_r+IF(circ_int,eq_c1/2,0)))/INDEX(lk_legs,10))-(((2*IF(circ_int,0,eq_c2/2))+(PI()*(s_0+9*s_r+IF(circ_int,eq_c1/2,0))/2))+2*IF(circ_int,0,eq_c1/2)))/(s_0+9*s_r+IF(circ_int,eq_c1/2,0))),IF(((19+0.5)*(4*IF(circ_int,0,eq_c1/2)+4*IF(circ_int,0,eq_c2/2)+2*PI()*(s_0+9*s_r+IF(circ_int,eq_c1/2,0)))/INDEX(lk_legs,10))&lt;(((((2*IF(circ_int,0,eq_c2/2))+(PI()*(s_0+9*s_r+IF(circ_int,eq_c1/2,0))/2))+2*IF(circ_int,0,eq_c1/2))+(PI()*(s_0+9*s_r+IF(circ_int,eq_c1/2,0))/2))+2*IF(circ_int,0,eq_c2/2)),-IF(circ_int,0,eq_c1/2)-(s_0+9*s_r+IF(circ_int,eq_c1/2,0)),IF(((19+0.5)*(4*IF(circ_int,0,eq_c1/2)+4*IF(circ_int,0,eq_c2/2)+2*PI()*(s_0+9*s_r+IF(circ_int,eq_c1/2,0)))/INDEX(lk_legs,10))&lt;((((((2*IF(circ_int,0,eq_c2/2))+(PI()*(s_0+9*s_r+IF(circ_int,eq_c1/2,0))/2))+2*IF(circ_int,0,eq_c1/2))+(PI()*(s_0+9*s_r+IF(circ_int,eq_c1/2,0))/2))+2*IF(circ_int,0,eq_c2/2))+(PI()*(s_0+9*s_r+IF(circ_int,eq_c1/2,0))/2)),-IF(circ_int,0,eq_c1/2)+(s_0+9*s_r+IF(circ_int,eq_c1/2,0))*COS(PI()+(((19+0.5)*(4*IF(circ_int,0,eq_c1/2)+4*IF(circ_int,0,eq_c2/2)+2*PI()*(s_0+9*s_r+IF(circ_int,eq_c1/2,0)))/INDEX(lk_legs,10))-(((((2*IF(circ_int,0,eq_c2/2))+(PI()*(s_0+9*s_r+IF(circ_int,eq_c1/2,0))/2))+2*IF(circ_int,0,eq_c1/2))+(PI()*(s_0+9*s_r+IF(circ_int,eq_c1/2,0))/2))+2*IF(circ_int,0,eq_c2/2)))/(s_0+9*s_r+IF(circ_int,eq_c1/2,0))),IF(((19+0.5)*(4*IF(circ_int,0,eq_c1/2)+4*IF(circ_int,0,eq_c2/2)+2*PI()*(s_0+9*s_r+IF(circ_int,eq_c1/2,0)))/INDEX(lk_legs,10))&lt;(((((((2*IF(circ_int,0,eq_c2/2))+(PI()*(s_0+9*s_r+IF(circ_int,eq_c1/2,0))/2))+2*IF(circ_int,0,eq_c1/2))+(PI()*(s_0+9*s_r+IF(circ_int,eq_c1/2,0))/2))+2*IF(circ_int,0,eq_c2/2))+(PI()*(s_0+9*s_r+IF(circ_int,eq_c1/2,0))/2))+2*IF(circ_int,0,eq_c1/2)),-IF(circ_int,0,eq_c1/2)+(((19+0.5)*(4*IF(circ_int,0,eq_c1/2)+4*IF(circ_int,0,eq_c2/2)+2*PI()*(s_0+9*s_r+IF(circ_int,eq_c1/2,0)))/INDEX(lk_legs,10))-((((((2*IF(circ_int,0,eq_c2/2))+(PI()*(s_0+9*s_r+IF(circ_int,eq_c1/2,0))/2))+2*IF(circ_int,0,eq_c1/2))+(PI()*(s_0+9*s_r+IF(circ_int,eq_c1/2,0))/2))+2*IF(circ_int,0,eq_c2/2))+(PI()*(s_0+9*s_r+IF(circ_int,eq_c1/2,0))/2))),IF(circ_int,0,eq_c1/2)+(s_0+9*s_r+IF(circ_int,eq_c1/2,0))*COS(3*PI()/2+(((19+0.5)*(4*IF(circ_int,0,eq_c1/2)+4*IF(circ_int,0,eq_c2/2)+2*PI()*(s_0+9*s_r+IF(circ_int,eq_c1/2,0)))/INDEX(lk_legs,10))-(((((((2*IF(circ_int,0,eq_c2/2))+(PI()*(s_0+9*s_r+IF(circ_int,eq_c1/2,0))/2))+2*IF(circ_int,0,eq_c1/2))+(PI()*(s_0+9*s_r+IF(circ_int,eq_c1/2,0))/2))+2*IF(circ_int,0,eq_c2/2))+(PI()*(s_0+9*s_r+IF(circ_int,eq_c1/2,0))/2))+2*IF(circ_int,0,eq_c1/2)))/(s_0+9*s_r+IF(circ_int,eq_c1/2,0)))))))))),NA())</f>
        <v/>
      </c>
      <c r="DC22">
        <f>IF(AND(AND(links_on,10&lt;=n_per),INDEX(lk_kind,10)=1,19&lt;INDEX(lk_legs,10)),g_oy+IF(((19+0.5)*(4*IF(circ_int,0,eq_c1/2)+4*IF(circ_int,0,eq_c2/2)+2*PI()*(s_0+9*s_r+IF(circ_int,eq_c1/2,0)))/INDEX(lk_legs,10))&lt;(2*IF(circ_int,0,eq_c2/2)),-IF(circ_int,0,eq_c2/2)+((19+0.5)*(4*IF(circ_int,0,eq_c1/2)+4*IF(circ_int,0,eq_c2/2)+2*PI()*(s_0+9*s_r+IF(circ_int,eq_c1/2,0)))/INDEX(lk_legs,10)),IF(((19+0.5)*(4*IF(circ_int,0,eq_c1/2)+4*IF(circ_int,0,eq_c2/2)+2*PI()*(s_0+9*s_r+IF(circ_int,eq_c1/2,0)))/INDEX(lk_legs,10))&lt;((2*IF(circ_int,0,eq_c2/2))+(PI()*(s_0+9*s_r+IF(circ_int,eq_c1/2,0))/2)),IF(circ_int,0,eq_c2/2)+(s_0+9*s_r+IF(circ_int,eq_c1/2,0))*SIN((((19+0.5)*(4*IF(circ_int,0,eq_c1/2)+4*IF(circ_int,0,eq_c2/2)+2*PI()*(s_0+9*s_r+IF(circ_int,eq_c1/2,0)))/INDEX(lk_legs,10))-(2*IF(circ_int,0,eq_c2/2)))/(s_0+9*s_r+IF(circ_int,eq_c1/2,0))),IF(((19+0.5)*(4*IF(circ_int,0,eq_c1/2)+4*IF(circ_int,0,eq_c2/2)+2*PI()*(s_0+9*s_r+IF(circ_int,eq_c1/2,0)))/INDEX(lk_legs,10))&lt;(((2*IF(circ_int,0,eq_c2/2))+(PI()*(s_0+9*s_r+IF(circ_int,eq_c1/2,0))/2))+2*IF(circ_int,0,eq_c1/2)),IF(circ_int,0,eq_c2/2)+(s_0+9*s_r+IF(circ_int,eq_c1/2,0)),IF(((19+0.5)*(4*IF(circ_int,0,eq_c1/2)+4*IF(circ_int,0,eq_c2/2)+2*PI()*(s_0+9*s_r+IF(circ_int,eq_c1/2,0)))/INDEX(lk_legs,10))&lt;((((2*IF(circ_int,0,eq_c2/2))+(PI()*(s_0+9*s_r+IF(circ_int,eq_c1/2,0))/2))+2*IF(circ_int,0,eq_c1/2))+(PI()*(s_0+9*s_r+IF(circ_int,eq_c1/2,0))/2)),IF(circ_int,0,eq_c2/2)+(s_0+9*s_r+IF(circ_int,eq_c1/2,0))*SIN(PI()/2+(((19+0.5)*(4*IF(circ_int,0,eq_c1/2)+4*IF(circ_int,0,eq_c2/2)+2*PI()*(s_0+9*s_r+IF(circ_int,eq_c1/2,0)))/INDEX(lk_legs,10))-(((2*IF(circ_int,0,eq_c2/2))+(PI()*(s_0+9*s_r+IF(circ_int,eq_c1/2,0))/2))+2*IF(circ_int,0,eq_c1/2)))/(s_0+9*s_r+IF(circ_int,eq_c1/2,0))),IF(((19+0.5)*(4*IF(circ_int,0,eq_c1/2)+4*IF(circ_int,0,eq_c2/2)+2*PI()*(s_0+9*s_r+IF(circ_int,eq_c1/2,0)))/INDEX(lk_legs,10))&lt;(((((2*IF(circ_int,0,eq_c2/2))+(PI()*(s_0+9*s_r+IF(circ_int,eq_c1/2,0))/2))+2*IF(circ_int,0,eq_c1/2))+(PI()*(s_0+9*s_r+IF(circ_int,eq_c1/2,0))/2))+2*IF(circ_int,0,eq_c2/2)),IF(circ_int,0,eq_c2/2)-(((19+0.5)*(4*IF(circ_int,0,eq_c1/2)+4*IF(circ_int,0,eq_c2/2)+2*PI()*(s_0+9*s_r+IF(circ_int,eq_c1/2,0)))/INDEX(lk_legs,10))-((((2*IF(circ_int,0,eq_c2/2))+(PI()*(s_0+9*s_r+IF(circ_int,eq_c1/2,0))/2))+2*IF(circ_int,0,eq_c1/2))+(PI()*(s_0+9*s_r+IF(circ_int,eq_c1/2,0))/2))),IF(((19+0.5)*(4*IF(circ_int,0,eq_c1/2)+4*IF(circ_int,0,eq_c2/2)+2*PI()*(s_0+9*s_r+IF(circ_int,eq_c1/2,0)))/INDEX(lk_legs,10))&lt;((((((2*IF(circ_int,0,eq_c2/2))+(PI()*(s_0+9*s_r+IF(circ_int,eq_c1/2,0))/2))+2*IF(circ_int,0,eq_c1/2))+(PI()*(s_0+9*s_r+IF(circ_int,eq_c1/2,0))/2))+2*IF(circ_int,0,eq_c2/2))+(PI()*(s_0+9*s_r+IF(circ_int,eq_c1/2,0))/2)),-IF(circ_int,0,eq_c2/2)+(s_0+9*s_r+IF(circ_int,eq_c1/2,0))*SIN(PI()+(((19+0.5)*(4*IF(circ_int,0,eq_c1/2)+4*IF(circ_int,0,eq_c2/2)+2*PI()*(s_0+9*s_r+IF(circ_int,eq_c1/2,0)))/INDEX(lk_legs,10))-(((((2*IF(circ_int,0,eq_c2/2))+(PI()*(s_0+9*s_r+IF(circ_int,eq_c1/2,0))/2))+2*IF(circ_int,0,eq_c1/2))+(PI()*(s_0+9*s_r+IF(circ_int,eq_c1/2,0))/2))+2*IF(circ_int,0,eq_c2/2)))/(s_0+9*s_r+IF(circ_int,eq_c1/2,0))),IF(((19+0.5)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(19+0.5)*(4*IF(circ_int,0,eq_c1/2)+4*IF(circ_int,0,eq_c2/2)+2*PI()*(s_0+9*s_r+IF(circ_int,eq_c1/2,0)))/INDEX(lk_legs,10))-(((((((2*IF(circ_int,0,eq_c2/2))+(PI()*(s_0+9*s_r+IF(circ_int,eq_c1/2,0))/2))+2*IF(circ_int,0,eq_c1/2))+(PI()*(s_0+9*s_r+IF(circ_int,eq_c1/2,0))/2))+2*IF(circ_int,0,eq_c2/2))+(PI()*(s_0+9*s_r+IF(circ_int,eq_c1/2,0))/2))+2*IF(circ_int,0,eq_c1/2)))/(s_0+9*s_r+IF(circ_int,eq_c1/2,0)))))))))),NA())</f>
        <v/>
      </c>
      <c r="DE22">
        <f>IF(AND(links_on,11&lt;=n_per),IF(circ_int,(g_ox)+(c_1/2+(s_0+10*s_r))*-0.663123,CHOOSE(INDEX(lk_kind,11),(g_ox-eq_c1/2)+((s_0+10*s_r))*-0.707107,(eq_a1+eq_c1)+((s_0+10*s_r))*0.793353,eq_a1+eq_c1+(s_0+10*s_r),(eq_a1+eq_c1)+((s_0+10*s_r))*0.608761)),NA())</f>
        <v/>
      </c>
      <c r="DF22">
        <f>IF(AND(links_on,11&lt;=n_per),IF(circ_int,(g_oy)+(c_1/2+(s_0+10*s_r))*0.748511,CHOOSE(INDEX(lk_kind,11),(g_oy+eq_c2/2)+((s_0+10*s_r))*0.707107,(g_oy-eq_c2/2)+((s_0+10*s_r))*-0.608761,0,(eq_a2+eq_c2)+((s_0+10*s_r))*0.793353)),NA())</f>
        <v/>
      </c>
      <c r="DH22">
        <f>IF(AND(AND(links_on,11&lt;=n_per),INDEX(lk_kind,11)=1,19&lt;INDEX(lk_legs,11)),g_ox+IF(((19+0.5)*(4*IF(circ_int,0,eq_c1/2)+4*IF(circ_int,0,eq_c2/2)+2*PI()*(s_0+10*s_r+IF(circ_int,eq_c1/2,0)))/INDEX(lk_legs,11))&lt;(2*IF(circ_int,0,eq_c2/2)),IF(circ_int,0,eq_c1/2)+(s_0+10*s_r+IF(circ_int,eq_c1/2,0)),IF(((19+0.5)*(4*IF(circ_int,0,eq_c1/2)+4*IF(circ_int,0,eq_c2/2)+2*PI()*(s_0+10*s_r+IF(circ_int,eq_c1/2,0)))/INDEX(lk_legs,11))&lt;((2*IF(circ_int,0,eq_c2/2))+(PI()*(s_0+10*s_r+IF(circ_int,eq_c1/2,0))/2)),IF(circ_int,0,eq_c1/2)+(s_0+10*s_r+IF(circ_int,eq_c1/2,0))*COS((((19+0.5)*(4*IF(circ_int,0,eq_c1/2)+4*IF(circ_int,0,eq_c2/2)+2*PI()*(s_0+10*s_r+IF(circ_int,eq_c1/2,0)))/INDEX(lk_legs,11))-(2*IF(circ_int,0,eq_c2/2)))/(s_0+10*s_r+IF(circ_int,eq_c1/2,0))),IF(((19+0.5)*(4*IF(circ_int,0,eq_c1/2)+4*IF(circ_int,0,eq_c2/2)+2*PI()*(s_0+10*s_r+IF(circ_int,eq_c1/2,0)))/INDEX(lk_legs,11))&lt;(((2*IF(circ_int,0,eq_c2/2))+(PI()*(s_0+10*s_r+IF(circ_int,eq_c1/2,0))/2))+2*IF(circ_int,0,eq_c1/2)),IF(circ_int,0,eq_c1/2)-(((19+0.5)*(4*IF(circ_int,0,eq_c1/2)+4*IF(circ_int,0,eq_c2/2)+2*PI()*(s_0+10*s_r+IF(circ_int,eq_c1/2,0)))/INDEX(lk_legs,11))-((2*IF(circ_int,0,eq_c2/2))+(PI()*(s_0+10*s_r+IF(circ_int,eq_c1/2,0))/2))),IF(((19+0.5)*(4*IF(circ_int,0,eq_c1/2)+4*IF(circ_int,0,eq_c2/2)+2*PI()*(s_0+10*s_r+IF(circ_int,eq_c1/2,0)))/INDEX(lk_legs,11))&lt;((((2*IF(circ_int,0,eq_c2/2))+(PI()*(s_0+10*s_r+IF(circ_int,eq_c1/2,0))/2))+2*IF(circ_int,0,eq_c1/2))+(PI()*(s_0+10*s_r+IF(circ_int,eq_c1/2,0))/2)),-IF(circ_int,0,eq_c1/2)+(s_0+10*s_r+IF(circ_int,eq_c1/2,0))*COS(PI()/2+(((19+0.5)*(4*IF(circ_int,0,eq_c1/2)+4*IF(circ_int,0,eq_c2/2)+2*PI()*(s_0+10*s_r+IF(circ_int,eq_c1/2,0)))/INDEX(lk_legs,11))-(((2*IF(circ_int,0,eq_c2/2))+(PI()*(s_0+10*s_r+IF(circ_int,eq_c1/2,0))/2))+2*IF(circ_int,0,eq_c1/2)))/(s_0+10*s_r+IF(circ_int,eq_c1/2,0))),IF(((19+0.5)*(4*IF(circ_int,0,eq_c1/2)+4*IF(circ_int,0,eq_c2/2)+2*PI()*(s_0+10*s_r+IF(circ_int,eq_c1/2,0)))/INDEX(lk_legs,11))&lt;(((((2*IF(circ_int,0,eq_c2/2))+(PI()*(s_0+10*s_r+IF(circ_int,eq_c1/2,0))/2))+2*IF(circ_int,0,eq_c1/2))+(PI()*(s_0+10*s_r+IF(circ_int,eq_c1/2,0))/2))+2*IF(circ_int,0,eq_c2/2)),-IF(circ_int,0,eq_c1/2)-(s_0+10*s_r+IF(circ_int,eq_c1/2,0)),IF(((19+0.5)*(4*IF(circ_int,0,eq_c1/2)+4*IF(circ_int,0,eq_c2/2)+2*PI()*(s_0+10*s_r+IF(circ_int,eq_c1/2,0)))/INDEX(lk_legs,11))&lt;((((((2*IF(circ_int,0,eq_c2/2))+(PI()*(s_0+10*s_r+IF(circ_int,eq_c1/2,0))/2))+2*IF(circ_int,0,eq_c1/2))+(PI()*(s_0+10*s_r+IF(circ_int,eq_c1/2,0))/2))+2*IF(circ_int,0,eq_c2/2))+(PI()*(s_0+10*s_r+IF(circ_int,eq_c1/2,0))/2)),-IF(circ_int,0,eq_c1/2)+(s_0+10*s_r+IF(circ_int,eq_c1/2,0))*COS(PI()+(((19+0.5)*(4*IF(circ_int,0,eq_c1/2)+4*IF(circ_int,0,eq_c2/2)+2*PI()*(s_0+10*s_r+IF(circ_int,eq_c1/2,0)))/INDEX(lk_legs,11))-(((((2*IF(circ_int,0,eq_c2/2))+(PI()*(s_0+10*s_r+IF(circ_int,eq_c1/2,0))/2))+2*IF(circ_int,0,eq_c1/2))+(PI()*(s_0+10*s_r+IF(circ_int,eq_c1/2,0))/2))+2*IF(circ_int,0,eq_c2/2)))/(s_0+10*s_r+IF(circ_int,eq_c1/2,0))),IF(((19+0.5)*(4*IF(circ_int,0,eq_c1/2)+4*IF(circ_int,0,eq_c2/2)+2*PI()*(s_0+10*s_r+IF(circ_int,eq_c1/2,0)))/INDEX(lk_legs,11))&lt;(((((((2*IF(circ_int,0,eq_c2/2))+(PI()*(s_0+10*s_r+IF(circ_int,eq_c1/2,0))/2))+2*IF(circ_int,0,eq_c1/2))+(PI()*(s_0+10*s_r+IF(circ_int,eq_c1/2,0))/2))+2*IF(circ_int,0,eq_c2/2))+(PI()*(s_0+10*s_r+IF(circ_int,eq_c1/2,0))/2))+2*IF(circ_int,0,eq_c1/2)),-IF(circ_int,0,eq_c1/2)+(((19+0.5)*(4*IF(circ_int,0,eq_c1/2)+4*IF(circ_int,0,eq_c2/2)+2*PI()*(s_0+10*s_r+IF(circ_int,eq_c1/2,0)))/INDEX(lk_legs,11))-((((((2*IF(circ_int,0,eq_c2/2))+(PI()*(s_0+10*s_r+IF(circ_int,eq_c1/2,0))/2))+2*IF(circ_int,0,eq_c1/2))+(PI()*(s_0+10*s_r+IF(circ_int,eq_c1/2,0))/2))+2*IF(circ_int,0,eq_c2/2))+(PI()*(s_0+10*s_r+IF(circ_int,eq_c1/2,0))/2))),IF(circ_int,0,eq_c1/2)+(s_0+10*s_r+IF(circ_int,eq_c1/2,0))*COS(3*PI()/2+(((19+0.5)*(4*IF(circ_int,0,eq_c1/2)+4*IF(circ_int,0,eq_c2/2)+2*PI()*(s_0+10*s_r+IF(circ_int,eq_c1/2,0)))/INDEX(lk_legs,11))-(((((((2*IF(circ_int,0,eq_c2/2))+(PI()*(s_0+10*s_r+IF(circ_int,eq_c1/2,0))/2))+2*IF(circ_int,0,eq_c1/2))+(PI()*(s_0+10*s_r+IF(circ_int,eq_c1/2,0))/2))+2*IF(circ_int,0,eq_c2/2))+(PI()*(s_0+10*s_r+IF(circ_int,eq_c1/2,0))/2))+2*IF(circ_int,0,eq_c1/2)))/(s_0+10*s_r+IF(circ_int,eq_c1/2,0)))))))))),NA())</f>
        <v/>
      </c>
      <c r="DI22">
        <f>IF(AND(AND(links_on,11&lt;=n_per),INDEX(lk_kind,11)=1,19&lt;INDEX(lk_legs,11)),g_oy+IF(((19+0.5)*(4*IF(circ_int,0,eq_c1/2)+4*IF(circ_int,0,eq_c2/2)+2*PI()*(s_0+10*s_r+IF(circ_int,eq_c1/2,0)))/INDEX(lk_legs,11))&lt;(2*IF(circ_int,0,eq_c2/2)),-IF(circ_int,0,eq_c2/2)+((19+0.5)*(4*IF(circ_int,0,eq_c1/2)+4*IF(circ_int,0,eq_c2/2)+2*PI()*(s_0+10*s_r+IF(circ_int,eq_c1/2,0)))/INDEX(lk_legs,11)),IF(((19+0.5)*(4*IF(circ_int,0,eq_c1/2)+4*IF(circ_int,0,eq_c2/2)+2*PI()*(s_0+10*s_r+IF(circ_int,eq_c1/2,0)))/INDEX(lk_legs,11))&lt;((2*IF(circ_int,0,eq_c2/2))+(PI()*(s_0+10*s_r+IF(circ_int,eq_c1/2,0))/2)),IF(circ_int,0,eq_c2/2)+(s_0+10*s_r+IF(circ_int,eq_c1/2,0))*SIN((((19+0.5)*(4*IF(circ_int,0,eq_c1/2)+4*IF(circ_int,0,eq_c2/2)+2*PI()*(s_0+10*s_r+IF(circ_int,eq_c1/2,0)))/INDEX(lk_legs,11))-(2*IF(circ_int,0,eq_c2/2)))/(s_0+10*s_r+IF(circ_int,eq_c1/2,0))),IF(((19+0.5)*(4*IF(circ_int,0,eq_c1/2)+4*IF(circ_int,0,eq_c2/2)+2*PI()*(s_0+10*s_r+IF(circ_int,eq_c1/2,0)))/INDEX(lk_legs,11))&lt;(((2*IF(circ_int,0,eq_c2/2))+(PI()*(s_0+10*s_r+IF(circ_int,eq_c1/2,0))/2))+2*IF(circ_int,0,eq_c1/2)),IF(circ_int,0,eq_c2/2)+(s_0+10*s_r+IF(circ_int,eq_c1/2,0)),IF(((19+0.5)*(4*IF(circ_int,0,eq_c1/2)+4*IF(circ_int,0,eq_c2/2)+2*PI()*(s_0+10*s_r+IF(circ_int,eq_c1/2,0)))/INDEX(lk_legs,11))&lt;((((2*IF(circ_int,0,eq_c2/2))+(PI()*(s_0+10*s_r+IF(circ_int,eq_c1/2,0))/2))+2*IF(circ_int,0,eq_c1/2))+(PI()*(s_0+10*s_r+IF(circ_int,eq_c1/2,0))/2)),IF(circ_int,0,eq_c2/2)+(s_0+10*s_r+IF(circ_int,eq_c1/2,0))*SIN(PI()/2+(((19+0.5)*(4*IF(circ_int,0,eq_c1/2)+4*IF(circ_int,0,eq_c2/2)+2*PI()*(s_0+10*s_r+IF(circ_int,eq_c1/2,0)))/INDEX(lk_legs,11))-(((2*IF(circ_int,0,eq_c2/2))+(PI()*(s_0+10*s_r+IF(circ_int,eq_c1/2,0))/2))+2*IF(circ_int,0,eq_c1/2)))/(s_0+10*s_r+IF(circ_int,eq_c1/2,0))),IF(((19+0.5)*(4*IF(circ_int,0,eq_c1/2)+4*IF(circ_int,0,eq_c2/2)+2*PI()*(s_0+10*s_r+IF(circ_int,eq_c1/2,0)))/INDEX(lk_legs,11))&lt;(((((2*IF(circ_int,0,eq_c2/2))+(PI()*(s_0+10*s_r+IF(circ_int,eq_c1/2,0))/2))+2*IF(circ_int,0,eq_c1/2))+(PI()*(s_0+10*s_r+IF(circ_int,eq_c1/2,0))/2))+2*IF(circ_int,0,eq_c2/2)),IF(circ_int,0,eq_c2/2)-(((19+0.5)*(4*IF(circ_int,0,eq_c1/2)+4*IF(circ_int,0,eq_c2/2)+2*PI()*(s_0+10*s_r+IF(circ_int,eq_c1/2,0)))/INDEX(lk_legs,11))-((((2*IF(circ_int,0,eq_c2/2))+(PI()*(s_0+10*s_r+IF(circ_int,eq_c1/2,0))/2))+2*IF(circ_int,0,eq_c1/2))+(PI()*(s_0+10*s_r+IF(circ_int,eq_c1/2,0))/2))),IF(((19+0.5)*(4*IF(circ_int,0,eq_c1/2)+4*IF(circ_int,0,eq_c2/2)+2*PI()*(s_0+10*s_r+IF(circ_int,eq_c1/2,0)))/INDEX(lk_legs,11))&lt;((((((2*IF(circ_int,0,eq_c2/2))+(PI()*(s_0+10*s_r+IF(circ_int,eq_c1/2,0))/2))+2*IF(circ_int,0,eq_c1/2))+(PI()*(s_0+10*s_r+IF(circ_int,eq_c1/2,0))/2))+2*IF(circ_int,0,eq_c2/2))+(PI()*(s_0+10*s_r+IF(circ_int,eq_c1/2,0))/2)),-IF(circ_int,0,eq_c2/2)+(s_0+10*s_r+IF(circ_int,eq_c1/2,0))*SIN(PI()+(((19+0.5)*(4*IF(circ_int,0,eq_c1/2)+4*IF(circ_int,0,eq_c2/2)+2*PI()*(s_0+10*s_r+IF(circ_int,eq_c1/2,0)))/INDEX(lk_legs,11))-(((((2*IF(circ_int,0,eq_c2/2))+(PI()*(s_0+10*s_r+IF(circ_int,eq_c1/2,0))/2))+2*IF(circ_int,0,eq_c1/2))+(PI()*(s_0+10*s_r+IF(circ_int,eq_c1/2,0))/2))+2*IF(circ_int,0,eq_c2/2)))/(s_0+10*s_r+IF(circ_int,eq_c1/2,0))),IF(((19+0.5)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(19+0.5)*(4*IF(circ_int,0,eq_c1/2)+4*IF(circ_int,0,eq_c2/2)+2*PI()*(s_0+10*s_r+IF(circ_int,eq_c1/2,0)))/INDEX(lk_legs,11))-(((((((2*IF(circ_int,0,eq_c2/2))+(PI()*(s_0+10*s_r+IF(circ_int,eq_c1/2,0))/2))+2*IF(circ_int,0,eq_c1/2))+(PI()*(s_0+10*s_r+IF(circ_int,eq_c1/2,0))/2))+2*IF(circ_int,0,eq_c2/2))+(PI()*(s_0+10*s_r+IF(circ_int,eq_c1/2,0))/2))+2*IF(circ_int,0,eq_c1/2)))/(s_0+10*s_r+IF(circ_int,eq_c1/2,0)))))))))),NA())</f>
        <v/>
      </c>
      <c r="DK22">
        <f>IF(AND(links_on,12&lt;=n_per),IF(circ_int,(g_ox)+(c_1/2+(s_0+11*s_r))*-0.663123,CHOOSE(INDEX(lk_kind,12),(g_ox-eq_c1/2)+((s_0+11*s_r))*-0.707107,(eq_a1+eq_c1)+((s_0+11*s_r))*0.793353,eq_a1+eq_c1+(s_0+11*s_r),(eq_a1+eq_c1)+((s_0+11*s_r))*0.608761)),NA())</f>
        <v/>
      </c>
      <c r="DL22">
        <f>IF(AND(links_on,12&lt;=n_per),IF(circ_int,(g_oy)+(c_1/2+(s_0+11*s_r))*0.748511,CHOOSE(INDEX(lk_kind,12),(g_oy+eq_c2/2)+((s_0+11*s_r))*0.707107,(g_oy-eq_c2/2)+((s_0+11*s_r))*-0.608761,0,(eq_a2+eq_c2)+((s_0+11*s_r))*0.793353)),NA())</f>
        <v/>
      </c>
      <c r="DN22">
        <f>IF(AND(AND(links_on,12&lt;=n_per),INDEX(lk_kind,12)=1,19&lt;INDEX(lk_legs,12)),g_ox+IF(((19+0.5)*(4*IF(circ_int,0,eq_c1/2)+4*IF(circ_int,0,eq_c2/2)+2*PI()*(s_0+11*s_r+IF(circ_int,eq_c1/2,0)))/INDEX(lk_legs,12))&lt;(2*IF(circ_int,0,eq_c2/2)),IF(circ_int,0,eq_c1/2)+(s_0+11*s_r+IF(circ_int,eq_c1/2,0)),IF(((19+0.5)*(4*IF(circ_int,0,eq_c1/2)+4*IF(circ_int,0,eq_c2/2)+2*PI()*(s_0+11*s_r+IF(circ_int,eq_c1/2,0)))/INDEX(lk_legs,12))&lt;((2*IF(circ_int,0,eq_c2/2))+(PI()*(s_0+11*s_r+IF(circ_int,eq_c1/2,0))/2)),IF(circ_int,0,eq_c1/2)+(s_0+11*s_r+IF(circ_int,eq_c1/2,0))*COS((((19+0.5)*(4*IF(circ_int,0,eq_c1/2)+4*IF(circ_int,0,eq_c2/2)+2*PI()*(s_0+11*s_r+IF(circ_int,eq_c1/2,0)))/INDEX(lk_legs,12))-(2*IF(circ_int,0,eq_c2/2)))/(s_0+11*s_r+IF(circ_int,eq_c1/2,0))),IF(((19+0.5)*(4*IF(circ_int,0,eq_c1/2)+4*IF(circ_int,0,eq_c2/2)+2*PI()*(s_0+11*s_r+IF(circ_int,eq_c1/2,0)))/INDEX(lk_legs,12))&lt;(((2*IF(circ_int,0,eq_c2/2))+(PI()*(s_0+11*s_r+IF(circ_int,eq_c1/2,0))/2))+2*IF(circ_int,0,eq_c1/2)),IF(circ_int,0,eq_c1/2)-(((19+0.5)*(4*IF(circ_int,0,eq_c1/2)+4*IF(circ_int,0,eq_c2/2)+2*PI()*(s_0+11*s_r+IF(circ_int,eq_c1/2,0)))/INDEX(lk_legs,12))-((2*IF(circ_int,0,eq_c2/2))+(PI()*(s_0+11*s_r+IF(circ_int,eq_c1/2,0))/2))),IF(((19+0.5)*(4*IF(circ_int,0,eq_c1/2)+4*IF(circ_int,0,eq_c2/2)+2*PI()*(s_0+11*s_r+IF(circ_int,eq_c1/2,0)))/INDEX(lk_legs,12))&lt;((((2*IF(circ_int,0,eq_c2/2))+(PI()*(s_0+11*s_r+IF(circ_int,eq_c1/2,0))/2))+2*IF(circ_int,0,eq_c1/2))+(PI()*(s_0+11*s_r+IF(circ_int,eq_c1/2,0))/2)),-IF(circ_int,0,eq_c1/2)+(s_0+11*s_r+IF(circ_int,eq_c1/2,0))*COS(PI()/2+(((19+0.5)*(4*IF(circ_int,0,eq_c1/2)+4*IF(circ_int,0,eq_c2/2)+2*PI()*(s_0+11*s_r+IF(circ_int,eq_c1/2,0)))/INDEX(lk_legs,12))-(((2*IF(circ_int,0,eq_c2/2))+(PI()*(s_0+11*s_r+IF(circ_int,eq_c1/2,0))/2))+2*IF(circ_int,0,eq_c1/2)))/(s_0+11*s_r+IF(circ_int,eq_c1/2,0))),IF(((19+0.5)*(4*IF(circ_int,0,eq_c1/2)+4*IF(circ_int,0,eq_c2/2)+2*PI()*(s_0+11*s_r+IF(circ_int,eq_c1/2,0)))/INDEX(lk_legs,12))&lt;(((((2*IF(circ_int,0,eq_c2/2))+(PI()*(s_0+11*s_r+IF(circ_int,eq_c1/2,0))/2))+2*IF(circ_int,0,eq_c1/2))+(PI()*(s_0+11*s_r+IF(circ_int,eq_c1/2,0))/2))+2*IF(circ_int,0,eq_c2/2)),-IF(circ_int,0,eq_c1/2)-(s_0+11*s_r+IF(circ_int,eq_c1/2,0)),IF(((19+0.5)*(4*IF(circ_int,0,eq_c1/2)+4*IF(circ_int,0,eq_c2/2)+2*PI()*(s_0+11*s_r+IF(circ_int,eq_c1/2,0)))/INDEX(lk_legs,12))&lt;((((((2*IF(circ_int,0,eq_c2/2))+(PI()*(s_0+11*s_r+IF(circ_int,eq_c1/2,0))/2))+2*IF(circ_int,0,eq_c1/2))+(PI()*(s_0+11*s_r+IF(circ_int,eq_c1/2,0))/2))+2*IF(circ_int,0,eq_c2/2))+(PI()*(s_0+11*s_r+IF(circ_int,eq_c1/2,0))/2)),-IF(circ_int,0,eq_c1/2)+(s_0+11*s_r+IF(circ_int,eq_c1/2,0))*COS(PI()+(((19+0.5)*(4*IF(circ_int,0,eq_c1/2)+4*IF(circ_int,0,eq_c2/2)+2*PI()*(s_0+11*s_r+IF(circ_int,eq_c1/2,0)))/INDEX(lk_legs,12))-(((((2*IF(circ_int,0,eq_c2/2))+(PI()*(s_0+11*s_r+IF(circ_int,eq_c1/2,0))/2))+2*IF(circ_int,0,eq_c1/2))+(PI()*(s_0+11*s_r+IF(circ_int,eq_c1/2,0))/2))+2*IF(circ_int,0,eq_c2/2)))/(s_0+11*s_r+IF(circ_int,eq_c1/2,0))),IF(((19+0.5)*(4*IF(circ_int,0,eq_c1/2)+4*IF(circ_int,0,eq_c2/2)+2*PI()*(s_0+11*s_r+IF(circ_int,eq_c1/2,0)))/INDEX(lk_legs,12))&lt;(((((((2*IF(circ_int,0,eq_c2/2))+(PI()*(s_0+11*s_r+IF(circ_int,eq_c1/2,0))/2))+2*IF(circ_int,0,eq_c1/2))+(PI()*(s_0+11*s_r+IF(circ_int,eq_c1/2,0))/2))+2*IF(circ_int,0,eq_c2/2))+(PI()*(s_0+11*s_r+IF(circ_int,eq_c1/2,0))/2))+2*IF(circ_int,0,eq_c1/2)),-IF(circ_int,0,eq_c1/2)+(((19+0.5)*(4*IF(circ_int,0,eq_c1/2)+4*IF(circ_int,0,eq_c2/2)+2*PI()*(s_0+11*s_r+IF(circ_int,eq_c1/2,0)))/INDEX(lk_legs,12))-((((((2*IF(circ_int,0,eq_c2/2))+(PI()*(s_0+11*s_r+IF(circ_int,eq_c1/2,0))/2))+2*IF(circ_int,0,eq_c1/2))+(PI()*(s_0+11*s_r+IF(circ_int,eq_c1/2,0))/2))+2*IF(circ_int,0,eq_c2/2))+(PI()*(s_0+11*s_r+IF(circ_int,eq_c1/2,0))/2))),IF(circ_int,0,eq_c1/2)+(s_0+11*s_r+IF(circ_int,eq_c1/2,0))*COS(3*PI()/2+(((19+0.5)*(4*IF(circ_int,0,eq_c1/2)+4*IF(circ_int,0,eq_c2/2)+2*PI()*(s_0+11*s_r+IF(circ_int,eq_c1/2,0)))/INDEX(lk_legs,12))-(((((((2*IF(circ_int,0,eq_c2/2))+(PI()*(s_0+11*s_r+IF(circ_int,eq_c1/2,0))/2))+2*IF(circ_int,0,eq_c1/2))+(PI()*(s_0+11*s_r+IF(circ_int,eq_c1/2,0))/2))+2*IF(circ_int,0,eq_c2/2))+(PI()*(s_0+11*s_r+IF(circ_int,eq_c1/2,0))/2))+2*IF(circ_int,0,eq_c1/2)))/(s_0+11*s_r+IF(circ_int,eq_c1/2,0)))))))))),NA())</f>
        <v/>
      </c>
      <c r="DO22">
        <f>IF(AND(AND(links_on,12&lt;=n_per),INDEX(lk_kind,12)=1,19&lt;INDEX(lk_legs,12)),g_oy+IF(((19+0.5)*(4*IF(circ_int,0,eq_c1/2)+4*IF(circ_int,0,eq_c2/2)+2*PI()*(s_0+11*s_r+IF(circ_int,eq_c1/2,0)))/INDEX(lk_legs,12))&lt;(2*IF(circ_int,0,eq_c2/2)),-IF(circ_int,0,eq_c2/2)+((19+0.5)*(4*IF(circ_int,0,eq_c1/2)+4*IF(circ_int,0,eq_c2/2)+2*PI()*(s_0+11*s_r+IF(circ_int,eq_c1/2,0)))/INDEX(lk_legs,12)),IF(((19+0.5)*(4*IF(circ_int,0,eq_c1/2)+4*IF(circ_int,0,eq_c2/2)+2*PI()*(s_0+11*s_r+IF(circ_int,eq_c1/2,0)))/INDEX(lk_legs,12))&lt;((2*IF(circ_int,0,eq_c2/2))+(PI()*(s_0+11*s_r+IF(circ_int,eq_c1/2,0))/2)),IF(circ_int,0,eq_c2/2)+(s_0+11*s_r+IF(circ_int,eq_c1/2,0))*SIN((((19+0.5)*(4*IF(circ_int,0,eq_c1/2)+4*IF(circ_int,0,eq_c2/2)+2*PI()*(s_0+11*s_r+IF(circ_int,eq_c1/2,0)))/INDEX(lk_legs,12))-(2*IF(circ_int,0,eq_c2/2)))/(s_0+11*s_r+IF(circ_int,eq_c1/2,0))),IF(((19+0.5)*(4*IF(circ_int,0,eq_c1/2)+4*IF(circ_int,0,eq_c2/2)+2*PI()*(s_0+11*s_r+IF(circ_int,eq_c1/2,0)))/INDEX(lk_legs,12))&lt;(((2*IF(circ_int,0,eq_c2/2))+(PI()*(s_0+11*s_r+IF(circ_int,eq_c1/2,0))/2))+2*IF(circ_int,0,eq_c1/2)),IF(circ_int,0,eq_c2/2)+(s_0+11*s_r+IF(circ_int,eq_c1/2,0)),IF(((19+0.5)*(4*IF(circ_int,0,eq_c1/2)+4*IF(circ_int,0,eq_c2/2)+2*PI()*(s_0+11*s_r+IF(circ_int,eq_c1/2,0)))/INDEX(lk_legs,12))&lt;((((2*IF(circ_int,0,eq_c2/2))+(PI()*(s_0+11*s_r+IF(circ_int,eq_c1/2,0))/2))+2*IF(circ_int,0,eq_c1/2))+(PI()*(s_0+11*s_r+IF(circ_int,eq_c1/2,0))/2)),IF(circ_int,0,eq_c2/2)+(s_0+11*s_r+IF(circ_int,eq_c1/2,0))*SIN(PI()/2+(((19+0.5)*(4*IF(circ_int,0,eq_c1/2)+4*IF(circ_int,0,eq_c2/2)+2*PI()*(s_0+11*s_r+IF(circ_int,eq_c1/2,0)))/INDEX(lk_legs,12))-(((2*IF(circ_int,0,eq_c2/2))+(PI()*(s_0+11*s_r+IF(circ_int,eq_c1/2,0))/2))+2*IF(circ_int,0,eq_c1/2)))/(s_0+11*s_r+IF(circ_int,eq_c1/2,0))),IF(((19+0.5)*(4*IF(circ_int,0,eq_c1/2)+4*IF(circ_int,0,eq_c2/2)+2*PI()*(s_0+11*s_r+IF(circ_int,eq_c1/2,0)))/INDEX(lk_legs,12))&lt;(((((2*IF(circ_int,0,eq_c2/2))+(PI()*(s_0+11*s_r+IF(circ_int,eq_c1/2,0))/2))+2*IF(circ_int,0,eq_c1/2))+(PI()*(s_0+11*s_r+IF(circ_int,eq_c1/2,0))/2))+2*IF(circ_int,0,eq_c2/2)),IF(circ_int,0,eq_c2/2)-(((19+0.5)*(4*IF(circ_int,0,eq_c1/2)+4*IF(circ_int,0,eq_c2/2)+2*PI()*(s_0+11*s_r+IF(circ_int,eq_c1/2,0)))/INDEX(lk_legs,12))-((((2*IF(circ_int,0,eq_c2/2))+(PI()*(s_0+11*s_r+IF(circ_int,eq_c1/2,0))/2))+2*IF(circ_int,0,eq_c1/2))+(PI()*(s_0+11*s_r+IF(circ_int,eq_c1/2,0))/2))),IF(((19+0.5)*(4*IF(circ_int,0,eq_c1/2)+4*IF(circ_int,0,eq_c2/2)+2*PI()*(s_0+11*s_r+IF(circ_int,eq_c1/2,0)))/INDEX(lk_legs,12))&lt;((((((2*IF(circ_int,0,eq_c2/2))+(PI()*(s_0+11*s_r+IF(circ_int,eq_c1/2,0))/2))+2*IF(circ_int,0,eq_c1/2))+(PI()*(s_0+11*s_r+IF(circ_int,eq_c1/2,0))/2))+2*IF(circ_int,0,eq_c2/2))+(PI()*(s_0+11*s_r+IF(circ_int,eq_c1/2,0))/2)),-IF(circ_int,0,eq_c2/2)+(s_0+11*s_r+IF(circ_int,eq_c1/2,0))*SIN(PI()+(((19+0.5)*(4*IF(circ_int,0,eq_c1/2)+4*IF(circ_int,0,eq_c2/2)+2*PI()*(s_0+11*s_r+IF(circ_int,eq_c1/2,0)))/INDEX(lk_legs,12))-(((((2*IF(circ_int,0,eq_c2/2))+(PI()*(s_0+11*s_r+IF(circ_int,eq_c1/2,0))/2))+2*IF(circ_int,0,eq_c1/2))+(PI()*(s_0+11*s_r+IF(circ_int,eq_c1/2,0))/2))+2*IF(circ_int,0,eq_c2/2)))/(s_0+11*s_r+IF(circ_int,eq_c1/2,0))),IF(((19+0.5)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(19+0.5)*(4*IF(circ_int,0,eq_c1/2)+4*IF(circ_int,0,eq_c2/2)+2*PI()*(s_0+11*s_r+IF(circ_int,eq_c1/2,0)))/INDEX(lk_legs,12))-(((((((2*IF(circ_int,0,eq_c2/2))+(PI()*(s_0+11*s_r+IF(circ_int,eq_c1/2,0))/2))+2*IF(circ_int,0,eq_c1/2))+(PI()*(s_0+11*s_r+IF(circ_int,eq_c1/2,0))/2))+2*IF(circ_int,0,eq_c2/2))+(PI()*(s_0+11*s_r+IF(circ_int,eq_c1/2,0))/2))+2*IF(circ_int,0,eq_c1/2)))/(s_0+11*s_r+IF(circ_int,eq_c1/2,0)))))))))),NA())</f>
        <v/>
      </c>
    </row>
    <row r="23">
      <c r="A23">
        <f>IF(shape="Circular",(g_ox)+(c_1/2+0)*-0.748511,CHOOSE(1,(g_ox-eq_c1/2)+(0)*-0.793353,(eq_a1+eq_c1)+(0)*0.707107,eq_a1+eq_c1+0,(eq_a1+eq_c1)+(0)*0.707107))</f>
        <v/>
      </c>
      <c r="B23">
        <f>IF(shape="Circular",(g_oy)+(c_1/2+0)*0.663123,CHOOSE(1,(g_oy+eq_c2/2)+(0)*0.608761,(g_oy-eq_c2/2)+(0)*-0.707107,0,(eq_a2+eq_c2)+(0)*0.707107))</f>
        <v/>
      </c>
      <c r="D23">
        <f>IF(circ_int,(g_ox)+(c_1/2+2*d_eff)*-0.748511,CHOOSE(geo_idx,(g_ox-eq_c1/2)+(2*d_eff)*-0.793353,(eq_a1+eq_c1)+(2*d_eff)*0.707107,eq_a1+eq_c1+2*d_eff,(eq_a1+eq_c1)+(2*d_eff)*0.707107))</f>
        <v/>
      </c>
      <c r="E23">
        <f>IF(circ_int,(g_oy)+(c_1/2+2*d_eff)*0.663123,CHOOSE(geo_idx,(g_oy+eq_c2/2)+(2*d_eff)*0.608761,(g_oy-eq_c2/2)+(2*d_eff)*-0.707107,0,(eq_a2+eq_c2)+(2*d_eff)*0.707107))</f>
        <v/>
      </c>
      <c r="G23">
        <f>IF(AND(inputs_ok,punch_ok,A_sw&gt;0),IF(circ_int,(g_ox)+(c_1/2+r_out)*-0.748511,CHOOSE(kind_out,(g_ox-eq_c1/2)+(r_out)*-0.793353,(eq_a1+eq_c1)+(r_out)*0.707107,eq_a1+eq_c1+r_out,(eq_a1+eq_c1)+(r_out)*0.707107)),NA())</f>
        <v/>
      </c>
      <c r="H23">
        <f>IF(AND(inputs_ok,punch_ok,A_sw&gt;0),IF(circ_int,(g_oy)+(c_1/2+r_out)*0.663123,CHOOSE(kind_out,(g_oy+eq_c2/2)+(r_out)*0.608761,(g_oy-eq_c2/2)+(r_out)*-0.707107,0,(eq_a2+eq_c2)+(r_out)*0.707107)),NA())</f>
        <v/>
      </c>
      <c r="AW23">
        <f>IF(AND(links_on,1&lt;=n_per),IF(circ_int,(g_ox)+(c_1/2+(s_0+0*s_r))*-0.748511,CHOOSE(INDEX(lk_kind,1),(g_ox-eq_c1/2)+((s_0+0*s_r))*-0.793353,(eq_a1+eq_c1)+((s_0+0*s_r))*0.707107,eq_a1+eq_c1+(s_0+0*s_r),(eq_a1+eq_c1)+((s_0+0*s_r))*0.707107)),NA())</f>
        <v/>
      </c>
      <c r="AX23">
        <f>IF(AND(links_on,1&lt;=n_per),IF(circ_int,(g_oy)+(c_1/2+(s_0+0*s_r))*0.663123,CHOOSE(INDEX(lk_kind,1),(g_oy+eq_c2/2)+((s_0+0*s_r))*0.608761,(g_oy-eq_c2/2)+((s_0+0*s_r))*-0.707107,0,(eq_a2+eq_c2)+((s_0+0*s_r))*0.707107)),NA())</f>
        <v/>
      </c>
      <c r="AZ23">
        <f>IF(AND(AND(links_on,1&lt;=n_per),INDEX(lk_kind,1)=1,20&lt;INDEX(lk_legs,1)),g_ox+IF(((20+0.5)*(4*IF(circ_int,0,eq_c1/2)+4*IF(circ_int,0,eq_c2/2)+2*PI()*(s_0+0*s_r+IF(circ_int,eq_c1/2,0)))/INDEX(lk_legs,1))&lt;(2*IF(circ_int,0,eq_c2/2)),IF(circ_int,0,eq_c1/2)+(s_0+0*s_r+IF(circ_int,eq_c1/2,0)),IF(((20+0.5)*(4*IF(circ_int,0,eq_c1/2)+4*IF(circ_int,0,eq_c2/2)+2*PI()*(s_0+0*s_r+IF(circ_int,eq_c1/2,0)))/INDEX(lk_legs,1))&lt;((2*IF(circ_int,0,eq_c2/2))+(PI()*(s_0+0*s_r+IF(circ_int,eq_c1/2,0))/2)),IF(circ_int,0,eq_c1/2)+(s_0+0*s_r+IF(circ_int,eq_c1/2,0))*COS((((20+0.5)*(4*IF(circ_int,0,eq_c1/2)+4*IF(circ_int,0,eq_c2/2)+2*PI()*(s_0+0*s_r+IF(circ_int,eq_c1/2,0)))/INDEX(lk_legs,1))-(2*IF(circ_int,0,eq_c2/2)))/(s_0+0*s_r+IF(circ_int,eq_c1/2,0))),IF(((20+0.5)*(4*IF(circ_int,0,eq_c1/2)+4*IF(circ_int,0,eq_c2/2)+2*PI()*(s_0+0*s_r+IF(circ_int,eq_c1/2,0)))/INDEX(lk_legs,1))&lt;(((2*IF(circ_int,0,eq_c2/2))+(PI()*(s_0+0*s_r+IF(circ_int,eq_c1/2,0))/2))+2*IF(circ_int,0,eq_c1/2)),IF(circ_int,0,eq_c1/2)-(((20+0.5)*(4*IF(circ_int,0,eq_c1/2)+4*IF(circ_int,0,eq_c2/2)+2*PI()*(s_0+0*s_r+IF(circ_int,eq_c1/2,0)))/INDEX(lk_legs,1))-((2*IF(circ_int,0,eq_c2/2))+(PI()*(s_0+0*s_r+IF(circ_int,eq_c1/2,0))/2))),IF(((20+0.5)*(4*IF(circ_int,0,eq_c1/2)+4*IF(circ_int,0,eq_c2/2)+2*PI()*(s_0+0*s_r+IF(circ_int,eq_c1/2,0)))/INDEX(lk_legs,1))&lt;((((2*IF(circ_int,0,eq_c2/2))+(PI()*(s_0+0*s_r+IF(circ_int,eq_c1/2,0))/2))+2*IF(circ_int,0,eq_c1/2))+(PI()*(s_0+0*s_r+IF(circ_int,eq_c1/2,0))/2)),-IF(circ_int,0,eq_c1/2)+(s_0+0*s_r+IF(circ_int,eq_c1/2,0))*COS(PI()/2+(((20+0.5)*(4*IF(circ_int,0,eq_c1/2)+4*IF(circ_int,0,eq_c2/2)+2*PI()*(s_0+0*s_r+IF(circ_int,eq_c1/2,0)))/INDEX(lk_legs,1))-(((2*IF(circ_int,0,eq_c2/2))+(PI()*(s_0+0*s_r+IF(circ_int,eq_c1/2,0))/2))+2*IF(circ_int,0,eq_c1/2)))/(s_0+0*s_r+IF(circ_int,eq_c1/2,0))),IF(((20+0.5)*(4*IF(circ_int,0,eq_c1/2)+4*IF(circ_int,0,eq_c2/2)+2*PI()*(s_0+0*s_r+IF(circ_int,eq_c1/2,0)))/INDEX(lk_legs,1))&lt;(((((2*IF(circ_int,0,eq_c2/2))+(PI()*(s_0+0*s_r+IF(circ_int,eq_c1/2,0))/2))+2*IF(circ_int,0,eq_c1/2))+(PI()*(s_0+0*s_r+IF(circ_int,eq_c1/2,0))/2))+2*IF(circ_int,0,eq_c2/2)),-IF(circ_int,0,eq_c1/2)-(s_0+0*s_r+IF(circ_int,eq_c1/2,0)),IF(((20+0.5)*(4*IF(circ_int,0,eq_c1/2)+4*IF(circ_int,0,eq_c2/2)+2*PI()*(s_0+0*s_r+IF(circ_int,eq_c1/2,0)))/INDEX(lk_legs,1))&lt;((((((2*IF(circ_int,0,eq_c2/2))+(PI()*(s_0+0*s_r+IF(circ_int,eq_c1/2,0))/2))+2*IF(circ_int,0,eq_c1/2))+(PI()*(s_0+0*s_r+IF(circ_int,eq_c1/2,0))/2))+2*IF(circ_int,0,eq_c2/2))+(PI()*(s_0+0*s_r+IF(circ_int,eq_c1/2,0))/2)),-IF(circ_int,0,eq_c1/2)+(s_0+0*s_r+IF(circ_int,eq_c1/2,0))*COS(PI()+(((20+0.5)*(4*IF(circ_int,0,eq_c1/2)+4*IF(circ_int,0,eq_c2/2)+2*PI()*(s_0+0*s_r+IF(circ_int,eq_c1/2,0)))/INDEX(lk_legs,1))-(((((2*IF(circ_int,0,eq_c2/2))+(PI()*(s_0+0*s_r+IF(circ_int,eq_c1/2,0))/2))+2*IF(circ_int,0,eq_c1/2))+(PI()*(s_0+0*s_r+IF(circ_int,eq_c1/2,0))/2))+2*IF(circ_int,0,eq_c2/2)))/(s_0+0*s_r+IF(circ_int,eq_c1/2,0))),IF(((20+0.5)*(4*IF(circ_int,0,eq_c1/2)+4*IF(circ_int,0,eq_c2/2)+2*PI()*(s_0+0*s_r+IF(circ_int,eq_c1/2,0)))/INDEX(lk_legs,1))&lt;(((((((2*IF(circ_int,0,eq_c2/2))+(PI()*(s_0+0*s_r+IF(circ_int,eq_c1/2,0))/2))+2*IF(circ_int,0,eq_c1/2))+(PI()*(s_0+0*s_r+IF(circ_int,eq_c1/2,0))/2))+2*IF(circ_int,0,eq_c2/2))+(PI()*(s_0+0*s_r+IF(circ_int,eq_c1/2,0))/2))+2*IF(circ_int,0,eq_c1/2)),-IF(circ_int,0,eq_c1/2)+(((20+0.5)*(4*IF(circ_int,0,eq_c1/2)+4*IF(circ_int,0,eq_c2/2)+2*PI()*(s_0+0*s_r+IF(circ_int,eq_c1/2,0)))/INDEX(lk_legs,1))-((((((2*IF(circ_int,0,eq_c2/2))+(PI()*(s_0+0*s_r+IF(circ_int,eq_c1/2,0))/2))+2*IF(circ_int,0,eq_c1/2))+(PI()*(s_0+0*s_r+IF(circ_int,eq_c1/2,0))/2))+2*IF(circ_int,0,eq_c2/2))+(PI()*(s_0+0*s_r+IF(circ_int,eq_c1/2,0))/2))),IF(circ_int,0,eq_c1/2)+(s_0+0*s_r+IF(circ_int,eq_c1/2,0))*COS(3*PI()/2+(((20+0.5)*(4*IF(circ_int,0,eq_c1/2)+4*IF(circ_int,0,eq_c2/2)+2*PI()*(s_0+0*s_r+IF(circ_int,eq_c1/2,0)))/INDEX(lk_legs,1))-(((((((2*IF(circ_int,0,eq_c2/2))+(PI()*(s_0+0*s_r+IF(circ_int,eq_c1/2,0))/2))+2*IF(circ_int,0,eq_c1/2))+(PI()*(s_0+0*s_r+IF(circ_int,eq_c1/2,0))/2))+2*IF(circ_int,0,eq_c2/2))+(PI()*(s_0+0*s_r+IF(circ_int,eq_c1/2,0))/2))+2*IF(circ_int,0,eq_c1/2)))/(s_0+0*s_r+IF(circ_int,eq_c1/2,0)))))))))),NA())</f>
        <v/>
      </c>
      <c r="BA23">
        <f>IF(AND(AND(links_on,1&lt;=n_per),INDEX(lk_kind,1)=1,20&lt;INDEX(lk_legs,1)),g_oy+IF(((20+0.5)*(4*IF(circ_int,0,eq_c1/2)+4*IF(circ_int,0,eq_c2/2)+2*PI()*(s_0+0*s_r+IF(circ_int,eq_c1/2,0)))/INDEX(lk_legs,1))&lt;(2*IF(circ_int,0,eq_c2/2)),-IF(circ_int,0,eq_c2/2)+((20+0.5)*(4*IF(circ_int,0,eq_c1/2)+4*IF(circ_int,0,eq_c2/2)+2*PI()*(s_0+0*s_r+IF(circ_int,eq_c1/2,0)))/INDEX(lk_legs,1)),IF(((20+0.5)*(4*IF(circ_int,0,eq_c1/2)+4*IF(circ_int,0,eq_c2/2)+2*PI()*(s_0+0*s_r+IF(circ_int,eq_c1/2,0)))/INDEX(lk_legs,1))&lt;((2*IF(circ_int,0,eq_c2/2))+(PI()*(s_0+0*s_r+IF(circ_int,eq_c1/2,0))/2)),IF(circ_int,0,eq_c2/2)+(s_0+0*s_r+IF(circ_int,eq_c1/2,0))*SIN((((20+0.5)*(4*IF(circ_int,0,eq_c1/2)+4*IF(circ_int,0,eq_c2/2)+2*PI()*(s_0+0*s_r+IF(circ_int,eq_c1/2,0)))/INDEX(lk_legs,1))-(2*IF(circ_int,0,eq_c2/2)))/(s_0+0*s_r+IF(circ_int,eq_c1/2,0))),IF(((20+0.5)*(4*IF(circ_int,0,eq_c1/2)+4*IF(circ_int,0,eq_c2/2)+2*PI()*(s_0+0*s_r+IF(circ_int,eq_c1/2,0)))/INDEX(lk_legs,1))&lt;(((2*IF(circ_int,0,eq_c2/2))+(PI()*(s_0+0*s_r+IF(circ_int,eq_c1/2,0))/2))+2*IF(circ_int,0,eq_c1/2)),IF(circ_int,0,eq_c2/2)+(s_0+0*s_r+IF(circ_int,eq_c1/2,0)),IF(((20+0.5)*(4*IF(circ_int,0,eq_c1/2)+4*IF(circ_int,0,eq_c2/2)+2*PI()*(s_0+0*s_r+IF(circ_int,eq_c1/2,0)))/INDEX(lk_legs,1))&lt;((((2*IF(circ_int,0,eq_c2/2))+(PI()*(s_0+0*s_r+IF(circ_int,eq_c1/2,0))/2))+2*IF(circ_int,0,eq_c1/2))+(PI()*(s_0+0*s_r+IF(circ_int,eq_c1/2,0))/2)),IF(circ_int,0,eq_c2/2)+(s_0+0*s_r+IF(circ_int,eq_c1/2,0))*SIN(PI()/2+(((20+0.5)*(4*IF(circ_int,0,eq_c1/2)+4*IF(circ_int,0,eq_c2/2)+2*PI()*(s_0+0*s_r+IF(circ_int,eq_c1/2,0)))/INDEX(lk_legs,1))-(((2*IF(circ_int,0,eq_c2/2))+(PI()*(s_0+0*s_r+IF(circ_int,eq_c1/2,0))/2))+2*IF(circ_int,0,eq_c1/2)))/(s_0+0*s_r+IF(circ_int,eq_c1/2,0))),IF(((20+0.5)*(4*IF(circ_int,0,eq_c1/2)+4*IF(circ_int,0,eq_c2/2)+2*PI()*(s_0+0*s_r+IF(circ_int,eq_c1/2,0)))/INDEX(lk_legs,1))&lt;(((((2*IF(circ_int,0,eq_c2/2))+(PI()*(s_0+0*s_r+IF(circ_int,eq_c1/2,0))/2))+2*IF(circ_int,0,eq_c1/2))+(PI()*(s_0+0*s_r+IF(circ_int,eq_c1/2,0))/2))+2*IF(circ_int,0,eq_c2/2)),IF(circ_int,0,eq_c2/2)-(((20+0.5)*(4*IF(circ_int,0,eq_c1/2)+4*IF(circ_int,0,eq_c2/2)+2*PI()*(s_0+0*s_r+IF(circ_int,eq_c1/2,0)))/INDEX(lk_legs,1))-((((2*IF(circ_int,0,eq_c2/2))+(PI()*(s_0+0*s_r+IF(circ_int,eq_c1/2,0))/2))+2*IF(circ_int,0,eq_c1/2))+(PI()*(s_0+0*s_r+IF(circ_int,eq_c1/2,0))/2))),IF(((20+0.5)*(4*IF(circ_int,0,eq_c1/2)+4*IF(circ_int,0,eq_c2/2)+2*PI()*(s_0+0*s_r+IF(circ_int,eq_c1/2,0)))/INDEX(lk_legs,1))&lt;((((((2*IF(circ_int,0,eq_c2/2))+(PI()*(s_0+0*s_r+IF(circ_int,eq_c1/2,0))/2))+2*IF(circ_int,0,eq_c1/2))+(PI()*(s_0+0*s_r+IF(circ_int,eq_c1/2,0))/2))+2*IF(circ_int,0,eq_c2/2))+(PI()*(s_0+0*s_r+IF(circ_int,eq_c1/2,0))/2)),-IF(circ_int,0,eq_c2/2)+(s_0+0*s_r+IF(circ_int,eq_c1/2,0))*SIN(PI()+(((20+0.5)*(4*IF(circ_int,0,eq_c1/2)+4*IF(circ_int,0,eq_c2/2)+2*PI()*(s_0+0*s_r+IF(circ_int,eq_c1/2,0)))/INDEX(lk_legs,1))-(((((2*IF(circ_int,0,eq_c2/2))+(PI()*(s_0+0*s_r+IF(circ_int,eq_c1/2,0))/2))+2*IF(circ_int,0,eq_c1/2))+(PI()*(s_0+0*s_r+IF(circ_int,eq_c1/2,0))/2))+2*IF(circ_int,0,eq_c2/2)))/(s_0+0*s_r+IF(circ_int,eq_c1/2,0))),IF(((20+0.5)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(20+0.5)*(4*IF(circ_int,0,eq_c1/2)+4*IF(circ_int,0,eq_c2/2)+2*PI()*(s_0+0*s_r+IF(circ_int,eq_c1/2,0)))/INDEX(lk_legs,1))-(((((((2*IF(circ_int,0,eq_c2/2))+(PI()*(s_0+0*s_r+IF(circ_int,eq_c1/2,0))/2))+2*IF(circ_int,0,eq_c1/2))+(PI()*(s_0+0*s_r+IF(circ_int,eq_c1/2,0))/2))+2*IF(circ_int,0,eq_c2/2))+(PI()*(s_0+0*s_r+IF(circ_int,eq_c1/2,0))/2))+2*IF(circ_int,0,eq_c1/2)))/(s_0+0*s_r+IF(circ_int,eq_c1/2,0)))))))))),NA())</f>
        <v/>
      </c>
      <c r="BC23">
        <f>IF(AND(links_on,2&lt;=n_per),IF(circ_int,(g_ox)+(c_1/2+(s_0+1*s_r))*-0.748511,CHOOSE(INDEX(lk_kind,2),(g_ox-eq_c1/2)+((s_0+1*s_r))*-0.793353,(eq_a1+eq_c1)+((s_0+1*s_r))*0.707107,eq_a1+eq_c1+(s_0+1*s_r),(eq_a1+eq_c1)+((s_0+1*s_r))*0.707107)),NA())</f>
        <v/>
      </c>
      <c r="BD23">
        <f>IF(AND(links_on,2&lt;=n_per),IF(circ_int,(g_oy)+(c_1/2+(s_0+1*s_r))*0.663123,CHOOSE(INDEX(lk_kind,2),(g_oy+eq_c2/2)+((s_0+1*s_r))*0.608761,(g_oy-eq_c2/2)+((s_0+1*s_r))*-0.707107,0,(eq_a2+eq_c2)+((s_0+1*s_r))*0.707107)),NA())</f>
        <v/>
      </c>
      <c r="BF23">
        <f>IF(AND(AND(links_on,2&lt;=n_per),INDEX(lk_kind,2)=1,20&lt;INDEX(lk_legs,2)),g_ox+IF(((20+0.5)*(4*IF(circ_int,0,eq_c1/2)+4*IF(circ_int,0,eq_c2/2)+2*PI()*(s_0+1*s_r+IF(circ_int,eq_c1/2,0)))/INDEX(lk_legs,2))&lt;(2*IF(circ_int,0,eq_c2/2)),IF(circ_int,0,eq_c1/2)+(s_0+1*s_r+IF(circ_int,eq_c1/2,0)),IF(((20+0.5)*(4*IF(circ_int,0,eq_c1/2)+4*IF(circ_int,0,eq_c2/2)+2*PI()*(s_0+1*s_r+IF(circ_int,eq_c1/2,0)))/INDEX(lk_legs,2))&lt;((2*IF(circ_int,0,eq_c2/2))+(PI()*(s_0+1*s_r+IF(circ_int,eq_c1/2,0))/2)),IF(circ_int,0,eq_c1/2)+(s_0+1*s_r+IF(circ_int,eq_c1/2,0))*COS((((20+0.5)*(4*IF(circ_int,0,eq_c1/2)+4*IF(circ_int,0,eq_c2/2)+2*PI()*(s_0+1*s_r+IF(circ_int,eq_c1/2,0)))/INDEX(lk_legs,2))-(2*IF(circ_int,0,eq_c2/2)))/(s_0+1*s_r+IF(circ_int,eq_c1/2,0))),IF(((20+0.5)*(4*IF(circ_int,0,eq_c1/2)+4*IF(circ_int,0,eq_c2/2)+2*PI()*(s_0+1*s_r+IF(circ_int,eq_c1/2,0)))/INDEX(lk_legs,2))&lt;(((2*IF(circ_int,0,eq_c2/2))+(PI()*(s_0+1*s_r+IF(circ_int,eq_c1/2,0))/2))+2*IF(circ_int,0,eq_c1/2)),IF(circ_int,0,eq_c1/2)-(((20+0.5)*(4*IF(circ_int,0,eq_c1/2)+4*IF(circ_int,0,eq_c2/2)+2*PI()*(s_0+1*s_r+IF(circ_int,eq_c1/2,0)))/INDEX(lk_legs,2))-((2*IF(circ_int,0,eq_c2/2))+(PI()*(s_0+1*s_r+IF(circ_int,eq_c1/2,0))/2))),IF(((20+0.5)*(4*IF(circ_int,0,eq_c1/2)+4*IF(circ_int,0,eq_c2/2)+2*PI()*(s_0+1*s_r+IF(circ_int,eq_c1/2,0)))/INDEX(lk_legs,2))&lt;((((2*IF(circ_int,0,eq_c2/2))+(PI()*(s_0+1*s_r+IF(circ_int,eq_c1/2,0))/2))+2*IF(circ_int,0,eq_c1/2))+(PI()*(s_0+1*s_r+IF(circ_int,eq_c1/2,0))/2)),-IF(circ_int,0,eq_c1/2)+(s_0+1*s_r+IF(circ_int,eq_c1/2,0))*COS(PI()/2+(((20+0.5)*(4*IF(circ_int,0,eq_c1/2)+4*IF(circ_int,0,eq_c2/2)+2*PI()*(s_0+1*s_r+IF(circ_int,eq_c1/2,0)))/INDEX(lk_legs,2))-(((2*IF(circ_int,0,eq_c2/2))+(PI()*(s_0+1*s_r+IF(circ_int,eq_c1/2,0))/2))+2*IF(circ_int,0,eq_c1/2)))/(s_0+1*s_r+IF(circ_int,eq_c1/2,0))),IF(((20+0.5)*(4*IF(circ_int,0,eq_c1/2)+4*IF(circ_int,0,eq_c2/2)+2*PI()*(s_0+1*s_r+IF(circ_int,eq_c1/2,0)))/INDEX(lk_legs,2))&lt;(((((2*IF(circ_int,0,eq_c2/2))+(PI()*(s_0+1*s_r+IF(circ_int,eq_c1/2,0))/2))+2*IF(circ_int,0,eq_c1/2))+(PI()*(s_0+1*s_r+IF(circ_int,eq_c1/2,0))/2))+2*IF(circ_int,0,eq_c2/2)),-IF(circ_int,0,eq_c1/2)-(s_0+1*s_r+IF(circ_int,eq_c1/2,0)),IF(((20+0.5)*(4*IF(circ_int,0,eq_c1/2)+4*IF(circ_int,0,eq_c2/2)+2*PI()*(s_0+1*s_r+IF(circ_int,eq_c1/2,0)))/INDEX(lk_legs,2))&lt;((((((2*IF(circ_int,0,eq_c2/2))+(PI()*(s_0+1*s_r+IF(circ_int,eq_c1/2,0))/2))+2*IF(circ_int,0,eq_c1/2))+(PI()*(s_0+1*s_r+IF(circ_int,eq_c1/2,0))/2))+2*IF(circ_int,0,eq_c2/2))+(PI()*(s_0+1*s_r+IF(circ_int,eq_c1/2,0))/2)),-IF(circ_int,0,eq_c1/2)+(s_0+1*s_r+IF(circ_int,eq_c1/2,0))*COS(PI()+(((20+0.5)*(4*IF(circ_int,0,eq_c1/2)+4*IF(circ_int,0,eq_c2/2)+2*PI()*(s_0+1*s_r+IF(circ_int,eq_c1/2,0)))/INDEX(lk_legs,2))-(((((2*IF(circ_int,0,eq_c2/2))+(PI()*(s_0+1*s_r+IF(circ_int,eq_c1/2,0))/2))+2*IF(circ_int,0,eq_c1/2))+(PI()*(s_0+1*s_r+IF(circ_int,eq_c1/2,0))/2))+2*IF(circ_int,0,eq_c2/2)))/(s_0+1*s_r+IF(circ_int,eq_c1/2,0))),IF(((20+0.5)*(4*IF(circ_int,0,eq_c1/2)+4*IF(circ_int,0,eq_c2/2)+2*PI()*(s_0+1*s_r+IF(circ_int,eq_c1/2,0)))/INDEX(lk_legs,2))&lt;(((((((2*IF(circ_int,0,eq_c2/2))+(PI()*(s_0+1*s_r+IF(circ_int,eq_c1/2,0))/2))+2*IF(circ_int,0,eq_c1/2))+(PI()*(s_0+1*s_r+IF(circ_int,eq_c1/2,0))/2))+2*IF(circ_int,0,eq_c2/2))+(PI()*(s_0+1*s_r+IF(circ_int,eq_c1/2,0))/2))+2*IF(circ_int,0,eq_c1/2)),-IF(circ_int,0,eq_c1/2)+(((20+0.5)*(4*IF(circ_int,0,eq_c1/2)+4*IF(circ_int,0,eq_c2/2)+2*PI()*(s_0+1*s_r+IF(circ_int,eq_c1/2,0)))/INDEX(lk_legs,2))-((((((2*IF(circ_int,0,eq_c2/2))+(PI()*(s_0+1*s_r+IF(circ_int,eq_c1/2,0))/2))+2*IF(circ_int,0,eq_c1/2))+(PI()*(s_0+1*s_r+IF(circ_int,eq_c1/2,0))/2))+2*IF(circ_int,0,eq_c2/2))+(PI()*(s_0+1*s_r+IF(circ_int,eq_c1/2,0))/2))),IF(circ_int,0,eq_c1/2)+(s_0+1*s_r+IF(circ_int,eq_c1/2,0))*COS(3*PI()/2+(((20+0.5)*(4*IF(circ_int,0,eq_c1/2)+4*IF(circ_int,0,eq_c2/2)+2*PI()*(s_0+1*s_r+IF(circ_int,eq_c1/2,0)))/INDEX(lk_legs,2))-(((((((2*IF(circ_int,0,eq_c2/2))+(PI()*(s_0+1*s_r+IF(circ_int,eq_c1/2,0))/2))+2*IF(circ_int,0,eq_c1/2))+(PI()*(s_0+1*s_r+IF(circ_int,eq_c1/2,0))/2))+2*IF(circ_int,0,eq_c2/2))+(PI()*(s_0+1*s_r+IF(circ_int,eq_c1/2,0))/2))+2*IF(circ_int,0,eq_c1/2)))/(s_0+1*s_r+IF(circ_int,eq_c1/2,0)))))))))),NA())</f>
        <v/>
      </c>
      <c r="BG23">
        <f>IF(AND(AND(links_on,2&lt;=n_per),INDEX(lk_kind,2)=1,20&lt;INDEX(lk_legs,2)),g_oy+IF(((20+0.5)*(4*IF(circ_int,0,eq_c1/2)+4*IF(circ_int,0,eq_c2/2)+2*PI()*(s_0+1*s_r+IF(circ_int,eq_c1/2,0)))/INDEX(lk_legs,2))&lt;(2*IF(circ_int,0,eq_c2/2)),-IF(circ_int,0,eq_c2/2)+((20+0.5)*(4*IF(circ_int,0,eq_c1/2)+4*IF(circ_int,0,eq_c2/2)+2*PI()*(s_0+1*s_r+IF(circ_int,eq_c1/2,0)))/INDEX(lk_legs,2)),IF(((20+0.5)*(4*IF(circ_int,0,eq_c1/2)+4*IF(circ_int,0,eq_c2/2)+2*PI()*(s_0+1*s_r+IF(circ_int,eq_c1/2,0)))/INDEX(lk_legs,2))&lt;((2*IF(circ_int,0,eq_c2/2))+(PI()*(s_0+1*s_r+IF(circ_int,eq_c1/2,0))/2)),IF(circ_int,0,eq_c2/2)+(s_0+1*s_r+IF(circ_int,eq_c1/2,0))*SIN((((20+0.5)*(4*IF(circ_int,0,eq_c1/2)+4*IF(circ_int,0,eq_c2/2)+2*PI()*(s_0+1*s_r+IF(circ_int,eq_c1/2,0)))/INDEX(lk_legs,2))-(2*IF(circ_int,0,eq_c2/2)))/(s_0+1*s_r+IF(circ_int,eq_c1/2,0))),IF(((20+0.5)*(4*IF(circ_int,0,eq_c1/2)+4*IF(circ_int,0,eq_c2/2)+2*PI()*(s_0+1*s_r+IF(circ_int,eq_c1/2,0)))/INDEX(lk_legs,2))&lt;(((2*IF(circ_int,0,eq_c2/2))+(PI()*(s_0+1*s_r+IF(circ_int,eq_c1/2,0))/2))+2*IF(circ_int,0,eq_c1/2)),IF(circ_int,0,eq_c2/2)+(s_0+1*s_r+IF(circ_int,eq_c1/2,0)),IF(((20+0.5)*(4*IF(circ_int,0,eq_c1/2)+4*IF(circ_int,0,eq_c2/2)+2*PI()*(s_0+1*s_r+IF(circ_int,eq_c1/2,0)))/INDEX(lk_legs,2))&lt;((((2*IF(circ_int,0,eq_c2/2))+(PI()*(s_0+1*s_r+IF(circ_int,eq_c1/2,0))/2))+2*IF(circ_int,0,eq_c1/2))+(PI()*(s_0+1*s_r+IF(circ_int,eq_c1/2,0))/2)),IF(circ_int,0,eq_c2/2)+(s_0+1*s_r+IF(circ_int,eq_c1/2,0))*SIN(PI()/2+(((20+0.5)*(4*IF(circ_int,0,eq_c1/2)+4*IF(circ_int,0,eq_c2/2)+2*PI()*(s_0+1*s_r+IF(circ_int,eq_c1/2,0)))/INDEX(lk_legs,2))-(((2*IF(circ_int,0,eq_c2/2))+(PI()*(s_0+1*s_r+IF(circ_int,eq_c1/2,0))/2))+2*IF(circ_int,0,eq_c1/2)))/(s_0+1*s_r+IF(circ_int,eq_c1/2,0))),IF(((20+0.5)*(4*IF(circ_int,0,eq_c1/2)+4*IF(circ_int,0,eq_c2/2)+2*PI()*(s_0+1*s_r+IF(circ_int,eq_c1/2,0)))/INDEX(lk_legs,2))&lt;(((((2*IF(circ_int,0,eq_c2/2))+(PI()*(s_0+1*s_r+IF(circ_int,eq_c1/2,0))/2))+2*IF(circ_int,0,eq_c1/2))+(PI()*(s_0+1*s_r+IF(circ_int,eq_c1/2,0))/2))+2*IF(circ_int,0,eq_c2/2)),IF(circ_int,0,eq_c2/2)-(((20+0.5)*(4*IF(circ_int,0,eq_c1/2)+4*IF(circ_int,0,eq_c2/2)+2*PI()*(s_0+1*s_r+IF(circ_int,eq_c1/2,0)))/INDEX(lk_legs,2))-((((2*IF(circ_int,0,eq_c2/2))+(PI()*(s_0+1*s_r+IF(circ_int,eq_c1/2,0))/2))+2*IF(circ_int,0,eq_c1/2))+(PI()*(s_0+1*s_r+IF(circ_int,eq_c1/2,0))/2))),IF(((20+0.5)*(4*IF(circ_int,0,eq_c1/2)+4*IF(circ_int,0,eq_c2/2)+2*PI()*(s_0+1*s_r+IF(circ_int,eq_c1/2,0)))/INDEX(lk_legs,2))&lt;((((((2*IF(circ_int,0,eq_c2/2))+(PI()*(s_0+1*s_r+IF(circ_int,eq_c1/2,0))/2))+2*IF(circ_int,0,eq_c1/2))+(PI()*(s_0+1*s_r+IF(circ_int,eq_c1/2,0))/2))+2*IF(circ_int,0,eq_c2/2))+(PI()*(s_0+1*s_r+IF(circ_int,eq_c1/2,0))/2)),-IF(circ_int,0,eq_c2/2)+(s_0+1*s_r+IF(circ_int,eq_c1/2,0))*SIN(PI()+(((20+0.5)*(4*IF(circ_int,0,eq_c1/2)+4*IF(circ_int,0,eq_c2/2)+2*PI()*(s_0+1*s_r+IF(circ_int,eq_c1/2,0)))/INDEX(lk_legs,2))-(((((2*IF(circ_int,0,eq_c2/2))+(PI()*(s_0+1*s_r+IF(circ_int,eq_c1/2,0))/2))+2*IF(circ_int,0,eq_c1/2))+(PI()*(s_0+1*s_r+IF(circ_int,eq_c1/2,0))/2))+2*IF(circ_int,0,eq_c2/2)))/(s_0+1*s_r+IF(circ_int,eq_c1/2,0))),IF(((20+0.5)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(20+0.5)*(4*IF(circ_int,0,eq_c1/2)+4*IF(circ_int,0,eq_c2/2)+2*PI()*(s_0+1*s_r+IF(circ_int,eq_c1/2,0)))/INDEX(lk_legs,2))-(((((((2*IF(circ_int,0,eq_c2/2))+(PI()*(s_0+1*s_r+IF(circ_int,eq_c1/2,0))/2))+2*IF(circ_int,0,eq_c1/2))+(PI()*(s_0+1*s_r+IF(circ_int,eq_c1/2,0))/2))+2*IF(circ_int,0,eq_c2/2))+(PI()*(s_0+1*s_r+IF(circ_int,eq_c1/2,0))/2))+2*IF(circ_int,0,eq_c1/2)))/(s_0+1*s_r+IF(circ_int,eq_c1/2,0)))))))))),NA())</f>
        <v/>
      </c>
      <c r="BI23">
        <f>IF(AND(links_on,3&lt;=n_per),IF(circ_int,(g_ox)+(c_1/2+(s_0+2*s_r))*-0.748511,CHOOSE(INDEX(lk_kind,3),(g_ox-eq_c1/2)+((s_0+2*s_r))*-0.793353,(eq_a1+eq_c1)+((s_0+2*s_r))*0.707107,eq_a1+eq_c1+(s_0+2*s_r),(eq_a1+eq_c1)+((s_0+2*s_r))*0.707107)),NA())</f>
        <v/>
      </c>
      <c r="BJ23">
        <f>IF(AND(links_on,3&lt;=n_per),IF(circ_int,(g_oy)+(c_1/2+(s_0+2*s_r))*0.663123,CHOOSE(INDEX(lk_kind,3),(g_oy+eq_c2/2)+((s_0+2*s_r))*0.608761,(g_oy-eq_c2/2)+((s_0+2*s_r))*-0.707107,0,(eq_a2+eq_c2)+((s_0+2*s_r))*0.707107)),NA())</f>
        <v/>
      </c>
      <c r="BL23">
        <f>IF(AND(AND(links_on,3&lt;=n_per),INDEX(lk_kind,3)=1,20&lt;INDEX(lk_legs,3)),g_ox+IF(((20+0.5)*(4*IF(circ_int,0,eq_c1/2)+4*IF(circ_int,0,eq_c2/2)+2*PI()*(s_0+2*s_r+IF(circ_int,eq_c1/2,0)))/INDEX(lk_legs,3))&lt;(2*IF(circ_int,0,eq_c2/2)),IF(circ_int,0,eq_c1/2)+(s_0+2*s_r+IF(circ_int,eq_c1/2,0)),IF(((20+0.5)*(4*IF(circ_int,0,eq_c1/2)+4*IF(circ_int,0,eq_c2/2)+2*PI()*(s_0+2*s_r+IF(circ_int,eq_c1/2,0)))/INDEX(lk_legs,3))&lt;((2*IF(circ_int,0,eq_c2/2))+(PI()*(s_0+2*s_r+IF(circ_int,eq_c1/2,0))/2)),IF(circ_int,0,eq_c1/2)+(s_0+2*s_r+IF(circ_int,eq_c1/2,0))*COS((((20+0.5)*(4*IF(circ_int,0,eq_c1/2)+4*IF(circ_int,0,eq_c2/2)+2*PI()*(s_0+2*s_r+IF(circ_int,eq_c1/2,0)))/INDEX(lk_legs,3))-(2*IF(circ_int,0,eq_c2/2)))/(s_0+2*s_r+IF(circ_int,eq_c1/2,0))),IF(((20+0.5)*(4*IF(circ_int,0,eq_c1/2)+4*IF(circ_int,0,eq_c2/2)+2*PI()*(s_0+2*s_r+IF(circ_int,eq_c1/2,0)))/INDEX(lk_legs,3))&lt;(((2*IF(circ_int,0,eq_c2/2))+(PI()*(s_0+2*s_r+IF(circ_int,eq_c1/2,0))/2))+2*IF(circ_int,0,eq_c1/2)),IF(circ_int,0,eq_c1/2)-(((20+0.5)*(4*IF(circ_int,0,eq_c1/2)+4*IF(circ_int,0,eq_c2/2)+2*PI()*(s_0+2*s_r+IF(circ_int,eq_c1/2,0)))/INDEX(lk_legs,3))-((2*IF(circ_int,0,eq_c2/2))+(PI()*(s_0+2*s_r+IF(circ_int,eq_c1/2,0))/2))),IF(((20+0.5)*(4*IF(circ_int,0,eq_c1/2)+4*IF(circ_int,0,eq_c2/2)+2*PI()*(s_0+2*s_r+IF(circ_int,eq_c1/2,0)))/INDEX(lk_legs,3))&lt;((((2*IF(circ_int,0,eq_c2/2))+(PI()*(s_0+2*s_r+IF(circ_int,eq_c1/2,0))/2))+2*IF(circ_int,0,eq_c1/2))+(PI()*(s_0+2*s_r+IF(circ_int,eq_c1/2,0))/2)),-IF(circ_int,0,eq_c1/2)+(s_0+2*s_r+IF(circ_int,eq_c1/2,0))*COS(PI()/2+(((20+0.5)*(4*IF(circ_int,0,eq_c1/2)+4*IF(circ_int,0,eq_c2/2)+2*PI()*(s_0+2*s_r+IF(circ_int,eq_c1/2,0)))/INDEX(lk_legs,3))-(((2*IF(circ_int,0,eq_c2/2))+(PI()*(s_0+2*s_r+IF(circ_int,eq_c1/2,0))/2))+2*IF(circ_int,0,eq_c1/2)))/(s_0+2*s_r+IF(circ_int,eq_c1/2,0))),IF(((20+0.5)*(4*IF(circ_int,0,eq_c1/2)+4*IF(circ_int,0,eq_c2/2)+2*PI()*(s_0+2*s_r+IF(circ_int,eq_c1/2,0)))/INDEX(lk_legs,3))&lt;(((((2*IF(circ_int,0,eq_c2/2))+(PI()*(s_0+2*s_r+IF(circ_int,eq_c1/2,0))/2))+2*IF(circ_int,0,eq_c1/2))+(PI()*(s_0+2*s_r+IF(circ_int,eq_c1/2,0))/2))+2*IF(circ_int,0,eq_c2/2)),-IF(circ_int,0,eq_c1/2)-(s_0+2*s_r+IF(circ_int,eq_c1/2,0)),IF(((20+0.5)*(4*IF(circ_int,0,eq_c1/2)+4*IF(circ_int,0,eq_c2/2)+2*PI()*(s_0+2*s_r+IF(circ_int,eq_c1/2,0)))/INDEX(lk_legs,3))&lt;((((((2*IF(circ_int,0,eq_c2/2))+(PI()*(s_0+2*s_r+IF(circ_int,eq_c1/2,0))/2))+2*IF(circ_int,0,eq_c1/2))+(PI()*(s_0+2*s_r+IF(circ_int,eq_c1/2,0))/2))+2*IF(circ_int,0,eq_c2/2))+(PI()*(s_0+2*s_r+IF(circ_int,eq_c1/2,0))/2)),-IF(circ_int,0,eq_c1/2)+(s_0+2*s_r+IF(circ_int,eq_c1/2,0))*COS(PI()+(((20+0.5)*(4*IF(circ_int,0,eq_c1/2)+4*IF(circ_int,0,eq_c2/2)+2*PI()*(s_0+2*s_r+IF(circ_int,eq_c1/2,0)))/INDEX(lk_legs,3))-(((((2*IF(circ_int,0,eq_c2/2))+(PI()*(s_0+2*s_r+IF(circ_int,eq_c1/2,0))/2))+2*IF(circ_int,0,eq_c1/2))+(PI()*(s_0+2*s_r+IF(circ_int,eq_c1/2,0))/2))+2*IF(circ_int,0,eq_c2/2)))/(s_0+2*s_r+IF(circ_int,eq_c1/2,0))),IF(((20+0.5)*(4*IF(circ_int,0,eq_c1/2)+4*IF(circ_int,0,eq_c2/2)+2*PI()*(s_0+2*s_r+IF(circ_int,eq_c1/2,0)))/INDEX(lk_legs,3))&lt;(((((((2*IF(circ_int,0,eq_c2/2))+(PI()*(s_0+2*s_r+IF(circ_int,eq_c1/2,0))/2))+2*IF(circ_int,0,eq_c1/2))+(PI()*(s_0+2*s_r+IF(circ_int,eq_c1/2,0))/2))+2*IF(circ_int,0,eq_c2/2))+(PI()*(s_0+2*s_r+IF(circ_int,eq_c1/2,0))/2))+2*IF(circ_int,0,eq_c1/2)),-IF(circ_int,0,eq_c1/2)+(((20+0.5)*(4*IF(circ_int,0,eq_c1/2)+4*IF(circ_int,0,eq_c2/2)+2*PI()*(s_0+2*s_r+IF(circ_int,eq_c1/2,0)))/INDEX(lk_legs,3))-((((((2*IF(circ_int,0,eq_c2/2))+(PI()*(s_0+2*s_r+IF(circ_int,eq_c1/2,0))/2))+2*IF(circ_int,0,eq_c1/2))+(PI()*(s_0+2*s_r+IF(circ_int,eq_c1/2,0))/2))+2*IF(circ_int,0,eq_c2/2))+(PI()*(s_0+2*s_r+IF(circ_int,eq_c1/2,0))/2))),IF(circ_int,0,eq_c1/2)+(s_0+2*s_r+IF(circ_int,eq_c1/2,0))*COS(3*PI()/2+(((20+0.5)*(4*IF(circ_int,0,eq_c1/2)+4*IF(circ_int,0,eq_c2/2)+2*PI()*(s_0+2*s_r+IF(circ_int,eq_c1/2,0)))/INDEX(lk_legs,3))-(((((((2*IF(circ_int,0,eq_c2/2))+(PI()*(s_0+2*s_r+IF(circ_int,eq_c1/2,0))/2))+2*IF(circ_int,0,eq_c1/2))+(PI()*(s_0+2*s_r+IF(circ_int,eq_c1/2,0))/2))+2*IF(circ_int,0,eq_c2/2))+(PI()*(s_0+2*s_r+IF(circ_int,eq_c1/2,0))/2))+2*IF(circ_int,0,eq_c1/2)))/(s_0+2*s_r+IF(circ_int,eq_c1/2,0)))))))))),NA())</f>
        <v/>
      </c>
      <c r="BM23">
        <f>IF(AND(AND(links_on,3&lt;=n_per),INDEX(lk_kind,3)=1,20&lt;INDEX(lk_legs,3)),g_oy+IF(((20+0.5)*(4*IF(circ_int,0,eq_c1/2)+4*IF(circ_int,0,eq_c2/2)+2*PI()*(s_0+2*s_r+IF(circ_int,eq_c1/2,0)))/INDEX(lk_legs,3))&lt;(2*IF(circ_int,0,eq_c2/2)),-IF(circ_int,0,eq_c2/2)+((20+0.5)*(4*IF(circ_int,0,eq_c1/2)+4*IF(circ_int,0,eq_c2/2)+2*PI()*(s_0+2*s_r+IF(circ_int,eq_c1/2,0)))/INDEX(lk_legs,3)),IF(((20+0.5)*(4*IF(circ_int,0,eq_c1/2)+4*IF(circ_int,0,eq_c2/2)+2*PI()*(s_0+2*s_r+IF(circ_int,eq_c1/2,0)))/INDEX(lk_legs,3))&lt;((2*IF(circ_int,0,eq_c2/2))+(PI()*(s_0+2*s_r+IF(circ_int,eq_c1/2,0))/2)),IF(circ_int,0,eq_c2/2)+(s_0+2*s_r+IF(circ_int,eq_c1/2,0))*SIN((((20+0.5)*(4*IF(circ_int,0,eq_c1/2)+4*IF(circ_int,0,eq_c2/2)+2*PI()*(s_0+2*s_r+IF(circ_int,eq_c1/2,0)))/INDEX(lk_legs,3))-(2*IF(circ_int,0,eq_c2/2)))/(s_0+2*s_r+IF(circ_int,eq_c1/2,0))),IF(((20+0.5)*(4*IF(circ_int,0,eq_c1/2)+4*IF(circ_int,0,eq_c2/2)+2*PI()*(s_0+2*s_r+IF(circ_int,eq_c1/2,0)))/INDEX(lk_legs,3))&lt;(((2*IF(circ_int,0,eq_c2/2))+(PI()*(s_0+2*s_r+IF(circ_int,eq_c1/2,0))/2))+2*IF(circ_int,0,eq_c1/2)),IF(circ_int,0,eq_c2/2)+(s_0+2*s_r+IF(circ_int,eq_c1/2,0)),IF(((20+0.5)*(4*IF(circ_int,0,eq_c1/2)+4*IF(circ_int,0,eq_c2/2)+2*PI()*(s_0+2*s_r+IF(circ_int,eq_c1/2,0)))/INDEX(lk_legs,3))&lt;((((2*IF(circ_int,0,eq_c2/2))+(PI()*(s_0+2*s_r+IF(circ_int,eq_c1/2,0))/2))+2*IF(circ_int,0,eq_c1/2))+(PI()*(s_0+2*s_r+IF(circ_int,eq_c1/2,0))/2)),IF(circ_int,0,eq_c2/2)+(s_0+2*s_r+IF(circ_int,eq_c1/2,0))*SIN(PI()/2+(((20+0.5)*(4*IF(circ_int,0,eq_c1/2)+4*IF(circ_int,0,eq_c2/2)+2*PI()*(s_0+2*s_r+IF(circ_int,eq_c1/2,0)))/INDEX(lk_legs,3))-(((2*IF(circ_int,0,eq_c2/2))+(PI()*(s_0+2*s_r+IF(circ_int,eq_c1/2,0))/2))+2*IF(circ_int,0,eq_c1/2)))/(s_0+2*s_r+IF(circ_int,eq_c1/2,0))),IF(((20+0.5)*(4*IF(circ_int,0,eq_c1/2)+4*IF(circ_int,0,eq_c2/2)+2*PI()*(s_0+2*s_r+IF(circ_int,eq_c1/2,0)))/INDEX(lk_legs,3))&lt;(((((2*IF(circ_int,0,eq_c2/2))+(PI()*(s_0+2*s_r+IF(circ_int,eq_c1/2,0))/2))+2*IF(circ_int,0,eq_c1/2))+(PI()*(s_0+2*s_r+IF(circ_int,eq_c1/2,0))/2))+2*IF(circ_int,0,eq_c2/2)),IF(circ_int,0,eq_c2/2)-(((20+0.5)*(4*IF(circ_int,0,eq_c1/2)+4*IF(circ_int,0,eq_c2/2)+2*PI()*(s_0+2*s_r+IF(circ_int,eq_c1/2,0)))/INDEX(lk_legs,3))-((((2*IF(circ_int,0,eq_c2/2))+(PI()*(s_0+2*s_r+IF(circ_int,eq_c1/2,0))/2))+2*IF(circ_int,0,eq_c1/2))+(PI()*(s_0+2*s_r+IF(circ_int,eq_c1/2,0))/2))),IF(((20+0.5)*(4*IF(circ_int,0,eq_c1/2)+4*IF(circ_int,0,eq_c2/2)+2*PI()*(s_0+2*s_r+IF(circ_int,eq_c1/2,0)))/INDEX(lk_legs,3))&lt;((((((2*IF(circ_int,0,eq_c2/2))+(PI()*(s_0+2*s_r+IF(circ_int,eq_c1/2,0))/2))+2*IF(circ_int,0,eq_c1/2))+(PI()*(s_0+2*s_r+IF(circ_int,eq_c1/2,0))/2))+2*IF(circ_int,0,eq_c2/2))+(PI()*(s_0+2*s_r+IF(circ_int,eq_c1/2,0))/2)),-IF(circ_int,0,eq_c2/2)+(s_0+2*s_r+IF(circ_int,eq_c1/2,0))*SIN(PI()+(((20+0.5)*(4*IF(circ_int,0,eq_c1/2)+4*IF(circ_int,0,eq_c2/2)+2*PI()*(s_0+2*s_r+IF(circ_int,eq_c1/2,0)))/INDEX(lk_legs,3))-(((((2*IF(circ_int,0,eq_c2/2))+(PI()*(s_0+2*s_r+IF(circ_int,eq_c1/2,0))/2))+2*IF(circ_int,0,eq_c1/2))+(PI()*(s_0+2*s_r+IF(circ_int,eq_c1/2,0))/2))+2*IF(circ_int,0,eq_c2/2)))/(s_0+2*s_r+IF(circ_int,eq_c1/2,0))),IF(((20+0.5)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(20+0.5)*(4*IF(circ_int,0,eq_c1/2)+4*IF(circ_int,0,eq_c2/2)+2*PI()*(s_0+2*s_r+IF(circ_int,eq_c1/2,0)))/INDEX(lk_legs,3))-(((((((2*IF(circ_int,0,eq_c2/2))+(PI()*(s_0+2*s_r+IF(circ_int,eq_c1/2,0))/2))+2*IF(circ_int,0,eq_c1/2))+(PI()*(s_0+2*s_r+IF(circ_int,eq_c1/2,0))/2))+2*IF(circ_int,0,eq_c2/2))+(PI()*(s_0+2*s_r+IF(circ_int,eq_c1/2,0))/2))+2*IF(circ_int,0,eq_c1/2)))/(s_0+2*s_r+IF(circ_int,eq_c1/2,0)))))))))),NA())</f>
        <v/>
      </c>
      <c r="BO23">
        <f>IF(AND(links_on,4&lt;=n_per),IF(circ_int,(g_ox)+(c_1/2+(s_0+3*s_r))*-0.748511,CHOOSE(INDEX(lk_kind,4),(g_ox-eq_c1/2)+((s_0+3*s_r))*-0.793353,(eq_a1+eq_c1)+((s_0+3*s_r))*0.707107,eq_a1+eq_c1+(s_0+3*s_r),(eq_a1+eq_c1)+((s_0+3*s_r))*0.707107)),NA())</f>
        <v/>
      </c>
      <c r="BP23">
        <f>IF(AND(links_on,4&lt;=n_per),IF(circ_int,(g_oy)+(c_1/2+(s_0+3*s_r))*0.663123,CHOOSE(INDEX(lk_kind,4),(g_oy+eq_c2/2)+((s_0+3*s_r))*0.608761,(g_oy-eq_c2/2)+((s_0+3*s_r))*-0.707107,0,(eq_a2+eq_c2)+((s_0+3*s_r))*0.707107)),NA())</f>
        <v/>
      </c>
      <c r="BR23">
        <f>IF(AND(AND(links_on,4&lt;=n_per),INDEX(lk_kind,4)=1,20&lt;INDEX(lk_legs,4)),g_ox+IF(((20+0.5)*(4*IF(circ_int,0,eq_c1/2)+4*IF(circ_int,0,eq_c2/2)+2*PI()*(s_0+3*s_r+IF(circ_int,eq_c1/2,0)))/INDEX(lk_legs,4))&lt;(2*IF(circ_int,0,eq_c2/2)),IF(circ_int,0,eq_c1/2)+(s_0+3*s_r+IF(circ_int,eq_c1/2,0)),IF(((20+0.5)*(4*IF(circ_int,0,eq_c1/2)+4*IF(circ_int,0,eq_c2/2)+2*PI()*(s_0+3*s_r+IF(circ_int,eq_c1/2,0)))/INDEX(lk_legs,4))&lt;((2*IF(circ_int,0,eq_c2/2))+(PI()*(s_0+3*s_r+IF(circ_int,eq_c1/2,0))/2)),IF(circ_int,0,eq_c1/2)+(s_0+3*s_r+IF(circ_int,eq_c1/2,0))*COS((((20+0.5)*(4*IF(circ_int,0,eq_c1/2)+4*IF(circ_int,0,eq_c2/2)+2*PI()*(s_0+3*s_r+IF(circ_int,eq_c1/2,0)))/INDEX(lk_legs,4))-(2*IF(circ_int,0,eq_c2/2)))/(s_0+3*s_r+IF(circ_int,eq_c1/2,0))),IF(((20+0.5)*(4*IF(circ_int,0,eq_c1/2)+4*IF(circ_int,0,eq_c2/2)+2*PI()*(s_0+3*s_r+IF(circ_int,eq_c1/2,0)))/INDEX(lk_legs,4))&lt;(((2*IF(circ_int,0,eq_c2/2))+(PI()*(s_0+3*s_r+IF(circ_int,eq_c1/2,0))/2))+2*IF(circ_int,0,eq_c1/2)),IF(circ_int,0,eq_c1/2)-(((20+0.5)*(4*IF(circ_int,0,eq_c1/2)+4*IF(circ_int,0,eq_c2/2)+2*PI()*(s_0+3*s_r+IF(circ_int,eq_c1/2,0)))/INDEX(lk_legs,4))-((2*IF(circ_int,0,eq_c2/2))+(PI()*(s_0+3*s_r+IF(circ_int,eq_c1/2,0))/2))),IF(((20+0.5)*(4*IF(circ_int,0,eq_c1/2)+4*IF(circ_int,0,eq_c2/2)+2*PI()*(s_0+3*s_r+IF(circ_int,eq_c1/2,0)))/INDEX(lk_legs,4))&lt;((((2*IF(circ_int,0,eq_c2/2))+(PI()*(s_0+3*s_r+IF(circ_int,eq_c1/2,0))/2))+2*IF(circ_int,0,eq_c1/2))+(PI()*(s_0+3*s_r+IF(circ_int,eq_c1/2,0))/2)),-IF(circ_int,0,eq_c1/2)+(s_0+3*s_r+IF(circ_int,eq_c1/2,0))*COS(PI()/2+(((20+0.5)*(4*IF(circ_int,0,eq_c1/2)+4*IF(circ_int,0,eq_c2/2)+2*PI()*(s_0+3*s_r+IF(circ_int,eq_c1/2,0)))/INDEX(lk_legs,4))-(((2*IF(circ_int,0,eq_c2/2))+(PI()*(s_0+3*s_r+IF(circ_int,eq_c1/2,0))/2))+2*IF(circ_int,0,eq_c1/2)))/(s_0+3*s_r+IF(circ_int,eq_c1/2,0))),IF(((20+0.5)*(4*IF(circ_int,0,eq_c1/2)+4*IF(circ_int,0,eq_c2/2)+2*PI()*(s_0+3*s_r+IF(circ_int,eq_c1/2,0)))/INDEX(lk_legs,4))&lt;(((((2*IF(circ_int,0,eq_c2/2))+(PI()*(s_0+3*s_r+IF(circ_int,eq_c1/2,0))/2))+2*IF(circ_int,0,eq_c1/2))+(PI()*(s_0+3*s_r+IF(circ_int,eq_c1/2,0))/2))+2*IF(circ_int,0,eq_c2/2)),-IF(circ_int,0,eq_c1/2)-(s_0+3*s_r+IF(circ_int,eq_c1/2,0)),IF(((20+0.5)*(4*IF(circ_int,0,eq_c1/2)+4*IF(circ_int,0,eq_c2/2)+2*PI()*(s_0+3*s_r+IF(circ_int,eq_c1/2,0)))/INDEX(lk_legs,4))&lt;((((((2*IF(circ_int,0,eq_c2/2))+(PI()*(s_0+3*s_r+IF(circ_int,eq_c1/2,0))/2))+2*IF(circ_int,0,eq_c1/2))+(PI()*(s_0+3*s_r+IF(circ_int,eq_c1/2,0))/2))+2*IF(circ_int,0,eq_c2/2))+(PI()*(s_0+3*s_r+IF(circ_int,eq_c1/2,0))/2)),-IF(circ_int,0,eq_c1/2)+(s_0+3*s_r+IF(circ_int,eq_c1/2,0))*COS(PI()+(((20+0.5)*(4*IF(circ_int,0,eq_c1/2)+4*IF(circ_int,0,eq_c2/2)+2*PI()*(s_0+3*s_r+IF(circ_int,eq_c1/2,0)))/INDEX(lk_legs,4))-(((((2*IF(circ_int,0,eq_c2/2))+(PI()*(s_0+3*s_r+IF(circ_int,eq_c1/2,0))/2))+2*IF(circ_int,0,eq_c1/2))+(PI()*(s_0+3*s_r+IF(circ_int,eq_c1/2,0))/2))+2*IF(circ_int,0,eq_c2/2)))/(s_0+3*s_r+IF(circ_int,eq_c1/2,0))),IF(((20+0.5)*(4*IF(circ_int,0,eq_c1/2)+4*IF(circ_int,0,eq_c2/2)+2*PI()*(s_0+3*s_r+IF(circ_int,eq_c1/2,0)))/INDEX(lk_legs,4))&lt;(((((((2*IF(circ_int,0,eq_c2/2))+(PI()*(s_0+3*s_r+IF(circ_int,eq_c1/2,0))/2))+2*IF(circ_int,0,eq_c1/2))+(PI()*(s_0+3*s_r+IF(circ_int,eq_c1/2,0))/2))+2*IF(circ_int,0,eq_c2/2))+(PI()*(s_0+3*s_r+IF(circ_int,eq_c1/2,0))/2))+2*IF(circ_int,0,eq_c1/2)),-IF(circ_int,0,eq_c1/2)+(((20+0.5)*(4*IF(circ_int,0,eq_c1/2)+4*IF(circ_int,0,eq_c2/2)+2*PI()*(s_0+3*s_r+IF(circ_int,eq_c1/2,0)))/INDEX(lk_legs,4))-((((((2*IF(circ_int,0,eq_c2/2))+(PI()*(s_0+3*s_r+IF(circ_int,eq_c1/2,0))/2))+2*IF(circ_int,0,eq_c1/2))+(PI()*(s_0+3*s_r+IF(circ_int,eq_c1/2,0))/2))+2*IF(circ_int,0,eq_c2/2))+(PI()*(s_0+3*s_r+IF(circ_int,eq_c1/2,0))/2))),IF(circ_int,0,eq_c1/2)+(s_0+3*s_r+IF(circ_int,eq_c1/2,0))*COS(3*PI()/2+(((20+0.5)*(4*IF(circ_int,0,eq_c1/2)+4*IF(circ_int,0,eq_c2/2)+2*PI()*(s_0+3*s_r+IF(circ_int,eq_c1/2,0)))/INDEX(lk_legs,4))-(((((((2*IF(circ_int,0,eq_c2/2))+(PI()*(s_0+3*s_r+IF(circ_int,eq_c1/2,0))/2))+2*IF(circ_int,0,eq_c1/2))+(PI()*(s_0+3*s_r+IF(circ_int,eq_c1/2,0))/2))+2*IF(circ_int,0,eq_c2/2))+(PI()*(s_0+3*s_r+IF(circ_int,eq_c1/2,0))/2))+2*IF(circ_int,0,eq_c1/2)))/(s_0+3*s_r+IF(circ_int,eq_c1/2,0)))))))))),NA())</f>
        <v/>
      </c>
      <c r="BS23">
        <f>IF(AND(AND(links_on,4&lt;=n_per),INDEX(lk_kind,4)=1,20&lt;INDEX(lk_legs,4)),g_oy+IF(((20+0.5)*(4*IF(circ_int,0,eq_c1/2)+4*IF(circ_int,0,eq_c2/2)+2*PI()*(s_0+3*s_r+IF(circ_int,eq_c1/2,0)))/INDEX(lk_legs,4))&lt;(2*IF(circ_int,0,eq_c2/2)),-IF(circ_int,0,eq_c2/2)+((20+0.5)*(4*IF(circ_int,0,eq_c1/2)+4*IF(circ_int,0,eq_c2/2)+2*PI()*(s_0+3*s_r+IF(circ_int,eq_c1/2,0)))/INDEX(lk_legs,4)),IF(((20+0.5)*(4*IF(circ_int,0,eq_c1/2)+4*IF(circ_int,0,eq_c2/2)+2*PI()*(s_0+3*s_r+IF(circ_int,eq_c1/2,0)))/INDEX(lk_legs,4))&lt;((2*IF(circ_int,0,eq_c2/2))+(PI()*(s_0+3*s_r+IF(circ_int,eq_c1/2,0))/2)),IF(circ_int,0,eq_c2/2)+(s_0+3*s_r+IF(circ_int,eq_c1/2,0))*SIN((((20+0.5)*(4*IF(circ_int,0,eq_c1/2)+4*IF(circ_int,0,eq_c2/2)+2*PI()*(s_0+3*s_r+IF(circ_int,eq_c1/2,0)))/INDEX(lk_legs,4))-(2*IF(circ_int,0,eq_c2/2)))/(s_0+3*s_r+IF(circ_int,eq_c1/2,0))),IF(((20+0.5)*(4*IF(circ_int,0,eq_c1/2)+4*IF(circ_int,0,eq_c2/2)+2*PI()*(s_0+3*s_r+IF(circ_int,eq_c1/2,0)))/INDEX(lk_legs,4))&lt;(((2*IF(circ_int,0,eq_c2/2))+(PI()*(s_0+3*s_r+IF(circ_int,eq_c1/2,0))/2))+2*IF(circ_int,0,eq_c1/2)),IF(circ_int,0,eq_c2/2)+(s_0+3*s_r+IF(circ_int,eq_c1/2,0)),IF(((20+0.5)*(4*IF(circ_int,0,eq_c1/2)+4*IF(circ_int,0,eq_c2/2)+2*PI()*(s_0+3*s_r+IF(circ_int,eq_c1/2,0)))/INDEX(lk_legs,4))&lt;((((2*IF(circ_int,0,eq_c2/2))+(PI()*(s_0+3*s_r+IF(circ_int,eq_c1/2,0))/2))+2*IF(circ_int,0,eq_c1/2))+(PI()*(s_0+3*s_r+IF(circ_int,eq_c1/2,0))/2)),IF(circ_int,0,eq_c2/2)+(s_0+3*s_r+IF(circ_int,eq_c1/2,0))*SIN(PI()/2+(((20+0.5)*(4*IF(circ_int,0,eq_c1/2)+4*IF(circ_int,0,eq_c2/2)+2*PI()*(s_0+3*s_r+IF(circ_int,eq_c1/2,0)))/INDEX(lk_legs,4))-(((2*IF(circ_int,0,eq_c2/2))+(PI()*(s_0+3*s_r+IF(circ_int,eq_c1/2,0))/2))+2*IF(circ_int,0,eq_c1/2)))/(s_0+3*s_r+IF(circ_int,eq_c1/2,0))),IF(((20+0.5)*(4*IF(circ_int,0,eq_c1/2)+4*IF(circ_int,0,eq_c2/2)+2*PI()*(s_0+3*s_r+IF(circ_int,eq_c1/2,0)))/INDEX(lk_legs,4))&lt;(((((2*IF(circ_int,0,eq_c2/2))+(PI()*(s_0+3*s_r+IF(circ_int,eq_c1/2,0))/2))+2*IF(circ_int,0,eq_c1/2))+(PI()*(s_0+3*s_r+IF(circ_int,eq_c1/2,0))/2))+2*IF(circ_int,0,eq_c2/2)),IF(circ_int,0,eq_c2/2)-(((20+0.5)*(4*IF(circ_int,0,eq_c1/2)+4*IF(circ_int,0,eq_c2/2)+2*PI()*(s_0+3*s_r+IF(circ_int,eq_c1/2,0)))/INDEX(lk_legs,4))-((((2*IF(circ_int,0,eq_c2/2))+(PI()*(s_0+3*s_r+IF(circ_int,eq_c1/2,0))/2))+2*IF(circ_int,0,eq_c1/2))+(PI()*(s_0+3*s_r+IF(circ_int,eq_c1/2,0))/2))),IF(((20+0.5)*(4*IF(circ_int,0,eq_c1/2)+4*IF(circ_int,0,eq_c2/2)+2*PI()*(s_0+3*s_r+IF(circ_int,eq_c1/2,0)))/INDEX(lk_legs,4))&lt;((((((2*IF(circ_int,0,eq_c2/2))+(PI()*(s_0+3*s_r+IF(circ_int,eq_c1/2,0))/2))+2*IF(circ_int,0,eq_c1/2))+(PI()*(s_0+3*s_r+IF(circ_int,eq_c1/2,0))/2))+2*IF(circ_int,0,eq_c2/2))+(PI()*(s_0+3*s_r+IF(circ_int,eq_c1/2,0))/2)),-IF(circ_int,0,eq_c2/2)+(s_0+3*s_r+IF(circ_int,eq_c1/2,0))*SIN(PI()+(((20+0.5)*(4*IF(circ_int,0,eq_c1/2)+4*IF(circ_int,0,eq_c2/2)+2*PI()*(s_0+3*s_r+IF(circ_int,eq_c1/2,0)))/INDEX(lk_legs,4))-(((((2*IF(circ_int,0,eq_c2/2))+(PI()*(s_0+3*s_r+IF(circ_int,eq_c1/2,0))/2))+2*IF(circ_int,0,eq_c1/2))+(PI()*(s_0+3*s_r+IF(circ_int,eq_c1/2,0))/2))+2*IF(circ_int,0,eq_c2/2)))/(s_0+3*s_r+IF(circ_int,eq_c1/2,0))),IF(((20+0.5)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(20+0.5)*(4*IF(circ_int,0,eq_c1/2)+4*IF(circ_int,0,eq_c2/2)+2*PI()*(s_0+3*s_r+IF(circ_int,eq_c1/2,0)))/INDEX(lk_legs,4))-(((((((2*IF(circ_int,0,eq_c2/2))+(PI()*(s_0+3*s_r+IF(circ_int,eq_c1/2,0))/2))+2*IF(circ_int,0,eq_c1/2))+(PI()*(s_0+3*s_r+IF(circ_int,eq_c1/2,0))/2))+2*IF(circ_int,0,eq_c2/2))+(PI()*(s_0+3*s_r+IF(circ_int,eq_c1/2,0))/2))+2*IF(circ_int,0,eq_c1/2)))/(s_0+3*s_r+IF(circ_int,eq_c1/2,0)))))))))),NA())</f>
        <v/>
      </c>
      <c r="BU23">
        <f>IF(AND(links_on,5&lt;=n_per),IF(circ_int,(g_ox)+(c_1/2+(s_0+4*s_r))*-0.748511,CHOOSE(INDEX(lk_kind,5),(g_ox-eq_c1/2)+((s_0+4*s_r))*-0.793353,(eq_a1+eq_c1)+((s_0+4*s_r))*0.707107,eq_a1+eq_c1+(s_0+4*s_r),(eq_a1+eq_c1)+((s_0+4*s_r))*0.707107)),NA())</f>
        <v/>
      </c>
      <c r="BV23">
        <f>IF(AND(links_on,5&lt;=n_per),IF(circ_int,(g_oy)+(c_1/2+(s_0+4*s_r))*0.663123,CHOOSE(INDEX(lk_kind,5),(g_oy+eq_c2/2)+((s_0+4*s_r))*0.608761,(g_oy-eq_c2/2)+((s_0+4*s_r))*-0.707107,0,(eq_a2+eq_c2)+((s_0+4*s_r))*0.707107)),NA())</f>
        <v/>
      </c>
      <c r="BX23">
        <f>IF(AND(AND(links_on,5&lt;=n_per),INDEX(lk_kind,5)=1,20&lt;INDEX(lk_legs,5)),g_ox+IF(((20+0.5)*(4*IF(circ_int,0,eq_c1/2)+4*IF(circ_int,0,eq_c2/2)+2*PI()*(s_0+4*s_r+IF(circ_int,eq_c1/2,0)))/INDEX(lk_legs,5))&lt;(2*IF(circ_int,0,eq_c2/2)),IF(circ_int,0,eq_c1/2)+(s_0+4*s_r+IF(circ_int,eq_c1/2,0)),IF(((20+0.5)*(4*IF(circ_int,0,eq_c1/2)+4*IF(circ_int,0,eq_c2/2)+2*PI()*(s_0+4*s_r+IF(circ_int,eq_c1/2,0)))/INDEX(lk_legs,5))&lt;((2*IF(circ_int,0,eq_c2/2))+(PI()*(s_0+4*s_r+IF(circ_int,eq_c1/2,0))/2)),IF(circ_int,0,eq_c1/2)+(s_0+4*s_r+IF(circ_int,eq_c1/2,0))*COS((((20+0.5)*(4*IF(circ_int,0,eq_c1/2)+4*IF(circ_int,0,eq_c2/2)+2*PI()*(s_0+4*s_r+IF(circ_int,eq_c1/2,0)))/INDEX(lk_legs,5))-(2*IF(circ_int,0,eq_c2/2)))/(s_0+4*s_r+IF(circ_int,eq_c1/2,0))),IF(((20+0.5)*(4*IF(circ_int,0,eq_c1/2)+4*IF(circ_int,0,eq_c2/2)+2*PI()*(s_0+4*s_r+IF(circ_int,eq_c1/2,0)))/INDEX(lk_legs,5))&lt;(((2*IF(circ_int,0,eq_c2/2))+(PI()*(s_0+4*s_r+IF(circ_int,eq_c1/2,0))/2))+2*IF(circ_int,0,eq_c1/2)),IF(circ_int,0,eq_c1/2)-(((20+0.5)*(4*IF(circ_int,0,eq_c1/2)+4*IF(circ_int,0,eq_c2/2)+2*PI()*(s_0+4*s_r+IF(circ_int,eq_c1/2,0)))/INDEX(lk_legs,5))-((2*IF(circ_int,0,eq_c2/2))+(PI()*(s_0+4*s_r+IF(circ_int,eq_c1/2,0))/2))),IF(((20+0.5)*(4*IF(circ_int,0,eq_c1/2)+4*IF(circ_int,0,eq_c2/2)+2*PI()*(s_0+4*s_r+IF(circ_int,eq_c1/2,0)))/INDEX(lk_legs,5))&lt;((((2*IF(circ_int,0,eq_c2/2))+(PI()*(s_0+4*s_r+IF(circ_int,eq_c1/2,0))/2))+2*IF(circ_int,0,eq_c1/2))+(PI()*(s_0+4*s_r+IF(circ_int,eq_c1/2,0))/2)),-IF(circ_int,0,eq_c1/2)+(s_0+4*s_r+IF(circ_int,eq_c1/2,0))*COS(PI()/2+(((20+0.5)*(4*IF(circ_int,0,eq_c1/2)+4*IF(circ_int,0,eq_c2/2)+2*PI()*(s_0+4*s_r+IF(circ_int,eq_c1/2,0)))/INDEX(lk_legs,5))-(((2*IF(circ_int,0,eq_c2/2))+(PI()*(s_0+4*s_r+IF(circ_int,eq_c1/2,0))/2))+2*IF(circ_int,0,eq_c1/2)))/(s_0+4*s_r+IF(circ_int,eq_c1/2,0))),IF(((20+0.5)*(4*IF(circ_int,0,eq_c1/2)+4*IF(circ_int,0,eq_c2/2)+2*PI()*(s_0+4*s_r+IF(circ_int,eq_c1/2,0)))/INDEX(lk_legs,5))&lt;(((((2*IF(circ_int,0,eq_c2/2))+(PI()*(s_0+4*s_r+IF(circ_int,eq_c1/2,0))/2))+2*IF(circ_int,0,eq_c1/2))+(PI()*(s_0+4*s_r+IF(circ_int,eq_c1/2,0))/2))+2*IF(circ_int,0,eq_c2/2)),-IF(circ_int,0,eq_c1/2)-(s_0+4*s_r+IF(circ_int,eq_c1/2,0)),IF(((20+0.5)*(4*IF(circ_int,0,eq_c1/2)+4*IF(circ_int,0,eq_c2/2)+2*PI()*(s_0+4*s_r+IF(circ_int,eq_c1/2,0)))/INDEX(lk_legs,5))&lt;((((((2*IF(circ_int,0,eq_c2/2))+(PI()*(s_0+4*s_r+IF(circ_int,eq_c1/2,0))/2))+2*IF(circ_int,0,eq_c1/2))+(PI()*(s_0+4*s_r+IF(circ_int,eq_c1/2,0))/2))+2*IF(circ_int,0,eq_c2/2))+(PI()*(s_0+4*s_r+IF(circ_int,eq_c1/2,0))/2)),-IF(circ_int,0,eq_c1/2)+(s_0+4*s_r+IF(circ_int,eq_c1/2,0))*COS(PI()+(((20+0.5)*(4*IF(circ_int,0,eq_c1/2)+4*IF(circ_int,0,eq_c2/2)+2*PI()*(s_0+4*s_r+IF(circ_int,eq_c1/2,0)))/INDEX(lk_legs,5))-(((((2*IF(circ_int,0,eq_c2/2))+(PI()*(s_0+4*s_r+IF(circ_int,eq_c1/2,0))/2))+2*IF(circ_int,0,eq_c1/2))+(PI()*(s_0+4*s_r+IF(circ_int,eq_c1/2,0))/2))+2*IF(circ_int,0,eq_c2/2)))/(s_0+4*s_r+IF(circ_int,eq_c1/2,0))),IF(((20+0.5)*(4*IF(circ_int,0,eq_c1/2)+4*IF(circ_int,0,eq_c2/2)+2*PI()*(s_0+4*s_r+IF(circ_int,eq_c1/2,0)))/INDEX(lk_legs,5))&lt;(((((((2*IF(circ_int,0,eq_c2/2))+(PI()*(s_0+4*s_r+IF(circ_int,eq_c1/2,0))/2))+2*IF(circ_int,0,eq_c1/2))+(PI()*(s_0+4*s_r+IF(circ_int,eq_c1/2,0))/2))+2*IF(circ_int,0,eq_c2/2))+(PI()*(s_0+4*s_r+IF(circ_int,eq_c1/2,0))/2))+2*IF(circ_int,0,eq_c1/2)),-IF(circ_int,0,eq_c1/2)+(((20+0.5)*(4*IF(circ_int,0,eq_c1/2)+4*IF(circ_int,0,eq_c2/2)+2*PI()*(s_0+4*s_r+IF(circ_int,eq_c1/2,0)))/INDEX(lk_legs,5))-((((((2*IF(circ_int,0,eq_c2/2))+(PI()*(s_0+4*s_r+IF(circ_int,eq_c1/2,0))/2))+2*IF(circ_int,0,eq_c1/2))+(PI()*(s_0+4*s_r+IF(circ_int,eq_c1/2,0))/2))+2*IF(circ_int,0,eq_c2/2))+(PI()*(s_0+4*s_r+IF(circ_int,eq_c1/2,0))/2))),IF(circ_int,0,eq_c1/2)+(s_0+4*s_r+IF(circ_int,eq_c1/2,0))*COS(3*PI()/2+(((20+0.5)*(4*IF(circ_int,0,eq_c1/2)+4*IF(circ_int,0,eq_c2/2)+2*PI()*(s_0+4*s_r+IF(circ_int,eq_c1/2,0)))/INDEX(lk_legs,5))-(((((((2*IF(circ_int,0,eq_c2/2))+(PI()*(s_0+4*s_r+IF(circ_int,eq_c1/2,0))/2))+2*IF(circ_int,0,eq_c1/2))+(PI()*(s_0+4*s_r+IF(circ_int,eq_c1/2,0))/2))+2*IF(circ_int,0,eq_c2/2))+(PI()*(s_0+4*s_r+IF(circ_int,eq_c1/2,0))/2))+2*IF(circ_int,0,eq_c1/2)))/(s_0+4*s_r+IF(circ_int,eq_c1/2,0)))))))))),NA())</f>
        <v/>
      </c>
      <c r="BY23">
        <f>IF(AND(AND(links_on,5&lt;=n_per),INDEX(lk_kind,5)=1,20&lt;INDEX(lk_legs,5)),g_oy+IF(((20+0.5)*(4*IF(circ_int,0,eq_c1/2)+4*IF(circ_int,0,eq_c2/2)+2*PI()*(s_0+4*s_r+IF(circ_int,eq_c1/2,0)))/INDEX(lk_legs,5))&lt;(2*IF(circ_int,0,eq_c2/2)),-IF(circ_int,0,eq_c2/2)+((20+0.5)*(4*IF(circ_int,0,eq_c1/2)+4*IF(circ_int,0,eq_c2/2)+2*PI()*(s_0+4*s_r+IF(circ_int,eq_c1/2,0)))/INDEX(lk_legs,5)),IF(((20+0.5)*(4*IF(circ_int,0,eq_c1/2)+4*IF(circ_int,0,eq_c2/2)+2*PI()*(s_0+4*s_r+IF(circ_int,eq_c1/2,0)))/INDEX(lk_legs,5))&lt;((2*IF(circ_int,0,eq_c2/2))+(PI()*(s_0+4*s_r+IF(circ_int,eq_c1/2,0))/2)),IF(circ_int,0,eq_c2/2)+(s_0+4*s_r+IF(circ_int,eq_c1/2,0))*SIN((((20+0.5)*(4*IF(circ_int,0,eq_c1/2)+4*IF(circ_int,0,eq_c2/2)+2*PI()*(s_0+4*s_r+IF(circ_int,eq_c1/2,0)))/INDEX(lk_legs,5))-(2*IF(circ_int,0,eq_c2/2)))/(s_0+4*s_r+IF(circ_int,eq_c1/2,0))),IF(((20+0.5)*(4*IF(circ_int,0,eq_c1/2)+4*IF(circ_int,0,eq_c2/2)+2*PI()*(s_0+4*s_r+IF(circ_int,eq_c1/2,0)))/INDEX(lk_legs,5))&lt;(((2*IF(circ_int,0,eq_c2/2))+(PI()*(s_0+4*s_r+IF(circ_int,eq_c1/2,0))/2))+2*IF(circ_int,0,eq_c1/2)),IF(circ_int,0,eq_c2/2)+(s_0+4*s_r+IF(circ_int,eq_c1/2,0)),IF(((20+0.5)*(4*IF(circ_int,0,eq_c1/2)+4*IF(circ_int,0,eq_c2/2)+2*PI()*(s_0+4*s_r+IF(circ_int,eq_c1/2,0)))/INDEX(lk_legs,5))&lt;((((2*IF(circ_int,0,eq_c2/2))+(PI()*(s_0+4*s_r+IF(circ_int,eq_c1/2,0))/2))+2*IF(circ_int,0,eq_c1/2))+(PI()*(s_0+4*s_r+IF(circ_int,eq_c1/2,0))/2)),IF(circ_int,0,eq_c2/2)+(s_0+4*s_r+IF(circ_int,eq_c1/2,0))*SIN(PI()/2+(((20+0.5)*(4*IF(circ_int,0,eq_c1/2)+4*IF(circ_int,0,eq_c2/2)+2*PI()*(s_0+4*s_r+IF(circ_int,eq_c1/2,0)))/INDEX(lk_legs,5))-(((2*IF(circ_int,0,eq_c2/2))+(PI()*(s_0+4*s_r+IF(circ_int,eq_c1/2,0))/2))+2*IF(circ_int,0,eq_c1/2)))/(s_0+4*s_r+IF(circ_int,eq_c1/2,0))),IF(((20+0.5)*(4*IF(circ_int,0,eq_c1/2)+4*IF(circ_int,0,eq_c2/2)+2*PI()*(s_0+4*s_r+IF(circ_int,eq_c1/2,0)))/INDEX(lk_legs,5))&lt;(((((2*IF(circ_int,0,eq_c2/2))+(PI()*(s_0+4*s_r+IF(circ_int,eq_c1/2,0))/2))+2*IF(circ_int,0,eq_c1/2))+(PI()*(s_0+4*s_r+IF(circ_int,eq_c1/2,0))/2))+2*IF(circ_int,0,eq_c2/2)),IF(circ_int,0,eq_c2/2)-(((20+0.5)*(4*IF(circ_int,0,eq_c1/2)+4*IF(circ_int,0,eq_c2/2)+2*PI()*(s_0+4*s_r+IF(circ_int,eq_c1/2,0)))/INDEX(lk_legs,5))-((((2*IF(circ_int,0,eq_c2/2))+(PI()*(s_0+4*s_r+IF(circ_int,eq_c1/2,0))/2))+2*IF(circ_int,0,eq_c1/2))+(PI()*(s_0+4*s_r+IF(circ_int,eq_c1/2,0))/2))),IF(((20+0.5)*(4*IF(circ_int,0,eq_c1/2)+4*IF(circ_int,0,eq_c2/2)+2*PI()*(s_0+4*s_r+IF(circ_int,eq_c1/2,0)))/INDEX(lk_legs,5))&lt;((((((2*IF(circ_int,0,eq_c2/2))+(PI()*(s_0+4*s_r+IF(circ_int,eq_c1/2,0))/2))+2*IF(circ_int,0,eq_c1/2))+(PI()*(s_0+4*s_r+IF(circ_int,eq_c1/2,0))/2))+2*IF(circ_int,0,eq_c2/2))+(PI()*(s_0+4*s_r+IF(circ_int,eq_c1/2,0))/2)),-IF(circ_int,0,eq_c2/2)+(s_0+4*s_r+IF(circ_int,eq_c1/2,0))*SIN(PI()+(((20+0.5)*(4*IF(circ_int,0,eq_c1/2)+4*IF(circ_int,0,eq_c2/2)+2*PI()*(s_0+4*s_r+IF(circ_int,eq_c1/2,0)))/INDEX(lk_legs,5))-(((((2*IF(circ_int,0,eq_c2/2))+(PI()*(s_0+4*s_r+IF(circ_int,eq_c1/2,0))/2))+2*IF(circ_int,0,eq_c1/2))+(PI()*(s_0+4*s_r+IF(circ_int,eq_c1/2,0))/2))+2*IF(circ_int,0,eq_c2/2)))/(s_0+4*s_r+IF(circ_int,eq_c1/2,0))),IF(((20+0.5)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(20+0.5)*(4*IF(circ_int,0,eq_c1/2)+4*IF(circ_int,0,eq_c2/2)+2*PI()*(s_0+4*s_r+IF(circ_int,eq_c1/2,0)))/INDEX(lk_legs,5))-(((((((2*IF(circ_int,0,eq_c2/2))+(PI()*(s_0+4*s_r+IF(circ_int,eq_c1/2,0))/2))+2*IF(circ_int,0,eq_c1/2))+(PI()*(s_0+4*s_r+IF(circ_int,eq_c1/2,0))/2))+2*IF(circ_int,0,eq_c2/2))+(PI()*(s_0+4*s_r+IF(circ_int,eq_c1/2,0))/2))+2*IF(circ_int,0,eq_c1/2)))/(s_0+4*s_r+IF(circ_int,eq_c1/2,0)))))))))),NA())</f>
        <v/>
      </c>
      <c r="CA23">
        <f>IF(AND(links_on,6&lt;=n_per),IF(circ_int,(g_ox)+(c_1/2+(s_0+5*s_r))*-0.748511,CHOOSE(INDEX(lk_kind,6),(g_ox-eq_c1/2)+((s_0+5*s_r))*-0.793353,(eq_a1+eq_c1)+((s_0+5*s_r))*0.707107,eq_a1+eq_c1+(s_0+5*s_r),(eq_a1+eq_c1)+((s_0+5*s_r))*0.707107)),NA())</f>
        <v/>
      </c>
      <c r="CB23">
        <f>IF(AND(links_on,6&lt;=n_per),IF(circ_int,(g_oy)+(c_1/2+(s_0+5*s_r))*0.663123,CHOOSE(INDEX(lk_kind,6),(g_oy+eq_c2/2)+((s_0+5*s_r))*0.608761,(g_oy-eq_c2/2)+((s_0+5*s_r))*-0.707107,0,(eq_a2+eq_c2)+((s_0+5*s_r))*0.707107)),NA())</f>
        <v/>
      </c>
      <c r="CD23">
        <f>IF(AND(AND(links_on,6&lt;=n_per),INDEX(lk_kind,6)=1,20&lt;INDEX(lk_legs,6)),g_ox+IF(((20+0.5)*(4*IF(circ_int,0,eq_c1/2)+4*IF(circ_int,0,eq_c2/2)+2*PI()*(s_0+5*s_r+IF(circ_int,eq_c1/2,0)))/INDEX(lk_legs,6))&lt;(2*IF(circ_int,0,eq_c2/2)),IF(circ_int,0,eq_c1/2)+(s_0+5*s_r+IF(circ_int,eq_c1/2,0)),IF(((20+0.5)*(4*IF(circ_int,0,eq_c1/2)+4*IF(circ_int,0,eq_c2/2)+2*PI()*(s_0+5*s_r+IF(circ_int,eq_c1/2,0)))/INDEX(lk_legs,6))&lt;((2*IF(circ_int,0,eq_c2/2))+(PI()*(s_0+5*s_r+IF(circ_int,eq_c1/2,0))/2)),IF(circ_int,0,eq_c1/2)+(s_0+5*s_r+IF(circ_int,eq_c1/2,0))*COS((((20+0.5)*(4*IF(circ_int,0,eq_c1/2)+4*IF(circ_int,0,eq_c2/2)+2*PI()*(s_0+5*s_r+IF(circ_int,eq_c1/2,0)))/INDEX(lk_legs,6))-(2*IF(circ_int,0,eq_c2/2)))/(s_0+5*s_r+IF(circ_int,eq_c1/2,0))),IF(((20+0.5)*(4*IF(circ_int,0,eq_c1/2)+4*IF(circ_int,0,eq_c2/2)+2*PI()*(s_0+5*s_r+IF(circ_int,eq_c1/2,0)))/INDEX(lk_legs,6))&lt;(((2*IF(circ_int,0,eq_c2/2))+(PI()*(s_0+5*s_r+IF(circ_int,eq_c1/2,0))/2))+2*IF(circ_int,0,eq_c1/2)),IF(circ_int,0,eq_c1/2)-(((20+0.5)*(4*IF(circ_int,0,eq_c1/2)+4*IF(circ_int,0,eq_c2/2)+2*PI()*(s_0+5*s_r+IF(circ_int,eq_c1/2,0)))/INDEX(lk_legs,6))-((2*IF(circ_int,0,eq_c2/2))+(PI()*(s_0+5*s_r+IF(circ_int,eq_c1/2,0))/2))),IF(((20+0.5)*(4*IF(circ_int,0,eq_c1/2)+4*IF(circ_int,0,eq_c2/2)+2*PI()*(s_0+5*s_r+IF(circ_int,eq_c1/2,0)))/INDEX(lk_legs,6))&lt;((((2*IF(circ_int,0,eq_c2/2))+(PI()*(s_0+5*s_r+IF(circ_int,eq_c1/2,0))/2))+2*IF(circ_int,0,eq_c1/2))+(PI()*(s_0+5*s_r+IF(circ_int,eq_c1/2,0))/2)),-IF(circ_int,0,eq_c1/2)+(s_0+5*s_r+IF(circ_int,eq_c1/2,0))*COS(PI()/2+(((20+0.5)*(4*IF(circ_int,0,eq_c1/2)+4*IF(circ_int,0,eq_c2/2)+2*PI()*(s_0+5*s_r+IF(circ_int,eq_c1/2,0)))/INDEX(lk_legs,6))-(((2*IF(circ_int,0,eq_c2/2))+(PI()*(s_0+5*s_r+IF(circ_int,eq_c1/2,0))/2))+2*IF(circ_int,0,eq_c1/2)))/(s_0+5*s_r+IF(circ_int,eq_c1/2,0))),IF(((20+0.5)*(4*IF(circ_int,0,eq_c1/2)+4*IF(circ_int,0,eq_c2/2)+2*PI()*(s_0+5*s_r+IF(circ_int,eq_c1/2,0)))/INDEX(lk_legs,6))&lt;(((((2*IF(circ_int,0,eq_c2/2))+(PI()*(s_0+5*s_r+IF(circ_int,eq_c1/2,0))/2))+2*IF(circ_int,0,eq_c1/2))+(PI()*(s_0+5*s_r+IF(circ_int,eq_c1/2,0))/2))+2*IF(circ_int,0,eq_c2/2)),-IF(circ_int,0,eq_c1/2)-(s_0+5*s_r+IF(circ_int,eq_c1/2,0)),IF(((20+0.5)*(4*IF(circ_int,0,eq_c1/2)+4*IF(circ_int,0,eq_c2/2)+2*PI()*(s_0+5*s_r+IF(circ_int,eq_c1/2,0)))/INDEX(lk_legs,6))&lt;((((((2*IF(circ_int,0,eq_c2/2))+(PI()*(s_0+5*s_r+IF(circ_int,eq_c1/2,0))/2))+2*IF(circ_int,0,eq_c1/2))+(PI()*(s_0+5*s_r+IF(circ_int,eq_c1/2,0))/2))+2*IF(circ_int,0,eq_c2/2))+(PI()*(s_0+5*s_r+IF(circ_int,eq_c1/2,0))/2)),-IF(circ_int,0,eq_c1/2)+(s_0+5*s_r+IF(circ_int,eq_c1/2,0))*COS(PI()+(((20+0.5)*(4*IF(circ_int,0,eq_c1/2)+4*IF(circ_int,0,eq_c2/2)+2*PI()*(s_0+5*s_r+IF(circ_int,eq_c1/2,0)))/INDEX(lk_legs,6))-(((((2*IF(circ_int,0,eq_c2/2))+(PI()*(s_0+5*s_r+IF(circ_int,eq_c1/2,0))/2))+2*IF(circ_int,0,eq_c1/2))+(PI()*(s_0+5*s_r+IF(circ_int,eq_c1/2,0))/2))+2*IF(circ_int,0,eq_c2/2)))/(s_0+5*s_r+IF(circ_int,eq_c1/2,0))),IF(((20+0.5)*(4*IF(circ_int,0,eq_c1/2)+4*IF(circ_int,0,eq_c2/2)+2*PI()*(s_0+5*s_r+IF(circ_int,eq_c1/2,0)))/INDEX(lk_legs,6))&lt;(((((((2*IF(circ_int,0,eq_c2/2))+(PI()*(s_0+5*s_r+IF(circ_int,eq_c1/2,0))/2))+2*IF(circ_int,0,eq_c1/2))+(PI()*(s_0+5*s_r+IF(circ_int,eq_c1/2,0))/2))+2*IF(circ_int,0,eq_c2/2))+(PI()*(s_0+5*s_r+IF(circ_int,eq_c1/2,0))/2))+2*IF(circ_int,0,eq_c1/2)),-IF(circ_int,0,eq_c1/2)+(((20+0.5)*(4*IF(circ_int,0,eq_c1/2)+4*IF(circ_int,0,eq_c2/2)+2*PI()*(s_0+5*s_r+IF(circ_int,eq_c1/2,0)))/INDEX(lk_legs,6))-((((((2*IF(circ_int,0,eq_c2/2))+(PI()*(s_0+5*s_r+IF(circ_int,eq_c1/2,0))/2))+2*IF(circ_int,0,eq_c1/2))+(PI()*(s_0+5*s_r+IF(circ_int,eq_c1/2,0))/2))+2*IF(circ_int,0,eq_c2/2))+(PI()*(s_0+5*s_r+IF(circ_int,eq_c1/2,0))/2))),IF(circ_int,0,eq_c1/2)+(s_0+5*s_r+IF(circ_int,eq_c1/2,0))*COS(3*PI()/2+(((20+0.5)*(4*IF(circ_int,0,eq_c1/2)+4*IF(circ_int,0,eq_c2/2)+2*PI()*(s_0+5*s_r+IF(circ_int,eq_c1/2,0)))/INDEX(lk_legs,6))-(((((((2*IF(circ_int,0,eq_c2/2))+(PI()*(s_0+5*s_r+IF(circ_int,eq_c1/2,0))/2))+2*IF(circ_int,0,eq_c1/2))+(PI()*(s_0+5*s_r+IF(circ_int,eq_c1/2,0))/2))+2*IF(circ_int,0,eq_c2/2))+(PI()*(s_0+5*s_r+IF(circ_int,eq_c1/2,0))/2))+2*IF(circ_int,0,eq_c1/2)))/(s_0+5*s_r+IF(circ_int,eq_c1/2,0)))))))))),NA())</f>
        <v/>
      </c>
      <c r="CE23">
        <f>IF(AND(AND(links_on,6&lt;=n_per),INDEX(lk_kind,6)=1,20&lt;INDEX(lk_legs,6)),g_oy+IF(((20+0.5)*(4*IF(circ_int,0,eq_c1/2)+4*IF(circ_int,0,eq_c2/2)+2*PI()*(s_0+5*s_r+IF(circ_int,eq_c1/2,0)))/INDEX(lk_legs,6))&lt;(2*IF(circ_int,0,eq_c2/2)),-IF(circ_int,0,eq_c2/2)+((20+0.5)*(4*IF(circ_int,0,eq_c1/2)+4*IF(circ_int,0,eq_c2/2)+2*PI()*(s_0+5*s_r+IF(circ_int,eq_c1/2,0)))/INDEX(lk_legs,6)),IF(((20+0.5)*(4*IF(circ_int,0,eq_c1/2)+4*IF(circ_int,0,eq_c2/2)+2*PI()*(s_0+5*s_r+IF(circ_int,eq_c1/2,0)))/INDEX(lk_legs,6))&lt;((2*IF(circ_int,0,eq_c2/2))+(PI()*(s_0+5*s_r+IF(circ_int,eq_c1/2,0))/2)),IF(circ_int,0,eq_c2/2)+(s_0+5*s_r+IF(circ_int,eq_c1/2,0))*SIN((((20+0.5)*(4*IF(circ_int,0,eq_c1/2)+4*IF(circ_int,0,eq_c2/2)+2*PI()*(s_0+5*s_r+IF(circ_int,eq_c1/2,0)))/INDEX(lk_legs,6))-(2*IF(circ_int,0,eq_c2/2)))/(s_0+5*s_r+IF(circ_int,eq_c1/2,0))),IF(((20+0.5)*(4*IF(circ_int,0,eq_c1/2)+4*IF(circ_int,0,eq_c2/2)+2*PI()*(s_0+5*s_r+IF(circ_int,eq_c1/2,0)))/INDEX(lk_legs,6))&lt;(((2*IF(circ_int,0,eq_c2/2))+(PI()*(s_0+5*s_r+IF(circ_int,eq_c1/2,0))/2))+2*IF(circ_int,0,eq_c1/2)),IF(circ_int,0,eq_c2/2)+(s_0+5*s_r+IF(circ_int,eq_c1/2,0)),IF(((20+0.5)*(4*IF(circ_int,0,eq_c1/2)+4*IF(circ_int,0,eq_c2/2)+2*PI()*(s_0+5*s_r+IF(circ_int,eq_c1/2,0)))/INDEX(lk_legs,6))&lt;((((2*IF(circ_int,0,eq_c2/2))+(PI()*(s_0+5*s_r+IF(circ_int,eq_c1/2,0))/2))+2*IF(circ_int,0,eq_c1/2))+(PI()*(s_0+5*s_r+IF(circ_int,eq_c1/2,0))/2)),IF(circ_int,0,eq_c2/2)+(s_0+5*s_r+IF(circ_int,eq_c1/2,0))*SIN(PI()/2+(((20+0.5)*(4*IF(circ_int,0,eq_c1/2)+4*IF(circ_int,0,eq_c2/2)+2*PI()*(s_0+5*s_r+IF(circ_int,eq_c1/2,0)))/INDEX(lk_legs,6))-(((2*IF(circ_int,0,eq_c2/2))+(PI()*(s_0+5*s_r+IF(circ_int,eq_c1/2,0))/2))+2*IF(circ_int,0,eq_c1/2)))/(s_0+5*s_r+IF(circ_int,eq_c1/2,0))),IF(((20+0.5)*(4*IF(circ_int,0,eq_c1/2)+4*IF(circ_int,0,eq_c2/2)+2*PI()*(s_0+5*s_r+IF(circ_int,eq_c1/2,0)))/INDEX(lk_legs,6))&lt;(((((2*IF(circ_int,0,eq_c2/2))+(PI()*(s_0+5*s_r+IF(circ_int,eq_c1/2,0))/2))+2*IF(circ_int,0,eq_c1/2))+(PI()*(s_0+5*s_r+IF(circ_int,eq_c1/2,0))/2))+2*IF(circ_int,0,eq_c2/2)),IF(circ_int,0,eq_c2/2)-(((20+0.5)*(4*IF(circ_int,0,eq_c1/2)+4*IF(circ_int,0,eq_c2/2)+2*PI()*(s_0+5*s_r+IF(circ_int,eq_c1/2,0)))/INDEX(lk_legs,6))-((((2*IF(circ_int,0,eq_c2/2))+(PI()*(s_0+5*s_r+IF(circ_int,eq_c1/2,0))/2))+2*IF(circ_int,0,eq_c1/2))+(PI()*(s_0+5*s_r+IF(circ_int,eq_c1/2,0))/2))),IF(((20+0.5)*(4*IF(circ_int,0,eq_c1/2)+4*IF(circ_int,0,eq_c2/2)+2*PI()*(s_0+5*s_r+IF(circ_int,eq_c1/2,0)))/INDEX(lk_legs,6))&lt;((((((2*IF(circ_int,0,eq_c2/2))+(PI()*(s_0+5*s_r+IF(circ_int,eq_c1/2,0))/2))+2*IF(circ_int,0,eq_c1/2))+(PI()*(s_0+5*s_r+IF(circ_int,eq_c1/2,0))/2))+2*IF(circ_int,0,eq_c2/2))+(PI()*(s_0+5*s_r+IF(circ_int,eq_c1/2,0))/2)),-IF(circ_int,0,eq_c2/2)+(s_0+5*s_r+IF(circ_int,eq_c1/2,0))*SIN(PI()+(((20+0.5)*(4*IF(circ_int,0,eq_c1/2)+4*IF(circ_int,0,eq_c2/2)+2*PI()*(s_0+5*s_r+IF(circ_int,eq_c1/2,0)))/INDEX(lk_legs,6))-(((((2*IF(circ_int,0,eq_c2/2))+(PI()*(s_0+5*s_r+IF(circ_int,eq_c1/2,0))/2))+2*IF(circ_int,0,eq_c1/2))+(PI()*(s_0+5*s_r+IF(circ_int,eq_c1/2,0))/2))+2*IF(circ_int,0,eq_c2/2)))/(s_0+5*s_r+IF(circ_int,eq_c1/2,0))),IF(((20+0.5)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(20+0.5)*(4*IF(circ_int,0,eq_c1/2)+4*IF(circ_int,0,eq_c2/2)+2*PI()*(s_0+5*s_r+IF(circ_int,eq_c1/2,0)))/INDEX(lk_legs,6))-(((((((2*IF(circ_int,0,eq_c2/2))+(PI()*(s_0+5*s_r+IF(circ_int,eq_c1/2,0))/2))+2*IF(circ_int,0,eq_c1/2))+(PI()*(s_0+5*s_r+IF(circ_int,eq_c1/2,0))/2))+2*IF(circ_int,0,eq_c2/2))+(PI()*(s_0+5*s_r+IF(circ_int,eq_c1/2,0))/2))+2*IF(circ_int,0,eq_c1/2)))/(s_0+5*s_r+IF(circ_int,eq_c1/2,0)))))))))),NA())</f>
        <v/>
      </c>
      <c r="CG23">
        <f>IF(AND(links_on,7&lt;=n_per),IF(circ_int,(g_ox)+(c_1/2+(s_0+6*s_r))*-0.748511,CHOOSE(INDEX(lk_kind,7),(g_ox-eq_c1/2)+((s_0+6*s_r))*-0.793353,(eq_a1+eq_c1)+((s_0+6*s_r))*0.707107,eq_a1+eq_c1+(s_0+6*s_r),(eq_a1+eq_c1)+((s_0+6*s_r))*0.707107)),NA())</f>
        <v/>
      </c>
      <c r="CH23">
        <f>IF(AND(links_on,7&lt;=n_per),IF(circ_int,(g_oy)+(c_1/2+(s_0+6*s_r))*0.663123,CHOOSE(INDEX(lk_kind,7),(g_oy+eq_c2/2)+((s_0+6*s_r))*0.608761,(g_oy-eq_c2/2)+((s_0+6*s_r))*-0.707107,0,(eq_a2+eq_c2)+((s_0+6*s_r))*0.707107)),NA())</f>
        <v/>
      </c>
      <c r="CJ23">
        <f>IF(AND(AND(links_on,7&lt;=n_per),INDEX(lk_kind,7)=1,20&lt;INDEX(lk_legs,7)),g_ox+IF(((20+0.5)*(4*IF(circ_int,0,eq_c1/2)+4*IF(circ_int,0,eq_c2/2)+2*PI()*(s_0+6*s_r+IF(circ_int,eq_c1/2,0)))/INDEX(lk_legs,7))&lt;(2*IF(circ_int,0,eq_c2/2)),IF(circ_int,0,eq_c1/2)+(s_0+6*s_r+IF(circ_int,eq_c1/2,0)),IF(((20+0.5)*(4*IF(circ_int,0,eq_c1/2)+4*IF(circ_int,0,eq_c2/2)+2*PI()*(s_0+6*s_r+IF(circ_int,eq_c1/2,0)))/INDEX(lk_legs,7))&lt;((2*IF(circ_int,0,eq_c2/2))+(PI()*(s_0+6*s_r+IF(circ_int,eq_c1/2,0))/2)),IF(circ_int,0,eq_c1/2)+(s_0+6*s_r+IF(circ_int,eq_c1/2,0))*COS((((20+0.5)*(4*IF(circ_int,0,eq_c1/2)+4*IF(circ_int,0,eq_c2/2)+2*PI()*(s_0+6*s_r+IF(circ_int,eq_c1/2,0)))/INDEX(lk_legs,7))-(2*IF(circ_int,0,eq_c2/2)))/(s_0+6*s_r+IF(circ_int,eq_c1/2,0))),IF(((20+0.5)*(4*IF(circ_int,0,eq_c1/2)+4*IF(circ_int,0,eq_c2/2)+2*PI()*(s_0+6*s_r+IF(circ_int,eq_c1/2,0)))/INDEX(lk_legs,7))&lt;(((2*IF(circ_int,0,eq_c2/2))+(PI()*(s_0+6*s_r+IF(circ_int,eq_c1/2,0))/2))+2*IF(circ_int,0,eq_c1/2)),IF(circ_int,0,eq_c1/2)-(((20+0.5)*(4*IF(circ_int,0,eq_c1/2)+4*IF(circ_int,0,eq_c2/2)+2*PI()*(s_0+6*s_r+IF(circ_int,eq_c1/2,0)))/INDEX(lk_legs,7))-((2*IF(circ_int,0,eq_c2/2))+(PI()*(s_0+6*s_r+IF(circ_int,eq_c1/2,0))/2))),IF(((20+0.5)*(4*IF(circ_int,0,eq_c1/2)+4*IF(circ_int,0,eq_c2/2)+2*PI()*(s_0+6*s_r+IF(circ_int,eq_c1/2,0)))/INDEX(lk_legs,7))&lt;((((2*IF(circ_int,0,eq_c2/2))+(PI()*(s_0+6*s_r+IF(circ_int,eq_c1/2,0))/2))+2*IF(circ_int,0,eq_c1/2))+(PI()*(s_0+6*s_r+IF(circ_int,eq_c1/2,0))/2)),-IF(circ_int,0,eq_c1/2)+(s_0+6*s_r+IF(circ_int,eq_c1/2,0))*COS(PI()/2+(((20+0.5)*(4*IF(circ_int,0,eq_c1/2)+4*IF(circ_int,0,eq_c2/2)+2*PI()*(s_0+6*s_r+IF(circ_int,eq_c1/2,0)))/INDEX(lk_legs,7))-(((2*IF(circ_int,0,eq_c2/2))+(PI()*(s_0+6*s_r+IF(circ_int,eq_c1/2,0))/2))+2*IF(circ_int,0,eq_c1/2)))/(s_0+6*s_r+IF(circ_int,eq_c1/2,0))),IF(((20+0.5)*(4*IF(circ_int,0,eq_c1/2)+4*IF(circ_int,0,eq_c2/2)+2*PI()*(s_0+6*s_r+IF(circ_int,eq_c1/2,0)))/INDEX(lk_legs,7))&lt;(((((2*IF(circ_int,0,eq_c2/2))+(PI()*(s_0+6*s_r+IF(circ_int,eq_c1/2,0))/2))+2*IF(circ_int,0,eq_c1/2))+(PI()*(s_0+6*s_r+IF(circ_int,eq_c1/2,0))/2))+2*IF(circ_int,0,eq_c2/2)),-IF(circ_int,0,eq_c1/2)-(s_0+6*s_r+IF(circ_int,eq_c1/2,0)),IF(((20+0.5)*(4*IF(circ_int,0,eq_c1/2)+4*IF(circ_int,0,eq_c2/2)+2*PI()*(s_0+6*s_r+IF(circ_int,eq_c1/2,0)))/INDEX(lk_legs,7))&lt;((((((2*IF(circ_int,0,eq_c2/2))+(PI()*(s_0+6*s_r+IF(circ_int,eq_c1/2,0))/2))+2*IF(circ_int,0,eq_c1/2))+(PI()*(s_0+6*s_r+IF(circ_int,eq_c1/2,0))/2))+2*IF(circ_int,0,eq_c2/2))+(PI()*(s_0+6*s_r+IF(circ_int,eq_c1/2,0))/2)),-IF(circ_int,0,eq_c1/2)+(s_0+6*s_r+IF(circ_int,eq_c1/2,0))*COS(PI()+(((20+0.5)*(4*IF(circ_int,0,eq_c1/2)+4*IF(circ_int,0,eq_c2/2)+2*PI()*(s_0+6*s_r+IF(circ_int,eq_c1/2,0)))/INDEX(lk_legs,7))-(((((2*IF(circ_int,0,eq_c2/2))+(PI()*(s_0+6*s_r+IF(circ_int,eq_c1/2,0))/2))+2*IF(circ_int,0,eq_c1/2))+(PI()*(s_0+6*s_r+IF(circ_int,eq_c1/2,0))/2))+2*IF(circ_int,0,eq_c2/2)))/(s_0+6*s_r+IF(circ_int,eq_c1/2,0))),IF(((20+0.5)*(4*IF(circ_int,0,eq_c1/2)+4*IF(circ_int,0,eq_c2/2)+2*PI()*(s_0+6*s_r+IF(circ_int,eq_c1/2,0)))/INDEX(lk_legs,7))&lt;(((((((2*IF(circ_int,0,eq_c2/2))+(PI()*(s_0+6*s_r+IF(circ_int,eq_c1/2,0))/2))+2*IF(circ_int,0,eq_c1/2))+(PI()*(s_0+6*s_r+IF(circ_int,eq_c1/2,0))/2))+2*IF(circ_int,0,eq_c2/2))+(PI()*(s_0+6*s_r+IF(circ_int,eq_c1/2,0))/2))+2*IF(circ_int,0,eq_c1/2)),-IF(circ_int,0,eq_c1/2)+(((20+0.5)*(4*IF(circ_int,0,eq_c1/2)+4*IF(circ_int,0,eq_c2/2)+2*PI()*(s_0+6*s_r+IF(circ_int,eq_c1/2,0)))/INDEX(lk_legs,7))-((((((2*IF(circ_int,0,eq_c2/2))+(PI()*(s_0+6*s_r+IF(circ_int,eq_c1/2,0))/2))+2*IF(circ_int,0,eq_c1/2))+(PI()*(s_0+6*s_r+IF(circ_int,eq_c1/2,0))/2))+2*IF(circ_int,0,eq_c2/2))+(PI()*(s_0+6*s_r+IF(circ_int,eq_c1/2,0))/2))),IF(circ_int,0,eq_c1/2)+(s_0+6*s_r+IF(circ_int,eq_c1/2,0))*COS(3*PI()/2+(((20+0.5)*(4*IF(circ_int,0,eq_c1/2)+4*IF(circ_int,0,eq_c2/2)+2*PI()*(s_0+6*s_r+IF(circ_int,eq_c1/2,0)))/INDEX(lk_legs,7))-(((((((2*IF(circ_int,0,eq_c2/2))+(PI()*(s_0+6*s_r+IF(circ_int,eq_c1/2,0))/2))+2*IF(circ_int,0,eq_c1/2))+(PI()*(s_0+6*s_r+IF(circ_int,eq_c1/2,0))/2))+2*IF(circ_int,0,eq_c2/2))+(PI()*(s_0+6*s_r+IF(circ_int,eq_c1/2,0))/2))+2*IF(circ_int,0,eq_c1/2)))/(s_0+6*s_r+IF(circ_int,eq_c1/2,0)))))))))),NA())</f>
        <v/>
      </c>
      <c r="CK23">
        <f>IF(AND(AND(links_on,7&lt;=n_per),INDEX(lk_kind,7)=1,20&lt;INDEX(lk_legs,7)),g_oy+IF(((20+0.5)*(4*IF(circ_int,0,eq_c1/2)+4*IF(circ_int,0,eq_c2/2)+2*PI()*(s_0+6*s_r+IF(circ_int,eq_c1/2,0)))/INDEX(lk_legs,7))&lt;(2*IF(circ_int,0,eq_c2/2)),-IF(circ_int,0,eq_c2/2)+((20+0.5)*(4*IF(circ_int,0,eq_c1/2)+4*IF(circ_int,0,eq_c2/2)+2*PI()*(s_0+6*s_r+IF(circ_int,eq_c1/2,0)))/INDEX(lk_legs,7)),IF(((20+0.5)*(4*IF(circ_int,0,eq_c1/2)+4*IF(circ_int,0,eq_c2/2)+2*PI()*(s_0+6*s_r+IF(circ_int,eq_c1/2,0)))/INDEX(lk_legs,7))&lt;((2*IF(circ_int,0,eq_c2/2))+(PI()*(s_0+6*s_r+IF(circ_int,eq_c1/2,0))/2)),IF(circ_int,0,eq_c2/2)+(s_0+6*s_r+IF(circ_int,eq_c1/2,0))*SIN((((20+0.5)*(4*IF(circ_int,0,eq_c1/2)+4*IF(circ_int,0,eq_c2/2)+2*PI()*(s_0+6*s_r+IF(circ_int,eq_c1/2,0)))/INDEX(lk_legs,7))-(2*IF(circ_int,0,eq_c2/2)))/(s_0+6*s_r+IF(circ_int,eq_c1/2,0))),IF(((20+0.5)*(4*IF(circ_int,0,eq_c1/2)+4*IF(circ_int,0,eq_c2/2)+2*PI()*(s_0+6*s_r+IF(circ_int,eq_c1/2,0)))/INDEX(lk_legs,7))&lt;(((2*IF(circ_int,0,eq_c2/2))+(PI()*(s_0+6*s_r+IF(circ_int,eq_c1/2,0))/2))+2*IF(circ_int,0,eq_c1/2)),IF(circ_int,0,eq_c2/2)+(s_0+6*s_r+IF(circ_int,eq_c1/2,0)),IF(((20+0.5)*(4*IF(circ_int,0,eq_c1/2)+4*IF(circ_int,0,eq_c2/2)+2*PI()*(s_0+6*s_r+IF(circ_int,eq_c1/2,0)))/INDEX(lk_legs,7))&lt;((((2*IF(circ_int,0,eq_c2/2))+(PI()*(s_0+6*s_r+IF(circ_int,eq_c1/2,0))/2))+2*IF(circ_int,0,eq_c1/2))+(PI()*(s_0+6*s_r+IF(circ_int,eq_c1/2,0))/2)),IF(circ_int,0,eq_c2/2)+(s_0+6*s_r+IF(circ_int,eq_c1/2,0))*SIN(PI()/2+(((20+0.5)*(4*IF(circ_int,0,eq_c1/2)+4*IF(circ_int,0,eq_c2/2)+2*PI()*(s_0+6*s_r+IF(circ_int,eq_c1/2,0)))/INDEX(lk_legs,7))-(((2*IF(circ_int,0,eq_c2/2))+(PI()*(s_0+6*s_r+IF(circ_int,eq_c1/2,0))/2))+2*IF(circ_int,0,eq_c1/2)))/(s_0+6*s_r+IF(circ_int,eq_c1/2,0))),IF(((20+0.5)*(4*IF(circ_int,0,eq_c1/2)+4*IF(circ_int,0,eq_c2/2)+2*PI()*(s_0+6*s_r+IF(circ_int,eq_c1/2,0)))/INDEX(lk_legs,7))&lt;(((((2*IF(circ_int,0,eq_c2/2))+(PI()*(s_0+6*s_r+IF(circ_int,eq_c1/2,0))/2))+2*IF(circ_int,0,eq_c1/2))+(PI()*(s_0+6*s_r+IF(circ_int,eq_c1/2,0))/2))+2*IF(circ_int,0,eq_c2/2)),IF(circ_int,0,eq_c2/2)-(((20+0.5)*(4*IF(circ_int,0,eq_c1/2)+4*IF(circ_int,0,eq_c2/2)+2*PI()*(s_0+6*s_r+IF(circ_int,eq_c1/2,0)))/INDEX(lk_legs,7))-((((2*IF(circ_int,0,eq_c2/2))+(PI()*(s_0+6*s_r+IF(circ_int,eq_c1/2,0))/2))+2*IF(circ_int,0,eq_c1/2))+(PI()*(s_0+6*s_r+IF(circ_int,eq_c1/2,0))/2))),IF(((20+0.5)*(4*IF(circ_int,0,eq_c1/2)+4*IF(circ_int,0,eq_c2/2)+2*PI()*(s_0+6*s_r+IF(circ_int,eq_c1/2,0)))/INDEX(lk_legs,7))&lt;((((((2*IF(circ_int,0,eq_c2/2))+(PI()*(s_0+6*s_r+IF(circ_int,eq_c1/2,0))/2))+2*IF(circ_int,0,eq_c1/2))+(PI()*(s_0+6*s_r+IF(circ_int,eq_c1/2,0))/2))+2*IF(circ_int,0,eq_c2/2))+(PI()*(s_0+6*s_r+IF(circ_int,eq_c1/2,0))/2)),-IF(circ_int,0,eq_c2/2)+(s_0+6*s_r+IF(circ_int,eq_c1/2,0))*SIN(PI()+(((20+0.5)*(4*IF(circ_int,0,eq_c1/2)+4*IF(circ_int,0,eq_c2/2)+2*PI()*(s_0+6*s_r+IF(circ_int,eq_c1/2,0)))/INDEX(lk_legs,7))-(((((2*IF(circ_int,0,eq_c2/2))+(PI()*(s_0+6*s_r+IF(circ_int,eq_c1/2,0))/2))+2*IF(circ_int,0,eq_c1/2))+(PI()*(s_0+6*s_r+IF(circ_int,eq_c1/2,0))/2))+2*IF(circ_int,0,eq_c2/2)))/(s_0+6*s_r+IF(circ_int,eq_c1/2,0))),IF(((20+0.5)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(20+0.5)*(4*IF(circ_int,0,eq_c1/2)+4*IF(circ_int,0,eq_c2/2)+2*PI()*(s_0+6*s_r+IF(circ_int,eq_c1/2,0)))/INDEX(lk_legs,7))-(((((((2*IF(circ_int,0,eq_c2/2))+(PI()*(s_0+6*s_r+IF(circ_int,eq_c1/2,0))/2))+2*IF(circ_int,0,eq_c1/2))+(PI()*(s_0+6*s_r+IF(circ_int,eq_c1/2,0))/2))+2*IF(circ_int,0,eq_c2/2))+(PI()*(s_0+6*s_r+IF(circ_int,eq_c1/2,0))/2))+2*IF(circ_int,0,eq_c1/2)))/(s_0+6*s_r+IF(circ_int,eq_c1/2,0)))))))))),NA())</f>
        <v/>
      </c>
      <c r="CM23">
        <f>IF(AND(links_on,8&lt;=n_per),IF(circ_int,(g_ox)+(c_1/2+(s_0+7*s_r))*-0.748511,CHOOSE(INDEX(lk_kind,8),(g_ox-eq_c1/2)+((s_0+7*s_r))*-0.793353,(eq_a1+eq_c1)+((s_0+7*s_r))*0.707107,eq_a1+eq_c1+(s_0+7*s_r),(eq_a1+eq_c1)+((s_0+7*s_r))*0.707107)),NA())</f>
        <v/>
      </c>
      <c r="CN23">
        <f>IF(AND(links_on,8&lt;=n_per),IF(circ_int,(g_oy)+(c_1/2+(s_0+7*s_r))*0.663123,CHOOSE(INDEX(lk_kind,8),(g_oy+eq_c2/2)+((s_0+7*s_r))*0.608761,(g_oy-eq_c2/2)+((s_0+7*s_r))*-0.707107,0,(eq_a2+eq_c2)+((s_0+7*s_r))*0.707107)),NA())</f>
        <v/>
      </c>
      <c r="CP23">
        <f>IF(AND(AND(links_on,8&lt;=n_per),INDEX(lk_kind,8)=1,20&lt;INDEX(lk_legs,8)),g_ox+IF(((20+0.5)*(4*IF(circ_int,0,eq_c1/2)+4*IF(circ_int,0,eq_c2/2)+2*PI()*(s_0+7*s_r+IF(circ_int,eq_c1/2,0)))/INDEX(lk_legs,8))&lt;(2*IF(circ_int,0,eq_c2/2)),IF(circ_int,0,eq_c1/2)+(s_0+7*s_r+IF(circ_int,eq_c1/2,0)),IF(((20+0.5)*(4*IF(circ_int,0,eq_c1/2)+4*IF(circ_int,0,eq_c2/2)+2*PI()*(s_0+7*s_r+IF(circ_int,eq_c1/2,0)))/INDEX(lk_legs,8))&lt;((2*IF(circ_int,0,eq_c2/2))+(PI()*(s_0+7*s_r+IF(circ_int,eq_c1/2,0))/2)),IF(circ_int,0,eq_c1/2)+(s_0+7*s_r+IF(circ_int,eq_c1/2,0))*COS((((20+0.5)*(4*IF(circ_int,0,eq_c1/2)+4*IF(circ_int,0,eq_c2/2)+2*PI()*(s_0+7*s_r+IF(circ_int,eq_c1/2,0)))/INDEX(lk_legs,8))-(2*IF(circ_int,0,eq_c2/2)))/(s_0+7*s_r+IF(circ_int,eq_c1/2,0))),IF(((20+0.5)*(4*IF(circ_int,0,eq_c1/2)+4*IF(circ_int,0,eq_c2/2)+2*PI()*(s_0+7*s_r+IF(circ_int,eq_c1/2,0)))/INDEX(lk_legs,8))&lt;(((2*IF(circ_int,0,eq_c2/2))+(PI()*(s_0+7*s_r+IF(circ_int,eq_c1/2,0))/2))+2*IF(circ_int,0,eq_c1/2)),IF(circ_int,0,eq_c1/2)-(((20+0.5)*(4*IF(circ_int,0,eq_c1/2)+4*IF(circ_int,0,eq_c2/2)+2*PI()*(s_0+7*s_r+IF(circ_int,eq_c1/2,0)))/INDEX(lk_legs,8))-((2*IF(circ_int,0,eq_c2/2))+(PI()*(s_0+7*s_r+IF(circ_int,eq_c1/2,0))/2))),IF(((20+0.5)*(4*IF(circ_int,0,eq_c1/2)+4*IF(circ_int,0,eq_c2/2)+2*PI()*(s_0+7*s_r+IF(circ_int,eq_c1/2,0)))/INDEX(lk_legs,8))&lt;((((2*IF(circ_int,0,eq_c2/2))+(PI()*(s_0+7*s_r+IF(circ_int,eq_c1/2,0))/2))+2*IF(circ_int,0,eq_c1/2))+(PI()*(s_0+7*s_r+IF(circ_int,eq_c1/2,0))/2)),-IF(circ_int,0,eq_c1/2)+(s_0+7*s_r+IF(circ_int,eq_c1/2,0))*COS(PI()/2+(((20+0.5)*(4*IF(circ_int,0,eq_c1/2)+4*IF(circ_int,0,eq_c2/2)+2*PI()*(s_0+7*s_r+IF(circ_int,eq_c1/2,0)))/INDEX(lk_legs,8))-(((2*IF(circ_int,0,eq_c2/2))+(PI()*(s_0+7*s_r+IF(circ_int,eq_c1/2,0))/2))+2*IF(circ_int,0,eq_c1/2)))/(s_0+7*s_r+IF(circ_int,eq_c1/2,0))),IF(((20+0.5)*(4*IF(circ_int,0,eq_c1/2)+4*IF(circ_int,0,eq_c2/2)+2*PI()*(s_0+7*s_r+IF(circ_int,eq_c1/2,0)))/INDEX(lk_legs,8))&lt;(((((2*IF(circ_int,0,eq_c2/2))+(PI()*(s_0+7*s_r+IF(circ_int,eq_c1/2,0))/2))+2*IF(circ_int,0,eq_c1/2))+(PI()*(s_0+7*s_r+IF(circ_int,eq_c1/2,0))/2))+2*IF(circ_int,0,eq_c2/2)),-IF(circ_int,0,eq_c1/2)-(s_0+7*s_r+IF(circ_int,eq_c1/2,0)),IF(((20+0.5)*(4*IF(circ_int,0,eq_c1/2)+4*IF(circ_int,0,eq_c2/2)+2*PI()*(s_0+7*s_r+IF(circ_int,eq_c1/2,0)))/INDEX(lk_legs,8))&lt;((((((2*IF(circ_int,0,eq_c2/2))+(PI()*(s_0+7*s_r+IF(circ_int,eq_c1/2,0))/2))+2*IF(circ_int,0,eq_c1/2))+(PI()*(s_0+7*s_r+IF(circ_int,eq_c1/2,0))/2))+2*IF(circ_int,0,eq_c2/2))+(PI()*(s_0+7*s_r+IF(circ_int,eq_c1/2,0))/2)),-IF(circ_int,0,eq_c1/2)+(s_0+7*s_r+IF(circ_int,eq_c1/2,0))*COS(PI()+(((20+0.5)*(4*IF(circ_int,0,eq_c1/2)+4*IF(circ_int,0,eq_c2/2)+2*PI()*(s_0+7*s_r+IF(circ_int,eq_c1/2,0)))/INDEX(lk_legs,8))-(((((2*IF(circ_int,0,eq_c2/2))+(PI()*(s_0+7*s_r+IF(circ_int,eq_c1/2,0))/2))+2*IF(circ_int,0,eq_c1/2))+(PI()*(s_0+7*s_r+IF(circ_int,eq_c1/2,0))/2))+2*IF(circ_int,0,eq_c2/2)))/(s_0+7*s_r+IF(circ_int,eq_c1/2,0))),IF(((20+0.5)*(4*IF(circ_int,0,eq_c1/2)+4*IF(circ_int,0,eq_c2/2)+2*PI()*(s_0+7*s_r+IF(circ_int,eq_c1/2,0)))/INDEX(lk_legs,8))&lt;(((((((2*IF(circ_int,0,eq_c2/2))+(PI()*(s_0+7*s_r+IF(circ_int,eq_c1/2,0))/2))+2*IF(circ_int,0,eq_c1/2))+(PI()*(s_0+7*s_r+IF(circ_int,eq_c1/2,0))/2))+2*IF(circ_int,0,eq_c2/2))+(PI()*(s_0+7*s_r+IF(circ_int,eq_c1/2,0))/2))+2*IF(circ_int,0,eq_c1/2)),-IF(circ_int,0,eq_c1/2)+(((20+0.5)*(4*IF(circ_int,0,eq_c1/2)+4*IF(circ_int,0,eq_c2/2)+2*PI()*(s_0+7*s_r+IF(circ_int,eq_c1/2,0)))/INDEX(lk_legs,8))-((((((2*IF(circ_int,0,eq_c2/2))+(PI()*(s_0+7*s_r+IF(circ_int,eq_c1/2,0))/2))+2*IF(circ_int,0,eq_c1/2))+(PI()*(s_0+7*s_r+IF(circ_int,eq_c1/2,0))/2))+2*IF(circ_int,0,eq_c2/2))+(PI()*(s_0+7*s_r+IF(circ_int,eq_c1/2,0))/2))),IF(circ_int,0,eq_c1/2)+(s_0+7*s_r+IF(circ_int,eq_c1/2,0))*COS(3*PI()/2+(((20+0.5)*(4*IF(circ_int,0,eq_c1/2)+4*IF(circ_int,0,eq_c2/2)+2*PI()*(s_0+7*s_r+IF(circ_int,eq_c1/2,0)))/INDEX(lk_legs,8))-(((((((2*IF(circ_int,0,eq_c2/2))+(PI()*(s_0+7*s_r+IF(circ_int,eq_c1/2,0))/2))+2*IF(circ_int,0,eq_c1/2))+(PI()*(s_0+7*s_r+IF(circ_int,eq_c1/2,0))/2))+2*IF(circ_int,0,eq_c2/2))+(PI()*(s_0+7*s_r+IF(circ_int,eq_c1/2,0))/2))+2*IF(circ_int,0,eq_c1/2)))/(s_0+7*s_r+IF(circ_int,eq_c1/2,0)))))))))),NA())</f>
        <v/>
      </c>
      <c r="CQ23">
        <f>IF(AND(AND(links_on,8&lt;=n_per),INDEX(lk_kind,8)=1,20&lt;INDEX(lk_legs,8)),g_oy+IF(((20+0.5)*(4*IF(circ_int,0,eq_c1/2)+4*IF(circ_int,0,eq_c2/2)+2*PI()*(s_0+7*s_r+IF(circ_int,eq_c1/2,0)))/INDEX(lk_legs,8))&lt;(2*IF(circ_int,0,eq_c2/2)),-IF(circ_int,0,eq_c2/2)+((20+0.5)*(4*IF(circ_int,0,eq_c1/2)+4*IF(circ_int,0,eq_c2/2)+2*PI()*(s_0+7*s_r+IF(circ_int,eq_c1/2,0)))/INDEX(lk_legs,8)),IF(((20+0.5)*(4*IF(circ_int,0,eq_c1/2)+4*IF(circ_int,0,eq_c2/2)+2*PI()*(s_0+7*s_r+IF(circ_int,eq_c1/2,0)))/INDEX(lk_legs,8))&lt;((2*IF(circ_int,0,eq_c2/2))+(PI()*(s_0+7*s_r+IF(circ_int,eq_c1/2,0))/2)),IF(circ_int,0,eq_c2/2)+(s_0+7*s_r+IF(circ_int,eq_c1/2,0))*SIN((((20+0.5)*(4*IF(circ_int,0,eq_c1/2)+4*IF(circ_int,0,eq_c2/2)+2*PI()*(s_0+7*s_r+IF(circ_int,eq_c1/2,0)))/INDEX(lk_legs,8))-(2*IF(circ_int,0,eq_c2/2)))/(s_0+7*s_r+IF(circ_int,eq_c1/2,0))),IF(((20+0.5)*(4*IF(circ_int,0,eq_c1/2)+4*IF(circ_int,0,eq_c2/2)+2*PI()*(s_0+7*s_r+IF(circ_int,eq_c1/2,0)))/INDEX(lk_legs,8))&lt;(((2*IF(circ_int,0,eq_c2/2))+(PI()*(s_0+7*s_r+IF(circ_int,eq_c1/2,0))/2))+2*IF(circ_int,0,eq_c1/2)),IF(circ_int,0,eq_c2/2)+(s_0+7*s_r+IF(circ_int,eq_c1/2,0)),IF(((20+0.5)*(4*IF(circ_int,0,eq_c1/2)+4*IF(circ_int,0,eq_c2/2)+2*PI()*(s_0+7*s_r+IF(circ_int,eq_c1/2,0)))/INDEX(lk_legs,8))&lt;((((2*IF(circ_int,0,eq_c2/2))+(PI()*(s_0+7*s_r+IF(circ_int,eq_c1/2,0))/2))+2*IF(circ_int,0,eq_c1/2))+(PI()*(s_0+7*s_r+IF(circ_int,eq_c1/2,0))/2)),IF(circ_int,0,eq_c2/2)+(s_0+7*s_r+IF(circ_int,eq_c1/2,0))*SIN(PI()/2+(((20+0.5)*(4*IF(circ_int,0,eq_c1/2)+4*IF(circ_int,0,eq_c2/2)+2*PI()*(s_0+7*s_r+IF(circ_int,eq_c1/2,0)))/INDEX(lk_legs,8))-(((2*IF(circ_int,0,eq_c2/2))+(PI()*(s_0+7*s_r+IF(circ_int,eq_c1/2,0))/2))+2*IF(circ_int,0,eq_c1/2)))/(s_0+7*s_r+IF(circ_int,eq_c1/2,0))),IF(((20+0.5)*(4*IF(circ_int,0,eq_c1/2)+4*IF(circ_int,0,eq_c2/2)+2*PI()*(s_0+7*s_r+IF(circ_int,eq_c1/2,0)))/INDEX(lk_legs,8))&lt;(((((2*IF(circ_int,0,eq_c2/2))+(PI()*(s_0+7*s_r+IF(circ_int,eq_c1/2,0))/2))+2*IF(circ_int,0,eq_c1/2))+(PI()*(s_0+7*s_r+IF(circ_int,eq_c1/2,0))/2))+2*IF(circ_int,0,eq_c2/2)),IF(circ_int,0,eq_c2/2)-(((20+0.5)*(4*IF(circ_int,0,eq_c1/2)+4*IF(circ_int,0,eq_c2/2)+2*PI()*(s_0+7*s_r+IF(circ_int,eq_c1/2,0)))/INDEX(lk_legs,8))-((((2*IF(circ_int,0,eq_c2/2))+(PI()*(s_0+7*s_r+IF(circ_int,eq_c1/2,0))/2))+2*IF(circ_int,0,eq_c1/2))+(PI()*(s_0+7*s_r+IF(circ_int,eq_c1/2,0))/2))),IF(((20+0.5)*(4*IF(circ_int,0,eq_c1/2)+4*IF(circ_int,0,eq_c2/2)+2*PI()*(s_0+7*s_r+IF(circ_int,eq_c1/2,0)))/INDEX(lk_legs,8))&lt;((((((2*IF(circ_int,0,eq_c2/2))+(PI()*(s_0+7*s_r+IF(circ_int,eq_c1/2,0))/2))+2*IF(circ_int,0,eq_c1/2))+(PI()*(s_0+7*s_r+IF(circ_int,eq_c1/2,0))/2))+2*IF(circ_int,0,eq_c2/2))+(PI()*(s_0+7*s_r+IF(circ_int,eq_c1/2,0))/2)),-IF(circ_int,0,eq_c2/2)+(s_0+7*s_r+IF(circ_int,eq_c1/2,0))*SIN(PI()+(((20+0.5)*(4*IF(circ_int,0,eq_c1/2)+4*IF(circ_int,0,eq_c2/2)+2*PI()*(s_0+7*s_r+IF(circ_int,eq_c1/2,0)))/INDEX(lk_legs,8))-(((((2*IF(circ_int,0,eq_c2/2))+(PI()*(s_0+7*s_r+IF(circ_int,eq_c1/2,0))/2))+2*IF(circ_int,0,eq_c1/2))+(PI()*(s_0+7*s_r+IF(circ_int,eq_c1/2,0))/2))+2*IF(circ_int,0,eq_c2/2)))/(s_0+7*s_r+IF(circ_int,eq_c1/2,0))),IF(((20+0.5)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(20+0.5)*(4*IF(circ_int,0,eq_c1/2)+4*IF(circ_int,0,eq_c2/2)+2*PI()*(s_0+7*s_r+IF(circ_int,eq_c1/2,0)))/INDEX(lk_legs,8))-(((((((2*IF(circ_int,0,eq_c2/2))+(PI()*(s_0+7*s_r+IF(circ_int,eq_c1/2,0))/2))+2*IF(circ_int,0,eq_c1/2))+(PI()*(s_0+7*s_r+IF(circ_int,eq_c1/2,0))/2))+2*IF(circ_int,0,eq_c2/2))+(PI()*(s_0+7*s_r+IF(circ_int,eq_c1/2,0))/2))+2*IF(circ_int,0,eq_c1/2)))/(s_0+7*s_r+IF(circ_int,eq_c1/2,0)))))))))),NA())</f>
        <v/>
      </c>
      <c r="CS23">
        <f>IF(AND(links_on,9&lt;=n_per),IF(circ_int,(g_ox)+(c_1/2+(s_0+8*s_r))*-0.748511,CHOOSE(INDEX(lk_kind,9),(g_ox-eq_c1/2)+((s_0+8*s_r))*-0.793353,(eq_a1+eq_c1)+((s_0+8*s_r))*0.707107,eq_a1+eq_c1+(s_0+8*s_r),(eq_a1+eq_c1)+((s_0+8*s_r))*0.707107)),NA())</f>
        <v/>
      </c>
      <c r="CT23">
        <f>IF(AND(links_on,9&lt;=n_per),IF(circ_int,(g_oy)+(c_1/2+(s_0+8*s_r))*0.663123,CHOOSE(INDEX(lk_kind,9),(g_oy+eq_c2/2)+((s_0+8*s_r))*0.608761,(g_oy-eq_c2/2)+((s_0+8*s_r))*-0.707107,0,(eq_a2+eq_c2)+((s_0+8*s_r))*0.707107)),NA())</f>
        <v/>
      </c>
      <c r="CV23">
        <f>IF(AND(AND(links_on,9&lt;=n_per),INDEX(lk_kind,9)=1,20&lt;INDEX(lk_legs,9)),g_ox+IF(((20+0.5)*(4*IF(circ_int,0,eq_c1/2)+4*IF(circ_int,0,eq_c2/2)+2*PI()*(s_0+8*s_r+IF(circ_int,eq_c1/2,0)))/INDEX(lk_legs,9))&lt;(2*IF(circ_int,0,eq_c2/2)),IF(circ_int,0,eq_c1/2)+(s_0+8*s_r+IF(circ_int,eq_c1/2,0)),IF(((20+0.5)*(4*IF(circ_int,0,eq_c1/2)+4*IF(circ_int,0,eq_c2/2)+2*PI()*(s_0+8*s_r+IF(circ_int,eq_c1/2,0)))/INDEX(lk_legs,9))&lt;((2*IF(circ_int,0,eq_c2/2))+(PI()*(s_0+8*s_r+IF(circ_int,eq_c1/2,0))/2)),IF(circ_int,0,eq_c1/2)+(s_0+8*s_r+IF(circ_int,eq_c1/2,0))*COS((((20+0.5)*(4*IF(circ_int,0,eq_c1/2)+4*IF(circ_int,0,eq_c2/2)+2*PI()*(s_0+8*s_r+IF(circ_int,eq_c1/2,0)))/INDEX(lk_legs,9))-(2*IF(circ_int,0,eq_c2/2)))/(s_0+8*s_r+IF(circ_int,eq_c1/2,0))),IF(((20+0.5)*(4*IF(circ_int,0,eq_c1/2)+4*IF(circ_int,0,eq_c2/2)+2*PI()*(s_0+8*s_r+IF(circ_int,eq_c1/2,0)))/INDEX(lk_legs,9))&lt;(((2*IF(circ_int,0,eq_c2/2))+(PI()*(s_0+8*s_r+IF(circ_int,eq_c1/2,0))/2))+2*IF(circ_int,0,eq_c1/2)),IF(circ_int,0,eq_c1/2)-(((20+0.5)*(4*IF(circ_int,0,eq_c1/2)+4*IF(circ_int,0,eq_c2/2)+2*PI()*(s_0+8*s_r+IF(circ_int,eq_c1/2,0)))/INDEX(lk_legs,9))-((2*IF(circ_int,0,eq_c2/2))+(PI()*(s_0+8*s_r+IF(circ_int,eq_c1/2,0))/2))),IF(((20+0.5)*(4*IF(circ_int,0,eq_c1/2)+4*IF(circ_int,0,eq_c2/2)+2*PI()*(s_0+8*s_r+IF(circ_int,eq_c1/2,0)))/INDEX(lk_legs,9))&lt;((((2*IF(circ_int,0,eq_c2/2))+(PI()*(s_0+8*s_r+IF(circ_int,eq_c1/2,0))/2))+2*IF(circ_int,0,eq_c1/2))+(PI()*(s_0+8*s_r+IF(circ_int,eq_c1/2,0))/2)),-IF(circ_int,0,eq_c1/2)+(s_0+8*s_r+IF(circ_int,eq_c1/2,0))*COS(PI()/2+(((20+0.5)*(4*IF(circ_int,0,eq_c1/2)+4*IF(circ_int,0,eq_c2/2)+2*PI()*(s_0+8*s_r+IF(circ_int,eq_c1/2,0)))/INDEX(lk_legs,9))-(((2*IF(circ_int,0,eq_c2/2))+(PI()*(s_0+8*s_r+IF(circ_int,eq_c1/2,0))/2))+2*IF(circ_int,0,eq_c1/2)))/(s_0+8*s_r+IF(circ_int,eq_c1/2,0))),IF(((20+0.5)*(4*IF(circ_int,0,eq_c1/2)+4*IF(circ_int,0,eq_c2/2)+2*PI()*(s_0+8*s_r+IF(circ_int,eq_c1/2,0)))/INDEX(lk_legs,9))&lt;(((((2*IF(circ_int,0,eq_c2/2))+(PI()*(s_0+8*s_r+IF(circ_int,eq_c1/2,0))/2))+2*IF(circ_int,0,eq_c1/2))+(PI()*(s_0+8*s_r+IF(circ_int,eq_c1/2,0))/2))+2*IF(circ_int,0,eq_c2/2)),-IF(circ_int,0,eq_c1/2)-(s_0+8*s_r+IF(circ_int,eq_c1/2,0)),IF(((20+0.5)*(4*IF(circ_int,0,eq_c1/2)+4*IF(circ_int,0,eq_c2/2)+2*PI()*(s_0+8*s_r+IF(circ_int,eq_c1/2,0)))/INDEX(lk_legs,9))&lt;((((((2*IF(circ_int,0,eq_c2/2))+(PI()*(s_0+8*s_r+IF(circ_int,eq_c1/2,0))/2))+2*IF(circ_int,0,eq_c1/2))+(PI()*(s_0+8*s_r+IF(circ_int,eq_c1/2,0))/2))+2*IF(circ_int,0,eq_c2/2))+(PI()*(s_0+8*s_r+IF(circ_int,eq_c1/2,0))/2)),-IF(circ_int,0,eq_c1/2)+(s_0+8*s_r+IF(circ_int,eq_c1/2,0))*COS(PI()+(((20+0.5)*(4*IF(circ_int,0,eq_c1/2)+4*IF(circ_int,0,eq_c2/2)+2*PI()*(s_0+8*s_r+IF(circ_int,eq_c1/2,0)))/INDEX(lk_legs,9))-(((((2*IF(circ_int,0,eq_c2/2))+(PI()*(s_0+8*s_r+IF(circ_int,eq_c1/2,0))/2))+2*IF(circ_int,0,eq_c1/2))+(PI()*(s_0+8*s_r+IF(circ_int,eq_c1/2,0))/2))+2*IF(circ_int,0,eq_c2/2)))/(s_0+8*s_r+IF(circ_int,eq_c1/2,0))),IF(((20+0.5)*(4*IF(circ_int,0,eq_c1/2)+4*IF(circ_int,0,eq_c2/2)+2*PI()*(s_0+8*s_r+IF(circ_int,eq_c1/2,0)))/INDEX(lk_legs,9))&lt;(((((((2*IF(circ_int,0,eq_c2/2))+(PI()*(s_0+8*s_r+IF(circ_int,eq_c1/2,0))/2))+2*IF(circ_int,0,eq_c1/2))+(PI()*(s_0+8*s_r+IF(circ_int,eq_c1/2,0))/2))+2*IF(circ_int,0,eq_c2/2))+(PI()*(s_0+8*s_r+IF(circ_int,eq_c1/2,0))/2))+2*IF(circ_int,0,eq_c1/2)),-IF(circ_int,0,eq_c1/2)+(((20+0.5)*(4*IF(circ_int,0,eq_c1/2)+4*IF(circ_int,0,eq_c2/2)+2*PI()*(s_0+8*s_r+IF(circ_int,eq_c1/2,0)))/INDEX(lk_legs,9))-((((((2*IF(circ_int,0,eq_c2/2))+(PI()*(s_0+8*s_r+IF(circ_int,eq_c1/2,0))/2))+2*IF(circ_int,0,eq_c1/2))+(PI()*(s_0+8*s_r+IF(circ_int,eq_c1/2,0))/2))+2*IF(circ_int,0,eq_c2/2))+(PI()*(s_0+8*s_r+IF(circ_int,eq_c1/2,0))/2))),IF(circ_int,0,eq_c1/2)+(s_0+8*s_r+IF(circ_int,eq_c1/2,0))*COS(3*PI()/2+(((20+0.5)*(4*IF(circ_int,0,eq_c1/2)+4*IF(circ_int,0,eq_c2/2)+2*PI()*(s_0+8*s_r+IF(circ_int,eq_c1/2,0)))/INDEX(lk_legs,9))-(((((((2*IF(circ_int,0,eq_c2/2))+(PI()*(s_0+8*s_r+IF(circ_int,eq_c1/2,0))/2))+2*IF(circ_int,0,eq_c1/2))+(PI()*(s_0+8*s_r+IF(circ_int,eq_c1/2,0))/2))+2*IF(circ_int,0,eq_c2/2))+(PI()*(s_0+8*s_r+IF(circ_int,eq_c1/2,0))/2))+2*IF(circ_int,0,eq_c1/2)))/(s_0+8*s_r+IF(circ_int,eq_c1/2,0)))))))))),NA())</f>
        <v/>
      </c>
      <c r="CW23">
        <f>IF(AND(AND(links_on,9&lt;=n_per),INDEX(lk_kind,9)=1,20&lt;INDEX(lk_legs,9)),g_oy+IF(((20+0.5)*(4*IF(circ_int,0,eq_c1/2)+4*IF(circ_int,0,eq_c2/2)+2*PI()*(s_0+8*s_r+IF(circ_int,eq_c1/2,0)))/INDEX(lk_legs,9))&lt;(2*IF(circ_int,0,eq_c2/2)),-IF(circ_int,0,eq_c2/2)+((20+0.5)*(4*IF(circ_int,0,eq_c1/2)+4*IF(circ_int,0,eq_c2/2)+2*PI()*(s_0+8*s_r+IF(circ_int,eq_c1/2,0)))/INDEX(lk_legs,9)),IF(((20+0.5)*(4*IF(circ_int,0,eq_c1/2)+4*IF(circ_int,0,eq_c2/2)+2*PI()*(s_0+8*s_r+IF(circ_int,eq_c1/2,0)))/INDEX(lk_legs,9))&lt;((2*IF(circ_int,0,eq_c2/2))+(PI()*(s_0+8*s_r+IF(circ_int,eq_c1/2,0))/2)),IF(circ_int,0,eq_c2/2)+(s_0+8*s_r+IF(circ_int,eq_c1/2,0))*SIN((((20+0.5)*(4*IF(circ_int,0,eq_c1/2)+4*IF(circ_int,0,eq_c2/2)+2*PI()*(s_0+8*s_r+IF(circ_int,eq_c1/2,0)))/INDEX(lk_legs,9))-(2*IF(circ_int,0,eq_c2/2)))/(s_0+8*s_r+IF(circ_int,eq_c1/2,0))),IF(((20+0.5)*(4*IF(circ_int,0,eq_c1/2)+4*IF(circ_int,0,eq_c2/2)+2*PI()*(s_0+8*s_r+IF(circ_int,eq_c1/2,0)))/INDEX(lk_legs,9))&lt;(((2*IF(circ_int,0,eq_c2/2))+(PI()*(s_0+8*s_r+IF(circ_int,eq_c1/2,0))/2))+2*IF(circ_int,0,eq_c1/2)),IF(circ_int,0,eq_c2/2)+(s_0+8*s_r+IF(circ_int,eq_c1/2,0)),IF(((20+0.5)*(4*IF(circ_int,0,eq_c1/2)+4*IF(circ_int,0,eq_c2/2)+2*PI()*(s_0+8*s_r+IF(circ_int,eq_c1/2,0)))/INDEX(lk_legs,9))&lt;((((2*IF(circ_int,0,eq_c2/2))+(PI()*(s_0+8*s_r+IF(circ_int,eq_c1/2,0))/2))+2*IF(circ_int,0,eq_c1/2))+(PI()*(s_0+8*s_r+IF(circ_int,eq_c1/2,0))/2)),IF(circ_int,0,eq_c2/2)+(s_0+8*s_r+IF(circ_int,eq_c1/2,0))*SIN(PI()/2+(((20+0.5)*(4*IF(circ_int,0,eq_c1/2)+4*IF(circ_int,0,eq_c2/2)+2*PI()*(s_0+8*s_r+IF(circ_int,eq_c1/2,0)))/INDEX(lk_legs,9))-(((2*IF(circ_int,0,eq_c2/2))+(PI()*(s_0+8*s_r+IF(circ_int,eq_c1/2,0))/2))+2*IF(circ_int,0,eq_c1/2)))/(s_0+8*s_r+IF(circ_int,eq_c1/2,0))),IF(((20+0.5)*(4*IF(circ_int,0,eq_c1/2)+4*IF(circ_int,0,eq_c2/2)+2*PI()*(s_0+8*s_r+IF(circ_int,eq_c1/2,0)))/INDEX(lk_legs,9))&lt;(((((2*IF(circ_int,0,eq_c2/2))+(PI()*(s_0+8*s_r+IF(circ_int,eq_c1/2,0))/2))+2*IF(circ_int,0,eq_c1/2))+(PI()*(s_0+8*s_r+IF(circ_int,eq_c1/2,0))/2))+2*IF(circ_int,0,eq_c2/2)),IF(circ_int,0,eq_c2/2)-(((20+0.5)*(4*IF(circ_int,0,eq_c1/2)+4*IF(circ_int,0,eq_c2/2)+2*PI()*(s_0+8*s_r+IF(circ_int,eq_c1/2,0)))/INDEX(lk_legs,9))-((((2*IF(circ_int,0,eq_c2/2))+(PI()*(s_0+8*s_r+IF(circ_int,eq_c1/2,0))/2))+2*IF(circ_int,0,eq_c1/2))+(PI()*(s_0+8*s_r+IF(circ_int,eq_c1/2,0))/2))),IF(((20+0.5)*(4*IF(circ_int,0,eq_c1/2)+4*IF(circ_int,0,eq_c2/2)+2*PI()*(s_0+8*s_r+IF(circ_int,eq_c1/2,0)))/INDEX(lk_legs,9))&lt;((((((2*IF(circ_int,0,eq_c2/2))+(PI()*(s_0+8*s_r+IF(circ_int,eq_c1/2,0))/2))+2*IF(circ_int,0,eq_c1/2))+(PI()*(s_0+8*s_r+IF(circ_int,eq_c1/2,0))/2))+2*IF(circ_int,0,eq_c2/2))+(PI()*(s_0+8*s_r+IF(circ_int,eq_c1/2,0))/2)),-IF(circ_int,0,eq_c2/2)+(s_0+8*s_r+IF(circ_int,eq_c1/2,0))*SIN(PI()+(((20+0.5)*(4*IF(circ_int,0,eq_c1/2)+4*IF(circ_int,0,eq_c2/2)+2*PI()*(s_0+8*s_r+IF(circ_int,eq_c1/2,0)))/INDEX(lk_legs,9))-(((((2*IF(circ_int,0,eq_c2/2))+(PI()*(s_0+8*s_r+IF(circ_int,eq_c1/2,0))/2))+2*IF(circ_int,0,eq_c1/2))+(PI()*(s_0+8*s_r+IF(circ_int,eq_c1/2,0))/2))+2*IF(circ_int,0,eq_c2/2)))/(s_0+8*s_r+IF(circ_int,eq_c1/2,0))),IF(((20+0.5)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(20+0.5)*(4*IF(circ_int,0,eq_c1/2)+4*IF(circ_int,0,eq_c2/2)+2*PI()*(s_0+8*s_r+IF(circ_int,eq_c1/2,0)))/INDEX(lk_legs,9))-(((((((2*IF(circ_int,0,eq_c2/2))+(PI()*(s_0+8*s_r+IF(circ_int,eq_c1/2,0))/2))+2*IF(circ_int,0,eq_c1/2))+(PI()*(s_0+8*s_r+IF(circ_int,eq_c1/2,0))/2))+2*IF(circ_int,0,eq_c2/2))+(PI()*(s_0+8*s_r+IF(circ_int,eq_c1/2,0))/2))+2*IF(circ_int,0,eq_c1/2)))/(s_0+8*s_r+IF(circ_int,eq_c1/2,0)))))))))),NA())</f>
        <v/>
      </c>
      <c r="CY23">
        <f>IF(AND(links_on,10&lt;=n_per),IF(circ_int,(g_ox)+(c_1/2+(s_0+9*s_r))*-0.748511,CHOOSE(INDEX(lk_kind,10),(g_ox-eq_c1/2)+((s_0+9*s_r))*-0.793353,(eq_a1+eq_c1)+((s_0+9*s_r))*0.707107,eq_a1+eq_c1+(s_0+9*s_r),(eq_a1+eq_c1)+((s_0+9*s_r))*0.707107)),NA())</f>
        <v/>
      </c>
      <c r="CZ23">
        <f>IF(AND(links_on,10&lt;=n_per),IF(circ_int,(g_oy)+(c_1/2+(s_0+9*s_r))*0.663123,CHOOSE(INDEX(lk_kind,10),(g_oy+eq_c2/2)+((s_0+9*s_r))*0.608761,(g_oy-eq_c2/2)+((s_0+9*s_r))*-0.707107,0,(eq_a2+eq_c2)+((s_0+9*s_r))*0.707107)),NA())</f>
        <v/>
      </c>
      <c r="DB23">
        <f>IF(AND(AND(links_on,10&lt;=n_per),INDEX(lk_kind,10)=1,20&lt;INDEX(lk_legs,10)),g_ox+IF(((20+0.5)*(4*IF(circ_int,0,eq_c1/2)+4*IF(circ_int,0,eq_c2/2)+2*PI()*(s_0+9*s_r+IF(circ_int,eq_c1/2,0)))/INDEX(lk_legs,10))&lt;(2*IF(circ_int,0,eq_c2/2)),IF(circ_int,0,eq_c1/2)+(s_0+9*s_r+IF(circ_int,eq_c1/2,0)),IF(((20+0.5)*(4*IF(circ_int,0,eq_c1/2)+4*IF(circ_int,0,eq_c2/2)+2*PI()*(s_0+9*s_r+IF(circ_int,eq_c1/2,0)))/INDEX(lk_legs,10))&lt;((2*IF(circ_int,0,eq_c2/2))+(PI()*(s_0+9*s_r+IF(circ_int,eq_c1/2,0))/2)),IF(circ_int,0,eq_c1/2)+(s_0+9*s_r+IF(circ_int,eq_c1/2,0))*COS((((20+0.5)*(4*IF(circ_int,0,eq_c1/2)+4*IF(circ_int,0,eq_c2/2)+2*PI()*(s_0+9*s_r+IF(circ_int,eq_c1/2,0)))/INDEX(lk_legs,10))-(2*IF(circ_int,0,eq_c2/2)))/(s_0+9*s_r+IF(circ_int,eq_c1/2,0))),IF(((20+0.5)*(4*IF(circ_int,0,eq_c1/2)+4*IF(circ_int,0,eq_c2/2)+2*PI()*(s_0+9*s_r+IF(circ_int,eq_c1/2,0)))/INDEX(lk_legs,10))&lt;(((2*IF(circ_int,0,eq_c2/2))+(PI()*(s_0+9*s_r+IF(circ_int,eq_c1/2,0))/2))+2*IF(circ_int,0,eq_c1/2)),IF(circ_int,0,eq_c1/2)-(((20+0.5)*(4*IF(circ_int,0,eq_c1/2)+4*IF(circ_int,0,eq_c2/2)+2*PI()*(s_0+9*s_r+IF(circ_int,eq_c1/2,0)))/INDEX(lk_legs,10))-((2*IF(circ_int,0,eq_c2/2))+(PI()*(s_0+9*s_r+IF(circ_int,eq_c1/2,0))/2))),IF(((20+0.5)*(4*IF(circ_int,0,eq_c1/2)+4*IF(circ_int,0,eq_c2/2)+2*PI()*(s_0+9*s_r+IF(circ_int,eq_c1/2,0)))/INDEX(lk_legs,10))&lt;((((2*IF(circ_int,0,eq_c2/2))+(PI()*(s_0+9*s_r+IF(circ_int,eq_c1/2,0))/2))+2*IF(circ_int,0,eq_c1/2))+(PI()*(s_0+9*s_r+IF(circ_int,eq_c1/2,0))/2)),-IF(circ_int,0,eq_c1/2)+(s_0+9*s_r+IF(circ_int,eq_c1/2,0))*COS(PI()/2+(((20+0.5)*(4*IF(circ_int,0,eq_c1/2)+4*IF(circ_int,0,eq_c2/2)+2*PI()*(s_0+9*s_r+IF(circ_int,eq_c1/2,0)))/INDEX(lk_legs,10))-(((2*IF(circ_int,0,eq_c2/2))+(PI()*(s_0+9*s_r+IF(circ_int,eq_c1/2,0))/2))+2*IF(circ_int,0,eq_c1/2)))/(s_0+9*s_r+IF(circ_int,eq_c1/2,0))),IF(((20+0.5)*(4*IF(circ_int,0,eq_c1/2)+4*IF(circ_int,0,eq_c2/2)+2*PI()*(s_0+9*s_r+IF(circ_int,eq_c1/2,0)))/INDEX(lk_legs,10))&lt;(((((2*IF(circ_int,0,eq_c2/2))+(PI()*(s_0+9*s_r+IF(circ_int,eq_c1/2,0))/2))+2*IF(circ_int,0,eq_c1/2))+(PI()*(s_0+9*s_r+IF(circ_int,eq_c1/2,0))/2))+2*IF(circ_int,0,eq_c2/2)),-IF(circ_int,0,eq_c1/2)-(s_0+9*s_r+IF(circ_int,eq_c1/2,0)),IF(((20+0.5)*(4*IF(circ_int,0,eq_c1/2)+4*IF(circ_int,0,eq_c2/2)+2*PI()*(s_0+9*s_r+IF(circ_int,eq_c1/2,0)))/INDEX(lk_legs,10))&lt;((((((2*IF(circ_int,0,eq_c2/2))+(PI()*(s_0+9*s_r+IF(circ_int,eq_c1/2,0))/2))+2*IF(circ_int,0,eq_c1/2))+(PI()*(s_0+9*s_r+IF(circ_int,eq_c1/2,0))/2))+2*IF(circ_int,0,eq_c2/2))+(PI()*(s_0+9*s_r+IF(circ_int,eq_c1/2,0))/2)),-IF(circ_int,0,eq_c1/2)+(s_0+9*s_r+IF(circ_int,eq_c1/2,0))*COS(PI()+(((20+0.5)*(4*IF(circ_int,0,eq_c1/2)+4*IF(circ_int,0,eq_c2/2)+2*PI()*(s_0+9*s_r+IF(circ_int,eq_c1/2,0)))/INDEX(lk_legs,10))-(((((2*IF(circ_int,0,eq_c2/2))+(PI()*(s_0+9*s_r+IF(circ_int,eq_c1/2,0))/2))+2*IF(circ_int,0,eq_c1/2))+(PI()*(s_0+9*s_r+IF(circ_int,eq_c1/2,0))/2))+2*IF(circ_int,0,eq_c2/2)))/(s_0+9*s_r+IF(circ_int,eq_c1/2,0))),IF(((20+0.5)*(4*IF(circ_int,0,eq_c1/2)+4*IF(circ_int,0,eq_c2/2)+2*PI()*(s_0+9*s_r+IF(circ_int,eq_c1/2,0)))/INDEX(lk_legs,10))&lt;(((((((2*IF(circ_int,0,eq_c2/2))+(PI()*(s_0+9*s_r+IF(circ_int,eq_c1/2,0))/2))+2*IF(circ_int,0,eq_c1/2))+(PI()*(s_0+9*s_r+IF(circ_int,eq_c1/2,0))/2))+2*IF(circ_int,0,eq_c2/2))+(PI()*(s_0+9*s_r+IF(circ_int,eq_c1/2,0))/2))+2*IF(circ_int,0,eq_c1/2)),-IF(circ_int,0,eq_c1/2)+(((20+0.5)*(4*IF(circ_int,0,eq_c1/2)+4*IF(circ_int,0,eq_c2/2)+2*PI()*(s_0+9*s_r+IF(circ_int,eq_c1/2,0)))/INDEX(lk_legs,10))-((((((2*IF(circ_int,0,eq_c2/2))+(PI()*(s_0+9*s_r+IF(circ_int,eq_c1/2,0))/2))+2*IF(circ_int,0,eq_c1/2))+(PI()*(s_0+9*s_r+IF(circ_int,eq_c1/2,0))/2))+2*IF(circ_int,0,eq_c2/2))+(PI()*(s_0+9*s_r+IF(circ_int,eq_c1/2,0))/2))),IF(circ_int,0,eq_c1/2)+(s_0+9*s_r+IF(circ_int,eq_c1/2,0))*COS(3*PI()/2+(((20+0.5)*(4*IF(circ_int,0,eq_c1/2)+4*IF(circ_int,0,eq_c2/2)+2*PI()*(s_0+9*s_r+IF(circ_int,eq_c1/2,0)))/INDEX(lk_legs,10))-(((((((2*IF(circ_int,0,eq_c2/2))+(PI()*(s_0+9*s_r+IF(circ_int,eq_c1/2,0))/2))+2*IF(circ_int,0,eq_c1/2))+(PI()*(s_0+9*s_r+IF(circ_int,eq_c1/2,0))/2))+2*IF(circ_int,0,eq_c2/2))+(PI()*(s_0+9*s_r+IF(circ_int,eq_c1/2,0))/2))+2*IF(circ_int,0,eq_c1/2)))/(s_0+9*s_r+IF(circ_int,eq_c1/2,0)))))))))),NA())</f>
        <v/>
      </c>
      <c r="DC23">
        <f>IF(AND(AND(links_on,10&lt;=n_per),INDEX(lk_kind,10)=1,20&lt;INDEX(lk_legs,10)),g_oy+IF(((20+0.5)*(4*IF(circ_int,0,eq_c1/2)+4*IF(circ_int,0,eq_c2/2)+2*PI()*(s_0+9*s_r+IF(circ_int,eq_c1/2,0)))/INDEX(lk_legs,10))&lt;(2*IF(circ_int,0,eq_c2/2)),-IF(circ_int,0,eq_c2/2)+((20+0.5)*(4*IF(circ_int,0,eq_c1/2)+4*IF(circ_int,0,eq_c2/2)+2*PI()*(s_0+9*s_r+IF(circ_int,eq_c1/2,0)))/INDEX(lk_legs,10)),IF(((20+0.5)*(4*IF(circ_int,0,eq_c1/2)+4*IF(circ_int,0,eq_c2/2)+2*PI()*(s_0+9*s_r+IF(circ_int,eq_c1/2,0)))/INDEX(lk_legs,10))&lt;((2*IF(circ_int,0,eq_c2/2))+(PI()*(s_0+9*s_r+IF(circ_int,eq_c1/2,0))/2)),IF(circ_int,0,eq_c2/2)+(s_0+9*s_r+IF(circ_int,eq_c1/2,0))*SIN((((20+0.5)*(4*IF(circ_int,0,eq_c1/2)+4*IF(circ_int,0,eq_c2/2)+2*PI()*(s_0+9*s_r+IF(circ_int,eq_c1/2,0)))/INDEX(lk_legs,10))-(2*IF(circ_int,0,eq_c2/2)))/(s_0+9*s_r+IF(circ_int,eq_c1/2,0))),IF(((20+0.5)*(4*IF(circ_int,0,eq_c1/2)+4*IF(circ_int,0,eq_c2/2)+2*PI()*(s_0+9*s_r+IF(circ_int,eq_c1/2,0)))/INDEX(lk_legs,10))&lt;(((2*IF(circ_int,0,eq_c2/2))+(PI()*(s_0+9*s_r+IF(circ_int,eq_c1/2,0))/2))+2*IF(circ_int,0,eq_c1/2)),IF(circ_int,0,eq_c2/2)+(s_0+9*s_r+IF(circ_int,eq_c1/2,0)),IF(((20+0.5)*(4*IF(circ_int,0,eq_c1/2)+4*IF(circ_int,0,eq_c2/2)+2*PI()*(s_0+9*s_r+IF(circ_int,eq_c1/2,0)))/INDEX(lk_legs,10))&lt;((((2*IF(circ_int,0,eq_c2/2))+(PI()*(s_0+9*s_r+IF(circ_int,eq_c1/2,0))/2))+2*IF(circ_int,0,eq_c1/2))+(PI()*(s_0+9*s_r+IF(circ_int,eq_c1/2,0))/2)),IF(circ_int,0,eq_c2/2)+(s_0+9*s_r+IF(circ_int,eq_c1/2,0))*SIN(PI()/2+(((20+0.5)*(4*IF(circ_int,0,eq_c1/2)+4*IF(circ_int,0,eq_c2/2)+2*PI()*(s_0+9*s_r+IF(circ_int,eq_c1/2,0)))/INDEX(lk_legs,10))-(((2*IF(circ_int,0,eq_c2/2))+(PI()*(s_0+9*s_r+IF(circ_int,eq_c1/2,0))/2))+2*IF(circ_int,0,eq_c1/2)))/(s_0+9*s_r+IF(circ_int,eq_c1/2,0))),IF(((20+0.5)*(4*IF(circ_int,0,eq_c1/2)+4*IF(circ_int,0,eq_c2/2)+2*PI()*(s_0+9*s_r+IF(circ_int,eq_c1/2,0)))/INDEX(lk_legs,10))&lt;(((((2*IF(circ_int,0,eq_c2/2))+(PI()*(s_0+9*s_r+IF(circ_int,eq_c1/2,0))/2))+2*IF(circ_int,0,eq_c1/2))+(PI()*(s_0+9*s_r+IF(circ_int,eq_c1/2,0))/2))+2*IF(circ_int,0,eq_c2/2)),IF(circ_int,0,eq_c2/2)-(((20+0.5)*(4*IF(circ_int,0,eq_c1/2)+4*IF(circ_int,0,eq_c2/2)+2*PI()*(s_0+9*s_r+IF(circ_int,eq_c1/2,0)))/INDEX(lk_legs,10))-((((2*IF(circ_int,0,eq_c2/2))+(PI()*(s_0+9*s_r+IF(circ_int,eq_c1/2,0))/2))+2*IF(circ_int,0,eq_c1/2))+(PI()*(s_0+9*s_r+IF(circ_int,eq_c1/2,0))/2))),IF(((20+0.5)*(4*IF(circ_int,0,eq_c1/2)+4*IF(circ_int,0,eq_c2/2)+2*PI()*(s_0+9*s_r+IF(circ_int,eq_c1/2,0)))/INDEX(lk_legs,10))&lt;((((((2*IF(circ_int,0,eq_c2/2))+(PI()*(s_0+9*s_r+IF(circ_int,eq_c1/2,0))/2))+2*IF(circ_int,0,eq_c1/2))+(PI()*(s_0+9*s_r+IF(circ_int,eq_c1/2,0))/2))+2*IF(circ_int,0,eq_c2/2))+(PI()*(s_0+9*s_r+IF(circ_int,eq_c1/2,0))/2)),-IF(circ_int,0,eq_c2/2)+(s_0+9*s_r+IF(circ_int,eq_c1/2,0))*SIN(PI()+(((20+0.5)*(4*IF(circ_int,0,eq_c1/2)+4*IF(circ_int,0,eq_c2/2)+2*PI()*(s_0+9*s_r+IF(circ_int,eq_c1/2,0)))/INDEX(lk_legs,10))-(((((2*IF(circ_int,0,eq_c2/2))+(PI()*(s_0+9*s_r+IF(circ_int,eq_c1/2,0))/2))+2*IF(circ_int,0,eq_c1/2))+(PI()*(s_0+9*s_r+IF(circ_int,eq_c1/2,0))/2))+2*IF(circ_int,0,eq_c2/2)))/(s_0+9*s_r+IF(circ_int,eq_c1/2,0))),IF(((20+0.5)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(20+0.5)*(4*IF(circ_int,0,eq_c1/2)+4*IF(circ_int,0,eq_c2/2)+2*PI()*(s_0+9*s_r+IF(circ_int,eq_c1/2,0)))/INDEX(lk_legs,10))-(((((((2*IF(circ_int,0,eq_c2/2))+(PI()*(s_0+9*s_r+IF(circ_int,eq_c1/2,0))/2))+2*IF(circ_int,0,eq_c1/2))+(PI()*(s_0+9*s_r+IF(circ_int,eq_c1/2,0))/2))+2*IF(circ_int,0,eq_c2/2))+(PI()*(s_0+9*s_r+IF(circ_int,eq_c1/2,0))/2))+2*IF(circ_int,0,eq_c1/2)))/(s_0+9*s_r+IF(circ_int,eq_c1/2,0)))))))))),NA())</f>
        <v/>
      </c>
      <c r="DE23">
        <f>IF(AND(links_on,11&lt;=n_per),IF(circ_int,(g_ox)+(c_1/2+(s_0+10*s_r))*-0.748511,CHOOSE(INDEX(lk_kind,11),(g_ox-eq_c1/2)+((s_0+10*s_r))*-0.793353,(eq_a1+eq_c1)+((s_0+10*s_r))*0.707107,eq_a1+eq_c1+(s_0+10*s_r),(eq_a1+eq_c1)+((s_0+10*s_r))*0.707107)),NA())</f>
        <v/>
      </c>
      <c r="DF23">
        <f>IF(AND(links_on,11&lt;=n_per),IF(circ_int,(g_oy)+(c_1/2+(s_0+10*s_r))*0.663123,CHOOSE(INDEX(lk_kind,11),(g_oy+eq_c2/2)+((s_0+10*s_r))*0.608761,(g_oy-eq_c2/2)+((s_0+10*s_r))*-0.707107,0,(eq_a2+eq_c2)+((s_0+10*s_r))*0.707107)),NA())</f>
        <v/>
      </c>
      <c r="DH23">
        <f>IF(AND(AND(links_on,11&lt;=n_per),INDEX(lk_kind,11)=1,20&lt;INDEX(lk_legs,11)),g_ox+IF(((20+0.5)*(4*IF(circ_int,0,eq_c1/2)+4*IF(circ_int,0,eq_c2/2)+2*PI()*(s_0+10*s_r+IF(circ_int,eq_c1/2,0)))/INDEX(lk_legs,11))&lt;(2*IF(circ_int,0,eq_c2/2)),IF(circ_int,0,eq_c1/2)+(s_0+10*s_r+IF(circ_int,eq_c1/2,0)),IF(((20+0.5)*(4*IF(circ_int,0,eq_c1/2)+4*IF(circ_int,0,eq_c2/2)+2*PI()*(s_0+10*s_r+IF(circ_int,eq_c1/2,0)))/INDEX(lk_legs,11))&lt;((2*IF(circ_int,0,eq_c2/2))+(PI()*(s_0+10*s_r+IF(circ_int,eq_c1/2,0))/2)),IF(circ_int,0,eq_c1/2)+(s_0+10*s_r+IF(circ_int,eq_c1/2,0))*COS((((20+0.5)*(4*IF(circ_int,0,eq_c1/2)+4*IF(circ_int,0,eq_c2/2)+2*PI()*(s_0+10*s_r+IF(circ_int,eq_c1/2,0)))/INDEX(lk_legs,11))-(2*IF(circ_int,0,eq_c2/2)))/(s_0+10*s_r+IF(circ_int,eq_c1/2,0))),IF(((20+0.5)*(4*IF(circ_int,0,eq_c1/2)+4*IF(circ_int,0,eq_c2/2)+2*PI()*(s_0+10*s_r+IF(circ_int,eq_c1/2,0)))/INDEX(lk_legs,11))&lt;(((2*IF(circ_int,0,eq_c2/2))+(PI()*(s_0+10*s_r+IF(circ_int,eq_c1/2,0))/2))+2*IF(circ_int,0,eq_c1/2)),IF(circ_int,0,eq_c1/2)-(((20+0.5)*(4*IF(circ_int,0,eq_c1/2)+4*IF(circ_int,0,eq_c2/2)+2*PI()*(s_0+10*s_r+IF(circ_int,eq_c1/2,0)))/INDEX(lk_legs,11))-((2*IF(circ_int,0,eq_c2/2))+(PI()*(s_0+10*s_r+IF(circ_int,eq_c1/2,0))/2))),IF(((20+0.5)*(4*IF(circ_int,0,eq_c1/2)+4*IF(circ_int,0,eq_c2/2)+2*PI()*(s_0+10*s_r+IF(circ_int,eq_c1/2,0)))/INDEX(lk_legs,11))&lt;((((2*IF(circ_int,0,eq_c2/2))+(PI()*(s_0+10*s_r+IF(circ_int,eq_c1/2,0))/2))+2*IF(circ_int,0,eq_c1/2))+(PI()*(s_0+10*s_r+IF(circ_int,eq_c1/2,0))/2)),-IF(circ_int,0,eq_c1/2)+(s_0+10*s_r+IF(circ_int,eq_c1/2,0))*COS(PI()/2+(((20+0.5)*(4*IF(circ_int,0,eq_c1/2)+4*IF(circ_int,0,eq_c2/2)+2*PI()*(s_0+10*s_r+IF(circ_int,eq_c1/2,0)))/INDEX(lk_legs,11))-(((2*IF(circ_int,0,eq_c2/2))+(PI()*(s_0+10*s_r+IF(circ_int,eq_c1/2,0))/2))+2*IF(circ_int,0,eq_c1/2)))/(s_0+10*s_r+IF(circ_int,eq_c1/2,0))),IF(((20+0.5)*(4*IF(circ_int,0,eq_c1/2)+4*IF(circ_int,0,eq_c2/2)+2*PI()*(s_0+10*s_r+IF(circ_int,eq_c1/2,0)))/INDEX(lk_legs,11))&lt;(((((2*IF(circ_int,0,eq_c2/2))+(PI()*(s_0+10*s_r+IF(circ_int,eq_c1/2,0))/2))+2*IF(circ_int,0,eq_c1/2))+(PI()*(s_0+10*s_r+IF(circ_int,eq_c1/2,0))/2))+2*IF(circ_int,0,eq_c2/2)),-IF(circ_int,0,eq_c1/2)-(s_0+10*s_r+IF(circ_int,eq_c1/2,0)),IF(((20+0.5)*(4*IF(circ_int,0,eq_c1/2)+4*IF(circ_int,0,eq_c2/2)+2*PI()*(s_0+10*s_r+IF(circ_int,eq_c1/2,0)))/INDEX(lk_legs,11))&lt;((((((2*IF(circ_int,0,eq_c2/2))+(PI()*(s_0+10*s_r+IF(circ_int,eq_c1/2,0))/2))+2*IF(circ_int,0,eq_c1/2))+(PI()*(s_0+10*s_r+IF(circ_int,eq_c1/2,0))/2))+2*IF(circ_int,0,eq_c2/2))+(PI()*(s_0+10*s_r+IF(circ_int,eq_c1/2,0))/2)),-IF(circ_int,0,eq_c1/2)+(s_0+10*s_r+IF(circ_int,eq_c1/2,0))*COS(PI()+(((20+0.5)*(4*IF(circ_int,0,eq_c1/2)+4*IF(circ_int,0,eq_c2/2)+2*PI()*(s_0+10*s_r+IF(circ_int,eq_c1/2,0)))/INDEX(lk_legs,11))-(((((2*IF(circ_int,0,eq_c2/2))+(PI()*(s_0+10*s_r+IF(circ_int,eq_c1/2,0))/2))+2*IF(circ_int,0,eq_c1/2))+(PI()*(s_0+10*s_r+IF(circ_int,eq_c1/2,0))/2))+2*IF(circ_int,0,eq_c2/2)))/(s_0+10*s_r+IF(circ_int,eq_c1/2,0))),IF(((20+0.5)*(4*IF(circ_int,0,eq_c1/2)+4*IF(circ_int,0,eq_c2/2)+2*PI()*(s_0+10*s_r+IF(circ_int,eq_c1/2,0)))/INDEX(lk_legs,11))&lt;(((((((2*IF(circ_int,0,eq_c2/2))+(PI()*(s_0+10*s_r+IF(circ_int,eq_c1/2,0))/2))+2*IF(circ_int,0,eq_c1/2))+(PI()*(s_0+10*s_r+IF(circ_int,eq_c1/2,0))/2))+2*IF(circ_int,0,eq_c2/2))+(PI()*(s_0+10*s_r+IF(circ_int,eq_c1/2,0))/2))+2*IF(circ_int,0,eq_c1/2)),-IF(circ_int,0,eq_c1/2)+(((20+0.5)*(4*IF(circ_int,0,eq_c1/2)+4*IF(circ_int,0,eq_c2/2)+2*PI()*(s_0+10*s_r+IF(circ_int,eq_c1/2,0)))/INDEX(lk_legs,11))-((((((2*IF(circ_int,0,eq_c2/2))+(PI()*(s_0+10*s_r+IF(circ_int,eq_c1/2,0))/2))+2*IF(circ_int,0,eq_c1/2))+(PI()*(s_0+10*s_r+IF(circ_int,eq_c1/2,0))/2))+2*IF(circ_int,0,eq_c2/2))+(PI()*(s_0+10*s_r+IF(circ_int,eq_c1/2,0))/2))),IF(circ_int,0,eq_c1/2)+(s_0+10*s_r+IF(circ_int,eq_c1/2,0))*COS(3*PI()/2+(((20+0.5)*(4*IF(circ_int,0,eq_c1/2)+4*IF(circ_int,0,eq_c2/2)+2*PI()*(s_0+10*s_r+IF(circ_int,eq_c1/2,0)))/INDEX(lk_legs,11))-(((((((2*IF(circ_int,0,eq_c2/2))+(PI()*(s_0+10*s_r+IF(circ_int,eq_c1/2,0))/2))+2*IF(circ_int,0,eq_c1/2))+(PI()*(s_0+10*s_r+IF(circ_int,eq_c1/2,0))/2))+2*IF(circ_int,0,eq_c2/2))+(PI()*(s_0+10*s_r+IF(circ_int,eq_c1/2,0))/2))+2*IF(circ_int,0,eq_c1/2)))/(s_0+10*s_r+IF(circ_int,eq_c1/2,0)))))))))),NA())</f>
        <v/>
      </c>
      <c r="DI23">
        <f>IF(AND(AND(links_on,11&lt;=n_per),INDEX(lk_kind,11)=1,20&lt;INDEX(lk_legs,11)),g_oy+IF(((20+0.5)*(4*IF(circ_int,0,eq_c1/2)+4*IF(circ_int,0,eq_c2/2)+2*PI()*(s_0+10*s_r+IF(circ_int,eq_c1/2,0)))/INDEX(lk_legs,11))&lt;(2*IF(circ_int,0,eq_c2/2)),-IF(circ_int,0,eq_c2/2)+((20+0.5)*(4*IF(circ_int,0,eq_c1/2)+4*IF(circ_int,0,eq_c2/2)+2*PI()*(s_0+10*s_r+IF(circ_int,eq_c1/2,0)))/INDEX(lk_legs,11)),IF(((20+0.5)*(4*IF(circ_int,0,eq_c1/2)+4*IF(circ_int,0,eq_c2/2)+2*PI()*(s_0+10*s_r+IF(circ_int,eq_c1/2,0)))/INDEX(lk_legs,11))&lt;((2*IF(circ_int,0,eq_c2/2))+(PI()*(s_0+10*s_r+IF(circ_int,eq_c1/2,0))/2)),IF(circ_int,0,eq_c2/2)+(s_0+10*s_r+IF(circ_int,eq_c1/2,0))*SIN((((20+0.5)*(4*IF(circ_int,0,eq_c1/2)+4*IF(circ_int,0,eq_c2/2)+2*PI()*(s_0+10*s_r+IF(circ_int,eq_c1/2,0)))/INDEX(lk_legs,11))-(2*IF(circ_int,0,eq_c2/2)))/(s_0+10*s_r+IF(circ_int,eq_c1/2,0))),IF(((20+0.5)*(4*IF(circ_int,0,eq_c1/2)+4*IF(circ_int,0,eq_c2/2)+2*PI()*(s_0+10*s_r+IF(circ_int,eq_c1/2,0)))/INDEX(lk_legs,11))&lt;(((2*IF(circ_int,0,eq_c2/2))+(PI()*(s_0+10*s_r+IF(circ_int,eq_c1/2,0))/2))+2*IF(circ_int,0,eq_c1/2)),IF(circ_int,0,eq_c2/2)+(s_0+10*s_r+IF(circ_int,eq_c1/2,0)),IF(((20+0.5)*(4*IF(circ_int,0,eq_c1/2)+4*IF(circ_int,0,eq_c2/2)+2*PI()*(s_0+10*s_r+IF(circ_int,eq_c1/2,0)))/INDEX(lk_legs,11))&lt;((((2*IF(circ_int,0,eq_c2/2))+(PI()*(s_0+10*s_r+IF(circ_int,eq_c1/2,0))/2))+2*IF(circ_int,0,eq_c1/2))+(PI()*(s_0+10*s_r+IF(circ_int,eq_c1/2,0))/2)),IF(circ_int,0,eq_c2/2)+(s_0+10*s_r+IF(circ_int,eq_c1/2,0))*SIN(PI()/2+(((20+0.5)*(4*IF(circ_int,0,eq_c1/2)+4*IF(circ_int,0,eq_c2/2)+2*PI()*(s_0+10*s_r+IF(circ_int,eq_c1/2,0)))/INDEX(lk_legs,11))-(((2*IF(circ_int,0,eq_c2/2))+(PI()*(s_0+10*s_r+IF(circ_int,eq_c1/2,0))/2))+2*IF(circ_int,0,eq_c1/2)))/(s_0+10*s_r+IF(circ_int,eq_c1/2,0))),IF(((20+0.5)*(4*IF(circ_int,0,eq_c1/2)+4*IF(circ_int,0,eq_c2/2)+2*PI()*(s_0+10*s_r+IF(circ_int,eq_c1/2,0)))/INDEX(lk_legs,11))&lt;(((((2*IF(circ_int,0,eq_c2/2))+(PI()*(s_0+10*s_r+IF(circ_int,eq_c1/2,0))/2))+2*IF(circ_int,0,eq_c1/2))+(PI()*(s_0+10*s_r+IF(circ_int,eq_c1/2,0))/2))+2*IF(circ_int,0,eq_c2/2)),IF(circ_int,0,eq_c2/2)-(((20+0.5)*(4*IF(circ_int,0,eq_c1/2)+4*IF(circ_int,0,eq_c2/2)+2*PI()*(s_0+10*s_r+IF(circ_int,eq_c1/2,0)))/INDEX(lk_legs,11))-((((2*IF(circ_int,0,eq_c2/2))+(PI()*(s_0+10*s_r+IF(circ_int,eq_c1/2,0))/2))+2*IF(circ_int,0,eq_c1/2))+(PI()*(s_0+10*s_r+IF(circ_int,eq_c1/2,0))/2))),IF(((20+0.5)*(4*IF(circ_int,0,eq_c1/2)+4*IF(circ_int,0,eq_c2/2)+2*PI()*(s_0+10*s_r+IF(circ_int,eq_c1/2,0)))/INDEX(lk_legs,11))&lt;((((((2*IF(circ_int,0,eq_c2/2))+(PI()*(s_0+10*s_r+IF(circ_int,eq_c1/2,0))/2))+2*IF(circ_int,0,eq_c1/2))+(PI()*(s_0+10*s_r+IF(circ_int,eq_c1/2,0))/2))+2*IF(circ_int,0,eq_c2/2))+(PI()*(s_0+10*s_r+IF(circ_int,eq_c1/2,0))/2)),-IF(circ_int,0,eq_c2/2)+(s_0+10*s_r+IF(circ_int,eq_c1/2,0))*SIN(PI()+(((20+0.5)*(4*IF(circ_int,0,eq_c1/2)+4*IF(circ_int,0,eq_c2/2)+2*PI()*(s_0+10*s_r+IF(circ_int,eq_c1/2,0)))/INDEX(lk_legs,11))-(((((2*IF(circ_int,0,eq_c2/2))+(PI()*(s_0+10*s_r+IF(circ_int,eq_c1/2,0))/2))+2*IF(circ_int,0,eq_c1/2))+(PI()*(s_0+10*s_r+IF(circ_int,eq_c1/2,0))/2))+2*IF(circ_int,0,eq_c2/2)))/(s_0+10*s_r+IF(circ_int,eq_c1/2,0))),IF(((20+0.5)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(20+0.5)*(4*IF(circ_int,0,eq_c1/2)+4*IF(circ_int,0,eq_c2/2)+2*PI()*(s_0+10*s_r+IF(circ_int,eq_c1/2,0)))/INDEX(lk_legs,11))-(((((((2*IF(circ_int,0,eq_c2/2))+(PI()*(s_0+10*s_r+IF(circ_int,eq_c1/2,0))/2))+2*IF(circ_int,0,eq_c1/2))+(PI()*(s_0+10*s_r+IF(circ_int,eq_c1/2,0))/2))+2*IF(circ_int,0,eq_c2/2))+(PI()*(s_0+10*s_r+IF(circ_int,eq_c1/2,0))/2))+2*IF(circ_int,0,eq_c1/2)))/(s_0+10*s_r+IF(circ_int,eq_c1/2,0)))))))))),NA())</f>
        <v/>
      </c>
      <c r="DK23">
        <f>IF(AND(links_on,12&lt;=n_per),IF(circ_int,(g_ox)+(c_1/2+(s_0+11*s_r))*-0.748511,CHOOSE(INDEX(lk_kind,12),(g_ox-eq_c1/2)+((s_0+11*s_r))*-0.793353,(eq_a1+eq_c1)+((s_0+11*s_r))*0.707107,eq_a1+eq_c1+(s_0+11*s_r),(eq_a1+eq_c1)+((s_0+11*s_r))*0.707107)),NA())</f>
        <v/>
      </c>
      <c r="DL23">
        <f>IF(AND(links_on,12&lt;=n_per),IF(circ_int,(g_oy)+(c_1/2+(s_0+11*s_r))*0.663123,CHOOSE(INDEX(lk_kind,12),(g_oy+eq_c2/2)+((s_0+11*s_r))*0.608761,(g_oy-eq_c2/2)+((s_0+11*s_r))*-0.707107,0,(eq_a2+eq_c2)+((s_0+11*s_r))*0.707107)),NA())</f>
        <v/>
      </c>
      <c r="DN23">
        <f>IF(AND(AND(links_on,12&lt;=n_per),INDEX(lk_kind,12)=1,20&lt;INDEX(lk_legs,12)),g_ox+IF(((20+0.5)*(4*IF(circ_int,0,eq_c1/2)+4*IF(circ_int,0,eq_c2/2)+2*PI()*(s_0+11*s_r+IF(circ_int,eq_c1/2,0)))/INDEX(lk_legs,12))&lt;(2*IF(circ_int,0,eq_c2/2)),IF(circ_int,0,eq_c1/2)+(s_0+11*s_r+IF(circ_int,eq_c1/2,0)),IF(((20+0.5)*(4*IF(circ_int,0,eq_c1/2)+4*IF(circ_int,0,eq_c2/2)+2*PI()*(s_0+11*s_r+IF(circ_int,eq_c1/2,0)))/INDEX(lk_legs,12))&lt;((2*IF(circ_int,0,eq_c2/2))+(PI()*(s_0+11*s_r+IF(circ_int,eq_c1/2,0))/2)),IF(circ_int,0,eq_c1/2)+(s_0+11*s_r+IF(circ_int,eq_c1/2,0))*COS((((20+0.5)*(4*IF(circ_int,0,eq_c1/2)+4*IF(circ_int,0,eq_c2/2)+2*PI()*(s_0+11*s_r+IF(circ_int,eq_c1/2,0)))/INDEX(lk_legs,12))-(2*IF(circ_int,0,eq_c2/2)))/(s_0+11*s_r+IF(circ_int,eq_c1/2,0))),IF(((20+0.5)*(4*IF(circ_int,0,eq_c1/2)+4*IF(circ_int,0,eq_c2/2)+2*PI()*(s_0+11*s_r+IF(circ_int,eq_c1/2,0)))/INDEX(lk_legs,12))&lt;(((2*IF(circ_int,0,eq_c2/2))+(PI()*(s_0+11*s_r+IF(circ_int,eq_c1/2,0))/2))+2*IF(circ_int,0,eq_c1/2)),IF(circ_int,0,eq_c1/2)-(((20+0.5)*(4*IF(circ_int,0,eq_c1/2)+4*IF(circ_int,0,eq_c2/2)+2*PI()*(s_0+11*s_r+IF(circ_int,eq_c1/2,0)))/INDEX(lk_legs,12))-((2*IF(circ_int,0,eq_c2/2))+(PI()*(s_0+11*s_r+IF(circ_int,eq_c1/2,0))/2))),IF(((20+0.5)*(4*IF(circ_int,0,eq_c1/2)+4*IF(circ_int,0,eq_c2/2)+2*PI()*(s_0+11*s_r+IF(circ_int,eq_c1/2,0)))/INDEX(lk_legs,12))&lt;((((2*IF(circ_int,0,eq_c2/2))+(PI()*(s_0+11*s_r+IF(circ_int,eq_c1/2,0))/2))+2*IF(circ_int,0,eq_c1/2))+(PI()*(s_0+11*s_r+IF(circ_int,eq_c1/2,0))/2)),-IF(circ_int,0,eq_c1/2)+(s_0+11*s_r+IF(circ_int,eq_c1/2,0))*COS(PI()/2+(((20+0.5)*(4*IF(circ_int,0,eq_c1/2)+4*IF(circ_int,0,eq_c2/2)+2*PI()*(s_0+11*s_r+IF(circ_int,eq_c1/2,0)))/INDEX(lk_legs,12))-(((2*IF(circ_int,0,eq_c2/2))+(PI()*(s_0+11*s_r+IF(circ_int,eq_c1/2,0))/2))+2*IF(circ_int,0,eq_c1/2)))/(s_0+11*s_r+IF(circ_int,eq_c1/2,0))),IF(((20+0.5)*(4*IF(circ_int,0,eq_c1/2)+4*IF(circ_int,0,eq_c2/2)+2*PI()*(s_0+11*s_r+IF(circ_int,eq_c1/2,0)))/INDEX(lk_legs,12))&lt;(((((2*IF(circ_int,0,eq_c2/2))+(PI()*(s_0+11*s_r+IF(circ_int,eq_c1/2,0))/2))+2*IF(circ_int,0,eq_c1/2))+(PI()*(s_0+11*s_r+IF(circ_int,eq_c1/2,0))/2))+2*IF(circ_int,0,eq_c2/2)),-IF(circ_int,0,eq_c1/2)-(s_0+11*s_r+IF(circ_int,eq_c1/2,0)),IF(((20+0.5)*(4*IF(circ_int,0,eq_c1/2)+4*IF(circ_int,0,eq_c2/2)+2*PI()*(s_0+11*s_r+IF(circ_int,eq_c1/2,0)))/INDEX(lk_legs,12))&lt;((((((2*IF(circ_int,0,eq_c2/2))+(PI()*(s_0+11*s_r+IF(circ_int,eq_c1/2,0))/2))+2*IF(circ_int,0,eq_c1/2))+(PI()*(s_0+11*s_r+IF(circ_int,eq_c1/2,0))/2))+2*IF(circ_int,0,eq_c2/2))+(PI()*(s_0+11*s_r+IF(circ_int,eq_c1/2,0))/2)),-IF(circ_int,0,eq_c1/2)+(s_0+11*s_r+IF(circ_int,eq_c1/2,0))*COS(PI()+(((20+0.5)*(4*IF(circ_int,0,eq_c1/2)+4*IF(circ_int,0,eq_c2/2)+2*PI()*(s_0+11*s_r+IF(circ_int,eq_c1/2,0)))/INDEX(lk_legs,12))-(((((2*IF(circ_int,0,eq_c2/2))+(PI()*(s_0+11*s_r+IF(circ_int,eq_c1/2,0))/2))+2*IF(circ_int,0,eq_c1/2))+(PI()*(s_0+11*s_r+IF(circ_int,eq_c1/2,0))/2))+2*IF(circ_int,0,eq_c2/2)))/(s_0+11*s_r+IF(circ_int,eq_c1/2,0))),IF(((20+0.5)*(4*IF(circ_int,0,eq_c1/2)+4*IF(circ_int,0,eq_c2/2)+2*PI()*(s_0+11*s_r+IF(circ_int,eq_c1/2,0)))/INDEX(lk_legs,12))&lt;(((((((2*IF(circ_int,0,eq_c2/2))+(PI()*(s_0+11*s_r+IF(circ_int,eq_c1/2,0))/2))+2*IF(circ_int,0,eq_c1/2))+(PI()*(s_0+11*s_r+IF(circ_int,eq_c1/2,0))/2))+2*IF(circ_int,0,eq_c2/2))+(PI()*(s_0+11*s_r+IF(circ_int,eq_c1/2,0))/2))+2*IF(circ_int,0,eq_c1/2)),-IF(circ_int,0,eq_c1/2)+(((20+0.5)*(4*IF(circ_int,0,eq_c1/2)+4*IF(circ_int,0,eq_c2/2)+2*PI()*(s_0+11*s_r+IF(circ_int,eq_c1/2,0)))/INDEX(lk_legs,12))-((((((2*IF(circ_int,0,eq_c2/2))+(PI()*(s_0+11*s_r+IF(circ_int,eq_c1/2,0))/2))+2*IF(circ_int,0,eq_c1/2))+(PI()*(s_0+11*s_r+IF(circ_int,eq_c1/2,0))/2))+2*IF(circ_int,0,eq_c2/2))+(PI()*(s_0+11*s_r+IF(circ_int,eq_c1/2,0))/2))),IF(circ_int,0,eq_c1/2)+(s_0+11*s_r+IF(circ_int,eq_c1/2,0))*COS(3*PI()/2+(((20+0.5)*(4*IF(circ_int,0,eq_c1/2)+4*IF(circ_int,0,eq_c2/2)+2*PI()*(s_0+11*s_r+IF(circ_int,eq_c1/2,0)))/INDEX(lk_legs,12))-(((((((2*IF(circ_int,0,eq_c2/2))+(PI()*(s_0+11*s_r+IF(circ_int,eq_c1/2,0))/2))+2*IF(circ_int,0,eq_c1/2))+(PI()*(s_0+11*s_r+IF(circ_int,eq_c1/2,0))/2))+2*IF(circ_int,0,eq_c2/2))+(PI()*(s_0+11*s_r+IF(circ_int,eq_c1/2,0))/2))+2*IF(circ_int,0,eq_c1/2)))/(s_0+11*s_r+IF(circ_int,eq_c1/2,0)))))))))),NA())</f>
        <v/>
      </c>
      <c r="DO23">
        <f>IF(AND(AND(links_on,12&lt;=n_per),INDEX(lk_kind,12)=1,20&lt;INDEX(lk_legs,12)),g_oy+IF(((20+0.5)*(4*IF(circ_int,0,eq_c1/2)+4*IF(circ_int,0,eq_c2/2)+2*PI()*(s_0+11*s_r+IF(circ_int,eq_c1/2,0)))/INDEX(lk_legs,12))&lt;(2*IF(circ_int,0,eq_c2/2)),-IF(circ_int,0,eq_c2/2)+((20+0.5)*(4*IF(circ_int,0,eq_c1/2)+4*IF(circ_int,0,eq_c2/2)+2*PI()*(s_0+11*s_r+IF(circ_int,eq_c1/2,0)))/INDEX(lk_legs,12)),IF(((20+0.5)*(4*IF(circ_int,0,eq_c1/2)+4*IF(circ_int,0,eq_c2/2)+2*PI()*(s_0+11*s_r+IF(circ_int,eq_c1/2,0)))/INDEX(lk_legs,12))&lt;((2*IF(circ_int,0,eq_c2/2))+(PI()*(s_0+11*s_r+IF(circ_int,eq_c1/2,0))/2)),IF(circ_int,0,eq_c2/2)+(s_0+11*s_r+IF(circ_int,eq_c1/2,0))*SIN((((20+0.5)*(4*IF(circ_int,0,eq_c1/2)+4*IF(circ_int,0,eq_c2/2)+2*PI()*(s_0+11*s_r+IF(circ_int,eq_c1/2,0)))/INDEX(lk_legs,12))-(2*IF(circ_int,0,eq_c2/2)))/(s_0+11*s_r+IF(circ_int,eq_c1/2,0))),IF(((20+0.5)*(4*IF(circ_int,0,eq_c1/2)+4*IF(circ_int,0,eq_c2/2)+2*PI()*(s_0+11*s_r+IF(circ_int,eq_c1/2,0)))/INDEX(lk_legs,12))&lt;(((2*IF(circ_int,0,eq_c2/2))+(PI()*(s_0+11*s_r+IF(circ_int,eq_c1/2,0))/2))+2*IF(circ_int,0,eq_c1/2)),IF(circ_int,0,eq_c2/2)+(s_0+11*s_r+IF(circ_int,eq_c1/2,0)),IF(((20+0.5)*(4*IF(circ_int,0,eq_c1/2)+4*IF(circ_int,0,eq_c2/2)+2*PI()*(s_0+11*s_r+IF(circ_int,eq_c1/2,0)))/INDEX(lk_legs,12))&lt;((((2*IF(circ_int,0,eq_c2/2))+(PI()*(s_0+11*s_r+IF(circ_int,eq_c1/2,0))/2))+2*IF(circ_int,0,eq_c1/2))+(PI()*(s_0+11*s_r+IF(circ_int,eq_c1/2,0))/2)),IF(circ_int,0,eq_c2/2)+(s_0+11*s_r+IF(circ_int,eq_c1/2,0))*SIN(PI()/2+(((20+0.5)*(4*IF(circ_int,0,eq_c1/2)+4*IF(circ_int,0,eq_c2/2)+2*PI()*(s_0+11*s_r+IF(circ_int,eq_c1/2,0)))/INDEX(lk_legs,12))-(((2*IF(circ_int,0,eq_c2/2))+(PI()*(s_0+11*s_r+IF(circ_int,eq_c1/2,0))/2))+2*IF(circ_int,0,eq_c1/2)))/(s_0+11*s_r+IF(circ_int,eq_c1/2,0))),IF(((20+0.5)*(4*IF(circ_int,0,eq_c1/2)+4*IF(circ_int,0,eq_c2/2)+2*PI()*(s_0+11*s_r+IF(circ_int,eq_c1/2,0)))/INDEX(lk_legs,12))&lt;(((((2*IF(circ_int,0,eq_c2/2))+(PI()*(s_0+11*s_r+IF(circ_int,eq_c1/2,0))/2))+2*IF(circ_int,0,eq_c1/2))+(PI()*(s_0+11*s_r+IF(circ_int,eq_c1/2,0))/2))+2*IF(circ_int,0,eq_c2/2)),IF(circ_int,0,eq_c2/2)-(((20+0.5)*(4*IF(circ_int,0,eq_c1/2)+4*IF(circ_int,0,eq_c2/2)+2*PI()*(s_0+11*s_r+IF(circ_int,eq_c1/2,0)))/INDEX(lk_legs,12))-((((2*IF(circ_int,0,eq_c2/2))+(PI()*(s_0+11*s_r+IF(circ_int,eq_c1/2,0))/2))+2*IF(circ_int,0,eq_c1/2))+(PI()*(s_0+11*s_r+IF(circ_int,eq_c1/2,0))/2))),IF(((20+0.5)*(4*IF(circ_int,0,eq_c1/2)+4*IF(circ_int,0,eq_c2/2)+2*PI()*(s_0+11*s_r+IF(circ_int,eq_c1/2,0)))/INDEX(lk_legs,12))&lt;((((((2*IF(circ_int,0,eq_c2/2))+(PI()*(s_0+11*s_r+IF(circ_int,eq_c1/2,0))/2))+2*IF(circ_int,0,eq_c1/2))+(PI()*(s_0+11*s_r+IF(circ_int,eq_c1/2,0))/2))+2*IF(circ_int,0,eq_c2/2))+(PI()*(s_0+11*s_r+IF(circ_int,eq_c1/2,0))/2)),-IF(circ_int,0,eq_c2/2)+(s_0+11*s_r+IF(circ_int,eq_c1/2,0))*SIN(PI()+(((20+0.5)*(4*IF(circ_int,0,eq_c1/2)+4*IF(circ_int,0,eq_c2/2)+2*PI()*(s_0+11*s_r+IF(circ_int,eq_c1/2,0)))/INDEX(lk_legs,12))-(((((2*IF(circ_int,0,eq_c2/2))+(PI()*(s_0+11*s_r+IF(circ_int,eq_c1/2,0))/2))+2*IF(circ_int,0,eq_c1/2))+(PI()*(s_0+11*s_r+IF(circ_int,eq_c1/2,0))/2))+2*IF(circ_int,0,eq_c2/2)))/(s_0+11*s_r+IF(circ_int,eq_c1/2,0))),IF(((20+0.5)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(20+0.5)*(4*IF(circ_int,0,eq_c1/2)+4*IF(circ_int,0,eq_c2/2)+2*PI()*(s_0+11*s_r+IF(circ_int,eq_c1/2,0)))/INDEX(lk_legs,12))-(((((((2*IF(circ_int,0,eq_c2/2))+(PI()*(s_0+11*s_r+IF(circ_int,eq_c1/2,0))/2))+2*IF(circ_int,0,eq_c1/2))+(PI()*(s_0+11*s_r+IF(circ_int,eq_c1/2,0))/2))+2*IF(circ_int,0,eq_c2/2))+(PI()*(s_0+11*s_r+IF(circ_int,eq_c1/2,0))/2))+2*IF(circ_int,0,eq_c1/2)))/(s_0+11*s_r+IF(circ_int,eq_c1/2,0)))))))))),NA())</f>
        <v/>
      </c>
    </row>
    <row r="24">
      <c r="A24">
        <f>IF(shape="Circular",(g_ox)+(c_1/2+0)*-0.822984,CHOOSE(1,(g_ox-eq_c1/2)+(0)*-0.866025,(eq_a1+eq_c1)+(0)*0.608761,eq_a1+eq_c1+0,(eq_a1+eq_c1)+(0)*0.793353))</f>
        <v/>
      </c>
      <c r="B24">
        <f>IF(shape="Circular",(g_oy)+(c_1/2+0)*0.568065,CHOOSE(1,(g_oy+eq_c2/2)+(0)*0.500000,(g_oy-eq_c2/2)+(0)*-0.793353,0,(eq_a2+eq_c2)+(0)*0.608761))</f>
        <v/>
      </c>
      <c r="D24">
        <f>IF(circ_int,(g_ox)+(c_1/2+2*d_eff)*-0.822984,CHOOSE(geo_idx,(g_ox-eq_c1/2)+(2*d_eff)*-0.866025,(eq_a1+eq_c1)+(2*d_eff)*0.608761,eq_a1+eq_c1+2*d_eff,(eq_a1+eq_c1)+(2*d_eff)*0.793353))</f>
        <v/>
      </c>
      <c r="E24">
        <f>IF(circ_int,(g_oy)+(c_1/2+2*d_eff)*0.568065,CHOOSE(geo_idx,(g_oy+eq_c2/2)+(2*d_eff)*0.500000,(g_oy-eq_c2/2)+(2*d_eff)*-0.793353,0,(eq_a2+eq_c2)+(2*d_eff)*0.608761))</f>
        <v/>
      </c>
      <c r="G24">
        <f>IF(AND(inputs_ok,punch_ok,A_sw&gt;0),IF(circ_int,(g_ox)+(c_1/2+r_out)*-0.822984,CHOOSE(kind_out,(g_ox-eq_c1/2)+(r_out)*-0.866025,(eq_a1+eq_c1)+(r_out)*0.608761,eq_a1+eq_c1+r_out,(eq_a1+eq_c1)+(r_out)*0.793353)),NA())</f>
        <v/>
      </c>
      <c r="H24">
        <f>IF(AND(inputs_ok,punch_ok,A_sw&gt;0),IF(circ_int,(g_oy)+(c_1/2+r_out)*0.568065,CHOOSE(kind_out,(g_oy+eq_c2/2)+(r_out)*0.500000,(g_oy-eq_c2/2)+(r_out)*-0.793353,0,(eq_a2+eq_c2)+(r_out)*0.608761)),NA())</f>
        <v/>
      </c>
      <c r="AW24">
        <f>IF(AND(links_on,1&lt;=n_per),IF(circ_int,(g_ox)+(c_1/2+(s_0+0*s_r))*-0.822984,CHOOSE(INDEX(lk_kind,1),(g_ox-eq_c1/2)+((s_0+0*s_r))*-0.866025,(eq_a1+eq_c1)+((s_0+0*s_r))*0.608761,eq_a1+eq_c1+(s_0+0*s_r),(eq_a1+eq_c1)+((s_0+0*s_r))*0.793353)),NA())</f>
        <v/>
      </c>
      <c r="AX24">
        <f>IF(AND(links_on,1&lt;=n_per),IF(circ_int,(g_oy)+(c_1/2+(s_0+0*s_r))*0.568065,CHOOSE(INDEX(lk_kind,1),(g_oy+eq_c2/2)+((s_0+0*s_r))*0.500000,(g_oy-eq_c2/2)+((s_0+0*s_r))*-0.793353,0,(eq_a2+eq_c2)+((s_0+0*s_r))*0.608761)),NA())</f>
        <v/>
      </c>
      <c r="AZ24">
        <f>IF(AND(AND(links_on,1&lt;=n_per),INDEX(lk_kind,1)=1,21&lt;INDEX(lk_legs,1)),g_ox+IF(((21+0.5)*(4*IF(circ_int,0,eq_c1/2)+4*IF(circ_int,0,eq_c2/2)+2*PI()*(s_0+0*s_r+IF(circ_int,eq_c1/2,0)))/INDEX(lk_legs,1))&lt;(2*IF(circ_int,0,eq_c2/2)),IF(circ_int,0,eq_c1/2)+(s_0+0*s_r+IF(circ_int,eq_c1/2,0)),IF(((21+0.5)*(4*IF(circ_int,0,eq_c1/2)+4*IF(circ_int,0,eq_c2/2)+2*PI()*(s_0+0*s_r+IF(circ_int,eq_c1/2,0)))/INDEX(lk_legs,1))&lt;((2*IF(circ_int,0,eq_c2/2))+(PI()*(s_0+0*s_r+IF(circ_int,eq_c1/2,0))/2)),IF(circ_int,0,eq_c1/2)+(s_0+0*s_r+IF(circ_int,eq_c1/2,0))*COS((((21+0.5)*(4*IF(circ_int,0,eq_c1/2)+4*IF(circ_int,0,eq_c2/2)+2*PI()*(s_0+0*s_r+IF(circ_int,eq_c1/2,0)))/INDEX(lk_legs,1))-(2*IF(circ_int,0,eq_c2/2)))/(s_0+0*s_r+IF(circ_int,eq_c1/2,0))),IF(((21+0.5)*(4*IF(circ_int,0,eq_c1/2)+4*IF(circ_int,0,eq_c2/2)+2*PI()*(s_0+0*s_r+IF(circ_int,eq_c1/2,0)))/INDEX(lk_legs,1))&lt;(((2*IF(circ_int,0,eq_c2/2))+(PI()*(s_0+0*s_r+IF(circ_int,eq_c1/2,0))/2))+2*IF(circ_int,0,eq_c1/2)),IF(circ_int,0,eq_c1/2)-(((21+0.5)*(4*IF(circ_int,0,eq_c1/2)+4*IF(circ_int,0,eq_c2/2)+2*PI()*(s_0+0*s_r+IF(circ_int,eq_c1/2,0)))/INDEX(lk_legs,1))-((2*IF(circ_int,0,eq_c2/2))+(PI()*(s_0+0*s_r+IF(circ_int,eq_c1/2,0))/2))),IF(((21+0.5)*(4*IF(circ_int,0,eq_c1/2)+4*IF(circ_int,0,eq_c2/2)+2*PI()*(s_0+0*s_r+IF(circ_int,eq_c1/2,0)))/INDEX(lk_legs,1))&lt;((((2*IF(circ_int,0,eq_c2/2))+(PI()*(s_0+0*s_r+IF(circ_int,eq_c1/2,0))/2))+2*IF(circ_int,0,eq_c1/2))+(PI()*(s_0+0*s_r+IF(circ_int,eq_c1/2,0))/2)),-IF(circ_int,0,eq_c1/2)+(s_0+0*s_r+IF(circ_int,eq_c1/2,0))*COS(PI()/2+(((21+0.5)*(4*IF(circ_int,0,eq_c1/2)+4*IF(circ_int,0,eq_c2/2)+2*PI()*(s_0+0*s_r+IF(circ_int,eq_c1/2,0)))/INDEX(lk_legs,1))-(((2*IF(circ_int,0,eq_c2/2))+(PI()*(s_0+0*s_r+IF(circ_int,eq_c1/2,0))/2))+2*IF(circ_int,0,eq_c1/2)))/(s_0+0*s_r+IF(circ_int,eq_c1/2,0))),IF(((21+0.5)*(4*IF(circ_int,0,eq_c1/2)+4*IF(circ_int,0,eq_c2/2)+2*PI()*(s_0+0*s_r+IF(circ_int,eq_c1/2,0)))/INDEX(lk_legs,1))&lt;(((((2*IF(circ_int,0,eq_c2/2))+(PI()*(s_0+0*s_r+IF(circ_int,eq_c1/2,0))/2))+2*IF(circ_int,0,eq_c1/2))+(PI()*(s_0+0*s_r+IF(circ_int,eq_c1/2,0))/2))+2*IF(circ_int,0,eq_c2/2)),-IF(circ_int,0,eq_c1/2)-(s_0+0*s_r+IF(circ_int,eq_c1/2,0)),IF(((21+0.5)*(4*IF(circ_int,0,eq_c1/2)+4*IF(circ_int,0,eq_c2/2)+2*PI()*(s_0+0*s_r+IF(circ_int,eq_c1/2,0)))/INDEX(lk_legs,1))&lt;((((((2*IF(circ_int,0,eq_c2/2))+(PI()*(s_0+0*s_r+IF(circ_int,eq_c1/2,0))/2))+2*IF(circ_int,0,eq_c1/2))+(PI()*(s_0+0*s_r+IF(circ_int,eq_c1/2,0))/2))+2*IF(circ_int,0,eq_c2/2))+(PI()*(s_0+0*s_r+IF(circ_int,eq_c1/2,0))/2)),-IF(circ_int,0,eq_c1/2)+(s_0+0*s_r+IF(circ_int,eq_c1/2,0))*COS(PI()+(((21+0.5)*(4*IF(circ_int,0,eq_c1/2)+4*IF(circ_int,0,eq_c2/2)+2*PI()*(s_0+0*s_r+IF(circ_int,eq_c1/2,0)))/INDEX(lk_legs,1))-(((((2*IF(circ_int,0,eq_c2/2))+(PI()*(s_0+0*s_r+IF(circ_int,eq_c1/2,0))/2))+2*IF(circ_int,0,eq_c1/2))+(PI()*(s_0+0*s_r+IF(circ_int,eq_c1/2,0))/2))+2*IF(circ_int,0,eq_c2/2)))/(s_0+0*s_r+IF(circ_int,eq_c1/2,0))),IF(((21+0.5)*(4*IF(circ_int,0,eq_c1/2)+4*IF(circ_int,0,eq_c2/2)+2*PI()*(s_0+0*s_r+IF(circ_int,eq_c1/2,0)))/INDEX(lk_legs,1))&lt;(((((((2*IF(circ_int,0,eq_c2/2))+(PI()*(s_0+0*s_r+IF(circ_int,eq_c1/2,0))/2))+2*IF(circ_int,0,eq_c1/2))+(PI()*(s_0+0*s_r+IF(circ_int,eq_c1/2,0))/2))+2*IF(circ_int,0,eq_c2/2))+(PI()*(s_0+0*s_r+IF(circ_int,eq_c1/2,0))/2))+2*IF(circ_int,0,eq_c1/2)),-IF(circ_int,0,eq_c1/2)+(((21+0.5)*(4*IF(circ_int,0,eq_c1/2)+4*IF(circ_int,0,eq_c2/2)+2*PI()*(s_0+0*s_r+IF(circ_int,eq_c1/2,0)))/INDEX(lk_legs,1))-((((((2*IF(circ_int,0,eq_c2/2))+(PI()*(s_0+0*s_r+IF(circ_int,eq_c1/2,0))/2))+2*IF(circ_int,0,eq_c1/2))+(PI()*(s_0+0*s_r+IF(circ_int,eq_c1/2,0))/2))+2*IF(circ_int,0,eq_c2/2))+(PI()*(s_0+0*s_r+IF(circ_int,eq_c1/2,0))/2))),IF(circ_int,0,eq_c1/2)+(s_0+0*s_r+IF(circ_int,eq_c1/2,0))*COS(3*PI()/2+(((21+0.5)*(4*IF(circ_int,0,eq_c1/2)+4*IF(circ_int,0,eq_c2/2)+2*PI()*(s_0+0*s_r+IF(circ_int,eq_c1/2,0)))/INDEX(lk_legs,1))-(((((((2*IF(circ_int,0,eq_c2/2))+(PI()*(s_0+0*s_r+IF(circ_int,eq_c1/2,0))/2))+2*IF(circ_int,0,eq_c1/2))+(PI()*(s_0+0*s_r+IF(circ_int,eq_c1/2,0))/2))+2*IF(circ_int,0,eq_c2/2))+(PI()*(s_0+0*s_r+IF(circ_int,eq_c1/2,0))/2))+2*IF(circ_int,0,eq_c1/2)))/(s_0+0*s_r+IF(circ_int,eq_c1/2,0)))))))))),NA())</f>
        <v/>
      </c>
      <c r="BA24">
        <f>IF(AND(AND(links_on,1&lt;=n_per),INDEX(lk_kind,1)=1,21&lt;INDEX(lk_legs,1)),g_oy+IF(((21+0.5)*(4*IF(circ_int,0,eq_c1/2)+4*IF(circ_int,0,eq_c2/2)+2*PI()*(s_0+0*s_r+IF(circ_int,eq_c1/2,0)))/INDEX(lk_legs,1))&lt;(2*IF(circ_int,0,eq_c2/2)),-IF(circ_int,0,eq_c2/2)+((21+0.5)*(4*IF(circ_int,0,eq_c1/2)+4*IF(circ_int,0,eq_c2/2)+2*PI()*(s_0+0*s_r+IF(circ_int,eq_c1/2,0)))/INDEX(lk_legs,1)),IF(((21+0.5)*(4*IF(circ_int,0,eq_c1/2)+4*IF(circ_int,0,eq_c2/2)+2*PI()*(s_0+0*s_r+IF(circ_int,eq_c1/2,0)))/INDEX(lk_legs,1))&lt;((2*IF(circ_int,0,eq_c2/2))+(PI()*(s_0+0*s_r+IF(circ_int,eq_c1/2,0))/2)),IF(circ_int,0,eq_c2/2)+(s_0+0*s_r+IF(circ_int,eq_c1/2,0))*SIN((((21+0.5)*(4*IF(circ_int,0,eq_c1/2)+4*IF(circ_int,0,eq_c2/2)+2*PI()*(s_0+0*s_r+IF(circ_int,eq_c1/2,0)))/INDEX(lk_legs,1))-(2*IF(circ_int,0,eq_c2/2)))/(s_0+0*s_r+IF(circ_int,eq_c1/2,0))),IF(((21+0.5)*(4*IF(circ_int,0,eq_c1/2)+4*IF(circ_int,0,eq_c2/2)+2*PI()*(s_0+0*s_r+IF(circ_int,eq_c1/2,0)))/INDEX(lk_legs,1))&lt;(((2*IF(circ_int,0,eq_c2/2))+(PI()*(s_0+0*s_r+IF(circ_int,eq_c1/2,0))/2))+2*IF(circ_int,0,eq_c1/2)),IF(circ_int,0,eq_c2/2)+(s_0+0*s_r+IF(circ_int,eq_c1/2,0)),IF(((21+0.5)*(4*IF(circ_int,0,eq_c1/2)+4*IF(circ_int,0,eq_c2/2)+2*PI()*(s_0+0*s_r+IF(circ_int,eq_c1/2,0)))/INDEX(lk_legs,1))&lt;((((2*IF(circ_int,0,eq_c2/2))+(PI()*(s_0+0*s_r+IF(circ_int,eq_c1/2,0))/2))+2*IF(circ_int,0,eq_c1/2))+(PI()*(s_0+0*s_r+IF(circ_int,eq_c1/2,0))/2)),IF(circ_int,0,eq_c2/2)+(s_0+0*s_r+IF(circ_int,eq_c1/2,0))*SIN(PI()/2+(((21+0.5)*(4*IF(circ_int,0,eq_c1/2)+4*IF(circ_int,0,eq_c2/2)+2*PI()*(s_0+0*s_r+IF(circ_int,eq_c1/2,0)))/INDEX(lk_legs,1))-(((2*IF(circ_int,0,eq_c2/2))+(PI()*(s_0+0*s_r+IF(circ_int,eq_c1/2,0))/2))+2*IF(circ_int,0,eq_c1/2)))/(s_0+0*s_r+IF(circ_int,eq_c1/2,0))),IF(((21+0.5)*(4*IF(circ_int,0,eq_c1/2)+4*IF(circ_int,0,eq_c2/2)+2*PI()*(s_0+0*s_r+IF(circ_int,eq_c1/2,0)))/INDEX(lk_legs,1))&lt;(((((2*IF(circ_int,0,eq_c2/2))+(PI()*(s_0+0*s_r+IF(circ_int,eq_c1/2,0))/2))+2*IF(circ_int,0,eq_c1/2))+(PI()*(s_0+0*s_r+IF(circ_int,eq_c1/2,0))/2))+2*IF(circ_int,0,eq_c2/2)),IF(circ_int,0,eq_c2/2)-(((21+0.5)*(4*IF(circ_int,0,eq_c1/2)+4*IF(circ_int,0,eq_c2/2)+2*PI()*(s_0+0*s_r+IF(circ_int,eq_c1/2,0)))/INDEX(lk_legs,1))-((((2*IF(circ_int,0,eq_c2/2))+(PI()*(s_0+0*s_r+IF(circ_int,eq_c1/2,0))/2))+2*IF(circ_int,0,eq_c1/2))+(PI()*(s_0+0*s_r+IF(circ_int,eq_c1/2,0))/2))),IF(((21+0.5)*(4*IF(circ_int,0,eq_c1/2)+4*IF(circ_int,0,eq_c2/2)+2*PI()*(s_0+0*s_r+IF(circ_int,eq_c1/2,0)))/INDEX(lk_legs,1))&lt;((((((2*IF(circ_int,0,eq_c2/2))+(PI()*(s_0+0*s_r+IF(circ_int,eq_c1/2,0))/2))+2*IF(circ_int,0,eq_c1/2))+(PI()*(s_0+0*s_r+IF(circ_int,eq_c1/2,0))/2))+2*IF(circ_int,0,eq_c2/2))+(PI()*(s_0+0*s_r+IF(circ_int,eq_c1/2,0))/2)),-IF(circ_int,0,eq_c2/2)+(s_0+0*s_r+IF(circ_int,eq_c1/2,0))*SIN(PI()+(((21+0.5)*(4*IF(circ_int,0,eq_c1/2)+4*IF(circ_int,0,eq_c2/2)+2*PI()*(s_0+0*s_r+IF(circ_int,eq_c1/2,0)))/INDEX(lk_legs,1))-(((((2*IF(circ_int,0,eq_c2/2))+(PI()*(s_0+0*s_r+IF(circ_int,eq_c1/2,0))/2))+2*IF(circ_int,0,eq_c1/2))+(PI()*(s_0+0*s_r+IF(circ_int,eq_c1/2,0))/2))+2*IF(circ_int,0,eq_c2/2)))/(s_0+0*s_r+IF(circ_int,eq_c1/2,0))),IF(((21+0.5)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(21+0.5)*(4*IF(circ_int,0,eq_c1/2)+4*IF(circ_int,0,eq_c2/2)+2*PI()*(s_0+0*s_r+IF(circ_int,eq_c1/2,0)))/INDEX(lk_legs,1))-(((((((2*IF(circ_int,0,eq_c2/2))+(PI()*(s_0+0*s_r+IF(circ_int,eq_c1/2,0))/2))+2*IF(circ_int,0,eq_c1/2))+(PI()*(s_0+0*s_r+IF(circ_int,eq_c1/2,0))/2))+2*IF(circ_int,0,eq_c2/2))+(PI()*(s_0+0*s_r+IF(circ_int,eq_c1/2,0))/2))+2*IF(circ_int,0,eq_c1/2)))/(s_0+0*s_r+IF(circ_int,eq_c1/2,0)))))))))),NA())</f>
        <v/>
      </c>
      <c r="BC24">
        <f>IF(AND(links_on,2&lt;=n_per),IF(circ_int,(g_ox)+(c_1/2+(s_0+1*s_r))*-0.822984,CHOOSE(INDEX(lk_kind,2),(g_ox-eq_c1/2)+((s_0+1*s_r))*-0.866025,(eq_a1+eq_c1)+((s_0+1*s_r))*0.608761,eq_a1+eq_c1+(s_0+1*s_r),(eq_a1+eq_c1)+((s_0+1*s_r))*0.793353)),NA())</f>
        <v/>
      </c>
      <c r="BD24">
        <f>IF(AND(links_on,2&lt;=n_per),IF(circ_int,(g_oy)+(c_1/2+(s_0+1*s_r))*0.568065,CHOOSE(INDEX(lk_kind,2),(g_oy+eq_c2/2)+((s_0+1*s_r))*0.500000,(g_oy-eq_c2/2)+((s_0+1*s_r))*-0.793353,0,(eq_a2+eq_c2)+((s_0+1*s_r))*0.608761)),NA())</f>
        <v/>
      </c>
      <c r="BF24">
        <f>IF(AND(AND(links_on,2&lt;=n_per),INDEX(lk_kind,2)=1,21&lt;INDEX(lk_legs,2)),g_ox+IF(((21+0.5)*(4*IF(circ_int,0,eq_c1/2)+4*IF(circ_int,0,eq_c2/2)+2*PI()*(s_0+1*s_r+IF(circ_int,eq_c1/2,0)))/INDEX(lk_legs,2))&lt;(2*IF(circ_int,0,eq_c2/2)),IF(circ_int,0,eq_c1/2)+(s_0+1*s_r+IF(circ_int,eq_c1/2,0)),IF(((21+0.5)*(4*IF(circ_int,0,eq_c1/2)+4*IF(circ_int,0,eq_c2/2)+2*PI()*(s_0+1*s_r+IF(circ_int,eq_c1/2,0)))/INDEX(lk_legs,2))&lt;((2*IF(circ_int,0,eq_c2/2))+(PI()*(s_0+1*s_r+IF(circ_int,eq_c1/2,0))/2)),IF(circ_int,0,eq_c1/2)+(s_0+1*s_r+IF(circ_int,eq_c1/2,0))*COS((((21+0.5)*(4*IF(circ_int,0,eq_c1/2)+4*IF(circ_int,0,eq_c2/2)+2*PI()*(s_0+1*s_r+IF(circ_int,eq_c1/2,0)))/INDEX(lk_legs,2))-(2*IF(circ_int,0,eq_c2/2)))/(s_0+1*s_r+IF(circ_int,eq_c1/2,0))),IF(((21+0.5)*(4*IF(circ_int,0,eq_c1/2)+4*IF(circ_int,0,eq_c2/2)+2*PI()*(s_0+1*s_r+IF(circ_int,eq_c1/2,0)))/INDEX(lk_legs,2))&lt;(((2*IF(circ_int,0,eq_c2/2))+(PI()*(s_0+1*s_r+IF(circ_int,eq_c1/2,0))/2))+2*IF(circ_int,0,eq_c1/2)),IF(circ_int,0,eq_c1/2)-(((21+0.5)*(4*IF(circ_int,0,eq_c1/2)+4*IF(circ_int,0,eq_c2/2)+2*PI()*(s_0+1*s_r+IF(circ_int,eq_c1/2,0)))/INDEX(lk_legs,2))-((2*IF(circ_int,0,eq_c2/2))+(PI()*(s_0+1*s_r+IF(circ_int,eq_c1/2,0))/2))),IF(((21+0.5)*(4*IF(circ_int,0,eq_c1/2)+4*IF(circ_int,0,eq_c2/2)+2*PI()*(s_0+1*s_r+IF(circ_int,eq_c1/2,0)))/INDEX(lk_legs,2))&lt;((((2*IF(circ_int,0,eq_c2/2))+(PI()*(s_0+1*s_r+IF(circ_int,eq_c1/2,0))/2))+2*IF(circ_int,0,eq_c1/2))+(PI()*(s_0+1*s_r+IF(circ_int,eq_c1/2,0))/2)),-IF(circ_int,0,eq_c1/2)+(s_0+1*s_r+IF(circ_int,eq_c1/2,0))*COS(PI()/2+(((21+0.5)*(4*IF(circ_int,0,eq_c1/2)+4*IF(circ_int,0,eq_c2/2)+2*PI()*(s_0+1*s_r+IF(circ_int,eq_c1/2,0)))/INDEX(lk_legs,2))-(((2*IF(circ_int,0,eq_c2/2))+(PI()*(s_0+1*s_r+IF(circ_int,eq_c1/2,0))/2))+2*IF(circ_int,0,eq_c1/2)))/(s_0+1*s_r+IF(circ_int,eq_c1/2,0))),IF(((21+0.5)*(4*IF(circ_int,0,eq_c1/2)+4*IF(circ_int,0,eq_c2/2)+2*PI()*(s_0+1*s_r+IF(circ_int,eq_c1/2,0)))/INDEX(lk_legs,2))&lt;(((((2*IF(circ_int,0,eq_c2/2))+(PI()*(s_0+1*s_r+IF(circ_int,eq_c1/2,0))/2))+2*IF(circ_int,0,eq_c1/2))+(PI()*(s_0+1*s_r+IF(circ_int,eq_c1/2,0))/2))+2*IF(circ_int,0,eq_c2/2)),-IF(circ_int,0,eq_c1/2)-(s_0+1*s_r+IF(circ_int,eq_c1/2,0)),IF(((21+0.5)*(4*IF(circ_int,0,eq_c1/2)+4*IF(circ_int,0,eq_c2/2)+2*PI()*(s_0+1*s_r+IF(circ_int,eq_c1/2,0)))/INDEX(lk_legs,2))&lt;((((((2*IF(circ_int,0,eq_c2/2))+(PI()*(s_0+1*s_r+IF(circ_int,eq_c1/2,0))/2))+2*IF(circ_int,0,eq_c1/2))+(PI()*(s_0+1*s_r+IF(circ_int,eq_c1/2,0))/2))+2*IF(circ_int,0,eq_c2/2))+(PI()*(s_0+1*s_r+IF(circ_int,eq_c1/2,0))/2)),-IF(circ_int,0,eq_c1/2)+(s_0+1*s_r+IF(circ_int,eq_c1/2,0))*COS(PI()+(((21+0.5)*(4*IF(circ_int,0,eq_c1/2)+4*IF(circ_int,0,eq_c2/2)+2*PI()*(s_0+1*s_r+IF(circ_int,eq_c1/2,0)))/INDEX(lk_legs,2))-(((((2*IF(circ_int,0,eq_c2/2))+(PI()*(s_0+1*s_r+IF(circ_int,eq_c1/2,0))/2))+2*IF(circ_int,0,eq_c1/2))+(PI()*(s_0+1*s_r+IF(circ_int,eq_c1/2,0))/2))+2*IF(circ_int,0,eq_c2/2)))/(s_0+1*s_r+IF(circ_int,eq_c1/2,0))),IF(((21+0.5)*(4*IF(circ_int,0,eq_c1/2)+4*IF(circ_int,0,eq_c2/2)+2*PI()*(s_0+1*s_r+IF(circ_int,eq_c1/2,0)))/INDEX(lk_legs,2))&lt;(((((((2*IF(circ_int,0,eq_c2/2))+(PI()*(s_0+1*s_r+IF(circ_int,eq_c1/2,0))/2))+2*IF(circ_int,0,eq_c1/2))+(PI()*(s_0+1*s_r+IF(circ_int,eq_c1/2,0))/2))+2*IF(circ_int,0,eq_c2/2))+(PI()*(s_0+1*s_r+IF(circ_int,eq_c1/2,0))/2))+2*IF(circ_int,0,eq_c1/2)),-IF(circ_int,0,eq_c1/2)+(((21+0.5)*(4*IF(circ_int,0,eq_c1/2)+4*IF(circ_int,0,eq_c2/2)+2*PI()*(s_0+1*s_r+IF(circ_int,eq_c1/2,0)))/INDEX(lk_legs,2))-((((((2*IF(circ_int,0,eq_c2/2))+(PI()*(s_0+1*s_r+IF(circ_int,eq_c1/2,0))/2))+2*IF(circ_int,0,eq_c1/2))+(PI()*(s_0+1*s_r+IF(circ_int,eq_c1/2,0))/2))+2*IF(circ_int,0,eq_c2/2))+(PI()*(s_0+1*s_r+IF(circ_int,eq_c1/2,0))/2))),IF(circ_int,0,eq_c1/2)+(s_0+1*s_r+IF(circ_int,eq_c1/2,0))*COS(3*PI()/2+(((21+0.5)*(4*IF(circ_int,0,eq_c1/2)+4*IF(circ_int,0,eq_c2/2)+2*PI()*(s_0+1*s_r+IF(circ_int,eq_c1/2,0)))/INDEX(lk_legs,2))-(((((((2*IF(circ_int,0,eq_c2/2))+(PI()*(s_0+1*s_r+IF(circ_int,eq_c1/2,0))/2))+2*IF(circ_int,0,eq_c1/2))+(PI()*(s_0+1*s_r+IF(circ_int,eq_c1/2,0))/2))+2*IF(circ_int,0,eq_c2/2))+(PI()*(s_0+1*s_r+IF(circ_int,eq_c1/2,0))/2))+2*IF(circ_int,0,eq_c1/2)))/(s_0+1*s_r+IF(circ_int,eq_c1/2,0)))))))))),NA())</f>
        <v/>
      </c>
      <c r="BG24">
        <f>IF(AND(AND(links_on,2&lt;=n_per),INDEX(lk_kind,2)=1,21&lt;INDEX(lk_legs,2)),g_oy+IF(((21+0.5)*(4*IF(circ_int,0,eq_c1/2)+4*IF(circ_int,0,eq_c2/2)+2*PI()*(s_0+1*s_r+IF(circ_int,eq_c1/2,0)))/INDEX(lk_legs,2))&lt;(2*IF(circ_int,0,eq_c2/2)),-IF(circ_int,0,eq_c2/2)+((21+0.5)*(4*IF(circ_int,0,eq_c1/2)+4*IF(circ_int,0,eq_c2/2)+2*PI()*(s_0+1*s_r+IF(circ_int,eq_c1/2,0)))/INDEX(lk_legs,2)),IF(((21+0.5)*(4*IF(circ_int,0,eq_c1/2)+4*IF(circ_int,0,eq_c2/2)+2*PI()*(s_0+1*s_r+IF(circ_int,eq_c1/2,0)))/INDEX(lk_legs,2))&lt;((2*IF(circ_int,0,eq_c2/2))+(PI()*(s_0+1*s_r+IF(circ_int,eq_c1/2,0))/2)),IF(circ_int,0,eq_c2/2)+(s_0+1*s_r+IF(circ_int,eq_c1/2,0))*SIN((((21+0.5)*(4*IF(circ_int,0,eq_c1/2)+4*IF(circ_int,0,eq_c2/2)+2*PI()*(s_0+1*s_r+IF(circ_int,eq_c1/2,0)))/INDEX(lk_legs,2))-(2*IF(circ_int,0,eq_c2/2)))/(s_0+1*s_r+IF(circ_int,eq_c1/2,0))),IF(((21+0.5)*(4*IF(circ_int,0,eq_c1/2)+4*IF(circ_int,0,eq_c2/2)+2*PI()*(s_0+1*s_r+IF(circ_int,eq_c1/2,0)))/INDEX(lk_legs,2))&lt;(((2*IF(circ_int,0,eq_c2/2))+(PI()*(s_0+1*s_r+IF(circ_int,eq_c1/2,0))/2))+2*IF(circ_int,0,eq_c1/2)),IF(circ_int,0,eq_c2/2)+(s_0+1*s_r+IF(circ_int,eq_c1/2,0)),IF(((21+0.5)*(4*IF(circ_int,0,eq_c1/2)+4*IF(circ_int,0,eq_c2/2)+2*PI()*(s_0+1*s_r+IF(circ_int,eq_c1/2,0)))/INDEX(lk_legs,2))&lt;((((2*IF(circ_int,0,eq_c2/2))+(PI()*(s_0+1*s_r+IF(circ_int,eq_c1/2,0))/2))+2*IF(circ_int,0,eq_c1/2))+(PI()*(s_0+1*s_r+IF(circ_int,eq_c1/2,0))/2)),IF(circ_int,0,eq_c2/2)+(s_0+1*s_r+IF(circ_int,eq_c1/2,0))*SIN(PI()/2+(((21+0.5)*(4*IF(circ_int,0,eq_c1/2)+4*IF(circ_int,0,eq_c2/2)+2*PI()*(s_0+1*s_r+IF(circ_int,eq_c1/2,0)))/INDEX(lk_legs,2))-(((2*IF(circ_int,0,eq_c2/2))+(PI()*(s_0+1*s_r+IF(circ_int,eq_c1/2,0))/2))+2*IF(circ_int,0,eq_c1/2)))/(s_0+1*s_r+IF(circ_int,eq_c1/2,0))),IF(((21+0.5)*(4*IF(circ_int,0,eq_c1/2)+4*IF(circ_int,0,eq_c2/2)+2*PI()*(s_0+1*s_r+IF(circ_int,eq_c1/2,0)))/INDEX(lk_legs,2))&lt;(((((2*IF(circ_int,0,eq_c2/2))+(PI()*(s_0+1*s_r+IF(circ_int,eq_c1/2,0))/2))+2*IF(circ_int,0,eq_c1/2))+(PI()*(s_0+1*s_r+IF(circ_int,eq_c1/2,0))/2))+2*IF(circ_int,0,eq_c2/2)),IF(circ_int,0,eq_c2/2)-(((21+0.5)*(4*IF(circ_int,0,eq_c1/2)+4*IF(circ_int,0,eq_c2/2)+2*PI()*(s_0+1*s_r+IF(circ_int,eq_c1/2,0)))/INDEX(lk_legs,2))-((((2*IF(circ_int,0,eq_c2/2))+(PI()*(s_0+1*s_r+IF(circ_int,eq_c1/2,0))/2))+2*IF(circ_int,0,eq_c1/2))+(PI()*(s_0+1*s_r+IF(circ_int,eq_c1/2,0))/2))),IF(((21+0.5)*(4*IF(circ_int,0,eq_c1/2)+4*IF(circ_int,0,eq_c2/2)+2*PI()*(s_0+1*s_r+IF(circ_int,eq_c1/2,0)))/INDEX(lk_legs,2))&lt;((((((2*IF(circ_int,0,eq_c2/2))+(PI()*(s_0+1*s_r+IF(circ_int,eq_c1/2,0))/2))+2*IF(circ_int,0,eq_c1/2))+(PI()*(s_0+1*s_r+IF(circ_int,eq_c1/2,0))/2))+2*IF(circ_int,0,eq_c2/2))+(PI()*(s_0+1*s_r+IF(circ_int,eq_c1/2,0))/2)),-IF(circ_int,0,eq_c2/2)+(s_0+1*s_r+IF(circ_int,eq_c1/2,0))*SIN(PI()+(((21+0.5)*(4*IF(circ_int,0,eq_c1/2)+4*IF(circ_int,0,eq_c2/2)+2*PI()*(s_0+1*s_r+IF(circ_int,eq_c1/2,0)))/INDEX(lk_legs,2))-(((((2*IF(circ_int,0,eq_c2/2))+(PI()*(s_0+1*s_r+IF(circ_int,eq_c1/2,0))/2))+2*IF(circ_int,0,eq_c1/2))+(PI()*(s_0+1*s_r+IF(circ_int,eq_c1/2,0))/2))+2*IF(circ_int,0,eq_c2/2)))/(s_0+1*s_r+IF(circ_int,eq_c1/2,0))),IF(((21+0.5)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(21+0.5)*(4*IF(circ_int,0,eq_c1/2)+4*IF(circ_int,0,eq_c2/2)+2*PI()*(s_0+1*s_r+IF(circ_int,eq_c1/2,0)))/INDEX(lk_legs,2))-(((((((2*IF(circ_int,0,eq_c2/2))+(PI()*(s_0+1*s_r+IF(circ_int,eq_c1/2,0))/2))+2*IF(circ_int,0,eq_c1/2))+(PI()*(s_0+1*s_r+IF(circ_int,eq_c1/2,0))/2))+2*IF(circ_int,0,eq_c2/2))+(PI()*(s_0+1*s_r+IF(circ_int,eq_c1/2,0))/2))+2*IF(circ_int,0,eq_c1/2)))/(s_0+1*s_r+IF(circ_int,eq_c1/2,0)))))))))),NA())</f>
        <v/>
      </c>
      <c r="BI24">
        <f>IF(AND(links_on,3&lt;=n_per),IF(circ_int,(g_ox)+(c_1/2+(s_0+2*s_r))*-0.822984,CHOOSE(INDEX(lk_kind,3),(g_ox-eq_c1/2)+((s_0+2*s_r))*-0.866025,(eq_a1+eq_c1)+((s_0+2*s_r))*0.608761,eq_a1+eq_c1+(s_0+2*s_r),(eq_a1+eq_c1)+((s_0+2*s_r))*0.793353)),NA())</f>
        <v/>
      </c>
      <c r="BJ24">
        <f>IF(AND(links_on,3&lt;=n_per),IF(circ_int,(g_oy)+(c_1/2+(s_0+2*s_r))*0.568065,CHOOSE(INDEX(lk_kind,3),(g_oy+eq_c2/2)+((s_0+2*s_r))*0.500000,(g_oy-eq_c2/2)+((s_0+2*s_r))*-0.793353,0,(eq_a2+eq_c2)+((s_0+2*s_r))*0.608761)),NA())</f>
        <v/>
      </c>
      <c r="BL24">
        <f>IF(AND(AND(links_on,3&lt;=n_per),INDEX(lk_kind,3)=1,21&lt;INDEX(lk_legs,3)),g_ox+IF(((21+0.5)*(4*IF(circ_int,0,eq_c1/2)+4*IF(circ_int,0,eq_c2/2)+2*PI()*(s_0+2*s_r+IF(circ_int,eq_c1/2,0)))/INDEX(lk_legs,3))&lt;(2*IF(circ_int,0,eq_c2/2)),IF(circ_int,0,eq_c1/2)+(s_0+2*s_r+IF(circ_int,eq_c1/2,0)),IF(((21+0.5)*(4*IF(circ_int,0,eq_c1/2)+4*IF(circ_int,0,eq_c2/2)+2*PI()*(s_0+2*s_r+IF(circ_int,eq_c1/2,0)))/INDEX(lk_legs,3))&lt;((2*IF(circ_int,0,eq_c2/2))+(PI()*(s_0+2*s_r+IF(circ_int,eq_c1/2,0))/2)),IF(circ_int,0,eq_c1/2)+(s_0+2*s_r+IF(circ_int,eq_c1/2,0))*COS((((21+0.5)*(4*IF(circ_int,0,eq_c1/2)+4*IF(circ_int,0,eq_c2/2)+2*PI()*(s_0+2*s_r+IF(circ_int,eq_c1/2,0)))/INDEX(lk_legs,3))-(2*IF(circ_int,0,eq_c2/2)))/(s_0+2*s_r+IF(circ_int,eq_c1/2,0))),IF(((21+0.5)*(4*IF(circ_int,0,eq_c1/2)+4*IF(circ_int,0,eq_c2/2)+2*PI()*(s_0+2*s_r+IF(circ_int,eq_c1/2,0)))/INDEX(lk_legs,3))&lt;(((2*IF(circ_int,0,eq_c2/2))+(PI()*(s_0+2*s_r+IF(circ_int,eq_c1/2,0))/2))+2*IF(circ_int,0,eq_c1/2)),IF(circ_int,0,eq_c1/2)-(((21+0.5)*(4*IF(circ_int,0,eq_c1/2)+4*IF(circ_int,0,eq_c2/2)+2*PI()*(s_0+2*s_r+IF(circ_int,eq_c1/2,0)))/INDEX(lk_legs,3))-((2*IF(circ_int,0,eq_c2/2))+(PI()*(s_0+2*s_r+IF(circ_int,eq_c1/2,0))/2))),IF(((21+0.5)*(4*IF(circ_int,0,eq_c1/2)+4*IF(circ_int,0,eq_c2/2)+2*PI()*(s_0+2*s_r+IF(circ_int,eq_c1/2,0)))/INDEX(lk_legs,3))&lt;((((2*IF(circ_int,0,eq_c2/2))+(PI()*(s_0+2*s_r+IF(circ_int,eq_c1/2,0))/2))+2*IF(circ_int,0,eq_c1/2))+(PI()*(s_0+2*s_r+IF(circ_int,eq_c1/2,0))/2)),-IF(circ_int,0,eq_c1/2)+(s_0+2*s_r+IF(circ_int,eq_c1/2,0))*COS(PI()/2+(((21+0.5)*(4*IF(circ_int,0,eq_c1/2)+4*IF(circ_int,0,eq_c2/2)+2*PI()*(s_0+2*s_r+IF(circ_int,eq_c1/2,0)))/INDEX(lk_legs,3))-(((2*IF(circ_int,0,eq_c2/2))+(PI()*(s_0+2*s_r+IF(circ_int,eq_c1/2,0))/2))+2*IF(circ_int,0,eq_c1/2)))/(s_0+2*s_r+IF(circ_int,eq_c1/2,0))),IF(((21+0.5)*(4*IF(circ_int,0,eq_c1/2)+4*IF(circ_int,0,eq_c2/2)+2*PI()*(s_0+2*s_r+IF(circ_int,eq_c1/2,0)))/INDEX(lk_legs,3))&lt;(((((2*IF(circ_int,0,eq_c2/2))+(PI()*(s_0+2*s_r+IF(circ_int,eq_c1/2,0))/2))+2*IF(circ_int,0,eq_c1/2))+(PI()*(s_0+2*s_r+IF(circ_int,eq_c1/2,0))/2))+2*IF(circ_int,0,eq_c2/2)),-IF(circ_int,0,eq_c1/2)-(s_0+2*s_r+IF(circ_int,eq_c1/2,0)),IF(((21+0.5)*(4*IF(circ_int,0,eq_c1/2)+4*IF(circ_int,0,eq_c2/2)+2*PI()*(s_0+2*s_r+IF(circ_int,eq_c1/2,0)))/INDEX(lk_legs,3))&lt;((((((2*IF(circ_int,0,eq_c2/2))+(PI()*(s_0+2*s_r+IF(circ_int,eq_c1/2,0))/2))+2*IF(circ_int,0,eq_c1/2))+(PI()*(s_0+2*s_r+IF(circ_int,eq_c1/2,0))/2))+2*IF(circ_int,0,eq_c2/2))+(PI()*(s_0+2*s_r+IF(circ_int,eq_c1/2,0))/2)),-IF(circ_int,0,eq_c1/2)+(s_0+2*s_r+IF(circ_int,eq_c1/2,0))*COS(PI()+(((21+0.5)*(4*IF(circ_int,0,eq_c1/2)+4*IF(circ_int,0,eq_c2/2)+2*PI()*(s_0+2*s_r+IF(circ_int,eq_c1/2,0)))/INDEX(lk_legs,3))-(((((2*IF(circ_int,0,eq_c2/2))+(PI()*(s_0+2*s_r+IF(circ_int,eq_c1/2,0))/2))+2*IF(circ_int,0,eq_c1/2))+(PI()*(s_0+2*s_r+IF(circ_int,eq_c1/2,0))/2))+2*IF(circ_int,0,eq_c2/2)))/(s_0+2*s_r+IF(circ_int,eq_c1/2,0))),IF(((21+0.5)*(4*IF(circ_int,0,eq_c1/2)+4*IF(circ_int,0,eq_c2/2)+2*PI()*(s_0+2*s_r+IF(circ_int,eq_c1/2,0)))/INDEX(lk_legs,3))&lt;(((((((2*IF(circ_int,0,eq_c2/2))+(PI()*(s_0+2*s_r+IF(circ_int,eq_c1/2,0))/2))+2*IF(circ_int,0,eq_c1/2))+(PI()*(s_0+2*s_r+IF(circ_int,eq_c1/2,0))/2))+2*IF(circ_int,0,eq_c2/2))+(PI()*(s_0+2*s_r+IF(circ_int,eq_c1/2,0))/2))+2*IF(circ_int,0,eq_c1/2)),-IF(circ_int,0,eq_c1/2)+(((21+0.5)*(4*IF(circ_int,0,eq_c1/2)+4*IF(circ_int,0,eq_c2/2)+2*PI()*(s_0+2*s_r+IF(circ_int,eq_c1/2,0)))/INDEX(lk_legs,3))-((((((2*IF(circ_int,0,eq_c2/2))+(PI()*(s_0+2*s_r+IF(circ_int,eq_c1/2,0))/2))+2*IF(circ_int,0,eq_c1/2))+(PI()*(s_0+2*s_r+IF(circ_int,eq_c1/2,0))/2))+2*IF(circ_int,0,eq_c2/2))+(PI()*(s_0+2*s_r+IF(circ_int,eq_c1/2,0))/2))),IF(circ_int,0,eq_c1/2)+(s_0+2*s_r+IF(circ_int,eq_c1/2,0))*COS(3*PI()/2+(((21+0.5)*(4*IF(circ_int,0,eq_c1/2)+4*IF(circ_int,0,eq_c2/2)+2*PI()*(s_0+2*s_r+IF(circ_int,eq_c1/2,0)))/INDEX(lk_legs,3))-(((((((2*IF(circ_int,0,eq_c2/2))+(PI()*(s_0+2*s_r+IF(circ_int,eq_c1/2,0))/2))+2*IF(circ_int,0,eq_c1/2))+(PI()*(s_0+2*s_r+IF(circ_int,eq_c1/2,0))/2))+2*IF(circ_int,0,eq_c2/2))+(PI()*(s_0+2*s_r+IF(circ_int,eq_c1/2,0))/2))+2*IF(circ_int,0,eq_c1/2)))/(s_0+2*s_r+IF(circ_int,eq_c1/2,0)))))))))),NA())</f>
        <v/>
      </c>
      <c r="BM24">
        <f>IF(AND(AND(links_on,3&lt;=n_per),INDEX(lk_kind,3)=1,21&lt;INDEX(lk_legs,3)),g_oy+IF(((21+0.5)*(4*IF(circ_int,0,eq_c1/2)+4*IF(circ_int,0,eq_c2/2)+2*PI()*(s_0+2*s_r+IF(circ_int,eq_c1/2,0)))/INDEX(lk_legs,3))&lt;(2*IF(circ_int,0,eq_c2/2)),-IF(circ_int,0,eq_c2/2)+((21+0.5)*(4*IF(circ_int,0,eq_c1/2)+4*IF(circ_int,0,eq_c2/2)+2*PI()*(s_0+2*s_r+IF(circ_int,eq_c1/2,0)))/INDEX(lk_legs,3)),IF(((21+0.5)*(4*IF(circ_int,0,eq_c1/2)+4*IF(circ_int,0,eq_c2/2)+2*PI()*(s_0+2*s_r+IF(circ_int,eq_c1/2,0)))/INDEX(lk_legs,3))&lt;((2*IF(circ_int,0,eq_c2/2))+(PI()*(s_0+2*s_r+IF(circ_int,eq_c1/2,0))/2)),IF(circ_int,0,eq_c2/2)+(s_0+2*s_r+IF(circ_int,eq_c1/2,0))*SIN((((21+0.5)*(4*IF(circ_int,0,eq_c1/2)+4*IF(circ_int,0,eq_c2/2)+2*PI()*(s_0+2*s_r+IF(circ_int,eq_c1/2,0)))/INDEX(lk_legs,3))-(2*IF(circ_int,0,eq_c2/2)))/(s_0+2*s_r+IF(circ_int,eq_c1/2,0))),IF(((21+0.5)*(4*IF(circ_int,0,eq_c1/2)+4*IF(circ_int,0,eq_c2/2)+2*PI()*(s_0+2*s_r+IF(circ_int,eq_c1/2,0)))/INDEX(lk_legs,3))&lt;(((2*IF(circ_int,0,eq_c2/2))+(PI()*(s_0+2*s_r+IF(circ_int,eq_c1/2,0))/2))+2*IF(circ_int,0,eq_c1/2)),IF(circ_int,0,eq_c2/2)+(s_0+2*s_r+IF(circ_int,eq_c1/2,0)),IF(((21+0.5)*(4*IF(circ_int,0,eq_c1/2)+4*IF(circ_int,0,eq_c2/2)+2*PI()*(s_0+2*s_r+IF(circ_int,eq_c1/2,0)))/INDEX(lk_legs,3))&lt;((((2*IF(circ_int,0,eq_c2/2))+(PI()*(s_0+2*s_r+IF(circ_int,eq_c1/2,0))/2))+2*IF(circ_int,0,eq_c1/2))+(PI()*(s_0+2*s_r+IF(circ_int,eq_c1/2,0))/2)),IF(circ_int,0,eq_c2/2)+(s_0+2*s_r+IF(circ_int,eq_c1/2,0))*SIN(PI()/2+(((21+0.5)*(4*IF(circ_int,0,eq_c1/2)+4*IF(circ_int,0,eq_c2/2)+2*PI()*(s_0+2*s_r+IF(circ_int,eq_c1/2,0)))/INDEX(lk_legs,3))-(((2*IF(circ_int,0,eq_c2/2))+(PI()*(s_0+2*s_r+IF(circ_int,eq_c1/2,0))/2))+2*IF(circ_int,0,eq_c1/2)))/(s_0+2*s_r+IF(circ_int,eq_c1/2,0))),IF(((21+0.5)*(4*IF(circ_int,0,eq_c1/2)+4*IF(circ_int,0,eq_c2/2)+2*PI()*(s_0+2*s_r+IF(circ_int,eq_c1/2,0)))/INDEX(lk_legs,3))&lt;(((((2*IF(circ_int,0,eq_c2/2))+(PI()*(s_0+2*s_r+IF(circ_int,eq_c1/2,0))/2))+2*IF(circ_int,0,eq_c1/2))+(PI()*(s_0+2*s_r+IF(circ_int,eq_c1/2,0))/2))+2*IF(circ_int,0,eq_c2/2)),IF(circ_int,0,eq_c2/2)-(((21+0.5)*(4*IF(circ_int,0,eq_c1/2)+4*IF(circ_int,0,eq_c2/2)+2*PI()*(s_0+2*s_r+IF(circ_int,eq_c1/2,0)))/INDEX(lk_legs,3))-((((2*IF(circ_int,0,eq_c2/2))+(PI()*(s_0+2*s_r+IF(circ_int,eq_c1/2,0))/2))+2*IF(circ_int,0,eq_c1/2))+(PI()*(s_0+2*s_r+IF(circ_int,eq_c1/2,0))/2))),IF(((21+0.5)*(4*IF(circ_int,0,eq_c1/2)+4*IF(circ_int,0,eq_c2/2)+2*PI()*(s_0+2*s_r+IF(circ_int,eq_c1/2,0)))/INDEX(lk_legs,3))&lt;((((((2*IF(circ_int,0,eq_c2/2))+(PI()*(s_0+2*s_r+IF(circ_int,eq_c1/2,0))/2))+2*IF(circ_int,0,eq_c1/2))+(PI()*(s_0+2*s_r+IF(circ_int,eq_c1/2,0))/2))+2*IF(circ_int,0,eq_c2/2))+(PI()*(s_0+2*s_r+IF(circ_int,eq_c1/2,0))/2)),-IF(circ_int,0,eq_c2/2)+(s_0+2*s_r+IF(circ_int,eq_c1/2,0))*SIN(PI()+(((21+0.5)*(4*IF(circ_int,0,eq_c1/2)+4*IF(circ_int,0,eq_c2/2)+2*PI()*(s_0+2*s_r+IF(circ_int,eq_c1/2,0)))/INDEX(lk_legs,3))-(((((2*IF(circ_int,0,eq_c2/2))+(PI()*(s_0+2*s_r+IF(circ_int,eq_c1/2,0))/2))+2*IF(circ_int,0,eq_c1/2))+(PI()*(s_0+2*s_r+IF(circ_int,eq_c1/2,0))/2))+2*IF(circ_int,0,eq_c2/2)))/(s_0+2*s_r+IF(circ_int,eq_c1/2,0))),IF(((21+0.5)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(21+0.5)*(4*IF(circ_int,0,eq_c1/2)+4*IF(circ_int,0,eq_c2/2)+2*PI()*(s_0+2*s_r+IF(circ_int,eq_c1/2,0)))/INDEX(lk_legs,3))-(((((((2*IF(circ_int,0,eq_c2/2))+(PI()*(s_0+2*s_r+IF(circ_int,eq_c1/2,0))/2))+2*IF(circ_int,0,eq_c1/2))+(PI()*(s_0+2*s_r+IF(circ_int,eq_c1/2,0))/2))+2*IF(circ_int,0,eq_c2/2))+(PI()*(s_0+2*s_r+IF(circ_int,eq_c1/2,0))/2))+2*IF(circ_int,0,eq_c1/2)))/(s_0+2*s_r+IF(circ_int,eq_c1/2,0)))))))))),NA())</f>
        <v/>
      </c>
      <c r="BO24">
        <f>IF(AND(links_on,4&lt;=n_per),IF(circ_int,(g_ox)+(c_1/2+(s_0+3*s_r))*-0.822984,CHOOSE(INDEX(lk_kind,4),(g_ox-eq_c1/2)+((s_0+3*s_r))*-0.866025,(eq_a1+eq_c1)+((s_0+3*s_r))*0.608761,eq_a1+eq_c1+(s_0+3*s_r),(eq_a1+eq_c1)+((s_0+3*s_r))*0.793353)),NA())</f>
        <v/>
      </c>
      <c r="BP24">
        <f>IF(AND(links_on,4&lt;=n_per),IF(circ_int,(g_oy)+(c_1/2+(s_0+3*s_r))*0.568065,CHOOSE(INDEX(lk_kind,4),(g_oy+eq_c2/2)+((s_0+3*s_r))*0.500000,(g_oy-eq_c2/2)+((s_0+3*s_r))*-0.793353,0,(eq_a2+eq_c2)+((s_0+3*s_r))*0.608761)),NA())</f>
        <v/>
      </c>
      <c r="BR24">
        <f>IF(AND(AND(links_on,4&lt;=n_per),INDEX(lk_kind,4)=1,21&lt;INDEX(lk_legs,4)),g_ox+IF(((21+0.5)*(4*IF(circ_int,0,eq_c1/2)+4*IF(circ_int,0,eq_c2/2)+2*PI()*(s_0+3*s_r+IF(circ_int,eq_c1/2,0)))/INDEX(lk_legs,4))&lt;(2*IF(circ_int,0,eq_c2/2)),IF(circ_int,0,eq_c1/2)+(s_0+3*s_r+IF(circ_int,eq_c1/2,0)),IF(((21+0.5)*(4*IF(circ_int,0,eq_c1/2)+4*IF(circ_int,0,eq_c2/2)+2*PI()*(s_0+3*s_r+IF(circ_int,eq_c1/2,0)))/INDEX(lk_legs,4))&lt;((2*IF(circ_int,0,eq_c2/2))+(PI()*(s_0+3*s_r+IF(circ_int,eq_c1/2,0))/2)),IF(circ_int,0,eq_c1/2)+(s_0+3*s_r+IF(circ_int,eq_c1/2,0))*COS((((21+0.5)*(4*IF(circ_int,0,eq_c1/2)+4*IF(circ_int,0,eq_c2/2)+2*PI()*(s_0+3*s_r+IF(circ_int,eq_c1/2,0)))/INDEX(lk_legs,4))-(2*IF(circ_int,0,eq_c2/2)))/(s_0+3*s_r+IF(circ_int,eq_c1/2,0))),IF(((21+0.5)*(4*IF(circ_int,0,eq_c1/2)+4*IF(circ_int,0,eq_c2/2)+2*PI()*(s_0+3*s_r+IF(circ_int,eq_c1/2,0)))/INDEX(lk_legs,4))&lt;(((2*IF(circ_int,0,eq_c2/2))+(PI()*(s_0+3*s_r+IF(circ_int,eq_c1/2,0))/2))+2*IF(circ_int,0,eq_c1/2)),IF(circ_int,0,eq_c1/2)-(((21+0.5)*(4*IF(circ_int,0,eq_c1/2)+4*IF(circ_int,0,eq_c2/2)+2*PI()*(s_0+3*s_r+IF(circ_int,eq_c1/2,0)))/INDEX(lk_legs,4))-((2*IF(circ_int,0,eq_c2/2))+(PI()*(s_0+3*s_r+IF(circ_int,eq_c1/2,0))/2))),IF(((21+0.5)*(4*IF(circ_int,0,eq_c1/2)+4*IF(circ_int,0,eq_c2/2)+2*PI()*(s_0+3*s_r+IF(circ_int,eq_c1/2,0)))/INDEX(lk_legs,4))&lt;((((2*IF(circ_int,0,eq_c2/2))+(PI()*(s_0+3*s_r+IF(circ_int,eq_c1/2,0))/2))+2*IF(circ_int,0,eq_c1/2))+(PI()*(s_0+3*s_r+IF(circ_int,eq_c1/2,0))/2)),-IF(circ_int,0,eq_c1/2)+(s_0+3*s_r+IF(circ_int,eq_c1/2,0))*COS(PI()/2+(((21+0.5)*(4*IF(circ_int,0,eq_c1/2)+4*IF(circ_int,0,eq_c2/2)+2*PI()*(s_0+3*s_r+IF(circ_int,eq_c1/2,0)))/INDEX(lk_legs,4))-(((2*IF(circ_int,0,eq_c2/2))+(PI()*(s_0+3*s_r+IF(circ_int,eq_c1/2,0))/2))+2*IF(circ_int,0,eq_c1/2)))/(s_0+3*s_r+IF(circ_int,eq_c1/2,0))),IF(((21+0.5)*(4*IF(circ_int,0,eq_c1/2)+4*IF(circ_int,0,eq_c2/2)+2*PI()*(s_0+3*s_r+IF(circ_int,eq_c1/2,0)))/INDEX(lk_legs,4))&lt;(((((2*IF(circ_int,0,eq_c2/2))+(PI()*(s_0+3*s_r+IF(circ_int,eq_c1/2,0))/2))+2*IF(circ_int,0,eq_c1/2))+(PI()*(s_0+3*s_r+IF(circ_int,eq_c1/2,0))/2))+2*IF(circ_int,0,eq_c2/2)),-IF(circ_int,0,eq_c1/2)-(s_0+3*s_r+IF(circ_int,eq_c1/2,0)),IF(((21+0.5)*(4*IF(circ_int,0,eq_c1/2)+4*IF(circ_int,0,eq_c2/2)+2*PI()*(s_0+3*s_r+IF(circ_int,eq_c1/2,0)))/INDEX(lk_legs,4))&lt;((((((2*IF(circ_int,0,eq_c2/2))+(PI()*(s_0+3*s_r+IF(circ_int,eq_c1/2,0))/2))+2*IF(circ_int,0,eq_c1/2))+(PI()*(s_0+3*s_r+IF(circ_int,eq_c1/2,0))/2))+2*IF(circ_int,0,eq_c2/2))+(PI()*(s_0+3*s_r+IF(circ_int,eq_c1/2,0))/2)),-IF(circ_int,0,eq_c1/2)+(s_0+3*s_r+IF(circ_int,eq_c1/2,0))*COS(PI()+(((21+0.5)*(4*IF(circ_int,0,eq_c1/2)+4*IF(circ_int,0,eq_c2/2)+2*PI()*(s_0+3*s_r+IF(circ_int,eq_c1/2,0)))/INDEX(lk_legs,4))-(((((2*IF(circ_int,0,eq_c2/2))+(PI()*(s_0+3*s_r+IF(circ_int,eq_c1/2,0))/2))+2*IF(circ_int,0,eq_c1/2))+(PI()*(s_0+3*s_r+IF(circ_int,eq_c1/2,0))/2))+2*IF(circ_int,0,eq_c2/2)))/(s_0+3*s_r+IF(circ_int,eq_c1/2,0))),IF(((21+0.5)*(4*IF(circ_int,0,eq_c1/2)+4*IF(circ_int,0,eq_c2/2)+2*PI()*(s_0+3*s_r+IF(circ_int,eq_c1/2,0)))/INDEX(lk_legs,4))&lt;(((((((2*IF(circ_int,0,eq_c2/2))+(PI()*(s_0+3*s_r+IF(circ_int,eq_c1/2,0))/2))+2*IF(circ_int,0,eq_c1/2))+(PI()*(s_0+3*s_r+IF(circ_int,eq_c1/2,0))/2))+2*IF(circ_int,0,eq_c2/2))+(PI()*(s_0+3*s_r+IF(circ_int,eq_c1/2,0))/2))+2*IF(circ_int,0,eq_c1/2)),-IF(circ_int,0,eq_c1/2)+(((21+0.5)*(4*IF(circ_int,0,eq_c1/2)+4*IF(circ_int,0,eq_c2/2)+2*PI()*(s_0+3*s_r+IF(circ_int,eq_c1/2,0)))/INDEX(lk_legs,4))-((((((2*IF(circ_int,0,eq_c2/2))+(PI()*(s_0+3*s_r+IF(circ_int,eq_c1/2,0))/2))+2*IF(circ_int,0,eq_c1/2))+(PI()*(s_0+3*s_r+IF(circ_int,eq_c1/2,0))/2))+2*IF(circ_int,0,eq_c2/2))+(PI()*(s_0+3*s_r+IF(circ_int,eq_c1/2,0))/2))),IF(circ_int,0,eq_c1/2)+(s_0+3*s_r+IF(circ_int,eq_c1/2,0))*COS(3*PI()/2+(((21+0.5)*(4*IF(circ_int,0,eq_c1/2)+4*IF(circ_int,0,eq_c2/2)+2*PI()*(s_0+3*s_r+IF(circ_int,eq_c1/2,0)))/INDEX(lk_legs,4))-(((((((2*IF(circ_int,0,eq_c2/2))+(PI()*(s_0+3*s_r+IF(circ_int,eq_c1/2,0))/2))+2*IF(circ_int,0,eq_c1/2))+(PI()*(s_0+3*s_r+IF(circ_int,eq_c1/2,0))/2))+2*IF(circ_int,0,eq_c2/2))+(PI()*(s_0+3*s_r+IF(circ_int,eq_c1/2,0))/2))+2*IF(circ_int,0,eq_c1/2)))/(s_0+3*s_r+IF(circ_int,eq_c1/2,0)))))))))),NA())</f>
        <v/>
      </c>
      <c r="BS24">
        <f>IF(AND(AND(links_on,4&lt;=n_per),INDEX(lk_kind,4)=1,21&lt;INDEX(lk_legs,4)),g_oy+IF(((21+0.5)*(4*IF(circ_int,0,eq_c1/2)+4*IF(circ_int,0,eq_c2/2)+2*PI()*(s_0+3*s_r+IF(circ_int,eq_c1/2,0)))/INDEX(lk_legs,4))&lt;(2*IF(circ_int,0,eq_c2/2)),-IF(circ_int,0,eq_c2/2)+((21+0.5)*(4*IF(circ_int,0,eq_c1/2)+4*IF(circ_int,0,eq_c2/2)+2*PI()*(s_0+3*s_r+IF(circ_int,eq_c1/2,0)))/INDEX(lk_legs,4)),IF(((21+0.5)*(4*IF(circ_int,0,eq_c1/2)+4*IF(circ_int,0,eq_c2/2)+2*PI()*(s_0+3*s_r+IF(circ_int,eq_c1/2,0)))/INDEX(lk_legs,4))&lt;((2*IF(circ_int,0,eq_c2/2))+(PI()*(s_0+3*s_r+IF(circ_int,eq_c1/2,0))/2)),IF(circ_int,0,eq_c2/2)+(s_0+3*s_r+IF(circ_int,eq_c1/2,0))*SIN((((21+0.5)*(4*IF(circ_int,0,eq_c1/2)+4*IF(circ_int,0,eq_c2/2)+2*PI()*(s_0+3*s_r+IF(circ_int,eq_c1/2,0)))/INDEX(lk_legs,4))-(2*IF(circ_int,0,eq_c2/2)))/(s_0+3*s_r+IF(circ_int,eq_c1/2,0))),IF(((21+0.5)*(4*IF(circ_int,0,eq_c1/2)+4*IF(circ_int,0,eq_c2/2)+2*PI()*(s_0+3*s_r+IF(circ_int,eq_c1/2,0)))/INDEX(lk_legs,4))&lt;(((2*IF(circ_int,0,eq_c2/2))+(PI()*(s_0+3*s_r+IF(circ_int,eq_c1/2,0))/2))+2*IF(circ_int,0,eq_c1/2)),IF(circ_int,0,eq_c2/2)+(s_0+3*s_r+IF(circ_int,eq_c1/2,0)),IF(((21+0.5)*(4*IF(circ_int,0,eq_c1/2)+4*IF(circ_int,0,eq_c2/2)+2*PI()*(s_0+3*s_r+IF(circ_int,eq_c1/2,0)))/INDEX(lk_legs,4))&lt;((((2*IF(circ_int,0,eq_c2/2))+(PI()*(s_0+3*s_r+IF(circ_int,eq_c1/2,0))/2))+2*IF(circ_int,0,eq_c1/2))+(PI()*(s_0+3*s_r+IF(circ_int,eq_c1/2,0))/2)),IF(circ_int,0,eq_c2/2)+(s_0+3*s_r+IF(circ_int,eq_c1/2,0))*SIN(PI()/2+(((21+0.5)*(4*IF(circ_int,0,eq_c1/2)+4*IF(circ_int,0,eq_c2/2)+2*PI()*(s_0+3*s_r+IF(circ_int,eq_c1/2,0)))/INDEX(lk_legs,4))-(((2*IF(circ_int,0,eq_c2/2))+(PI()*(s_0+3*s_r+IF(circ_int,eq_c1/2,0))/2))+2*IF(circ_int,0,eq_c1/2)))/(s_0+3*s_r+IF(circ_int,eq_c1/2,0))),IF(((21+0.5)*(4*IF(circ_int,0,eq_c1/2)+4*IF(circ_int,0,eq_c2/2)+2*PI()*(s_0+3*s_r+IF(circ_int,eq_c1/2,0)))/INDEX(lk_legs,4))&lt;(((((2*IF(circ_int,0,eq_c2/2))+(PI()*(s_0+3*s_r+IF(circ_int,eq_c1/2,0))/2))+2*IF(circ_int,0,eq_c1/2))+(PI()*(s_0+3*s_r+IF(circ_int,eq_c1/2,0))/2))+2*IF(circ_int,0,eq_c2/2)),IF(circ_int,0,eq_c2/2)-(((21+0.5)*(4*IF(circ_int,0,eq_c1/2)+4*IF(circ_int,0,eq_c2/2)+2*PI()*(s_0+3*s_r+IF(circ_int,eq_c1/2,0)))/INDEX(lk_legs,4))-((((2*IF(circ_int,0,eq_c2/2))+(PI()*(s_0+3*s_r+IF(circ_int,eq_c1/2,0))/2))+2*IF(circ_int,0,eq_c1/2))+(PI()*(s_0+3*s_r+IF(circ_int,eq_c1/2,0))/2))),IF(((21+0.5)*(4*IF(circ_int,0,eq_c1/2)+4*IF(circ_int,0,eq_c2/2)+2*PI()*(s_0+3*s_r+IF(circ_int,eq_c1/2,0)))/INDEX(lk_legs,4))&lt;((((((2*IF(circ_int,0,eq_c2/2))+(PI()*(s_0+3*s_r+IF(circ_int,eq_c1/2,0))/2))+2*IF(circ_int,0,eq_c1/2))+(PI()*(s_0+3*s_r+IF(circ_int,eq_c1/2,0))/2))+2*IF(circ_int,0,eq_c2/2))+(PI()*(s_0+3*s_r+IF(circ_int,eq_c1/2,0))/2)),-IF(circ_int,0,eq_c2/2)+(s_0+3*s_r+IF(circ_int,eq_c1/2,0))*SIN(PI()+(((21+0.5)*(4*IF(circ_int,0,eq_c1/2)+4*IF(circ_int,0,eq_c2/2)+2*PI()*(s_0+3*s_r+IF(circ_int,eq_c1/2,0)))/INDEX(lk_legs,4))-(((((2*IF(circ_int,0,eq_c2/2))+(PI()*(s_0+3*s_r+IF(circ_int,eq_c1/2,0))/2))+2*IF(circ_int,0,eq_c1/2))+(PI()*(s_0+3*s_r+IF(circ_int,eq_c1/2,0))/2))+2*IF(circ_int,0,eq_c2/2)))/(s_0+3*s_r+IF(circ_int,eq_c1/2,0))),IF(((21+0.5)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(21+0.5)*(4*IF(circ_int,0,eq_c1/2)+4*IF(circ_int,0,eq_c2/2)+2*PI()*(s_0+3*s_r+IF(circ_int,eq_c1/2,0)))/INDEX(lk_legs,4))-(((((((2*IF(circ_int,0,eq_c2/2))+(PI()*(s_0+3*s_r+IF(circ_int,eq_c1/2,0))/2))+2*IF(circ_int,0,eq_c1/2))+(PI()*(s_0+3*s_r+IF(circ_int,eq_c1/2,0))/2))+2*IF(circ_int,0,eq_c2/2))+(PI()*(s_0+3*s_r+IF(circ_int,eq_c1/2,0))/2))+2*IF(circ_int,0,eq_c1/2)))/(s_0+3*s_r+IF(circ_int,eq_c1/2,0)))))))))),NA())</f>
        <v/>
      </c>
      <c r="BU24">
        <f>IF(AND(links_on,5&lt;=n_per),IF(circ_int,(g_ox)+(c_1/2+(s_0+4*s_r))*-0.822984,CHOOSE(INDEX(lk_kind,5),(g_ox-eq_c1/2)+((s_0+4*s_r))*-0.866025,(eq_a1+eq_c1)+((s_0+4*s_r))*0.608761,eq_a1+eq_c1+(s_0+4*s_r),(eq_a1+eq_c1)+((s_0+4*s_r))*0.793353)),NA())</f>
        <v/>
      </c>
      <c r="BV24">
        <f>IF(AND(links_on,5&lt;=n_per),IF(circ_int,(g_oy)+(c_1/2+(s_0+4*s_r))*0.568065,CHOOSE(INDEX(lk_kind,5),(g_oy+eq_c2/2)+((s_0+4*s_r))*0.500000,(g_oy-eq_c2/2)+((s_0+4*s_r))*-0.793353,0,(eq_a2+eq_c2)+((s_0+4*s_r))*0.608761)),NA())</f>
        <v/>
      </c>
      <c r="BX24">
        <f>IF(AND(AND(links_on,5&lt;=n_per),INDEX(lk_kind,5)=1,21&lt;INDEX(lk_legs,5)),g_ox+IF(((21+0.5)*(4*IF(circ_int,0,eq_c1/2)+4*IF(circ_int,0,eq_c2/2)+2*PI()*(s_0+4*s_r+IF(circ_int,eq_c1/2,0)))/INDEX(lk_legs,5))&lt;(2*IF(circ_int,0,eq_c2/2)),IF(circ_int,0,eq_c1/2)+(s_0+4*s_r+IF(circ_int,eq_c1/2,0)),IF(((21+0.5)*(4*IF(circ_int,0,eq_c1/2)+4*IF(circ_int,0,eq_c2/2)+2*PI()*(s_0+4*s_r+IF(circ_int,eq_c1/2,0)))/INDEX(lk_legs,5))&lt;((2*IF(circ_int,0,eq_c2/2))+(PI()*(s_0+4*s_r+IF(circ_int,eq_c1/2,0))/2)),IF(circ_int,0,eq_c1/2)+(s_0+4*s_r+IF(circ_int,eq_c1/2,0))*COS((((21+0.5)*(4*IF(circ_int,0,eq_c1/2)+4*IF(circ_int,0,eq_c2/2)+2*PI()*(s_0+4*s_r+IF(circ_int,eq_c1/2,0)))/INDEX(lk_legs,5))-(2*IF(circ_int,0,eq_c2/2)))/(s_0+4*s_r+IF(circ_int,eq_c1/2,0))),IF(((21+0.5)*(4*IF(circ_int,0,eq_c1/2)+4*IF(circ_int,0,eq_c2/2)+2*PI()*(s_0+4*s_r+IF(circ_int,eq_c1/2,0)))/INDEX(lk_legs,5))&lt;(((2*IF(circ_int,0,eq_c2/2))+(PI()*(s_0+4*s_r+IF(circ_int,eq_c1/2,0))/2))+2*IF(circ_int,0,eq_c1/2)),IF(circ_int,0,eq_c1/2)-(((21+0.5)*(4*IF(circ_int,0,eq_c1/2)+4*IF(circ_int,0,eq_c2/2)+2*PI()*(s_0+4*s_r+IF(circ_int,eq_c1/2,0)))/INDEX(lk_legs,5))-((2*IF(circ_int,0,eq_c2/2))+(PI()*(s_0+4*s_r+IF(circ_int,eq_c1/2,0))/2))),IF(((21+0.5)*(4*IF(circ_int,0,eq_c1/2)+4*IF(circ_int,0,eq_c2/2)+2*PI()*(s_0+4*s_r+IF(circ_int,eq_c1/2,0)))/INDEX(lk_legs,5))&lt;((((2*IF(circ_int,0,eq_c2/2))+(PI()*(s_0+4*s_r+IF(circ_int,eq_c1/2,0))/2))+2*IF(circ_int,0,eq_c1/2))+(PI()*(s_0+4*s_r+IF(circ_int,eq_c1/2,0))/2)),-IF(circ_int,0,eq_c1/2)+(s_0+4*s_r+IF(circ_int,eq_c1/2,0))*COS(PI()/2+(((21+0.5)*(4*IF(circ_int,0,eq_c1/2)+4*IF(circ_int,0,eq_c2/2)+2*PI()*(s_0+4*s_r+IF(circ_int,eq_c1/2,0)))/INDEX(lk_legs,5))-(((2*IF(circ_int,0,eq_c2/2))+(PI()*(s_0+4*s_r+IF(circ_int,eq_c1/2,0))/2))+2*IF(circ_int,0,eq_c1/2)))/(s_0+4*s_r+IF(circ_int,eq_c1/2,0))),IF(((21+0.5)*(4*IF(circ_int,0,eq_c1/2)+4*IF(circ_int,0,eq_c2/2)+2*PI()*(s_0+4*s_r+IF(circ_int,eq_c1/2,0)))/INDEX(lk_legs,5))&lt;(((((2*IF(circ_int,0,eq_c2/2))+(PI()*(s_0+4*s_r+IF(circ_int,eq_c1/2,0))/2))+2*IF(circ_int,0,eq_c1/2))+(PI()*(s_0+4*s_r+IF(circ_int,eq_c1/2,0))/2))+2*IF(circ_int,0,eq_c2/2)),-IF(circ_int,0,eq_c1/2)-(s_0+4*s_r+IF(circ_int,eq_c1/2,0)),IF(((21+0.5)*(4*IF(circ_int,0,eq_c1/2)+4*IF(circ_int,0,eq_c2/2)+2*PI()*(s_0+4*s_r+IF(circ_int,eq_c1/2,0)))/INDEX(lk_legs,5))&lt;((((((2*IF(circ_int,0,eq_c2/2))+(PI()*(s_0+4*s_r+IF(circ_int,eq_c1/2,0))/2))+2*IF(circ_int,0,eq_c1/2))+(PI()*(s_0+4*s_r+IF(circ_int,eq_c1/2,0))/2))+2*IF(circ_int,0,eq_c2/2))+(PI()*(s_0+4*s_r+IF(circ_int,eq_c1/2,0))/2)),-IF(circ_int,0,eq_c1/2)+(s_0+4*s_r+IF(circ_int,eq_c1/2,0))*COS(PI()+(((21+0.5)*(4*IF(circ_int,0,eq_c1/2)+4*IF(circ_int,0,eq_c2/2)+2*PI()*(s_0+4*s_r+IF(circ_int,eq_c1/2,0)))/INDEX(lk_legs,5))-(((((2*IF(circ_int,0,eq_c2/2))+(PI()*(s_0+4*s_r+IF(circ_int,eq_c1/2,0))/2))+2*IF(circ_int,0,eq_c1/2))+(PI()*(s_0+4*s_r+IF(circ_int,eq_c1/2,0))/2))+2*IF(circ_int,0,eq_c2/2)))/(s_0+4*s_r+IF(circ_int,eq_c1/2,0))),IF(((21+0.5)*(4*IF(circ_int,0,eq_c1/2)+4*IF(circ_int,0,eq_c2/2)+2*PI()*(s_0+4*s_r+IF(circ_int,eq_c1/2,0)))/INDEX(lk_legs,5))&lt;(((((((2*IF(circ_int,0,eq_c2/2))+(PI()*(s_0+4*s_r+IF(circ_int,eq_c1/2,0))/2))+2*IF(circ_int,0,eq_c1/2))+(PI()*(s_0+4*s_r+IF(circ_int,eq_c1/2,0))/2))+2*IF(circ_int,0,eq_c2/2))+(PI()*(s_0+4*s_r+IF(circ_int,eq_c1/2,0))/2))+2*IF(circ_int,0,eq_c1/2)),-IF(circ_int,0,eq_c1/2)+(((21+0.5)*(4*IF(circ_int,0,eq_c1/2)+4*IF(circ_int,0,eq_c2/2)+2*PI()*(s_0+4*s_r+IF(circ_int,eq_c1/2,0)))/INDEX(lk_legs,5))-((((((2*IF(circ_int,0,eq_c2/2))+(PI()*(s_0+4*s_r+IF(circ_int,eq_c1/2,0))/2))+2*IF(circ_int,0,eq_c1/2))+(PI()*(s_0+4*s_r+IF(circ_int,eq_c1/2,0))/2))+2*IF(circ_int,0,eq_c2/2))+(PI()*(s_0+4*s_r+IF(circ_int,eq_c1/2,0))/2))),IF(circ_int,0,eq_c1/2)+(s_0+4*s_r+IF(circ_int,eq_c1/2,0))*COS(3*PI()/2+(((21+0.5)*(4*IF(circ_int,0,eq_c1/2)+4*IF(circ_int,0,eq_c2/2)+2*PI()*(s_0+4*s_r+IF(circ_int,eq_c1/2,0)))/INDEX(lk_legs,5))-(((((((2*IF(circ_int,0,eq_c2/2))+(PI()*(s_0+4*s_r+IF(circ_int,eq_c1/2,0))/2))+2*IF(circ_int,0,eq_c1/2))+(PI()*(s_0+4*s_r+IF(circ_int,eq_c1/2,0))/2))+2*IF(circ_int,0,eq_c2/2))+(PI()*(s_0+4*s_r+IF(circ_int,eq_c1/2,0))/2))+2*IF(circ_int,0,eq_c1/2)))/(s_0+4*s_r+IF(circ_int,eq_c1/2,0)))))))))),NA())</f>
        <v/>
      </c>
      <c r="BY24">
        <f>IF(AND(AND(links_on,5&lt;=n_per),INDEX(lk_kind,5)=1,21&lt;INDEX(lk_legs,5)),g_oy+IF(((21+0.5)*(4*IF(circ_int,0,eq_c1/2)+4*IF(circ_int,0,eq_c2/2)+2*PI()*(s_0+4*s_r+IF(circ_int,eq_c1/2,0)))/INDEX(lk_legs,5))&lt;(2*IF(circ_int,0,eq_c2/2)),-IF(circ_int,0,eq_c2/2)+((21+0.5)*(4*IF(circ_int,0,eq_c1/2)+4*IF(circ_int,0,eq_c2/2)+2*PI()*(s_0+4*s_r+IF(circ_int,eq_c1/2,0)))/INDEX(lk_legs,5)),IF(((21+0.5)*(4*IF(circ_int,0,eq_c1/2)+4*IF(circ_int,0,eq_c2/2)+2*PI()*(s_0+4*s_r+IF(circ_int,eq_c1/2,0)))/INDEX(lk_legs,5))&lt;((2*IF(circ_int,0,eq_c2/2))+(PI()*(s_0+4*s_r+IF(circ_int,eq_c1/2,0))/2)),IF(circ_int,0,eq_c2/2)+(s_0+4*s_r+IF(circ_int,eq_c1/2,0))*SIN((((21+0.5)*(4*IF(circ_int,0,eq_c1/2)+4*IF(circ_int,0,eq_c2/2)+2*PI()*(s_0+4*s_r+IF(circ_int,eq_c1/2,0)))/INDEX(lk_legs,5))-(2*IF(circ_int,0,eq_c2/2)))/(s_0+4*s_r+IF(circ_int,eq_c1/2,0))),IF(((21+0.5)*(4*IF(circ_int,0,eq_c1/2)+4*IF(circ_int,0,eq_c2/2)+2*PI()*(s_0+4*s_r+IF(circ_int,eq_c1/2,0)))/INDEX(lk_legs,5))&lt;(((2*IF(circ_int,0,eq_c2/2))+(PI()*(s_0+4*s_r+IF(circ_int,eq_c1/2,0))/2))+2*IF(circ_int,0,eq_c1/2)),IF(circ_int,0,eq_c2/2)+(s_0+4*s_r+IF(circ_int,eq_c1/2,0)),IF(((21+0.5)*(4*IF(circ_int,0,eq_c1/2)+4*IF(circ_int,0,eq_c2/2)+2*PI()*(s_0+4*s_r+IF(circ_int,eq_c1/2,0)))/INDEX(lk_legs,5))&lt;((((2*IF(circ_int,0,eq_c2/2))+(PI()*(s_0+4*s_r+IF(circ_int,eq_c1/2,0))/2))+2*IF(circ_int,0,eq_c1/2))+(PI()*(s_0+4*s_r+IF(circ_int,eq_c1/2,0))/2)),IF(circ_int,0,eq_c2/2)+(s_0+4*s_r+IF(circ_int,eq_c1/2,0))*SIN(PI()/2+(((21+0.5)*(4*IF(circ_int,0,eq_c1/2)+4*IF(circ_int,0,eq_c2/2)+2*PI()*(s_0+4*s_r+IF(circ_int,eq_c1/2,0)))/INDEX(lk_legs,5))-(((2*IF(circ_int,0,eq_c2/2))+(PI()*(s_0+4*s_r+IF(circ_int,eq_c1/2,0))/2))+2*IF(circ_int,0,eq_c1/2)))/(s_0+4*s_r+IF(circ_int,eq_c1/2,0))),IF(((21+0.5)*(4*IF(circ_int,0,eq_c1/2)+4*IF(circ_int,0,eq_c2/2)+2*PI()*(s_0+4*s_r+IF(circ_int,eq_c1/2,0)))/INDEX(lk_legs,5))&lt;(((((2*IF(circ_int,0,eq_c2/2))+(PI()*(s_0+4*s_r+IF(circ_int,eq_c1/2,0))/2))+2*IF(circ_int,0,eq_c1/2))+(PI()*(s_0+4*s_r+IF(circ_int,eq_c1/2,0))/2))+2*IF(circ_int,0,eq_c2/2)),IF(circ_int,0,eq_c2/2)-(((21+0.5)*(4*IF(circ_int,0,eq_c1/2)+4*IF(circ_int,0,eq_c2/2)+2*PI()*(s_0+4*s_r+IF(circ_int,eq_c1/2,0)))/INDEX(lk_legs,5))-((((2*IF(circ_int,0,eq_c2/2))+(PI()*(s_0+4*s_r+IF(circ_int,eq_c1/2,0))/2))+2*IF(circ_int,0,eq_c1/2))+(PI()*(s_0+4*s_r+IF(circ_int,eq_c1/2,0))/2))),IF(((21+0.5)*(4*IF(circ_int,0,eq_c1/2)+4*IF(circ_int,0,eq_c2/2)+2*PI()*(s_0+4*s_r+IF(circ_int,eq_c1/2,0)))/INDEX(lk_legs,5))&lt;((((((2*IF(circ_int,0,eq_c2/2))+(PI()*(s_0+4*s_r+IF(circ_int,eq_c1/2,0))/2))+2*IF(circ_int,0,eq_c1/2))+(PI()*(s_0+4*s_r+IF(circ_int,eq_c1/2,0))/2))+2*IF(circ_int,0,eq_c2/2))+(PI()*(s_0+4*s_r+IF(circ_int,eq_c1/2,0))/2)),-IF(circ_int,0,eq_c2/2)+(s_0+4*s_r+IF(circ_int,eq_c1/2,0))*SIN(PI()+(((21+0.5)*(4*IF(circ_int,0,eq_c1/2)+4*IF(circ_int,0,eq_c2/2)+2*PI()*(s_0+4*s_r+IF(circ_int,eq_c1/2,0)))/INDEX(lk_legs,5))-(((((2*IF(circ_int,0,eq_c2/2))+(PI()*(s_0+4*s_r+IF(circ_int,eq_c1/2,0))/2))+2*IF(circ_int,0,eq_c1/2))+(PI()*(s_0+4*s_r+IF(circ_int,eq_c1/2,0))/2))+2*IF(circ_int,0,eq_c2/2)))/(s_0+4*s_r+IF(circ_int,eq_c1/2,0))),IF(((21+0.5)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(21+0.5)*(4*IF(circ_int,0,eq_c1/2)+4*IF(circ_int,0,eq_c2/2)+2*PI()*(s_0+4*s_r+IF(circ_int,eq_c1/2,0)))/INDEX(lk_legs,5))-(((((((2*IF(circ_int,0,eq_c2/2))+(PI()*(s_0+4*s_r+IF(circ_int,eq_c1/2,0))/2))+2*IF(circ_int,0,eq_c1/2))+(PI()*(s_0+4*s_r+IF(circ_int,eq_c1/2,0))/2))+2*IF(circ_int,0,eq_c2/2))+(PI()*(s_0+4*s_r+IF(circ_int,eq_c1/2,0))/2))+2*IF(circ_int,0,eq_c1/2)))/(s_0+4*s_r+IF(circ_int,eq_c1/2,0)))))))))),NA())</f>
        <v/>
      </c>
      <c r="CA24">
        <f>IF(AND(links_on,6&lt;=n_per),IF(circ_int,(g_ox)+(c_1/2+(s_0+5*s_r))*-0.822984,CHOOSE(INDEX(lk_kind,6),(g_ox-eq_c1/2)+((s_0+5*s_r))*-0.866025,(eq_a1+eq_c1)+((s_0+5*s_r))*0.608761,eq_a1+eq_c1+(s_0+5*s_r),(eq_a1+eq_c1)+((s_0+5*s_r))*0.793353)),NA())</f>
        <v/>
      </c>
      <c r="CB24">
        <f>IF(AND(links_on,6&lt;=n_per),IF(circ_int,(g_oy)+(c_1/2+(s_0+5*s_r))*0.568065,CHOOSE(INDEX(lk_kind,6),(g_oy+eq_c2/2)+((s_0+5*s_r))*0.500000,(g_oy-eq_c2/2)+((s_0+5*s_r))*-0.793353,0,(eq_a2+eq_c2)+((s_0+5*s_r))*0.608761)),NA())</f>
        <v/>
      </c>
      <c r="CD24">
        <f>IF(AND(AND(links_on,6&lt;=n_per),INDEX(lk_kind,6)=1,21&lt;INDEX(lk_legs,6)),g_ox+IF(((21+0.5)*(4*IF(circ_int,0,eq_c1/2)+4*IF(circ_int,0,eq_c2/2)+2*PI()*(s_0+5*s_r+IF(circ_int,eq_c1/2,0)))/INDEX(lk_legs,6))&lt;(2*IF(circ_int,0,eq_c2/2)),IF(circ_int,0,eq_c1/2)+(s_0+5*s_r+IF(circ_int,eq_c1/2,0)),IF(((21+0.5)*(4*IF(circ_int,0,eq_c1/2)+4*IF(circ_int,0,eq_c2/2)+2*PI()*(s_0+5*s_r+IF(circ_int,eq_c1/2,0)))/INDEX(lk_legs,6))&lt;((2*IF(circ_int,0,eq_c2/2))+(PI()*(s_0+5*s_r+IF(circ_int,eq_c1/2,0))/2)),IF(circ_int,0,eq_c1/2)+(s_0+5*s_r+IF(circ_int,eq_c1/2,0))*COS((((21+0.5)*(4*IF(circ_int,0,eq_c1/2)+4*IF(circ_int,0,eq_c2/2)+2*PI()*(s_0+5*s_r+IF(circ_int,eq_c1/2,0)))/INDEX(lk_legs,6))-(2*IF(circ_int,0,eq_c2/2)))/(s_0+5*s_r+IF(circ_int,eq_c1/2,0))),IF(((21+0.5)*(4*IF(circ_int,0,eq_c1/2)+4*IF(circ_int,0,eq_c2/2)+2*PI()*(s_0+5*s_r+IF(circ_int,eq_c1/2,0)))/INDEX(lk_legs,6))&lt;(((2*IF(circ_int,0,eq_c2/2))+(PI()*(s_0+5*s_r+IF(circ_int,eq_c1/2,0))/2))+2*IF(circ_int,0,eq_c1/2)),IF(circ_int,0,eq_c1/2)-(((21+0.5)*(4*IF(circ_int,0,eq_c1/2)+4*IF(circ_int,0,eq_c2/2)+2*PI()*(s_0+5*s_r+IF(circ_int,eq_c1/2,0)))/INDEX(lk_legs,6))-((2*IF(circ_int,0,eq_c2/2))+(PI()*(s_0+5*s_r+IF(circ_int,eq_c1/2,0))/2))),IF(((21+0.5)*(4*IF(circ_int,0,eq_c1/2)+4*IF(circ_int,0,eq_c2/2)+2*PI()*(s_0+5*s_r+IF(circ_int,eq_c1/2,0)))/INDEX(lk_legs,6))&lt;((((2*IF(circ_int,0,eq_c2/2))+(PI()*(s_0+5*s_r+IF(circ_int,eq_c1/2,0))/2))+2*IF(circ_int,0,eq_c1/2))+(PI()*(s_0+5*s_r+IF(circ_int,eq_c1/2,0))/2)),-IF(circ_int,0,eq_c1/2)+(s_0+5*s_r+IF(circ_int,eq_c1/2,0))*COS(PI()/2+(((21+0.5)*(4*IF(circ_int,0,eq_c1/2)+4*IF(circ_int,0,eq_c2/2)+2*PI()*(s_0+5*s_r+IF(circ_int,eq_c1/2,0)))/INDEX(lk_legs,6))-(((2*IF(circ_int,0,eq_c2/2))+(PI()*(s_0+5*s_r+IF(circ_int,eq_c1/2,0))/2))+2*IF(circ_int,0,eq_c1/2)))/(s_0+5*s_r+IF(circ_int,eq_c1/2,0))),IF(((21+0.5)*(4*IF(circ_int,0,eq_c1/2)+4*IF(circ_int,0,eq_c2/2)+2*PI()*(s_0+5*s_r+IF(circ_int,eq_c1/2,0)))/INDEX(lk_legs,6))&lt;(((((2*IF(circ_int,0,eq_c2/2))+(PI()*(s_0+5*s_r+IF(circ_int,eq_c1/2,0))/2))+2*IF(circ_int,0,eq_c1/2))+(PI()*(s_0+5*s_r+IF(circ_int,eq_c1/2,0))/2))+2*IF(circ_int,0,eq_c2/2)),-IF(circ_int,0,eq_c1/2)-(s_0+5*s_r+IF(circ_int,eq_c1/2,0)),IF(((21+0.5)*(4*IF(circ_int,0,eq_c1/2)+4*IF(circ_int,0,eq_c2/2)+2*PI()*(s_0+5*s_r+IF(circ_int,eq_c1/2,0)))/INDEX(lk_legs,6))&lt;((((((2*IF(circ_int,0,eq_c2/2))+(PI()*(s_0+5*s_r+IF(circ_int,eq_c1/2,0))/2))+2*IF(circ_int,0,eq_c1/2))+(PI()*(s_0+5*s_r+IF(circ_int,eq_c1/2,0))/2))+2*IF(circ_int,0,eq_c2/2))+(PI()*(s_0+5*s_r+IF(circ_int,eq_c1/2,0))/2)),-IF(circ_int,0,eq_c1/2)+(s_0+5*s_r+IF(circ_int,eq_c1/2,0))*COS(PI()+(((21+0.5)*(4*IF(circ_int,0,eq_c1/2)+4*IF(circ_int,0,eq_c2/2)+2*PI()*(s_0+5*s_r+IF(circ_int,eq_c1/2,0)))/INDEX(lk_legs,6))-(((((2*IF(circ_int,0,eq_c2/2))+(PI()*(s_0+5*s_r+IF(circ_int,eq_c1/2,0))/2))+2*IF(circ_int,0,eq_c1/2))+(PI()*(s_0+5*s_r+IF(circ_int,eq_c1/2,0))/2))+2*IF(circ_int,0,eq_c2/2)))/(s_0+5*s_r+IF(circ_int,eq_c1/2,0))),IF(((21+0.5)*(4*IF(circ_int,0,eq_c1/2)+4*IF(circ_int,0,eq_c2/2)+2*PI()*(s_0+5*s_r+IF(circ_int,eq_c1/2,0)))/INDEX(lk_legs,6))&lt;(((((((2*IF(circ_int,0,eq_c2/2))+(PI()*(s_0+5*s_r+IF(circ_int,eq_c1/2,0))/2))+2*IF(circ_int,0,eq_c1/2))+(PI()*(s_0+5*s_r+IF(circ_int,eq_c1/2,0))/2))+2*IF(circ_int,0,eq_c2/2))+(PI()*(s_0+5*s_r+IF(circ_int,eq_c1/2,0))/2))+2*IF(circ_int,0,eq_c1/2)),-IF(circ_int,0,eq_c1/2)+(((21+0.5)*(4*IF(circ_int,0,eq_c1/2)+4*IF(circ_int,0,eq_c2/2)+2*PI()*(s_0+5*s_r+IF(circ_int,eq_c1/2,0)))/INDEX(lk_legs,6))-((((((2*IF(circ_int,0,eq_c2/2))+(PI()*(s_0+5*s_r+IF(circ_int,eq_c1/2,0))/2))+2*IF(circ_int,0,eq_c1/2))+(PI()*(s_0+5*s_r+IF(circ_int,eq_c1/2,0))/2))+2*IF(circ_int,0,eq_c2/2))+(PI()*(s_0+5*s_r+IF(circ_int,eq_c1/2,0))/2))),IF(circ_int,0,eq_c1/2)+(s_0+5*s_r+IF(circ_int,eq_c1/2,0))*COS(3*PI()/2+(((21+0.5)*(4*IF(circ_int,0,eq_c1/2)+4*IF(circ_int,0,eq_c2/2)+2*PI()*(s_0+5*s_r+IF(circ_int,eq_c1/2,0)))/INDEX(lk_legs,6))-(((((((2*IF(circ_int,0,eq_c2/2))+(PI()*(s_0+5*s_r+IF(circ_int,eq_c1/2,0))/2))+2*IF(circ_int,0,eq_c1/2))+(PI()*(s_0+5*s_r+IF(circ_int,eq_c1/2,0))/2))+2*IF(circ_int,0,eq_c2/2))+(PI()*(s_0+5*s_r+IF(circ_int,eq_c1/2,0))/2))+2*IF(circ_int,0,eq_c1/2)))/(s_0+5*s_r+IF(circ_int,eq_c1/2,0)))))))))),NA())</f>
        <v/>
      </c>
      <c r="CE24">
        <f>IF(AND(AND(links_on,6&lt;=n_per),INDEX(lk_kind,6)=1,21&lt;INDEX(lk_legs,6)),g_oy+IF(((21+0.5)*(4*IF(circ_int,0,eq_c1/2)+4*IF(circ_int,0,eq_c2/2)+2*PI()*(s_0+5*s_r+IF(circ_int,eq_c1/2,0)))/INDEX(lk_legs,6))&lt;(2*IF(circ_int,0,eq_c2/2)),-IF(circ_int,0,eq_c2/2)+((21+0.5)*(4*IF(circ_int,0,eq_c1/2)+4*IF(circ_int,0,eq_c2/2)+2*PI()*(s_0+5*s_r+IF(circ_int,eq_c1/2,0)))/INDEX(lk_legs,6)),IF(((21+0.5)*(4*IF(circ_int,0,eq_c1/2)+4*IF(circ_int,0,eq_c2/2)+2*PI()*(s_0+5*s_r+IF(circ_int,eq_c1/2,0)))/INDEX(lk_legs,6))&lt;((2*IF(circ_int,0,eq_c2/2))+(PI()*(s_0+5*s_r+IF(circ_int,eq_c1/2,0))/2)),IF(circ_int,0,eq_c2/2)+(s_0+5*s_r+IF(circ_int,eq_c1/2,0))*SIN((((21+0.5)*(4*IF(circ_int,0,eq_c1/2)+4*IF(circ_int,0,eq_c2/2)+2*PI()*(s_0+5*s_r+IF(circ_int,eq_c1/2,0)))/INDEX(lk_legs,6))-(2*IF(circ_int,0,eq_c2/2)))/(s_0+5*s_r+IF(circ_int,eq_c1/2,0))),IF(((21+0.5)*(4*IF(circ_int,0,eq_c1/2)+4*IF(circ_int,0,eq_c2/2)+2*PI()*(s_0+5*s_r+IF(circ_int,eq_c1/2,0)))/INDEX(lk_legs,6))&lt;(((2*IF(circ_int,0,eq_c2/2))+(PI()*(s_0+5*s_r+IF(circ_int,eq_c1/2,0))/2))+2*IF(circ_int,0,eq_c1/2)),IF(circ_int,0,eq_c2/2)+(s_0+5*s_r+IF(circ_int,eq_c1/2,0)),IF(((21+0.5)*(4*IF(circ_int,0,eq_c1/2)+4*IF(circ_int,0,eq_c2/2)+2*PI()*(s_0+5*s_r+IF(circ_int,eq_c1/2,0)))/INDEX(lk_legs,6))&lt;((((2*IF(circ_int,0,eq_c2/2))+(PI()*(s_0+5*s_r+IF(circ_int,eq_c1/2,0))/2))+2*IF(circ_int,0,eq_c1/2))+(PI()*(s_0+5*s_r+IF(circ_int,eq_c1/2,0))/2)),IF(circ_int,0,eq_c2/2)+(s_0+5*s_r+IF(circ_int,eq_c1/2,0))*SIN(PI()/2+(((21+0.5)*(4*IF(circ_int,0,eq_c1/2)+4*IF(circ_int,0,eq_c2/2)+2*PI()*(s_0+5*s_r+IF(circ_int,eq_c1/2,0)))/INDEX(lk_legs,6))-(((2*IF(circ_int,0,eq_c2/2))+(PI()*(s_0+5*s_r+IF(circ_int,eq_c1/2,0))/2))+2*IF(circ_int,0,eq_c1/2)))/(s_0+5*s_r+IF(circ_int,eq_c1/2,0))),IF(((21+0.5)*(4*IF(circ_int,0,eq_c1/2)+4*IF(circ_int,0,eq_c2/2)+2*PI()*(s_0+5*s_r+IF(circ_int,eq_c1/2,0)))/INDEX(lk_legs,6))&lt;(((((2*IF(circ_int,0,eq_c2/2))+(PI()*(s_0+5*s_r+IF(circ_int,eq_c1/2,0))/2))+2*IF(circ_int,0,eq_c1/2))+(PI()*(s_0+5*s_r+IF(circ_int,eq_c1/2,0))/2))+2*IF(circ_int,0,eq_c2/2)),IF(circ_int,0,eq_c2/2)-(((21+0.5)*(4*IF(circ_int,0,eq_c1/2)+4*IF(circ_int,0,eq_c2/2)+2*PI()*(s_0+5*s_r+IF(circ_int,eq_c1/2,0)))/INDEX(lk_legs,6))-((((2*IF(circ_int,0,eq_c2/2))+(PI()*(s_0+5*s_r+IF(circ_int,eq_c1/2,0))/2))+2*IF(circ_int,0,eq_c1/2))+(PI()*(s_0+5*s_r+IF(circ_int,eq_c1/2,0))/2))),IF(((21+0.5)*(4*IF(circ_int,0,eq_c1/2)+4*IF(circ_int,0,eq_c2/2)+2*PI()*(s_0+5*s_r+IF(circ_int,eq_c1/2,0)))/INDEX(lk_legs,6))&lt;((((((2*IF(circ_int,0,eq_c2/2))+(PI()*(s_0+5*s_r+IF(circ_int,eq_c1/2,0))/2))+2*IF(circ_int,0,eq_c1/2))+(PI()*(s_0+5*s_r+IF(circ_int,eq_c1/2,0))/2))+2*IF(circ_int,0,eq_c2/2))+(PI()*(s_0+5*s_r+IF(circ_int,eq_c1/2,0))/2)),-IF(circ_int,0,eq_c2/2)+(s_0+5*s_r+IF(circ_int,eq_c1/2,0))*SIN(PI()+(((21+0.5)*(4*IF(circ_int,0,eq_c1/2)+4*IF(circ_int,0,eq_c2/2)+2*PI()*(s_0+5*s_r+IF(circ_int,eq_c1/2,0)))/INDEX(lk_legs,6))-(((((2*IF(circ_int,0,eq_c2/2))+(PI()*(s_0+5*s_r+IF(circ_int,eq_c1/2,0))/2))+2*IF(circ_int,0,eq_c1/2))+(PI()*(s_0+5*s_r+IF(circ_int,eq_c1/2,0))/2))+2*IF(circ_int,0,eq_c2/2)))/(s_0+5*s_r+IF(circ_int,eq_c1/2,0))),IF(((21+0.5)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(21+0.5)*(4*IF(circ_int,0,eq_c1/2)+4*IF(circ_int,0,eq_c2/2)+2*PI()*(s_0+5*s_r+IF(circ_int,eq_c1/2,0)))/INDEX(lk_legs,6))-(((((((2*IF(circ_int,0,eq_c2/2))+(PI()*(s_0+5*s_r+IF(circ_int,eq_c1/2,0))/2))+2*IF(circ_int,0,eq_c1/2))+(PI()*(s_0+5*s_r+IF(circ_int,eq_c1/2,0))/2))+2*IF(circ_int,0,eq_c2/2))+(PI()*(s_0+5*s_r+IF(circ_int,eq_c1/2,0))/2))+2*IF(circ_int,0,eq_c1/2)))/(s_0+5*s_r+IF(circ_int,eq_c1/2,0)))))))))),NA())</f>
        <v/>
      </c>
      <c r="CG24">
        <f>IF(AND(links_on,7&lt;=n_per),IF(circ_int,(g_ox)+(c_1/2+(s_0+6*s_r))*-0.822984,CHOOSE(INDEX(lk_kind,7),(g_ox-eq_c1/2)+((s_0+6*s_r))*-0.866025,(eq_a1+eq_c1)+((s_0+6*s_r))*0.608761,eq_a1+eq_c1+(s_0+6*s_r),(eq_a1+eq_c1)+((s_0+6*s_r))*0.793353)),NA())</f>
        <v/>
      </c>
      <c r="CH24">
        <f>IF(AND(links_on,7&lt;=n_per),IF(circ_int,(g_oy)+(c_1/2+(s_0+6*s_r))*0.568065,CHOOSE(INDEX(lk_kind,7),(g_oy+eq_c2/2)+((s_0+6*s_r))*0.500000,(g_oy-eq_c2/2)+((s_0+6*s_r))*-0.793353,0,(eq_a2+eq_c2)+((s_0+6*s_r))*0.608761)),NA())</f>
        <v/>
      </c>
      <c r="CJ24">
        <f>IF(AND(AND(links_on,7&lt;=n_per),INDEX(lk_kind,7)=1,21&lt;INDEX(lk_legs,7)),g_ox+IF(((21+0.5)*(4*IF(circ_int,0,eq_c1/2)+4*IF(circ_int,0,eq_c2/2)+2*PI()*(s_0+6*s_r+IF(circ_int,eq_c1/2,0)))/INDEX(lk_legs,7))&lt;(2*IF(circ_int,0,eq_c2/2)),IF(circ_int,0,eq_c1/2)+(s_0+6*s_r+IF(circ_int,eq_c1/2,0)),IF(((21+0.5)*(4*IF(circ_int,0,eq_c1/2)+4*IF(circ_int,0,eq_c2/2)+2*PI()*(s_0+6*s_r+IF(circ_int,eq_c1/2,0)))/INDEX(lk_legs,7))&lt;((2*IF(circ_int,0,eq_c2/2))+(PI()*(s_0+6*s_r+IF(circ_int,eq_c1/2,0))/2)),IF(circ_int,0,eq_c1/2)+(s_0+6*s_r+IF(circ_int,eq_c1/2,0))*COS((((21+0.5)*(4*IF(circ_int,0,eq_c1/2)+4*IF(circ_int,0,eq_c2/2)+2*PI()*(s_0+6*s_r+IF(circ_int,eq_c1/2,0)))/INDEX(lk_legs,7))-(2*IF(circ_int,0,eq_c2/2)))/(s_0+6*s_r+IF(circ_int,eq_c1/2,0))),IF(((21+0.5)*(4*IF(circ_int,0,eq_c1/2)+4*IF(circ_int,0,eq_c2/2)+2*PI()*(s_0+6*s_r+IF(circ_int,eq_c1/2,0)))/INDEX(lk_legs,7))&lt;(((2*IF(circ_int,0,eq_c2/2))+(PI()*(s_0+6*s_r+IF(circ_int,eq_c1/2,0))/2))+2*IF(circ_int,0,eq_c1/2)),IF(circ_int,0,eq_c1/2)-(((21+0.5)*(4*IF(circ_int,0,eq_c1/2)+4*IF(circ_int,0,eq_c2/2)+2*PI()*(s_0+6*s_r+IF(circ_int,eq_c1/2,0)))/INDEX(lk_legs,7))-((2*IF(circ_int,0,eq_c2/2))+(PI()*(s_0+6*s_r+IF(circ_int,eq_c1/2,0))/2))),IF(((21+0.5)*(4*IF(circ_int,0,eq_c1/2)+4*IF(circ_int,0,eq_c2/2)+2*PI()*(s_0+6*s_r+IF(circ_int,eq_c1/2,0)))/INDEX(lk_legs,7))&lt;((((2*IF(circ_int,0,eq_c2/2))+(PI()*(s_0+6*s_r+IF(circ_int,eq_c1/2,0))/2))+2*IF(circ_int,0,eq_c1/2))+(PI()*(s_0+6*s_r+IF(circ_int,eq_c1/2,0))/2)),-IF(circ_int,0,eq_c1/2)+(s_0+6*s_r+IF(circ_int,eq_c1/2,0))*COS(PI()/2+(((21+0.5)*(4*IF(circ_int,0,eq_c1/2)+4*IF(circ_int,0,eq_c2/2)+2*PI()*(s_0+6*s_r+IF(circ_int,eq_c1/2,0)))/INDEX(lk_legs,7))-(((2*IF(circ_int,0,eq_c2/2))+(PI()*(s_0+6*s_r+IF(circ_int,eq_c1/2,0))/2))+2*IF(circ_int,0,eq_c1/2)))/(s_0+6*s_r+IF(circ_int,eq_c1/2,0))),IF(((21+0.5)*(4*IF(circ_int,0,eq_c1/2)+4*IF(circ_int,0,eq_c2/2)+2*PI()*(s_0+6*s_r+IF(circ_int,eq_c1/2,0)))/INDEX(lk_legs,7))&lt;(((((2*IF(circ_int,0,eq_c2/2))+(PI()*(s_0+6*s_r+IF(circ_int,eq_c1/2,0))/2))+2*IF(circ_int,0,eq_c1/2))+(PI()*(s_0+6*s_r+IF(circ_int,eq_c1/2,0))/2))+2*IF(circ_int,0,eq_c2/2)),-IF(circ_int,0,eq_c1/2)-(s_0+6*s_r+IF(circ_int,eq_c1/2,0)),IF(((21+0.5)*(4*IF(circ_int,0,eq_c1/2)+4*IF(circ_int,0,eq_c2/2)+2*PI()*(s_0+6*s_r+IF(circ_int,eq_c1/2,0)))/INDEX(lk_legs,7))&lt;((((((2*IF(circ_int,0,eq_c2/2))+(PI()*(s_0+6*s_r+IF(circ_int,eq_c1/2,0))/2))+2*IF(circ_int,0,eq_c1/2))+(PI()*(s_0+6*s_r+IF(circ_int,eq_c1/2,0))/2))+2*IF(circ_int,0,eq_c2/2))+(PI()*(s_0+6*s_r+IF(circ_int,eq_c1/2,0))/2)),-IF(circ_int,0,eq_c1/2)+(s_0+6*s_r+IF(circ_int,eq_c1/2,0))*COS(PI()+(((21+0.5)*(4*IF(circ_int,0,eq_c1/2)+4*IF(circ_int,0,eq_c2/2)+2*PI()*(s_0+6*s_r+IF(circ_int,eq_c1/2,0)))/INDEX(lk_legs,7))-(((((2*IF(circ_int,0,eq_c2/2))+(PI()*(s_0+6*s_r+IF(circ_int,eq_c1/2,0))/2))+2*IF(circ_int,0,eq_c1/2))+(PI()*(s_0+6*s_r+IF(circ_int,eq_c1/2,0))/2))+2*IF(circ_int,0,eq_c2/2)))/(s_0+6*s_r+IF(circ_int,eq_c1/2,0))),IF(((21+0.5)*(4*IF(circ_int,0,eq_c1/2)+4*IF(circ_int,0,eq_c2/2)+2*PI()*(s_0+6*s_r+IF(circ_int,eq_c1/2,0)))/INDEX(lk_legs,7))&lt;(((((((2*IF(circ_int,0,eq_c2/2))+(PI()*(s_0+6*s_r+IF(circ_int,eq_c1/2,0))/2))+2*IF(circ_int,0,eq_c1/2))+(PI()*(s_0+6*s_r+IF(circ_int,eq_c1/2,0))/2))+2*IF(circ_int,0,eq_c2/2))+(PI()*(s_0+6*s_r+IF(circ_int,eq_c1/2,0))/2))+2*IF(circ_int,0,eq_c1/2)),-IF(circ_int,0,eq_c1/2)+(((21+0.5)*(4*IF(circ_int,0,eq_c1/2)+4*IF(circ_int,0,eq_c2/2)+2*PI()*(s_0+6*s_r+IF(circ_int,eq_c1/2,0)))/INDEX(lk_legs,7))-((((((2*IF(circ_int,0,eq_c2/2))+(PI()*(s_0+6*s_r+IF(circ_int,eq_c1/2,0))/2))+2*IF(circ_int,0,eq_c1/2))+(PI()*(s_0+6*s_r+IF(circ_int,eq_c1/2,0))/2))+2*IF(circ_int,0,eq_c2/2))+(PI()*(s_0+6*s_r+IF(circ_int,eq_c1/2,0))/2))),IF(circ_int,0,eq_c1/2)+(s_0+6*s_r+IF(circ_int,eq_c1/2,0))*COS(3*PI()/2+(((21+0.5)*(4*IF(circ_int,0,eq_c1/2)+4*IF(circ_int,0,eq_c2/2)+2*PI()*(s_0+6*s_r+IF(circ_int,eq_c1/2,0)))/INDEX(lk_legs,7))-(((((((2*IF(circ_int,0,eq_c2/2))+(PI()*(s_0+6*s_r+IF(circ_int,eq_c1/2,0))/2))+2*IF(circ_int,0,eq_c1/2))+(PI()*(s_0+6*s_r+IF(circ_int,eq_c1/2,0))/2))+2*IF(circ_int,0,eq_c2/2))+(PI()*(s_0+6*s_r+IF(circ_int,eq_c1/2,0))/2))+2*IF(circ_int,0,eq_c1/2)))/(s_0+6*s_r+IF(circ_int,eq_c1/2,0)))))))))),NA())</f>
        <v/>
      </c>
      <c r="CK24">
        <f>IF(AND(AND(links_on,7&lt;=n_per),INDEX(lk_kind,7)=1,21&lt;INDEX(lk_legs,7)),g_oy+IF(((21+0.5)*(4*IF(circ_int,0,eq_c1/2)+4*IF(circ_int,0,eq_c2/2)+2*PI()*(s_0+6*s_r+IF(circ_int,eq_c1/2,0)))/INDEX(lk_legs,7))&lt;(2*IF(circ_int,0,eq_c2/2)),-IF(circ_int,0,eq_c2/2)+((21+0.5)*(4*IF(circ_int,0,eq_c1/2)+4*IF(circ_int,0,eq_c2/2)+2*PI()*(s_0+6*s_r+IF(circ_int,eq_c1/2,0)))/INDEX(lk_legs,7)),IF(((21+0.5)*(4*IF(circ_int,0,eq_c1/2)+4*IF(circ_int,0,eq_c2/2)+2*PI()*(s_0+6*s_r+IF(circ_int,eq_c1/2,0)))/INDEX(lk_legs,7))&lt;((2*IF(circ_int,0,eq_c2/2))+(PI()*(s_0+6*s_r+IF(circ_int,eq_c1/2,0))/2)),IF(circ_int,0,eq_c2/2)+(s_0+6*s_r+IF(circ_int,eq_c1/2,0))*SIN((((21+0.5)*(4*IF(circ_int,0,eq_c1/2)+4*IF(circ_int,0,eq_c2/2)+2*PI()*(s_0+6*s_r+IF(circ_int,eq_c1/2,0)))/INDEX(lk_legs,7))-(2*IF(circ_int,0,eq_c2/2)))/(s_0+6*s_r+IF(circ_int,eq_c1/2,0))),IF(((21+0.5)*(4*IF(circ_int,0,eq_c1/2)+4*IF(circ_int,0,eq_c2/2)+2*PI()*(s_0+6*s_r+IF(circ_int,eq_c1/2,0)))/INDEX(lk_legs,7))&lt;(((2*IF(circ_int,0,eq_c2/2))+(PI()*(s_0+6*s_r+IF(circ_int,eq_c1/2,0))/2))+2*IF(circ_int,0,eq_c1/2)),IF(circ_int,0,eq_c2/2)+(s_0+6*s_r+IF(circ_int,eq_c1/2,0)),IF(((21+0.5)*(4*IF(circ_int,0,eq_c1/2)+4*IF(circ_int,0,eq_c2/2)+2*PI()*(s_0+6*s_r+IF(circ_int,eq_c1/2,0)))/INDEX(lk_legs,7))&lt;((((2*IF(circ_int,0,eq_c2/2))+(PI()*(s_0+6*s_r+IF(circ_int,eq_c1/2,0))/2))+2*IF(circ_int,0,eq_c1/2))+(PI()*(s_0+6*s_r+IF(circ_int,eq_c1/2,0))/2)),IF(circ_int,0,eq_c2/2)+(s_0+6*s_r+IF(circ_int,eq_c1/2,0))*SIN(PI()/2+(((21+0.5)*(4*IF(circ_int,0,eq_c1/2)+4*IF(circ_int,0,eq_c2/2)+2*PI()*(s_0+6*s_r+IF(circ_int,eq_c1/2,0)))/INDEX(lk_legs,7))-(((2*IF(circ_int,0,eq_c2/2))+(PI()*(s_0+6*s_r+IF(circ_int,eq_c1/2,0))/2))+2*IF(circ_int,0,eq_c1/2)))/(s_0+6*s_r+IF(circ_int,eq_c1/2,0))),IF(((21+0.5)*(4*IF(circ_int,0,eq_c1/2)+4*IF(circ_int,0,eq_c2/2)+2*PI()*(s_0+6*s_r+IF(circ_int,eq_c1/2,0)))/INDEX(lk_legs,7))&lt;(((((2*IF(circ_int,0,eq_c2/2))+(PI()*(s_0+6*s_r+IF(circ_int,eq_c1/2,0))/2))+2*IF(circ_int,0,eq_c1/2))+(PI()*(s_0+6*s_r+IF(circ_int,eq_c1/2,0))/2))+2*IF(circ_int,0,eq_c2/2)),IF(circ_int,0,eq_c2/2)-(((21+0.5)*(4*IF(circ_int,0,eq_c1/2)+4*IF(circ_int,0,eq_c2/2)+2*PI()*(s_0+6*s_r+IF(circ_int,eq_c1/2,0)))/INDEX(lk_legs,7))-((((2*IF(circ_int,0,eq_c2/2))+(PI()*(s_0+6*s_r+IF(circ_int,eq_c1/2,0))/2))+2*IF(circ_int,0,eq_c1/2))+(PI()*(s_0+6*s_r+IF(circ_int,eq_c1/2,0))/2))),IF(((21+0.5)*(4*IF(circ_int,0,eq_c1/2)+4*IF(circ_int,0,eq_c2/2)+2*PI()*(s_0+6*s_r+IF(circ_int,eq_c1/2,0)))/INDEX(lk_legs,7))&lt;((((((2*IF(circ_int,0,eq_c2/2))+(PI()*(s_0+6*s_r+IF(circ_int,eq_c1/2,0))/2))+2*IF(circ_int,0,eq_c1/2))+(PI()*(s_0+6*s_r+IF(circ_int,eq_c1/2,0))/2))+2*IF(circ_int,0,eq_c2/2))+(PI()*(s_0+6*s_r+IF(circ_int,eq_c1/2,0))/2)),-IF(circ_int,0,eq_c2/2)+(s_0+6*s_r+IF(circ_int,eq_c1/2,0))*SIN(PI()+(((21+0.5)*(4*IF(circ_int,0,eq_c1/2)+4*IF(circ_int,0,eq_c2/2)+2*PI()*(s_0+6*s_r+IF(circ_int,eq_c1/2,0)))/INDEX(lk_legs,7))-(((((2*IF(circ_int,0,eq_c2/2))+(PI()*(s_0+6*s_r+IF(circ_int,eq_c1/2,0))/2))+2*IF(circ_int,0,eq_c1/2))+(PI()*(s_0+6*s_r+IF(circ_int,eq_c1/2,0))/2))+2*IF(circ_int,0,eq_c2/2)))/(s_0+6*s_r+IF(circ_int,eq_c1/2,0))),IF(((21+0.5)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(21+0.5)*(4*IF(circ_int,0,eq_c1/2)+4*IF(circ_int,0,eq_c2/2)+2*PI()*(s_0+6*s_r+IF(circ_int,eq_c1/2,0)))/INDEX(lk_legs,7))-(((((((2*IF(circ_int,0,eq_c2/2))+(PI()*(s_0+6*s_r+IF(circ_int,eq_c1/2,0))/2))+2*IF(circ_int,0,eq_c1/2))+(PI()*(s_0+6*s_r+IF(circ_int,eq_c1/2,0))/2))+2*IF(circ_int,0,eq_c2/2))+(PI()*(s_0+6*s_r+IF(circ_int,eq_c1/2,0))/2))+2*IF(circ_int,0,eq_c1/2)))/(s_0+6*s_r+IF(circ_int,eq_c1/2,0)))))))))),NA())</f>
        <v/>
      </c>
      <c r="CM24">
        <f>IF(AND(links_on,8&lt;=n_per),IF(circ_int,(g_ox)+(c_1/2+(s_0+7*s_r))*-0.822984,CHOOSE(INDEX(lk_kind,8),(g_ox-eq_c1/2)+((s_0+7*s_r))*-0.866025,(eq_a1+eq_c1)+((s_0+7*s_r))*0.608761,eq_a1+eq_c1+(s_0+7*s_r),(eq_a1+eq_c1)+((s_0+7*s_r))*0.793353)),NA())</f>
        <v/>
      </c>
      <c r="CN24">
        <f>IF(AND(links_on,8&lt;=n_per),IF(circ_int,(g_oy)+(c_1/2+(s_0+7*s_r))*0.568065,CHOOSE(INDEX(lk_kind,8),(g_oy+eq_c2/2)+((s_0+7*s_r))*0.500000,(g_oy-eq_c2/2)+((s_0+7*s_r))*-0.793353,0,(eq_a2+eq_c2)+((s_0+7*s_r))*0.608761)),NA())</f>
        <v/>
      </c>
      <c r="CP24">
        <f>IF(AND(AND(links_on,8&lt;=n_per),INDEX(lk_kind,8)=1,21&lt;INDEX(lk_legs,8)),g_ox+IF(((21+0.5)*(4*IF(circ_int,0,eq_c1/2)+4*IF(circ_int,0,eq_c2/2)+2*PI()*(s_0+7*s_r+IF(circ_int,eq_c1/2,0)))/INDEX(lk_legs,8))&lt;(2*IF(circ_int,0,eq_c2/2)),IF(circ_int,0,eq_c1/2)+(s_0+7*s_r+IF(circ_int,eq_c1/2,0)),IF(((21+0.5)*(4*IF(circ_int,0,eq_c1/2)+4*IF(circ_int,0,eq_c2/2)+2*PI()*(s_0+7*s_r+IF(circ_int,eq_c1/2,0)))/INDEX(lk_legs,8))&lt;((2*IF(circ_int,0,eq_c2/2))+(PI()*(s_0+7*s_r+IF(circ_int,eq_c1/2,0))/2)),IF(circ_int,0,eq_c1/2)+(s_0+7*s_r+IF(circ_int,eq_c1/2,0))*COS((((21+0.5)*(4*IF(circ_int,0,eq_c1/2)+4*IF(circ_int,0,eq_c2/2)+2*PI()*(s_0+7*s_r+IF(circ_int,eq_c1/2,0)))/INDEX(lk_legs,8))-(2*IF(circ_int,0,eq_c2/2)))/(s_0+7*s_r+IF(circ_int,eq_c1/2,0))),IF(((21+0.5)*(4*IF(circ_int,0,eq_c1/2)+4*IF(circ_int,0,eq_c2/2)+2*PI()*(s_0+7*s_r+IF(circ_int,eq_c1/2,0)))/INDEX(lk_legs,8))&lt;(((2*IF(circ_int,0,eq_c2/2))+(PI()*(s_0+7*s_r+IF(circ_int,eq_c1/2,0))/2))+2*IF(circ_int,0,eq_c1/2)),IF(circ_int,0,eq_c1/2)-(((21+0.5)*(4*IF(circ_int,0,eq_c1/2)+4*IF(circ_int,0,eq_c2/2)+2*PI()*(s_0+7*s_r+IF(circ_int,eq_c1/2,0)))/INDEX(lk_legs,8))-((2*IF(circ_int,0,eq_c2/2))+(PI()*(s_0+7*s_r+IF(circ_int,eq_c1/2,0))/2))),IF(((21+0.5)*(4*IF(circ_int,0,eq_c1/2)+4*IF(circ_int,0,eq_c2/2)+2*PI()*(s_0+7*s_r+IF(circ_int,eq_c1/2,0)))/INDEX(lk_legs,8))&lt;((((2*IF(circ_int,0,eq_c2/2))+(PI()*(s_0+7*s_r+IF(circ_int,eq_c1/2,0))/2))+2*IF(circ_int,0,eq_c1/2))+(PI()*(s_0+7*s_r+IF(circ_int,eq_c1/2,0))/2)),-IF(circ_int,0,eq_c1/2)+(s_0+7*s_r+IF(circ_int,eq_c1/2,0))*COS(PI()/2+(((21+0.5)*(4*IF(circ_int,0,eq_c1/2)+4*IF(circ_int,0,eq_c2/2)+2*PI()*(s_0+7*s_r+IF(circ_int,eq_c1/2,0)))/INDEX(lk_legs,8))-(((2*IF(circ_int,0,eq_c2/2))+(PI()*(s_0+7*s_r+IF(circ_int,eq_c1/2,0))/2))+2*IF(circ_int,0,eq_c1/2)))/(s_0+7*s_r+IF(circ_int,eq_c1/2,0))),IF(((21+0.5)*(4*IF(circ_int,0,eq_c1/2)+4*IF(circ_int,0,eq_c2/2)+2*PI()*(s_0+7*s_r+IF(circ_int,eq_c1/2,0)))/INDEX(lk_legs,8))&lt;(((((2*IF(circ_int,0,eq_c2/2))+(PI()*(s_0+7*s_r+IF(circ_int,eq_c1/2,0))/2))+2*IF(circ_int,0,eq_c1/2))+(PI()*(s_0+7*s_r+IF(circ_int,eq_c1/2,0))/2))+2*IF(circ_int,0,eq_c2/2)),-IF(circ_int,0,eq_c1/2)-(s_0+7*s_r+IF(circ_int,eq_c1/2,0)),IF(((21+0.5)*(4*IF(circ_int,0,eq_c1/2)+4*IF(circ_int,0,eq_c2/2)+2*PI()*(s_0+7*s_r+IF(circ_int,eq_c1/2,0)))/INDEX(lk_legs,8))&lt;((((((2*IF(circ_int,0,eq_c2/2))+(PI()*(s_0+7*s_r+IF(circ_int,eq_c1/2,0))/2))+2*IF(circ_int,0,eq_c1/2))+(PI()*(s_0+7*s_r+IF(circ_int,eq_c1/2,0))/2))+2*IF(circ_int,0,eq_c2/2))+(PI()*(s_0+7*s_r+IF(circ_int,eq_c1/2,0))/2)),-IF(circ_int,0,eq_c1/2)+(s_0+7*s_r+IF(circ_int,eq_c1/2,0))*COS(PI()+(((21+0.5)*(4*IF(circ_int,0,eq_c1/2)+4*IF(circ_int,0,eq_c2/2)+2*PI()*(s_0+7*s_r+IF(circ_int,eq_c1/2,0)))/INDEX(lk_legs,8))-(((((2*IF(circ_int,0,eq_c2/2))+(PI()*(s_0+7*s_r+IF(circ_int,eq_c1/2,0))/2))+2*IF(circ_int,0,eq_c1/2))+(PI()*(s_0+7*s_r+IF(circ_int,eq_c1/2,0))/2))+2*IF(circ_int,0,eq_c2/2)))/(s_0+7*s_r+IF(circ_int,eq_c1/2,0))),IF(((21+0.5)*(4*IF(circ_int,0,eq_c1/2)+4*IF(circ_int,0,eq_c2/2)+2*PI()*(s_0+7*s_r+IF(circ_int,eq_c1/2,0)))/INDEX(lk_legs,8))&lt;(((((((2*IF(circ_int,0,eq_c2/2))+(PI()*(s_0+7*s_r+IF(circ_int,eq_c1/2,0))/2))+2*IF(circ_int,0,eq_c1/2))+(PI()*(s_0+7*s_r+IF(circ_int,eq_c1/2,0))/2))+2*IF(circ_int,0,eq_c2/2))+(PI()*(s_0+7*s_r+IF(circ_int,eq_c1/2,0))/2))+2*IF(circ_int,0,eq_c1/2)),-IF(circ_int,0,eq_c1/2)+(((21+0.5)*(4*IF(circ_int,0,eq_c1/2)+4*IF(circ_int,0,eq_c2/2)+2*PI()*(s_0+7*s_r+IF(circ_int,eq_c1/2,0)))/INDEX(lk_legs,8))-((((((2*IF(circ_int,0,eq_c2/2))+(PI()*(s_0+7*s_r+IF(circ_int,eq_c1/2,0))/2))+2*IF(circ_int,0,eq_c1/2))+(PI()*(s_0+7*s_r+IF(circ_int,eq_c1/2,0))/2))+2*IF(circ_int,0,eq_c2/2))+(PI()*(s_0+7*s_r+IF(circ_int,eq_c1/2,0))/2))),IF(circ_int,0,eq_c1/2)+(s_0+7*s_r+IF(circ_int,eq_c1/2,0))*COS(3*PI()/2+(((21+0.5)*(4*IF(circ_int,0,eq_c1/2)+4*IF(circ_int,0,eq_c2/2)+2*PI()*(s_0+7*s_r+IF(circ_int,eq_c1/2,0)))/INDEX(lk_legs,8))-(((((((2*IF(circ_int,0,eq_c2/2))+(PI()*(s_0+7*s_r+IF(circ_int,eq_c1/2,0))/2))+2*IF(circ_int,0,eq_c1/2))+(PI()*(s_0+7*s_r+IF(circ_int,eq_c1/2,0))/2))+2*IF(circ_int,0,eq_c2/2))+(PI()*(s_0+7*s_r+IF(circ_int,eq_c1/2,0))/2))+2*IF(circ_int,0,eq_c1/2)))/(s_0+7*s_r+IF(circ_int,eq_c1/2,0)))))))))),NA())</f>
        <v/>
      </c>
      <c r="CQ24">
        <f>IF(AND(AND(links_on,8&lt;=n_per),INDEX(lk_kind,8)=1,21&lt;INDEX(lk_legs,8)),g_oy+IF(((21+0.5)*(4*IF(circ_int,0,eq_c1/2)+4*IF(circ_int,0,eq_c2/2)+2*PI()*(s_0+7*s_r+IF(circ_int,eq_c1/2,0)))/INDEX(lk_legs,8))&lt;(2*IF(circ_int,0,eq_c2/2)),-IF(circ_int,0,eq_c2/2)+((21+0.5)*(4*IF(circ_int,0,eq_c1/2)+4*IF(circ_int,0,eq_c2/2)+2*PI()*(s_0+7*s_r+IF(circ_int,eq_c1/2,0)))/INDEX(lk_legs,8)),IF(((21+0.5)*(4*IF(circ_int,0,eq_c1/2)+4*IF(circ_int,0,eq_c2/2)+2*PI()*(s_0+7*s_r+IF(circ_int,eq_c1/2,0)))/INDEX(lk_legs,8))&lt;((2*IF(circ_int,0,eq_c2/2))+(PI()*(s_0+7*s_r+IF(circ_int,eq_c1/2,0))/2)),IF(circ_int,0,eq_c2/2)+(s_0+7*s_r+IF(circ_int,eq_c1/2,0))*SIN((((21+0.5)*(4*IF(circ_int,0,eq_c1/2)+4*IF(circ_int,0,eq_c2/2)+2*PI()*(s_0+7*s_r+IF(circ_int,eq_c1/2,0)))/INDEX(lk_legs,8))-(2*IF(circ_int,0,eq_c2/2)))/(s_0+7*s_r+IF(circ_int,eq_c1/2,0))),IF(((21+0.5)*(4*IF(circ_int,0,eq_c1/2)+4*IF(circ_int,0,eq_c2/2)+2*PI()*(s_0+7*s_r+IF(circ_int,eq_c1/2,0)))/INDEX(lk_legs,8))&lt;(((2*IF(circ_int,0,eq_c2/2))+(PI()*(s_0+7*s_r+IF(circ_int,eq_c1/2,0))/2))+2*IF(circ_int,0,eq_c1/2)),IF(circ_int,0,eq_c2/2)+(s_0+7*s_r+IF(circ_int,eq_c1/2,0)),IF(((21+0.5)*(4*IF(circ_int,0,eq_c1/2)+4*IF(circ_int,0,eq_c2/2)+2*PI()*(s_0+7*s_r+IF(circ_int,eq_c1/2,0)))/INDEX(lk_legs,8))&lt;((((2*IF(circ_int,0,eq_c2/2))+(PI()*(s_0+7*s_r+IF(circ_int,eq_c1/2,0))/2))+2*IF(circ_int,0,eq_c1/2))+(PI()*(s_0+7*s_r+IF(circ_int,eq_c1/2,0))/2)),IF(circ_int,0,eq_c2/2)+(s_0+7*s_r+IF(circ_int,eq_c1/2,0))*SIN(PI()/2+(((21+0.5)*(4*IF(circ_int,0,eq_c1/2)+4*IF(circ_int,0,eq_c2/2)+2*PI()*(s_0+7*s_r+IF(circ_int,eq_c1/2,0)))/INDEX(lk_legs,8))-(((2*IF(circ_int,0,eq_c2/2))+(PI()*(s_0+7*s_r+IF(circ_int,eq_c1/2,0))/2))+2*IF(circ_int,0,eq_c1/2)))/(s_0+7*s_r+IF(circ_int,eq_c1/2,0))),IF(((21+0.5)*(4*IF(circ_int,0,eq_c1/2)+4*IF(circ_int,0,eq_c2/2)+2*PI()*(s_0+7*s_r+IF(circ_int,eq_c1/2,0)))/INDEX(lk_legs,8))&lt;(((((2*IF(circ_int,0,eq_c2/2))+(PI()*(s_0+7*s_r+IF(circ_int,eq_c1/2,0))/2))+2*IF(circ_int,0,eq_c1/2))+(PI()*(s_0+7*s_r+IF(circ_int,eq_c1/2,0))/2))+2*IF(circ_int,0,eq_c2/2)),IF(circ_int,0,eq_c2/2)-(((21+0.5)*(4*IF(circ_int,0,eq_c1/2)+4*IF(circ_int,0,eq_c2/2)+2*PI()*(s_0+7*s_r+IF(circ_int,eq_c1/2,0)))/INDEX(lk_legs,8))-((((2*IF(circ_int,0,eq_c2/2))+(PI()*(s_0+7*s_r+IF(circ_int,eq_c1/2,0))/2))+2*IF(circ_int,0,eq_c1/2))+(PI()*(s_0+7*s_r+IF(circ_int,eq_c1/2,0))/2))),IF(((21+0.5)*(4*IF(circ_int,0,eq_c1/2)+4*IF(circ_int,0,eq_c2/2)+2*PI()*(s_0+7*s_r+IF(circ_int,eq_c1/2,0)))/INDEX(lk_legs,8))&lt;((((((2*IF(circ_int,0,eq_c2/2))+(PI()*(s_0+7*s_r+IF(circ_int,eq_c1/2,0))/2))+2*IF(circ_int,0,eq_c1/2))+(PI()*(s_0+7*s_r+IF(circ_int,eq_c1/2,0))/2))+2*IF(circ_int,0,eq_c2/2))+(PI()*(s_0+7*s_r+IF(circ_int,eq_c1/2,0))/2)),-IF(circ_int,0,eq_c2/2)+(s_0+7*s_r+IF(circ_int,eq_c1/2,0))*SIN(PI()+(((21+0.5)*(4*IF(circ_int,0,eq_c1/2)+4*IF(circ_int,0,eq_c2/2)+2*PI()*(s_0+7*s_r+IF(circ_int,eq_c1/2,0)))/INDEX(lk_legs,8))-(((((2*IF(circ_int,0,eq_c2/2))+(PI()*(s_0+7*s_r+IF(circ_int,eq_c1/2,0))/2))+2*IF(circ_int,0,eq_c1/2))+(PI()*(s_0+7*s_r+IF(circ_int,eq_c1/2,0))/2))+2*IF(circ_int,0,eq_c2/2)))/(s_0+7*s_r+IF(circ_int,eq_c1/2,0))),IF(((21+0.5)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(21+0.5)*(4*IF(circ_int,0,eq_c1/2)+4*IF(circ_int,0,eq_c2/2)+2*PI()*(s_0+7*s_r+IF(circ_int,eq_c1/2,0)))/INDEX(lk_legs,8))-(((((((2*IF(circ_int,0,eq_c2/2))+(PI()*(s_0+7*s_r+IF(circ_int,eq_c1/2,0))/2))+2*IF(circ_int,0,eq_c1/2))+(PI()*(s_0+7*s_r+IF(circ_int,eq_c1/2,0))/2))+2*IF(circ_int,0,eq_c2/2))+(PI()*(s_0+7*s_r+IF(circ_int,eq_c1/2,0))/2))+2*IF(circ_int,0,eq_c1/2)))/(s_0+7*s_r+IF(circ_int,eq_c1/2,0)))))))))),NA())</f>
        <v/>
      </c>
      <c r="CS24">
        <f>IF(AND(links_on,9&lt;=n_per),IF(circ_int,(g_ox)+(c_1/2+(s_0+8*s_r))*-0.822984,CHOOSE(INDEX(lk_kind,9),(g_ox-eq_c1/2)+((s_0+8*s_r))*-0.866025,(eq_a1+eq_c1)+((s_0+8*s_r))*0.608761,eq_a1+eq_c1+(s_0+8*s_r),(eq_a1+eq_c1)+((s_0+8*s_r))*0.793353)),NA())</f>
        <v/>
      </c>
      <c r="CT24">
        <f>IF(AND(links_on,9&lt;=n_per),IF(circ_int,(g_oy)+(c_1/2+(s_0+8*s_r))*0.568065,CHOOSE(INDEX(lk_kind,9),(g_oy+eq_c2/2)+((s_0+8*s_r))*0.500000,(g_oy-eq_c2/2)+((s_0+8*s_r))*-0.793353,0,(eq_a2+eq_c2)+((s_0+8*s_r))*0.608761)),NA())</f>
        <v/>
      </c>
      <c r="CV24">
        <f>IF(AND(AND(links_on,9&lt;=n_per),INDEX(lk_kind,9)=1,21&lt;INDEX(lk_legs,9)),g_ox+IF(((21+0.5)*(4*IF(circ_int,0,eq_c1/2)+4*IF(circ_int,0,eq_c2/2)+2*PI()*(s_0+8*s_r+IF(circ_int,eq_c1/2,0)))/INDEX(lk_legs,9))&lt;(2*IF(circ_int,0,eq_c2/2)),IF(circ_int,0,eq_c1/2)+(s_0+8*s_r+IF(circ_int,eq_c1/2,0)),IF(((21+0.5)*(4*IF(circ_int,0,eq_c1/2)+4*IF(circ_int,0,eq_c2/2)+2*PI()*(s_0+8*s_r+IF(circ_int,eq_c1/2,0)))/INDEX(lk_legs,9))&lt;((2*IF(circ_int,0,eq_c2/2))+(PI()*(s_0+8*s_r+IF(circ_int,eq_c1/2,0))/2)),IF(circ_int,0,eq_c1/2)+(s_0+8*s_r+IF(circ_int,eq_c1/2,0))*COS((((21+0.5)*(4*IF(circ_int,0,eq_c1/2)+4*IF(circ_int,0,eq_c2/2)+2*PI()*(s_0+8*s_r+IF(circ_int,eq_c1/2,0)))/INDEX(lk_legs,9))-(2*IF(circ_int,0,eq_c2/2)))/(s_0+8*s_r+IF(circ_int,eq_c1/2,0))),IF(((21+0.5)*(4*IF(circ_int,0,eq_c1/2)+4*IF(circ_int,0,eq_c2/2)+2*PI()*(s_0+8*s_r+IF(circ_int,eq_c1/2,0)))/INDEX(lk_legs,9))&lt;(((2*IF(circ_int,0,eq_c2/2))+(PI()*(s_0+8*s_r+IF(circ_int,eq_c1/2,0))/2))+2*IF(circ_int,0,eq_c1/2)),IF(circ_int,0,eq_c1/2)-(((21+0.5)*(4*IF(circ_int,0,eq_c1/2)+4*IF(circ_int,0,eq_c2/2)+2*PI()*(s_0+8*s_r+IF(circ_int,eq_c1/2,0)))/INDEX(lk_legs,9))-((2*IF(circ_int,0,eq_c2/2))+(PI()*(s_0+8*s_r+IF(circ_int,eq_c1/2,0))/2))),IF(((21+0.5)*(4*IF(circ_int,0,eq_c1/2)+4*IF(circ_int,0,eq_c2/2)+2*PI()*(s_0+8*s_r+IF(circ_int,eq_c1/2,0)))/INDEX(lk_legs,9))&lt;((((2*IF(circ_int,0,eq_c2/2))+(PI()*(s_0+8*s_r+IF(circ_int,eq_c1/2,0))/2))+2*IF(circ_int,0,eq_c1/2))+(PI()*(s_0+8*s_r+IF(circ_int,eq_c1/2,0))/2)),-IF(circ_int,0,eq_c1/2)+(s_0+8*s_r+IF(circ_int,eq_c1/2,0))*COS(PI()/2+(((21+0.5)*(4*IF(circ_int,0,eq_c1/2)+4*IF(circ_int,0,eq_c2/2)+2*PI()*(s_0+8*s_r+IF(circ_int,eq_c1/2,0)))/INDEX(lk_legs,9))-(((2*IF(circ_int,0,eq_c2/2))+(PI()*(s_0+8*s_r+IF(circ_int,eq_c1/2,0))/2))+2*IF(circ_int,0,eq_c1/2)))/(s_0+8*s_r+IF(circ_int,eq_c1/2,0))),IF(((21+0.5)*(4*IF(circ_int,0,eq_c1/2)+4*IF(circ_int,0,eq_c2/2)+2*PI()*(s_0+8*s_r+IF(circ_int,eq_c1/2,0)))/INDEX(lk_legs,9))&lt;(((((2*IF(circ_int,0,eq_c2/2))+(PI()*(s_0+8*s_r+IF(circ_int,eq_c1/2,0))/2))+2*IF(circ_int,0,eq_c1/2))+(PI()*(s_0+8*s_r+IF(circ_int,eq_c1/2,0))/2))+2*IF(circ_int,0,eq_c2/2)),-IF(circ_int,0,eq_c1/2)-(s_0+8*s_r+IF(circ_int,eq_c1/2,0)),IF(((21+0.5)*(4*IF(circ_int,0,eq_c1/2)+4*IF(circ_int,0,eq_c2/2)+2*PI()*(s_0+8*s_r+IF(circ_int,eq_c1/2,0)))/INDEX(lk_legs,9))&lt;((((((2*IF(circ_int,0,eq_c2/2))+(PI()*(s_0+8*s_r+IF(circ_int,eq_c1/2,0))/2))+2*IF(circ_int,0,eq_c1/2))+(PI()*(s_0+8*s_r+IF(circ_int,eq_c1/2,0))/2))+2*IF(circ_int,0,eq_c2/2))+(PI()*(s_0+8*s_r+IF(circ_int,eq_c1/2,0))/2)),-IF(circ_int,0,eq_c1/2)+(s_0+8*s_r+IF(circ_int,eq_c1/2,0))*COS(PI()+(((21+0.5)*(4*IF(circ_int,0,eq_c1/2)+4*IF(circ_int,0,eq_c2/2)+2*PI()*(s_0+8*s_r+IF(circ_int,eq_c1/2,0)))/INDEX(lk_legs,9))-(((((2*IF(circ_int,0,eq_c2/2))+(PI()*(s_0+8*s_r+IF(circ_int,eq_c1/2,0))/2))+2*IF(circ_int,0,eq_c1/2))+(PI()*(s_0+8*s_r+IF(circ_int,eq_c1/2,0))/2))+2*IF(circ_int,0,eq_c2/2)))/(s_0+8*s_r+IF(circ_int,eq_c1/2,0))),IF(((21+0.5)*(4*IF(circ_int,0,eq_c1/2)+4*IF(circ_int,0,eq_c2/2)+2*PI()*(s_0+8*s_r+IF(circ_int,eq_c1/2,0)))/INDEX(lk_legs,9))&lt;(((((((2*IF(circ_int,0,eq_c2/2))+(PI()*(s_0+8*s_r+IF(circ_int,eq_c1/2,0))/2))+2*IF(circ_int,0,eq_c1/2))+(PI()*(s_0+8*s_r+IF(circ_int,eq_c1/2,0))/2))+2*IF(circ_int,0,eq_c2/2))+(PI()*(s_0+8*s_r+IF(circ_int,eq_c1/2,0))/2))+2*IF(circ_int,0,eq_c1/2)),-IF(circ_int,0,eq_c1/2)+(((21+0.5)*(4*IF(circ_int,0,eq_c1/2)+4*IF(circ_int,0,eq_c2/2)+2*PI()*(s_0+8*s_r+IF(circ_int,eq_c1/2,0)))/INDEX(lk_legs,9))-((((((2*IF(circ_int,0,eq_c2/2))+(PI()*(s_0+8*s_r+IF(circ_int,eq_c1/2,0))/2))+2*IF(circ_int,0,eq_c1/2))+(PI()*(s_0+8*s_r+IF(circ_int,eq_c1/2,0))/2))+2*IF(circ_int,0,eq_c2/2))+(PI()*(s_0+8*s_r+IF(circ_int,eq_c1/2,0))/2))),IF(circ_int,0,eq_c1/2)+(s_0+8*s_r+IF(circ_int,eq_c1/2,0))*COS(3*PI()/2+(((21+0.5)*(4*IF(circ_int,0,eq_c1/2)+4*IF(circ_int,0,eq_c2/2)+2*PI()*(s_0+8*s_r+IF(circ_int,eq_c1/2,0)))/INDEX(lk_legs,9))-(((((((2*IF(circ_int,0,eq_c2/2))+(PI()*(s_0+8*s_r+IF(circ_int,eq_c1/2,0))/2))+2*IF(circ_int,0,eq_c1/2))+(PI()*(s_0+8*s_r+IF(circ_int,eq_c1/2,0))/2))+2*IF(circ_int,0,eq_c2/2))+(PI()*(s_0+8*s_r+IF(circ_int,eq_c1/2,0))/2))+2*IF(circ_int,0,eq_c1/2)))/(s_0+8*s_r+IF(circ_int,eq_c1/2,0)))))))))),NA())</f>
        <v/>
      </c>
      <c r="CW24">
        <f>IF(AND(AND(links_on,9&lt;=n_per),INDEX(lk_kind,9)=1,21&lt;INDEX(lk_legs,9)),g_oy+IF(((21+0.5)*(4*IF(circ_int,0,eq_c1/2)+4*IF(circ_int,0,eq_c2/2)+2*PI()*(s_0+8*s_r+IF(circ_int,eq_c1/2,0)))/INDEX(lk_legs,9))&lt;(2*IF(circ_int,0,eq_c2/2)),-IF(circ_int,0,eq_c2/2)+((21+0.5)*(4*IF(circ_int,0,eq_c1/2)+4*IF(circ_int,0,eq_c2/2)+2*PI()*(s_0+8*s_r+IF(circ_int,eq_c1/2,0)))/INDEX(lk_legs,9)),IF(((21+0.5)*(4*IF(circ_int,0,eq_c1/2)+4*IF(circ_int,0,eq_c2/2)+2*PI()*(s_0+8*s_r+IF(circ_int,eq_c1/2,0)))/INDEX(lk_legs,9))&lt;((2*IF(circ_int,0,eq_c2/2))+(PI()*(s_0+8*s_r+IF(circ_int,eq_c1/2,0))/2)),IF(circ_int,0,eq_c2/2)+(s_0+8*s_r+IF(circ_int,eq_c1/2,0))*SIN((((21+0.5)*(4*IF(circ_int,0,eq_c1/2)+4*IF(circ_int,0,eq_c2/2)+2*PI()*(s_0+8*s_r+IF(circ_int,eq_c1/2,0)))/INDEX(lk_legs,9))-(2*IF(circ_int,0,eq_c2/2)))/(s_0+8*s_r+IF(circ_int,eq_c1/2,0))),IF(((21+0.5)*(4*IF(circ_int,0,eq_c1/2)+4*IF(circ_int,0,eq_c2/2)+2*PI()*(s_0+8*s_r+IF(circ_int,eq_c1/2,0)))/INDEX(lk_legs,9))&lt;(((2*IF(circ_int,0,eq_c2/2))+(PI()*(s_0+8*s_r+IF(circ_int,eq_c1/2,0))/2))+2*IF(circ_int,0,eq_c1/2)),IF(circ_int,0,eq_c2/2)+(s_0+8*s_r+IF(circ_int,eq_c1/2,0)),IF(((21+0.5)*(4*IF(circ_int,0,eq_c1/2)+4*IF(circ_int,0,eq_c2/2)+2*PI()*(s_0+8*s_r+IF(circ_int,eq_c1/2,0)))/INDEX(lk_legs,9))&lt;((((2*IF(circ_int,0,eq_c2/2))+(PI()*(s_0+8*s_r+IF(circ_int,eq_c1/2,0))/2))+2*IF(circ_int,0,eq_c1/2))+(PI()*(s_0+8*s_r+IF(circ_int,eq_c1/2,0))/2)),IF(circ_int,0,eq_c2/2)+(s_0+8*s_r+IF(circ_int,eq_c1/2,0))*SIN(PI()/2+(((21+0.5)*(4*IF(circ_int,0,eq_c1/2)+4*IF(circ_int,0,eq_c2/2)+2*PI()*(s_0+8*s_r+IF(circ_int,eq_c1/2,0)))/INDEX(lk_legs,9))-(((2*IF(circ_int,0,eq_c2/2))+(PI()*(s_0+8*s_r+IF(circ_int,eq_c1/2,0))/2))+2*IF(circ_int,0,eq_c1/2)))/(s_0+8*s_r+IF(circ_int,eq_c1/2,0))),IF(((21+0.5)*(4*IF(circ_int,0,eq_c1/2)+4*IF(circ_int,0,eq_c2/2)+2*PI()*(s_0+8*s_r+IF(circ_int,eq_c1/2,0)))/INDEX(lk_legs,9))&lt;(((((2*IF(circ_int,0,eq_c2/2))+(PI()*(s_0+8*s_r+IF(circ_int,eq_c1/2,0))/2))+2*IF(circ_int,0,eq_c1/2))+(PI()*(s_0+8*s_r+IF(circ_int,eq_c1/2,0))/2))+2*IF(circ_int,0,eq_c2/2)),IF(circ_int,0,eq_c2/2)-(((21+0.5)*(4*IF(circ_int,0,eq_c1/2)+4*IF(circ_int,0,eq_c2/2)+2*PI()*(s_0+8*s_r+IF(circ_int,eq_c1/2,0)))/INDEX(lk_legs,9))-((((2*IF(circ_int,0,eq_c2/2))+(PI()*(s_0+8*s_r+IF(circ_int,eq_c1/2,0))/2))+2*IF(circ_int,0,eq_c1/2))+(PI()*(s_0+8*s_r+IF(circ_int,eq_c1/2,0))/2))),IF(((21+0.5)*(4*IF(circ_int,0,eq_c1/2)+4*IF(circ_int,0,eq_c2/2)+2*PI()*(s_0+8*s_r+IF(circ_int,eq_c1/2,0)))/INDEX(lk_legs,9))&lt;((((((2*IF(circ_int,0,eq_c2/2))+(PI()*(s_0+8*s_r+IF(circ_int,eq_c1/2,0))/2))+2*IF(circ_int,0,eq_c1/2))+(PI()*(s_0+8*s_r+IF(circ_int,eq_c1/2,0))/2))+2*IF(circ_int,0,eq_c2/2))+(PI()*(s_0+8*s_r+IF(circ_int,eq_c1/2,0))/2)),-IF(circ_int,0,eq_c2/2)+(s_0+8*s_r+IF(circ_int,eq_c1/2,0))*SIN(PI()+(((21+0.5)*(4*IF(circ_int,0,eq_c1/2)+4*IF(circ_int,0,eq_c2/2)+2*PI()*(s_0+8*s_r+IF(circ_int,eq_c1/2,0)))/INDEX(lk_legs,9))-(((((2*IF(circ_int,0,eq_c2/2))+(PI()*(s_0+8*s_r+IF(circ_int,eq_c1/2,0))/2))+2*IF(circ_int,0,eq_c1/2))+(PI()*(s_0+8*s_r+IF(circ_int,eq_c1/2,0))/2))+2*IF(circ_int,0,eq_c2/2)))/(s_0+8*s_r+IF(circ_int,eq_c1/2,0))),IF(((21+0.5)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(21+0.5)*(4*IF(circ_int,0,eq_c1/2)+4*IF(circ_int,0,eq_c2/2)+2*PI()*(s_0+8*s_r+IF(circ_int,eq_c1/2,0)))/INDEX(lk_legs,9))-(((((((2*IF(circ_int,0,eq_c2/2))+(PI()*(s_0+8*s_r+IF(circ_int,eq_c1/2,0))/2))+2*IF(circ_int,0,eq_c1/2))+(PI()*(s_0+8*s_r+IF(circ_int,eq_c1/2,0))/2))+2*IF(circ_int,0,eq_c2/2))+(PI()*(s_0+8*s_r+IF(circ_int,eq_c1/2,0))/2))+2*IF(circ_int,0,eq_c1/2)))/(s_0+8*s_r+IF(circ_int,eq_c1/2,0)))))))))),NA())</f>
        <v/>
      </c>
      <c r="CY24">
        <f>IF(AND(links_on,10&lt;=n_per),IF(circ_int,(g_ox)+(c_1/2+(s_0+9*s_r))*-0.822984,CHOOSE(INDEX(lk_kind,10),(g_ox-eq_c1/2)+((s_0+9*s_r))*-0.866025,(eq_a1+eq_c1)+((s_0+9*s_r))*0.608761,eq_a1+eq_c1+(s_0+9*s_r),(eq_a1+eq_c1)+((s_0+9*s_r))*0.793353)),NA())</f>
        <v/>
      </c>
      <c r="CZ24">
        <f>IF(AND(links_on,10&lt;=n_per),IF(circ_int,(g_oy)+(c_1/2+(s_0+9*s_r))*0.568065,CHOOSE(INDEX(lk_kind,10),(g_oy+eq_c2/2)+((s_0+9*s_r))*0.500000,(g_oy-eq_c2/2)+((s_0+9*s_r))*-0.793353,0,(eq_a2+eq_c2)+((s_0+9*s_r))*0.608761)),NA())</f>
        <v/>
      </c>
      <c r="DB24">
        <f>IF(AND(AND(links_on,10&lt;=n_per),INDEX(lk_kind,10)=1,21&lt;INDEX(lk_legs,10)),g_ox+IF(((21+0.5)*(4*IF(circ_int,0,eq_c1/2)+4*IF(circ_int,0,eq_c2/2)+2*PI()*(s_0+9*s_r+IF(circ_int,eq_c1/2,0)))/INDEX(lk_legs,10))&lt;(2*IF(circ_int,0,eq_c2/2)),IF(circ_int,0,eq_c1/2)+(s_0+9*s_r+IF(circ_int,eq_c1/2,0)),IF(((21+0.5)*(4*IF(circ_int,0,eq_c1/2)+4*IF(circ_int,0,eq_c2/2)+2*PI()*(s_0+9*s_r+IF(circ_int,eq_c1/2,0)))/INDEX(lk_legs,10))&lt;((2*IF(circ_int,0,eq_c2/2))+(PI()*(s_0+9*s_r+IF(circ_int,eq_c1/2,0))/2)),IF(circ_int,0,eq_c1/2)+(s_0+9*s_r+IF(circ_int,eq_c1/2,0))*COS((((21+0.5)*(4*IF(circ_int,0,eq_c1/2)+4*IF(circ_int,0,eq_c2/2)+2*PI()*(s_0+9*s_r+IF(circ_int,eq_c1/2,0)))/INDEX(lk_legs,10))-(2*IF(circ_int,0,eq_c2/2)))/(s_0+9*s_r+IF(circ_int,eq_c1/2,0))),IF(((21+0.5)*(4*IF(circ_int,0,eq_c1/2)+4*IF(circ_int,0,eq_c2/2)+2*PI()*(s_0+9*s_r+IF(circ_int,eq_c1/2,0)))/INDEX(lk_legs,10))&lt;(((2*IF(circ_int,0,eq_c2/2))+(PI()*(s_0+9*s_r+IF(circ_int,eq_c1/2,0))/2))+2*IF(circ_int,0,eq_c1/2)),IF(circ_int,0,eq_c1/2)-(((21+0.5)*(4*IF(circ_int,0,eq_c1/2)+4*IF(circ_int,0,eq_c2/2)+2*PI()*(s_0+9*s_r+IF(circ_int,eq_c1/2,0)))/INDEX(lk_legs,10))-((2*IF(circ_int,0,eq_c2/2))+(PI()*(s_0+9*s_r+IF(circ_int,eq_c1/2,0))/2))),IF(((21+0.5)*(4*IF(circ_int,0,eq_c1/2)+4*IF(circ_int,0,eq_c2/2)+2*PI()*(s_0+9*s_r+IF(circ_int,eq_c1/2,0)))/INDEX(lk_legs,10))&lt;((((2*IF(circ_int,0,eq_c2/2))+(PI()*(s_0+9*s_r+IF(circ_int,eq_c1/2,0))/2))+2*IF(circ_int,0,eq_c1/2))+(PI()*(s_0+9*s_r+IF(circ_int,eq_c1/2,0))/2)),-IF(circ_int,0,eq_c1/2)+(s_0+9*s_r+IF(circ_int,eq_c1/2,0))*COS(PI()/2+(((21+0.5)*(4*IF(circ_int,0,eq_c1/2)+4*IF(circ_int,0,eq_c2/2)+2*PI()*(s_0+9*s_r+IF(circ_int,eq_c1/2,0)))/INDEX(lk_legs,10))-(((2*IF(circ_int,0,eq_c2/2))+(PI()*(s_0+9*s_r+IF(circ_int,eq_c1/2,0))/2))+2*IF(circ_int,0,eq_c1/2)))/(s_0+9*s_r+IF(circ_int,eq_c1/2,0))),IF(((21+0.5)*(4*IF(circ_int,0,eq_c1/2)+4*IF(circ_int,0,eq_c2/2)+2*PI()*(s_0+9*s_r+IF(circ_int,eq_c1/2,0)))/INDEX(lk_legs,10))&lt;(((((2*IF(circ_int,0,eq_c2/2))+(PI()*(s_0+9*s_r+IF(circ_int,eq_c1/2,0))/2))+2*IF(circ_int,0,eq_c1/2))+(PI()*(s_0+9*s_r+IF(circ_int,eq_c1/2,0))/2))+2*IF(circ_int,0,eq_c2/2)),-IF(circ_int,0,eq_c1/2)-(s_0+9*s_r+IF(circ_int,eq_c1/2,0)),IF(((21+0.5)*(4*IF(circ_int,0,eq_c1/2)+4*IF(circ_int,0,eq_c2/2)+2*PI()*(s_0+9*s_r+IF(circ_int,eq_c1/2,0)))/INDEX(lk_legs,10))&lt;((((((2*IF(circ_int,0,eq_c2/2))+(PI()*(s_0+9*s_r+IF(circ_int,eq_c1/2,0))/2))+2*IF(circ_int,0,eq_c1/2))+(PI()*(s_0+9*s_r+IF(circ_int,eq_c1/2,0))/2))+2*IF(circ_int,0,eq_c2/2))+(PI()*(s_0+9*s_r+IF(circ_int,eq_c1/2,0))/2)),-IF(circ_int,0,eq_c1/2)+(s_0+9*s_r+IF(circ_int,eq_c1/2,0))*COS(PI()+(((21+0.5)*(4*IF(circ_int,0,eq_c1/2)+4*IF(circ_int,0,eq_c2/2)+2*PI()*(s_0+9*s_r+IF(circ_int,eq_c1/2,0)))/INDEX(lk_legs,10))-(((((2*IF(circ_int,0,eq_c2/2))+(PI()*(s_0+9*s_r+IF(circ_int,eq_c1/2,0))/2))+2*IF(circ_int,0,eq_c1/2))+(PI()*(s_0+9*s_r+IF(circ_int,eq_c1/2,0))/2))+2*IF(circ_int,0,eq_c2/2)))/(s_0+9*s_r+IF(circ_int,eq_c1/2,0))),IF(((21+0.5)*(4*IF(circ_int,0,eq_c1/2)+4*IF(circ_int,0,eq_c2/2)+2*PI()*(s_0+9*s_r+IF(circ_int,eq_c1/2,0)))/INDEX(lk_legs,10))&lt;(((((((2*IF(circ_int,0,eq_c2/2))+(PI()*(s_0+9*s_r+IF(circ_int,eq_c1/2,0))/2))+2*IF(circ_int,0,eq_c1/2))+(PI()*(s_0+9*s_r+IF(circ_int,eq_c1/2,0))/2))+2*IF(circ_int,0,eq_c2/2))+(PI()*(s_0+9*s_r+IF(circ_int,eq_c1/2,0))/2))+2*IF(circ_int,0,eq_c1/2)),-IF(circ_int,0,eq_c1/2)+(((21+0.5)*(4*IF(circ_int,0,eq_c1/2)+4*IF(circ_int,0,eq_c2/2)+2*PI()*(s_0+9*s_r+IF(circ_int,eq_c1/2,0)))/INDEX(lk_legs,10))-((((((2*IF(circ_int,0,eq_c2/2))+(PI()*(s_0+9*s_r+IF(circ_int,eq_c1/2,0))/2))+2*IF(circ_int,0,eq_c1/2))+(PI()*(s_0+9*s_r+IF(circ_int,eq_c1/2,0))/2))+2*IF(circ_int,0,eq_c2/2))+(PI()*(s_0+9*s_r+IF(circ_int,eq_c1/2,0))/2))),IF(circ_int,0,eq_c1/2)+(s_0+9*s_r+IF(circ_int,eq_c1/2,0))*COS(3*PI()/2+(((21+0.5)*(4*IF(circ_int,0,eq_c1/2)+4*IF(circ_int,0,eq_c2/2)+2*PI()*(s_0+9*s_r+IF(circ_int,eq_c1/2,0)))/INDEX(lk_legs,10))-(((((((2*IF(circ_int,0,eq_c2/2))+(PI()*(s_0+9*s_r+IF(circ_int,eq_c1/2,0))/2))+2*IF(circ_int,0,eq_c1/2))+(PI()*(s_0+9*s_r+IF(circ_int,eq_c1/2,0))/2))+2*IF(circ_int,0,eq_c2/2))+(PI()*(s_0+9*s_r+IF(circ_int,eq_c1/2,0))/2))+2*IF(circ_int,0,eq_c1/2)))/(s_0+9*s_r+IF(circ_int,eq_c1/2,0)))))))))),NA())</f>
        <v/>
      </c>
      <c r="DC24">
        <f>IF(AND(AND(links_on,10&lt;=n_per),INDEX(lk_kind,10)=1,21&lt;INDEX(lk_legs,10)),g_oy+IF(((21+0.5)*(4*IF(circ_int,0,eq_c1/2)+4*IF(circ_int,0,eq_c2/2)+2*PI()*(s_0+9*s_r+IF(circ_int,eq_c1/2,0)))/INDEX(lk_legs,10))&lt;(2*IF(circ_int,0,eq_c2/2)),-IF(circ_int,0,eq_c2/2)+((21+0.5)*(4*IF(circ_int,0,eq_c1/2)+4*IF(circ_int,0,eq_c2/2)+2*PI()*(s_0+9*s_r+IF(circ_int,eq_c1/2,0)))/INDEX(lk_legs,10)),IF(((21+0.5)*(4*IF(circ_int,0,eq_c1/2)+4*IF(circ_int,0,eq_c2/2)+2*PI()*(s_0+9*s_r+IF(circ_int,eq_c1/2,0)))/INDEX(lk_legs,10))&lt;((2*IF(circ_int,0,eq_c2/2))+(PI()*(s_0+9*s_r+IF(circ_int,eq_c1/2,0))/2)),IF(circ_int,0,eq_c2/2)+(s_0+9*s_r+IF(circ_int,eq_c1/2,0))*SIN((((21+0.5)*(4*IF(circ_int,0,eq_c1/2)+4*IF(circ_int,0,eq_c2/2)+2*PI()*(s_0+9*s_r+IF(circ_int,eq_c1/2,0)))/INDEX(lk_legs,10))-(2*IF(circ_int,0,eq_c2/2)))/(s_0+9*s_r+IF(circ_int,eq_c1/2,0))),IF(((21+0.5)*(4*IF(circ_int,0,eq_c1/2)+4*IF(circ_int,0,eq_c2/2)+2*PI()*(s_0+9*s_r+IF(circ_int,eq_c1/2,0)))/INDEX(lk_legs,10))&lt;(((2*IF(circ_int,0,eq_c2/2))+(PI()*(s_0+9*s_r+IF(circ_int,eq_c1/2,0))/2))+2*IF(circ_int,0,eq_c1/2)),IF(circ_int,0,eq_c2/2)+(s_0+9*s_r+IF(circ_int,eq_c1/2,0)),IF(((21+0.5)*(4*IF(circ_int,0,eq_c1/2)+4*IF(circ_int,0,eq_c2/2)+2*PI()*(s_0+9*s_r+IF(circ_int,eq_c1/2,0)))/INDEX(lk_legs,10))&lt;((((2*IF(circ_int,0,eq_c2/2))+(PI()*(s_0+9*s_r+IF(circ_int,eq_c1/2,0))/2))+2*IF(circ_int,0,eq_c1/2))+(PI()*(s_0+9*s_r+IF(circ_int,eq_c1/2,0))/2)),IF(circ_int,0,eq_c2/2)+(s_0+9*s_r+IF(circ_int,eq_c1/2,0))*SIN(PI()/2+(((21+0.5)*(4*IF(circ_int,0,eq_c1/2)+4*IF(circ_int,0,eq_c2/2)+2*PI()*(s_0+9*s_r+IF(circ_int,eq_c1/2,0)))/INDEX(lk_legs,10))-(((2*IF(circ_int,0,eq_c2/2))+(PI()*(s_0+9*s_r+IF(circ_int,eq_c1/2,0))/2))+2*IF(circ_int,0,eq_c1/2)))/(s_0+9*s_r+IF(circ_int,eq_c1/2,0))),IF(((21+0.5)*(4*IF(circ_int,0,eq_c1/2)+4*IF(circ_int,0,eq_c2/2)+2*PI()*(s_0+9*s_r+IF(circ_int,eq_c1/2,0)))/INDEX(lk_legs,10))&lt;(((((2*IF(circ_int,0,eq_c2/2))+(PI()*(s_0+9*s_r+IF(circ_int,eq_c1/2,0))/2))+2*IF(circ_int,0,eq_c1/2))+(PI()*(s_0+9*s_r+IF(circ_int,eq_c1/2,0))/2))+2*IF(circ_int,0,eq_c2/2)),IF(circ_int,0,eq_c2/2)-(((21+0.5)*(4*IF(circ_int,0,eq_c1/2)+4*IF(circ_int,0,eq_c2/2)+2*PI()*(s_0+9*s_r+IF(circ_int,eq_c1/2,0)))/INDEX(lk_legs,10))-((((2*IF(circ_int,0,eq_c2/2))+(PI()*(s_0+9*s_r+IF(circ_int,eq_c1/2,0))/2))+2*IF(circ_int,0,eq_c1/2))+(PI()*(s_0+9*s_r+IF(circ_int,eq_c1/2,0))/2))),IF(((21+0.5)*(4*IF(circ_int,0,eq_c1/2)+4*IF(circ_int,0,eq_c2/2)+2*PI()*(s_0+9*s_r+IF(circ_int,eq_c1/2,0)))/INDEX(lk_legs,10))&lt;((((((2*IF(circ_int,0,eq_c2/2))+(PI()*(s_0+9*s_r+IF(circ_int,eq_c1/2,0))/2))+2*IF(circ_int,0,eq_c1/2))+(PI()*(s_0+9*s_r+IF(circ_int,eq_c1/2,0))/2))+2*IF(circ_int,0,eq_c2/2))+(PI()*(s_0+9*s_r+IF(circ_int,eq_c1/2,0))/2)),-IF(circ_int,0,eq_c2/2)+(s_0+9*s_r+IF(circ_int,eq_c1/2,0))*SIN(PI()+(((21+0.5)*(4*IF(circ_int,0,eq_c1/2)+4*IF(circ_int,0,eq_c2/2)+2*PI()*(s_0+9*s_r+IF(circ_int,eq_c1/2,0)))/INDEX(lk_legs,10))-(((((2*IF(circ_int,0,eq_c2/2))+(PI()*(s_0+9*s_r+IF(circ_int,eq_c1/2,0))/2))+2*IF(circ_int,0,eq_c1/2))+(PI()*(s_0+9*s_r+IF(circ_int,eq_c1/2,0))/2))+2*IF(circ_int,0,eq_c2/2)))/(s_0+9*s_r+IF(circ_int,eq_c1/2,0))),IF(((21+0.5)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(21+0.5)*(4*IF(circ_int,0,eq_c1/2)+4*IF(circ_int,0,eq_c2/2)+2*PI()*(s_0+9*s_r+IF(circ_int,eq_c1/2,0)))/INDEX(lk_legs,10))-(((((((2*IF(circ_int,0,eq_c2/2))+(PI()*(s_0+9*s_r+IF(circ_int,eq_c1/2,0))/2))+2*IF(circ_int,0,eq_c1/2))+(PI()*(s_0+9*s_r+IF(circ_int,eq_c1/2,0))/2))+2*IF(circ_int,0,eq_c2/2))+(PI()*(s_0+9*s_r+IF(circ_int,eq_c1/2,0))/2))+2*IF(circ_int,0,eq_c1/2)))/(s_0+9*s_r+IF(circ_int,eq_c1/2,0)))))))))),NA())</f>
        <v/>
      </c>
      <c r="DE24">
        <f>IF(AND(links_on,11&lt;=n_per),IF(circ_int,(g_ox)+(c_1/2+(s_0+10*s_r))*-0.822984,CHOOSE(INDEX(lk_kind,11),(g_ox-eq_c1/2)+((s_0+10*s_r))*-0.866025,(eq_a1+eq_c1)+((s_0+10*s_r))*0.608761,eq_a1+eq_c1+(s_0+10*s_r),(eq_a1+eq_c1)+((s_0+10*s_r))*0.793353)),NA())</f>
        <v/>
      </c>
      <c r="DF24">
        <f>IF(AND(links_on,11&lt;=n_per),IF(circ_int,(g_oy)+(c_1/2+(s_0+10*s_r))*0.568065,CHOOSE(INDEX(lk_kind,11),(g_oy+eq_c2/2)+((s_0+10*s_r))*0.500000,(g_oy-eq_c2/2)+((s_0+10*s_r))*-0.793353,0,(eq_a2+eq_c2)+((s_0+10*s_r))*0.608761)),NA())</f>
        <v/>
      </c>
      <c r="DH24">
        <f>IF(AND(AND(links_on,11&lt;=n_per),INDEX(lk_kind,11)=1,21&lt;INDEX(lk_legs,11)),g_ox+IF(((21+0.5)*(4*IF(circ_int,0,eq_c1/2)+4*IF(circ_int,0,eq_c2/2)+2*PI()*(s_0+10*s_r+IF(circ_int,eq_c1/2,0)))/INDEX(lk_legs,11))&lt;(2*IF(circ_int,0,eq_c2/2)),IF(circ_int,0,eq_c1/2)+(s_0+10*s_r+IF(circ_int,eq_c1/2,0)),IF(((21+0.5)*(4*IF(circ_int,0,eq_c1/2)+4*IF(circ_int,0,eq_c2/2)+2*PI()*(s_0+10*s_r+IF(circ_int,eq_c1/2,0)))/INDEX(lk_legs,11))&lt;((2*IF(circ_int,0,eq_c2/2))+(PI()*(s_0+10*s_r+IF(circ_int,eq_c1/2,0))/2)),IF(circ_int,0,eq_c1/2)+(s_0+10*s_r+IF(circ_int,eq_c1/2,0))*COS((((21+0.5)*(4*IF(circ_int,0,eq_c1/2)+4*IF(circ_int,0,eq_c2/2)+2*PI()*(s_0+10*s_r+IF(circ_int,eq_c1/2,0)))/INDEX(lk_legs,11))-(2*IF(circ_int,0,eq_c2/2)))/(s_0+10*s_r+IF(circ_int,eq_c1/2,0))),IF(((21+0.5)*(4*IF(circ_int,0,eq_c1/2)+4*IF(circ_int,0,eq_c2/2)+2*PI()*(s_0+10*s_r+IF(circ_int,eq_c1/2,0)))/INDEX(lk_legs,11))&lt;(((2*IF(circ_int,0,eq_c2/2))+(PI()*(s_0+10*s_r+IF(circ_int,eq_c1/2,0))/2))+2*IF(circ_int,0,eq_c1/2)),IF(circ_int,0,eq_c1/2)-(((21+0.5)*(4*IF(circ_int,0,eq_c1/2)+4*IF(circ_int,0,eq_c2/2)+2*PI()*(s_0+10*s_r+IF(circ_int,eq_c1/2,0)))/INDEX(lk_legs,11))-((2*IF(circ_int,0,eq_c2/2))+(PI()*(s_0+10*s_r+IF(circ_int,eq_c1/2,0))/2))),IF(((21+0.5)*(4*IF(circ_int,0,eq_c1/2)+4*IF(circ_int,0,eq_c2/2)+2*PI()*(s_0+10*s_r+IF(circ_int,eq_c1/2,0)))/INDEX(lk_legs,11))&lt;((((2*IF(circ_int,0,eq_c2/2))+(PI()*(s_0+10*s_r+IF(circ_int,eq_c1/2,0))/2))+2*IF(circ_int,0,eq_c1/2))+(PI()*(s_0+10*s_r+IF(circ_int,eq_c1/2,0))/2)),-IF(circ_int,0,eq_c1/2)+(s_0+10*s_r+IF(circ_int,eq_c1/2,0))*COS(PI()/2+(((21+0.5)*(4*IF(circ_int,0,eq_c1/2)+4*IF(circ_int,0,eq_c2/2)+2*PI()*(s_0+10*s_r+IF(circ_int,eq_c1/2,0)))/INDEX(lk_legs,11))-(((2*IF(circ_int,0,eq_c2/2))+(PI()*(s_0+10*s_r+IF(circ_int,eq_c1/2,0))/2))+2*IF(circ_int,0,eq_c1/2)))/(s_0+10*s_r+IF(circ_int,eq_c1/2,0))),IF(((21+0.5)*(4*IF(circ_int,0,eq_c1/2)+4*IF(circ_int,0,eq_c2/2)+2*PI()*(s_0+10*s_r+IF(circ_int,eq_c1/2,0)))/INDEX(lk_legs,11))&lt;(((((2*IF(circ_int,0,eq_c2/2))+(PI()*(s_0+10*s_r+IF(circ_int,eq_c1/2,0))/2))+2*IF(circ_int,0,eq_c1/2))+(PI()*(s_0+10*s_r+IF(circ_int,eq_c1/2,0))/2))+2*IF(circ_int,0,eq_c2/2)),-IF(circ_int,0,eq_c1/2)-(s_0+10*s_r+IF(circ_int,eq_c1/2,0)),IF(((21+0.5)*(4*IF(circ_int,0,eq_c1/2)+4*IF(circ_int,0,eq_c2/2)+2*PI()*(s_0+10*s_r+IF(circ_int,eq_c1/2,0)))/INDEX(lk_legs,11))&lt;((((((2*IF(circ_int,0,eq_c2/2))+(PI()*(s_0+10*s_r+IF(circ_int,eq_c1/2,0))/2))+2*IF(circ_int,0,eq_c1/2))+(PI()*(s_0+10*s_r+IF(circ_int,eq_c1/2,0))/2))+2*IF(circ_int,0,eq_c2/2))+(PI()*(s_0+10*s_r+IF(circ_int,eq_c1/2,0))/2)),-IF(circ_int,0,eq_c1/2)+(s_0+10*s_r+IF(circ_int,eq_c1/2,0))*COS(PI()+(((21+0.5)*(4*IF(circ_int,0,eq_c1/2)+4*IF(circ_int,0,eq_c2/2)+2*PI()*(s_0+10*s_r+IF(circ_int,eq_c1/2,0)))/INDEX(lk_legs,11))-(((((2*IF(circ_int,0,eq_c2/2))+(PI()*(s_0+10*s_r+IF(circ_int,eq_c1/2,0))/2))+2*IF(circ_int,0,eq_c1/2))+(PI()*(s_0+10*s_r+IF(circ_int,eq_c1/2,0))/2))+2*IF(circ_int,0,eq_c2/2)))/(s_0+10*s_r+IF(circ_int,eq_c1/2,0))),IF(((21+0.5)*(4*IF(circ_int,0,eq_c1/2)+4*IF(circ_int,0,eq_c2/2)+2*PI()*(s_0+10*s_r+IF(circ_int,eq_c1/2,0)))/INDEX(lk_legs,11))&lt;(((((((2*IF(circ_int,0,eq_c2/2))+(PI()*(s_0+10*s_r+IF(circ_int,eq_c1/2,0))/2))+2*IF(circ_int,0,eq_c1/2))+(PI()*(s_0+10*s_r+IF(circ_int,eq_c1/2,0))/2))+2*IF(circ_int,0,eq_c2/2))+(PI()*(s_0+10*s_r+IF(circ_int,eq_c1/2,0))/2))+2*IF(circ_int,0,eq_c1/2)),-IF(circ_int,0,eq_c1/2)+(((21+0.5)*(4*IF(circ_int,0,eq_c1/2)+4*IF(circ_int,0,eq_c2/2)+2*PI()*(s_0+10*s_r+IF(circ_int,eq_c1/2,0)))/INDEX(lk_legs,11))-((((((2*IF(circ_int,0,eq_c2/2))+(PI()*(s_0+10*s_r+IF(circ_int,eq_c1/2,0))/2))+2*IF(circ_int,0,eq_c1/2))+(PI()*(s_0+10*s_r+IF(circ_int,eq_c1/2,0))/2))+2*IF(circ_int,0,eq_c2/2))+(PI()*(s_0+10*s_r+IF(circ_int,eq_c1/2,0))/2))),IF(circ_int,0,eq_c1/2)+(s_0+10*s_r+IF(circ_int,eq_c1/2,0))*COS(3*PI()/2+(((21+0.5)*(4*IF(circ_int,0,eq_c1/2)+4*IF(circ_int,0,eq_c2/2)+2*PI()*(s_0+10*s_r+IF(circ_int,eq_c1/2,0)))/INDEX(lk_legs,11))-(((((((2*IF(circ_int,0,eq_c2/2))+(PI()*(s_0+10*s_r+IF(circ_int,eq_c1/2,0))/2))+2*IF(circ_int,0,eq_c1/2))+(PI()*(s_0+10*s_r+IF(circ_int,eq_c1/2,0))/2))+2*IF(circ_int,0,eq_c2/2))+(PI()*(s_0+10*s_r+IF(circ_int,eq_c1/2,0))/2))+2*IF(circ_int,0,eq_c1/2)))/(s_0+10*s_r+IF(circ_int,eq_c1/2,0)))))))))),NA())</f>
        <v/>
      </c>
      <c r="DI24">
        <f>IF(AND(AND(links_on,11&lt;=n_per),INDEX(lk_kind,11)=1,21&lt;INDEX(lk_legs,11)),g_oy+IF(((21+0.5)*(4*IF(circ_int,0,eq_c1/2)+4*IF(circ_int,0,eq_c2/2)+2*PI()*(s_0+10*s_r+IF(circ_int,eq_c1/2,0)))/INDEX(lk_legs,11))&lt;(2*IF(circ_int,0,eq_c2/2)),-IF(circ_int,0,eq_c2/2)+((21+0.5)*(4*IF(circ_int,0,eq_c1/2)+4*IF(circ_int,0,eq_c2/2)+2*PI()*(s_0+10*s_r+IF(circ_int,eq_c1/2,0)))/INDEX(lk_legs,11)),IF(((21+0.5)*(4*IF(circ_int,0,eq_c1/2)+4*IF(circ_int,0,eq_c2/2)+2*PI()*(s_0+10*s_r+IF(circ_int,eq_c1/2,0)))/INDEX(lk_legs,11))&lt;((2*IF(circ_int,0,eq_c2/2))+(PI()*(s_0+10*s_r+IF(circ_int,eq_c1/2,0))/2)),IF(circ_int,0,eq_c2/2)+(s_0+10*s_r+IF(circ_int,eq_c1/2,0))*SIN((((21+0.5)*(4*IF(circ_int,0,eq_c1/2)+4*IF(circ_int,0,eq_c2/2)+2*PI()*(s_0+10*s_r+IF(circ_int,eq_c1/2,0)))/INDEX(lk_legs,11))-(2*IF(circ_int,0,eq_c2/2)))/(s_0+10*s_r+IF(circ_int,eq_c1/2,0))),IF(((21+0.5)*(4*IF(circ_int,0,eq_c1/2)+4*IF(circ_int,0,eq_c2/2)+2*PI()*(s_0+10*s_r+IF(circ_int,eq_c1/2,0)))/INDEX(lk_legs,11))&lt;(((2*IF(circ_int,0,eq_c2/2))+(PI()*(s_0+10*s_r+IF(circ_int,eq_c1/2,0))/2))+2*IF(circ_int,0,eq_c1/2)),IF(circ_int,0,eq_c2/2)+(s_0+10*s_r+IF(circ_int,eq_c1/2,0)),IF(((21+0.5)*(4*IF(circ_int,0,eq_c1/2)+4*IF(circ_int,0,eq_c2/2)+2*PI()*(s_0+10*s_r+IF(circ_int,eq_c1/2,0)))/INDEX(lk_legs,11))&lt;((((2*IF(circ_int,0,eq_c2/2))+(PI()*(s_0+10*s_r+IF(circ_int,eq_c1/2,0))/2))+2*IF(circ_int,0,eq_c1/2))+(PI()*(s_0+10*s_r+IF(circ_int,eq_c1/2,0))/2)),IF(circ_int,0,eq_c2/2)+(s_0+10*s_r+IF(circ_int,eq_c1/2,0))*SIN(PI()/2+(((21+0.5)*(4*IF(circ_int,0,eq_c1/2)+4*IF(circ_int,0,eq_c2/2)+2*PI()*(s_0+10*s_r+IF(circ_int,eq_c1/2,0)))/INDEX(lk_legs,11))-(((2*IF(circ_int,0,eq_c2/2))+(PI()*(s_0+10*s_r+IF(circ_int,eq_c1/2,0))/2))+2*IF(circ_int,0,eq_c1/2)))/(s_0+10*s_r+IF(circ_int,eq_c1/2,0))),IF(((21+0.5)*(4*IF(circ_int,0,eq_c1/2)+4*IF(circ_int,0,eq_c2/2)+2*PI()*(s_0+10*s_r+IF(circ_int,eq_c1/2,0)))/INDEX(lk_legs,11))&lt;(((((2*IF(circ_int,0,eq_c2/2))+(PI()*(s_0+10*s_r+IF(circ_int,eq_c1/2,0))/2))+2*IF(circ_int,0,eq_c1/2))+(PI()*(s_0+10*s_r+IF(circ_int,eq_c1/2,0))/2))+2*IF(circ_int,0,eq_c2/2)),IF(circ_int,0,eq_c2/2)-(((21+0.5)*(4*IF(circ_int,0,eq_c1/2)+4*IF(circ_int,0,eq_c2/2)+2*PI()*(s_0+10*s_r+IF(circ_int,eq_c1/2,0)))/INDEX(lk_legs,11))-((((2*IF(circ_int,0,eq_c2/2))+(PI()*(s_0+10*s_r+IF(circ_int,eq_c1/2,0))/2))+2*IF(circ_int,0,eq_c1/2))+(PI()*(s_0+10*s_r+IF(circ_int,eq_c1/2,0))/2))),IF(((21+0.5)*(4*IF(circ_int,0,eq_c1/2)+4*IF(circ_int,0,eq_c2/2)+2*PI()*(s_0+10*s_r+IF(circ_int,eq_c1/2,0)))/INDEX(lk_legs,11))&lt;((((((2*IF(circ_int,0,eq_c2/2))+(PI()*(s_0+10*s_r+IF(circ_int,eq_c1/2,0))/2))+2*IF(circ_int,0,eq_c1/2))+(PI()*(s_0+10*s_r+IF(circ_int,eq_c1/2,0))/2))+2*IF(circ_int,0,eq_c2/2))+(PI()*(s_0+10*s_r+IF(circ_int,eq_c1/2,0))/2)),-IF(circ_int,0,eq_c2/2)+(s_0+10*s_r+IF(circ_int,eq_c1/2,0))*SIN(PI()+(((21+0.5)*(4*IF(circ_int,0,eq_c1/2)+4*IF(circ_int,0,eq_c2/2)+2*PI()*(s_0+10*s_r+IF(circ_int,eq_c1/2,0)))/INDEX(lk_legs,11))-(((((2*IF(circ_int,0,eq_c2/2))+(PI()*(s_0+10*s_r+IF(circ_int,eq_c1/2,0))/2))+2*IF(circ_int,0,eq_c1/2))+(PI()*(s_0+10*s_r+IF(circ_int,eq_c1/2,0))/2))+2*IF(circ_int,0,eq_c2/2)))/(s_0+10*s_r+IF(circ_int,eq_c1/2,0))),IF(((21+0.5)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(21+0.5)*(4*IF(circ_int,0,eq_c1/2)+4*IF(circ_int,0,eq_c2/2)+2*PI()*(s_0+10*s_r+IF(circ_int,eq_c1/2,0)))/INDEX(lk_legs,11))-(((((((2*IF(circ_int,0,eq_c2/2))+(PI()*(s_0+10*s_r+IF(circ_int,eq_c1/2,0))/2))+2*IF(circ_int,0,eq_c1/2))+(PI()*(s_0+10*s_r+IF(circ_int,eq_c1/2,0))/2))+2*IF(circ_int,0,eq_c2/2))+(PI()*(s_0+10*s_r+IF(circ_int,eq_c1/2,0))/2))+2*IF(circ_int,0,eq_c1/2)))/(s_0+10*s_r+IF(circ_int,eq_c1/2,0)))))))))),NA())</f>
        <v/>
      </c>
      <c r="DK24">
        <f>IF(AND(links_on,12&lt;=n_per),IF(circ_int,(g_ox)+(c_1/2+(s_0+11*s_r))*-0.822984,CHOOSE(INDEX(lk_kind,12),(g_ox-eq_c1/2)+((s_0+11*s_r))*-0.866025,(eq_a1+eq_c1)+((s_0+11*s_r))*0.608761,eq_a1+eq_c1+(s_0+11*s_r),(eq_a1+eq_c1)+((s_0+11*s_r))*0.793353)),NA())</f>
        <v/>
      </c>
      <c r="DL24">
        <f>IF(AND(links_on,12&lt;=n_per),IF(circ_int,(g_oy)+(c_1/2+(s_0+11*s_r))*0.568065,CHOOSE(INDEX(lk_kind,12),(g_oy+eq_c2/2)+((s_0+11*s_r))*0.500000,(g_oy-eq_c2/2)+((s_0+11*s_r))*-0.793353,0,(eq_a2+eq_c2)+((s_0+11*s_r))*0.608761)),NA())</f>
        <v/>
      </c>
      <c r="DN24">
        <f>IF(AND(AND(links_on,12&lt;=n_per),INDEX(lk_kind,12)=1,21&lt;INDEX(lk_legs,12)),g_ox+IF(((21+0.5)*(4*IF(circ_int,0,eq_c1/2)+4*IF(circ_int,0,eq_c2/2)+2*PI()*(s_0+11*s_r+IF(circ_int,eq_c1/2,0)))/INDEX(lk_legs,12))&lt;(2*IF(circ_int,0,eq_c2/2)),IF(circ_int,0,eq_c1/2)+(s_0+11*s_r+IF(circ_int,eq_c1/2,0)),IF(((21+0.5)*(4*IF(circ_int,0,eq_c1/2)+4*IF(circ_int,0,eq_c2/2)+2*PI()*(s_0+11*s_r+IF(circ_int,eq_c1/2,0)))/INDEX(lk_legs,12))&lt;((2*IF(circ_int,0,eq_c2/2))+(PI()*(s_0+11*s_r+IF(circ_int,eq_c1/2,0))/2)),IF(circ_int,0,eq_c1/2)+(s_0+11*s_r+IF(circ_int,eq_c1/2,0))*COS((((21+0.5)*(4*IF(circ_int,0,eq_c1/2)+4*IF(circ_int,0,eq_c2/2)+2*PI()*(s_0+11*s_r+IF(circ_int,eq_c1/2,0)))/INDEX(lk_legs,12))-(2*IF(circ_int,0,eq_c2/2)))/(s_0+11*s_r+IF(circ_int,eq_c1/2,0))),IF(((21+0.5)*(4*IF(circ_int,0,eq_c1/2)+4*IF(circ_int,0,eq_c2/2)+2*PI()*(s_0+11*s_r+IF(circ_int,eq_c1/2,0)))/INDEX(lk_legs,12))&lt;(((2*IF(circ_int,0,eq_c2/2))+(PI()*(s_0+11*s_r+IF(circ_int,eq_c1/2,0))/2))+2*IF(circ_int,0,eq_c1/2)),IF(circ_int,0,eq_c1/2)-(((21+0.5)*(4*IF(circ_int,0,eq_c1/2)+4*IF(circ_int,0,eq_c2/2)+2*PI()*(s_0+11*s_r+IF(circ_int,eq_c1/2,0)))/INDEX(lk_legs,12))-((2*IF(circ_int,0,eq_c2/2))+(PI()*(s_0+11*s_r+IF(circ_int,eq_c1/2,0))/2))),IF(((21+0.5)*(4*IF(circ_int,0,eq_c1/2)+4*IF(circ_int,0,eq_c2/2)+2*PI()*(s_0+11*s_r+IF(circ_int,eq_c1/2,0)))/INDEX(lk_legs,12))&lt;((((2*IF(circ_int,0,eq_c2/2))+(PI()*(s_0+11*s_r+IF(circ_int,eq_c1/2,0))/2))+2*IF(circ_int,0,eq_c1/2))+(PI()*(s_0+11*s_r+IF(circ_int,eq_c1/2,0))/2)),-IF(circ_int,0,eq_c1/2)+(s_0+11*s_r+IF(circ_int,eq_c1/2,0))*COS(PI()/2+(((21+0.5)*(4*IF(circ_int,0,eq_c1/2)+4*IF(circ_int,0,eq_c2/2)+2*PI()*(s_0+11*s_r+IF(circ_int,eq_c1/2,0)))/INDEX(lk_legs,12))-(((2*IF(circ_int,0,eq_c2/2))+(PI()*(s_0+11*s_r+IF(circ_int,eq_c1/2,0))/2))+2*IF(circ_int,0,eq_c1/2)))/(s_0+11*s_r+IF(circ_int,eq_c1/2,0))),IF(((21+0.5)*(4*IF(circ_int,0,eq_c1/2)+4*IF(circ_int,0,eq_c2/2)+2*PI()*(s_0+11*s_r+IF(circ_int,eq_c1/2,0)))/INDEX(lk_legs,12))&lt;(((((2*IF(circ_int,0,eq_c2/2))+(PI()*(s_0+11*s_r+IF(circ_int,eq_c1/2,0))/2))+2*IF(circ_int,0,eq_c1/2))+(PI()*(s_0+11*s_r+IF(circ_int,eq_c1/2,0))/2))+2*IF(circ_int,0,eq_c2/2)),-IF(circ_int,0,eq_c1/2)-(s_0+11*s_r+IF(circ_int,eq_c1/2,0)),IF(((21+0.5)*(4*IF(circ_int,0,eq_c1/2)+4*IF(circ_int,0,eq_c2/2)+2*PI()*(s_0+11*s_r+IF(circ_int,eq_c1/2,0)))/INDEX(lk_legs,12))&lt;((((((2*IF(circ_int,0,eq_c2/2))+(PI()*(s_0+11*s_r+IF(circ_int,eq_c1/2,0))/2))+2*IF(circ_int,0,eq_c1/2))+(PI()*(s_0+11*s_r+IF(circ_int,eq_c1/2,0))/2))+2*IF(circ_int,0,eq_c2/2))+(PI()*(s_0+11*s_r+IF(circ_int,eq_c1/2,0))/2)),-IF(circ_int,0,eq_c1/2)+(s_0+11*s_r+IF(circ_int,eq_c1/2,0))*COS(PI()+(((21+0.5)*(4*IF(circ_int,0,eq_c1/2)+4*IF(circ_int,0,eq_c2/2)+2*PI()*(s_0+11*s_r+IF(circ_int,eq_c1/2,0)))/INDEX(lk_legs,12))-(((((2*IF(circ_int,0,eq_c2/2))+(PI()*(s_0+11*s_r+IF(circ_int,eq_c1/2,0))/2))+2*IF(circ_int,0,eq_c1/2))+(PI()*(s_0+11*s_r+IF(circ_int,eq_c1/2,0))/2))+2*IF(circ_int,0,eq_c2/2)))/(s_0+11*s_r+IF(circ_int,eq_c1/2,0))),IF(((21+0.5)*(4*IF(circ_int,0,eq_c1/2)+4*IF(circ_int,0,eq_c2/2)+2*PI()*(s_0+11*s_r+IF(circ_int,eq_c1/2,0)))/INDEX(lk_legs,12))&lt;(((((((2*IF(circ_int,0,eq_c2/2))+(PI()*(s_0+11*s_r+IF(circ_int,eq_c1/2,0))/2))+2*IF(circ_int,0,eq_c1/2))+(PI()*(s_0+11*s_r+IF(circ_int,eq_c1/2,0))/2))+2*IF(circ_int,0,eq_c2/2))+(PI()*(s_0+11*s_r+IF(circ_int,eq_c1/2,0))/2))+2*IF(circ_int,0,eq_c1/2)),-IF(circ_int,0,eq_c1/2)+(((21+0.5)*(4*IF(circ_int,0,eq_c1/2)+4*IF(circ_int,0,eq_c2/2)+2*PI()*(s_0+11*s_r+IF(circ_int,eq_c1/2,0)))/INDEX(lk_legs,12))-((((((2*IF(circ_int,0,eq_c2/2))+(PI()*(s_0+11*s_r+IF(circ_int,eq_c1/2,0))/2))+2*IF(circ_int,0,eq_c1/2))+(PI()*(s_0+11*s_r+IF(circ_int,eq_c1/2,0))/2))+2*IF(circ_int,0,eq_c2/2))+(PI()*(s_0+11*s_r+IF(circ_int,eq_c1/2,0))/2))),IF(circ_int,0,eq_c1/2)+(s_0+11*s_r+IF(circ_int,eq_c1/2,0))*COS(3*PI()/2+(((21+0.5)*(4*IF(circ_int,0,eq_c1/2)+4*IF(circ_int,0,eq_c2/2)+2*PI()*(s_0+11*s_r+IF(circ_int,eq_c1/2,0)))/INDEX(lk_legs,12))-(((((((2*IF(circ_int,0,eq_c2/2))+(PI()*(s_0+11*s_r+IF(circ_int,eq_c1/2,0))/2))+2*IF(circ_int,0,eq_c1/2))+(PI()*(s_0+11*s_r+IF(circ_int,eq_c1/2,0))/2))+2*IF(circ_int,0,eq_c2/2))+(PI()*(s_0+11*s_r+IF(circ_int,eq_c1/2,0))/2))+2*IF(circ_int,0,eq_c1/2)))/(s_0+11*s_r+IF(circ_int,eq_c1/2,0)))))))))),NA())</f>
        <v/>
      </c>
      <c r="DO24">
        <f>IF(AND(AND(links_on,12&lt;=n_per),INDEX(lk_kind,12)=1,21&lt;INDEX(lk_legs,12)),g_oy+IF(((21+0.5)*(4*IF(circ_int,0,eq_c1/2)+4*IF(circ_int,0,eq_c2/2)+2*PI()*(s_0+11*s_r+IF(circ_int,eq_c1/2,0)))/INDEX(lk_legs,12))&lt;(2*IF(circ_int,0,eq_c2/2)),-IF(circ_int,0,eq_c2/2)+((21+0.5)*(4*IF(circ_int,0,eq_c1/2)+4*IF(circ_int,0,eq_c2/2)+2*PI()*(s_0+11*s_r+IF(circ_int,eq_c1/2,0)))/INDEX(lk_legs,12)),IF(((21+0.5)*(4*IF(circ_int,0,eq_c1/2)+4*IF(circ_int,0,eq_c2/2)+2*PI()*(s_0+11*s_r+IF(circ_int,eq_c1/2,0)))/INDEX(lk_legs,12))&lt;((2*IF(circ_int,0,eq_c2/2))+(PI()*(s_0+11*s_r+IF(circ_int,eq_c1/2,0))/2)),IF(circ_int,0,eq_c2/2)+(s_0+11*s_r+IF(circ_int,eq_c1/2,0))*SIN((((21+0.5)*(4*IF(circ_int,0,eq_c1/2)+4*IF(circ_int,0,eq_c2/2)+2*PI()*(s_0+11*s_r+IF(circ_int,eq_c1/2,0)))/INDEX(lk_legs,12))-(2*IF(circ_int,0,eq_c2/2)))/(s_0+11*s_r+IF(circ_int,eq_c1/2,0))),IF(((21+0.5)*(4*IF(circ_int,0,eq_c1/2)+4*IF(circ_int,0,eq_c2/2)+2*PI()*(s_0+11*s_r+IF(circ_int,eq_c1/2,0)))/INDEX(lk_legs,12))&lt;(((2*IF(circ_int,0,eq_c2/2))+(PI()*(s_0+11*s_r+IF(circ_int,eq_c1/2,0))/2))+2*IF(circ_int,0,eq_c1/2)),IF(circ_int,0,eq_c2/2)+(s_0+11*s_r+IF(circ_int,eq_c1/2,0)),IF(((21+0.5)*(4*IF(circ_int,0,eq_c1/2)+4*IF(circ_int,0,eq_c2/2)+2*PI()*(s_0+11*s_r+IF(circ_int,eq_c1/2,0)))/INDEX(lk_legs,12))&lt;((((2*IF(circ_int,0,eq_c2/2))+(PI()*(s_0+11*s_r+IF(circ_int,eq_c1/2,0))/2))+2*IF(circ_int,0,eq_c1/2))+(PI()*(s_0+11*s_r+IF(circ_int,eq_c1/2,0))/2)),IF(circ_int,0,eq_c2/2)+(s_0+11*s_r+IF(circ_int,eq_c1/2,0))*SIN(PI()/2+(((21+0.5)*(4*IF(circ_int,0,eq_c1/2)+4*IF(circ_int,0,eq_c2/2)+2*PI()*(s_0+11*s_r+IF(circ_int,eq_c1/2,0)))/INDEX(lk_legs,12))-(((2*IF(circ_int,0,eq_c2/2))+(PI()*(s_0+11*s_r+IF(circ_int,eq_c1/2,0))/2))+2*IF(circ_int,0,eq_c1/2)))/(s_0+11*s_r+IF(circ_int,eq_c1/2,0))),IF(((21+0.5)*(4*IF(circ_int,0,eq_c1/2)+4*IF(circ_int,0,eq_c2/2)+2*PI()*(s_0+11*s_r+IF(circ_int,eq_c1/2,0)))/INDEX(lk_legs,12))&lt;(((((2*IF(circ_int,0,eq_c2/2))+(PI()*(s_0+11*s_r+IF(circ_int,eq_c1/2,0))/2))+2*IF(circ_int,0,eq_c1/2))+(PI()*(s_0+11*s_r+IF(circ_int,eq_c1/2,0))/2))+2*IF(circ_int,0,eq_c2/2)),IF(circ_int,0,eq_c2/2)-(((21+0.5)*(4*IF(circ_int,0,eq_c1/2)+4*IF(circ_int,0,eq_c2/2)+2*PI()*(s_0+11*s_r+IF(circ_int,eq_c1/2,0)))/INDEX(lk_legs,12))-((((2*IF(circ_int,0,eq_c2/2))+(PI()*(s_0+11*s_r+IF(circ_int,eq_c1/2,0))/2))+2*IF(circ_int,0,eq_c1/2))+(PI()*(s_0+11*s_r+IF(circ_int,eq_c1/2,0))/2))),IF(((21+0.5)*(4*IF(circ_int,0,eq_c1/2)+4*IF(circ_int,0,eq_c2/2)+2*PI()*(s_0+11*s_r+IF(circ_int,eq_c1/2,0)))/INDEX(lk_legs,12))&lt;((((((2*IF(circ_int,0,eq_c2/2))+(PI()*(s_0+11*s_r+IF(circ_int,eq_c1/2,0))/2))+2*IF(circ_int,0,eq_c1/2))+(PI()*(s_0+11*s_r+IF(circ_int,eq_c1/2,0))/2))+2*IF(circ_int,0,eq_c2/2))+(PI()*(s_0+11*s_r+IF(circ_int,eq_c1/2,0))/2)),-IF(circ_int,0,eq_c2/2)+(s_0+11*s_r+IF(circ_int,eq_c1/2,0))*SIN(PI()+(((21+0.5)*(4*IF(circ_int,0,eq_c1/2)+4*IF(circ_int,0,eq_c2/2)+2*PI()*(s_0+11*s_r+IF(circ_int,eq_c1/2,0)))/INDEX(lk_legs,12))-(((((2*IF(circ_int,0,eq_c2/2))+(PI()*(s_0+11*s_r+IF(circ_int,eq_c1/2,0))/2))+2*IF(circ_int,0,eq_c1/2))+(PI()*(s_0+11*s_r+IF(circ_int,eq_c1/2,0))/2))+2*IF(circ_int,0,eq_c2/2)))/(s_0+11*s_r+IF(circ_int,eq_c1/2,0))),IF(((21+0.5)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(21+0.5)*(4*IF(circ_int,0,eq_c1/2)+4*IF(circ_int,0,eq_c2/2)+2*PI()*(s_0+11*s_r+IF(circ_int,eq_c1/2,0)))/INDEX(lk_legs,12))-(((((((2*IF(circ_int,0,eq_c2/2))+(PI()*(s_0+11*s_r+IF(circ_int,eq_c1/2,0))/2))+2*IF(circ_int,0,eq_c1/2))+(PI()*(s_0+11*s_r+IF(circ_int,eq_c1/2,0))/2))+2*IF(circ_int,0,eq_c2/2))+(PI()*(s_0+11*s_r+IF(circ_int,eq_c1/2,0))/2))+2*IF(circ_int,0,eq_c1/2)))/(s_0+11*s_r+IF(circ_int,eq_c1/2,0)))))))))),NA())</f>
        <v/>
      </c>
    </row>
    <row r="25">
      <c r="A25">
        <f>IF(shape="Circular",(g_ox)+(c_1/2+0)*-0.885456,CHOOSE(1,(g_ox-eq_c1/2)+(0)*-0.923880,(eq_a1+eq_c1)+(0)*0.500000,eq_a1+eq_c1+0,(eq_a1+eq_c1)+(0)*0.866025))</f>
        <v/>
      </c>
      <c r="B25">
        <f>IF(shape="Circular",(g_oy)+(c_1/2+0)*0.464723,CHOOSE(1,(g_oy+eq_c2/2)+(0)*0.382683,(g_oy-eq_c2/2)+(0)*-0.866025,0,(eq_a2+eq_c2)+(0)*0.500000))</f>
        <v/>
      </c>
      <c r="D25">
        <f>IF(circ_int,(g_ox)+(c_1/2+2*d_eff)*-0.885456,CHOOSE(geo_idx,(g_ox-eq_c1/2)+(2*d_eff)*-0.923880,(eq_a1+eq_c1)+(2*d_eff)*0.500000,eq_a1+eq_c1+2*d_eff,(eq_a1+eq_c1)+(2*d_eff)*0.866025))</f>
        <v/>
      </c>
      <c r="E25">
        <f>IF(circ_int,(g_oy)+(c_1/2+2*d_eff)*0.464723,CHOOSE(geo_idx,(g_oy+eq_c2/2)+(2*d_eff)*0.382683,(g_oy-eq_c2/2)+(2*d_eff)*-0.866025,0,(eq_a2+eq_c2)+(2*d_eff)*0.500000))</f>
        <v/>
      </c>
      <c r="G25">
        <f>IF(AND(inputs_ok,punch_ok,A_sw&gt;0),IF(circ_int,(g_ox)+(c_1/2+r_out)*-0.885456,CHOOSE(kind_out,(g_ox-eq_c1/2)+(r_out)*-0.923880,(eq_a1+eq_c1)+(r_out)*0.500000,eq_a1+eq_c1+r_out,(eq_a1+eq_c1)+(r_out)*0.866025)),NA())</f>
        <v/>
      </c>
      <c r="H25">
        <f>IF(AND(inputs_ok,punch_ok,A_sw&gt;0),IF(circ_int,(g_oy)+(c_1/2+r_out)*0.464723,CHOOSE(kind_out,(g_oy+eq_c2/2)+(r_out)*0.382683,(g_oy-eq_c2/2)+(r_out)*-0.866025,0,(eq_a2+eq_c2)+(r_out)*0.500000)),NA())</f>
        <v/>
      </c>
      <c r="AW25">
        <f>IF(AND(links_on,1&lt;=n_per),IF(circ_int,(g_ox)+(c_1/2+(s_0+0*s_r))*-0.885456,CHOOSE(INDEX(lk_kind,1),(g_ox-eq_c1/2)+((s_0+0*s_r))*-0.923880,(eq_a1+eq_c1)+((s_0+0*s_r))*0.500000,eq_a1+eq_c1+(s_0+0*s_r),(eq_a1+eq_c1)+((s_0+0*s_r))*0.866025)),NA())</f>
        <v/>
      </c>
      <c r="AX25">
        <f>IF(AND(links_on,1&lt;=n_per),IF(circ_int,(g_oy)+(c_1/2+(s_0+0*s_r))*0.464723,CHOOSE(INDEX(lk_kind,1),(g_oy+eq_c2/2)+((s_0+0*s_r))*0.382683,(g_oy-eq_c2/2)+((s_0+0*s_r))*-0.866025,0,(eq_a2+eq_c2)+((s_0+0*s_r))*0.500000)),NA())</f>
        <v/>
      </c>
      <c r="AZ25">
        <f>IF(AND(AND(links_on,1&lt;=n_per),INDEX(lk_kind,1)=1,22&lt;INDEX(lk_legs,1)),g_ox+IF(((22+0.5)*(4*IF(circ_int,0,eq_c1/2)+4*IF(circ_int,0,eq_c2/2)+2*PI()*(s_0+0*s_r+IF(circ_int,eq_c1/2,0)))/INDEX(lk_legs,1))&lt;(2*IF(circ_int,0,eq_c2/2)),IF(circ_int,0,eq_c1/2)+(s_0+0*s_r+IF(circ_int,eq_c1/2,0)),IF(((22+0.5)*(4*IF(circ_int,0,eq_c1/2)+4*IF(circ_int,0,eq_c2/2)+2*PI()*(s_0+0*s_r+IF(circ_int,eq_c1/2,0)))/INDEX(lk_legs,1))&lt;((2*IF(circ_int,0,eq_c2/2))+(PI()*(s_0+0*s_r+IF(circ_int,eq_c1/2,0))/2)),IF(circ_int,0,eq_c1/2)+(s_0+0*s_r+IF(circ_int,eq_c1/2,0))*COS((((22+0.5)*(4*IF(circ_int,0,eq_c1/2)+4*IF(circ_int,0,eq_c2/2)+2*PI()*(s_0+0*s_r+IF(circ_int,eq_c1/2,0)))/INDEX(lk_legs,1))-(2*IF(circ_int,0,eq_c2/2)))/(s_0+0*s_r+IF(circ_int,eq_c1/2,0))),IF(((22+0.5)*(4*IF(circ_int,0,eq_c1/2)+4*IF(circ_int,0,eq_c2/2)+2*PI()*(s_0+0*s_r+IF(circ_int,eq_c1/2,0)))/INDEX(lk_legs,1))&lt;(((2*IF(circ_int,0,eq_c2/2))+(PI()*(s_0+0*s_r+IF(circ_int,eq_c1/2,0))/2))+2*IF(circ_int,0,eq_c1/2)),IF(circ_int,0,eq_c1/2)-(((22+0.5)*(4*IF(circ_int,0,eq_c1/2)+4*IF(circ_int,0,eq_c2/2)+2*PI()*(s_0+0*s_r+IF(circ_int,eq_c1/2,0)))/INDEX(lk_legs,1))-((2*IF(circ_int,0,eq_c2/2))+(PI()*(s_0+0*s_r+IF(circ_int,eq_c1/2,0))/2))),IF(((22+0.5)*(4*IF(circ_int,0,eq_c1/2)+4*IF(circ_int,0,eq_c2/2)+2*PI()*(s_0+0*s_r+IF(circ_int,eq_c1/2,0)))/INDEX(lk_legs,1))&lt;((((2*IF(circ_int,0,eq_c2/2))+(PI()*(s_0+0*s_r+IF(circ_int,eq_c1/2,0))/2))+2*IF(circ_int,0,eq_c1/2))+(PI()*(s_0+0*s_r+IF(circ_int,eq_c1/2,0))/2)),-IF(circ_int,0,eq_c1/2)+(s_0+0*s_r+IF(circ_int,eq_c1/2,0))*COS(PI()/2+(((22+0.5)*(4*IF(circ_int,0,eq_c1/2)+4*IF(circ_int,0,eq_c2/2)+2*PI()*(s_0+0*s_r+IF(circ_int,eq_c1/2,0)))/INDEX(lk_legs,1))-(((2*IF(circ_int,0,eq_c2/2))+(PI()*(s_0+0*s_r+IF(circ_int,eq_c1/2,0))/2))+2*IF(circ_int,0,eq_c1/2)))/(s_0+0*s_r+IF(circ_int,eq_c1/2,0))),IF(((22+0.5)*(4*IF(circ_int,0,eq_c1/2)+4*IF(circ_int,0,eq_c2/2)+2*PI()*(s_0+0*s_r+IF(circ_int,eq_c1/2,0)))/INDEX(lk_legs,1))&lt;(((((2*IF(circ_int,0,eq_c2/2))+(PI()*(s_0+0*s_r+IF(circ_int,eq_c1/2,0))/2))+2*IF(circ_int,0,eq_c1/2))+(PI()*(s_0+0*s_r+IF(circ_int,eq_c1/2,0))/2))+2*IF(circ_int,0,eq_c2/2)),-IF(circ_int,0,eq_c1/2)-(s_0+0*s_r+IF(circ_int,eq_c1/2,0)),IF(((22+0.5)*(4*IF(circ_int,0,eq_c1/2)+4*IF(circ_int,0,eq_c2/2)+2*PI()*(s_0+0*s_r+IF(circ_int,eq_c1/2,0)))/INDEX(lk_legs,1))&lt;((((((2*IF(circ_int,0,eq_c2/2))+(PI()*(s_0+0*s_r+IF(circ_int,eq_c1/2,0))/2))+2*IF(circ_int,0,eq_c1/2))+(PI()*(s_0+0*s_r+IF(circ_int,eq_c1/2,0))/2))+2*IF(circ_int,0,eq_c2/2))+(PI()*(s_0+0*s_r+IF(circ_int,eq_c1/2,0))/2)),-IF(circ_int,0,eq_c1/2)+(s_0+0*s_r+IF(circ_int,eq_c1/2,0))*COS(PI()+(((22+0.5)*(4*IF(circ_int,0,eq_c1/2)+4*IF(circ_int,0,eq_c2/2)+2*PI()*(s_0+0*s_r+IF(circ_int,eq_c1/2,0)))/INDEX(lk_legs,1))-(((((2*IF(circ_int,0,eq_c2/2))+(PI()*(s_0+0*s_r+IF(circ_int,eq_c1/2,0))/2))+2*IF(circ_int,0,eq_c1/2))+(PI()*(s_0+0*s_r+IF(circ_int,eq_c1/2,0))/2))+2*IF(circ_int,0,eq_c2/2)))/(s_0+0*s_r+IF(circ_int,eq_c1/2,0))),IF(((22+0.5)*(4*IF(circ_int,0,eq_c1/2)+4*IF(circ_int,0,eq_c2/2)+2*PI()*(s_0+0*s_r+IF(circ_int,eq_c1/2,0)))/INDEX(lk_legs,1))&lt;(((((((2*IF(circ_int,0,eq_c2/2))+(PI()*(s_0+0*s_r+IF(circ_int,eq_c1/2,0))/2))+2*IF(circ_int,0,eq_c1/2))+(PI()*(s_0+0*s_r+IF(circ_int,eq_c1/2,0))/2))+2*IF(circ_int,0,eq_c2/2))+(PI()*(s_0+0*s_r+IF(circ_int,eq_c1/2,0))/2))+2*IF(circ_int,0,eq_c1/2)),-IF(circ_int,0,eq_c1/2)+(((22+0.5)*(4*IF(circ_int,0,eq_c1/2)+4*IF(circ_int,0,eq_c2/2)+2*PI()*(s_0+0*s_r+IF(circ_int,eq_c1/2,0)))/INDEX(lk_legs,1))-((((((2*IF(circ_int,0,eq_c2/2))+(PI()*(s_0+0*s_r+IF(circ_int,eq_c1/2,0))/2))+2*IF(circ_int,0,eq_c1/2))+(PI()*(s_0+0*s_r+IF(circ_int,eq_c1/2,0))/2))+2*IF(circ_int,0,eq_c2/2))+(PI()*(s_0+0*s_r+IF(circ_int,eq_c1/2,0))/2))),IF(circ_int,0,eq_c1/2)+(s_0+0*s_r+IF(circ_int,eq_c1/2,0))*COS(3*PI()/2+(((22+0.5)*(4*IF(circ_int,0,eq_c1/2)+4*IF(circ_int,0,eq_c2/2)+2*PI()*(s_0+0*s_r+IF(circ_int,eq_c1/2,0)))/INDEX(lk_legs,1))-(((((((2*IF(circ_int,0,eq_c2/2))+(PI()*(s_0+0*s_r+IF(circ_int,eq_c1/2,0))/2))+2*IF(circ_int,0,eq_c1/2))+(PI()*(s_0+0*s_r+IF(circ_int,eq_c1/2,0))/2))+2*IF(circ_int,0,eq_c2/2))+(PI()*(s_0+0*s_r+IF(circ_int,eq_c1/2,0))/2))+2*IF(circ_int,0,eq_c1/2)))/(s_0+0*s_r+IF(circ_int,eq_c1/2,0)))))))))),NA())</f>
        <v/>
      </c>
      <c r="BA25">
        <f>IF(AND(AND(links_on,1&lt;=n_per),INDEX(lk_kind,1)=1,22&lt;INDEX(lk_legs,1)),g_oy+IF(((22+0.5)*(4*IF(circ_int,0,eq_c1/2)+4*IF(circ_int,0,eq_c2/2)+2*PI()*(s_0+0*s_r+IF(circ_int,eq_c1/2,0)))/INDEX(lk_legs,1))&lt;(2*IF(circ_int,0,eq_c2/2)),-IF(circ_int,0,eq_c2/2)+((22+0.5)*(4*IF(circ_int,0,eq_c1/2)+4*IF(circ_int,0,eq_c2/2)+2*PI()*(s_0+0*s_r+IF(circ_int,eq_c1/2,0)))/INDEX(lk_legs,1)),IF(((22+0.5)*(4*IF(circ_int,0,eq_c1/2)+4*IF(circ_int,0,eq_c2/2)+2*PI()*(s_0+0*s_r+IF(circ_int,eq_c1/2,0)))/INDEX(lk_legs,1))&lt;((2*IF(circ_int,0,eq_c2/2))+(PI()*(s_0+0*s_r+IF(circ_int,eq_c1/2,0))/2)),IF(circ_int,0,eq_c2/2)+(s_0+0*s_r+IF(circ_int,eq_c1/2,0))*SIN((((22+0.5)*(4*IF(circ_int,0,eq_c1/2)+4*IF(circ_int,0,eq_c2/2)+2*PI()*(s_0+0*s_r+IF(circ_int,eq_c1/2,0)))/INDEX(lk_legs,1))-(2*IF(circ_int,0,eq_c2/2)))/(s_0+0*s_r+IF(circ_int,eq_c1/2,0))),IF(((22+0.5)*(4*IF(circ_int,0,eq_c1/2)+4*IF(circ_int,0,eq_c2/2)+2*PI()*(s_0+0*s_r+IF(circ_int,eq_c1/2,0)))/INDEX(lk_legs,1))&lt;(((2*IF(circ_int,0,eq_c2/2))+(PI()*(s_0+0*s_r+IF(circ_int,eq_c1/2,0))/2))+2*IF(circ_int,0,eq_c1/2)),IF(circ_int,0,eq_c2/2)+(s_0+0*s_r+IF(circ_int,eq_c1/2,0)),IF(((22+0.5)*(4*IF(circ_int,0,eq_c1/2)+4*IF(circ_int,0,eq_c2/2)+2*PI()*(s_0+0*s_r+IF(circ_int,eq_c1/2,0)))/INDEX(lk_legs,1))&lt;((((2*IF(circ_int,0,eq_c2/2))+(PI()*(s_0+0*s_r+IF(circ_int,eq_c1/2,0))/2))+2*IF(circ_int,0,eq_c1/2))+(PI()*(s_0+0*s_r+IF(circ_int,eq_c1/2,0))/2)),IF(circ_int,0,eq_c2/2)+(s_0+0*s_r+IF(circ_int,eq_c1/2,0))*SIN(PI()/2+(((22+0.5)*(4*IF(circ_int,0,eq_c1/2)+4*IF(circ_int,0,eq_c2/2)+2*PI()*(s_0+0*s_r+IF(circ_int,eq_c1/2,0)))/INDEX(lk_legs,1))-(((2*IF(circ_int,0,eq_c2/2))+(PI()*(s_0+0*s_r+IF(circ_int,eq_c1/2,0))/2))+2*IF(circ_int,0,eq_c1/2)))/(s_0+0*s_r+IF(circ_int,eq_c1/2,0))),IF(((22+0.5)*(4*IF(circ_int,0,eq_c1/2)+4*IF(circ_int,0,eq_c2/2)+2*PI()*(s_0+0*s_r+IF(circ_int,eq_c1/2,0)))/INDEX(lk_legs,1))&lt;(((((2*IF(circ_int,0,eq_c2/2))+(PI()*(s_0+0*s_r+IF(circ_int,eq_c1/2,0))/2))+2*IF(circ_int,0,eq_c1/2))+(PI()*(s_0+0*s_r+IF(circ_int,eq_c1/2,0))/2))+2*IF(circ_int,0,eq_c2/2)),IF(circ_int,0,eq_c2/2)-(((22+0.5)*(4*IF(circ_int,0,eq_c1/2)+4*IF(circ_int,0,eq_c2/2)+2*PI()*(s_0+0*s_r+IF(circ_int,eq_c1/2,0)))/INDEX(lk_legs,1))-((((2*IF(circ_int,0,eq_c2/2))+(PI()*(s_0+0*s_r+IF(circ_int,eq_c1/2,0))/2))+2*IF(circ_int,0,eq_c1/2))+(PI()*(s_0+0*s_r+IF(circ_int,eq_c1/2,0))/2))),IF(((22+0.5)*(4*IF(circ_int,0,eq_c1/2)+4*IF(circ_int,0,eq_c2/2)+2*PI()*(s_0+0*s_r+IF(circ_int,eq_c1/2,0)))/INDEX(lk_legs,1))&lt;((((((2*IF(circ_int,0,eq_c2/2))+(PI()*(s_0+0*s_r+IF(circ_int,eq_c1/2,0))/2))+2*IF(circ_int,0,eq_c1/2))+(PI()*(s_0+0*s_r+IF(circ_int,eq_c1/2,0))/2))+2*IF(circ_int,0,eq_c2/2))+(PI()*(s_0+0*s_r+IF(circ_int,eq_c1/2,0))/2)),-IF(circ_int,0,eq_c2/2)+(s_0+0*s_r+IF(circ_int,eq_c1/2,0))*SIN(PI()+(((22+0.5)*(4*IF(circ_int,0,eq_c1/2)+4*IF(circ_int,0,eq_c2/2)+2*PI()*(s_0+0*s_r+IF(circ_int,eq_c1/2,0)))/INDEX(lk_legs,1))-(((((2*IF(circ_int,0,eq_c2/2))+(PI()*(s_0+0*s_r+IF(circ_int,eq_c1/2,0))/2))+2*IF(circ_int,0,eq_c1/2))+(PI()*(s_0+0*s_r+IF(circ_int,eq_c1/2,0))/2))+2*IF(circ_int,0,eq_c2/2)))/(s_0+0*s_r+IF(circ_int,eq_c1/2,0))),IF(((22+0.5)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(22+0.5)*(4*IF(circ_int,0,eq_c1/2)+4*IF(circ_int,0,eq_c2/2)+2*PI()*(s_0+0*s_r+IF(circ_int,eq_c1/2,0)))/INDEX(lk_legs,1))-(((((((2*IF(circ_int,0,eq_c2/2))+(PI()*(s_0+0*s_r+IF(circ_int,eq_c1/2,0))/2))+2*IF(circ_int,0,eq_c1/2))+(PI()*(s_0+0*s_r+IF(circ_int,eq_c1/2,0))/2))+2*IF(circ_int,0,eq_c2/2))+(PI()*(s_0+0*s_r+IF(circ_int,eq_c1/2,0))/2))+2*IF(circ_int,0,eq_c1/2)))/(s_0+0*s_r+IF(circ_int,eq_c1/2,0)))))))))),NA())</f>
        <v/>
      </c>
      <c r="BC25">
        <f>IF(AND(links_on,2&lt;=n_per),IF(circ_int,(g_ox)+(c_1/2+(s_0+1*s_r))*-0.885456,CHOOSE(INDEX(lk_kind,2),(g_ox-eq_c1/2)+((s_0+1*s_r))*-0.923880,(eq_a1+eq_c1)+((s_0+1*s_r))*0.500000,eq_a1+eq_c1+(s_0+1*s_r),(eq_a1+eq_c1)+((s_0+1*s_r))*0.866025)),NA())</f>
        <v/>
      </c>
      <c r="BD25">
        <f>IF(AND(links_on,2&lt;=n_per),IF(circ_int,(g_oy)+(c_1/2+(s_0+1*s_r))*0.464723,CHOOSE(INDEX(lk_kind,2),(g_oy+eq_c2/2)+((s_0+1*s_r))*0.382683,(g_oy-eq_c2/2)+((s_0+1*s_r))*-0.866025,0,(eq_a2+eq_c2)+((s_0+1*s_r))*0.500000)),NA())</f>
        <v/>
      </c>
      <c r="BF25">
        <f>IF(AND(AND(links_on,2&lt;=n_per),INDEX(lk_kind,2)=1,22&lt;INDEX(lk_legs,2)),g_ox+IF(((22+0.5)*(4*IF(circ_int,0,eq_c1/2)+4*IF(circ_int,0,eq_c2/2)+2*PI()*(s_0+1*s_r+IF(circ_int,eq_c1/2,0)))/INDEX(lk_legs,2))&lt;(2*IF(circ_int,0,eq_c2/2)),IF(circ_int,0,eq_c1/2)+(s_0+1*s_r+IF(circ_int,eq_c1/2,0)),IF(((22+0.5)*(4*IF(circ_int,0,eq_c1/2)+4*IF(circ_int,0,eq_c2/2)+2*PI()*(s_0+1*s_r+IF(circ_int,eq_c1/2,0)))/INDEX(lk_legs,2))&lt;((2*IF(circ_int,0,eq_c2/2))+(PI()*(s_0+1*s_r+IF(circ_int,eq_c1/2,0))/2)),IF(circ_int,0,eq_c1/2)+(s_0+1*s_r+IF(circ_int,eq_c1/2,0))*COS((((22+0.5)*(4*IF(circ_int,0,eq_c1/2)+4*IF(circ_int,0,eq_c2/2)+2*PI()*(s_0+1*s_r+IF(circ_int,eq_c1/2,0)))/INDEX(lk_legs,2))-(2*IF(circ_int,0,eq_c2/2)))/(s_0+1*s_r+IF(circ_int,eq_c1/2,0))),IF(((22+0.5)*(4*IF(circ_int,0,eq_c1/2)+4*IF(circ_int,0,eq_c2/2)+2*PI()*(s_0+1*s_r+IF(circ_int,eq_c1/2,0)))/INDEX(lk_legs,2))&lt;(((2*IF(circ_int,0,eq_c2/2))+(PI()*(s_0+1*s_r+IF(circ_int,eq_c1/2,0))/2))+2*IF(circ_int,0,eq_c1/2)),IF(circ_int,0,eq_c1/2)-(((22+0.5)*(4*IF(circ_int,0,eq_c1/2)+4*IF(circ_int,0,eq_c2/2)+2*PI()*(s_0+1*s_r+IF(circ_int,eq_c1/2,0)))/INDEX(lk_legs,2))-((2*IF(circ_int,0,eq_c2/2))+(PI()*(s_0+1*s_r+IF(circ_int,eq_c1/2,0))/2))),IF(((22+0.5)*(4*IF(circ_int,0,eq_c1/2)+4*IF(circ_int,0,eq_c2/2)+2*PI()*(s_0+1*s_r+IF(circ_int,eq_c1/2,0)))/INDEX(lk_legs,2))&lt;((((2*IF(circ_int,0,eq_c2/2))+(PI()*(s_0+1*s_r+IF(circ_int,eq_c1/2,0))/2))+2*IF(circ_int,0,eq_c1/2))+(PI()*(s_0+1*s_r+IF(circ_int,eq_c1/2,0))/2)),-IF(circ_int,0,eq_c1/2)+(s_0+1*s_r+IF(circ_int,eq_c1/2,0))*COS(PI()/2+(((22+0.5)*(4*IF(circ_int,0,eq_c1/2)+4*IF(circ_int,0,eq_c2/2)+2*PI()*(s_0+1*s_r+IF(circ_int,eq_c1/2,0)))/INDEX(lk_legs,2))-(((2*IF(circ_int,0,eq_c2/2))+(PI()*(s_0+1*s_r+IF(circ_int,eq_c1/2,0))/2))+2*IF(circ_int,0,eq_c1/2)))/(s_0+1*s_r+IF(circ_int,eq_c1/2,0))),IF(((22+0.5)*(4*IF(circ_int,0,eq_c1/2)+4*IF(circ_int,0,eq_c2/2)+2*PI()*(s_0+1*s_r+IF(circ_int,eq_c1/2,0)))/INDEX(lk_legs,2))&lt;(((((2*IF(circ_int,0,eq_c2/2))+(PI()*(s_0+1*s_r+IF(circ_int,eq_c1/2,0))/2))+2*IF(circ_int,0,eq_c1/2))+(PI()*(s_0+1*s_r+IF(circ_int,eq_c1/2,0))/2))+2*IF(circ_int,0,eq_c2/2)),-IF(circ_int,0,eq_c1/2)-(s_0+1*s_r+IF(circ_int,eq_c1/2,0)),IF(((22+0.5)*(4*IF(circ_int,0,eq_c1/2)+4*IF(circ_int,0,eq_c2/2)+2*PI()*(s_0+1*s_r+IF(circ_int,eq_c1/2,0)))/INDEX(lk_legs,2))&lt;((((((2*IF(circ_int,0,eq_c2/2))+(PI()*(s_0+1*s_r+IF(circ_int,eq_c1/2,0))/2))+2*IF(circ_int,0,eq_c1/2))+(PI()*(s_0+1*s_r+IF(circ_int,eq_c1/2,0))/2))+2*IF(circ_int,0,eq_c2/2))+(PI()*(s_0+1*s_r+IF(circ_int,eq_c1/2,0))/2)),-IF(circ_int,0,eq_c1/2)+(s_0+1*s_r+IF(circ_int,eq_c1/2,0))*COS(PI()+(((22+0.5)*(4*IF(circ_int,0,eq_c1/2)+4*IF(circ_int,0,eq_c2/2)+2*PI()*(s_0+1*s_r+IF(circ_int,eq_c1/2,0)))/INDEX(lk_legs,2))-(((((2*IF(circ_int,0,eq_c2/2))+(PI()*(s_0+1*s_r+IF(circ_int,eq_c1/2,0))/2))+2*IF(circ_int,0,eq_c1/2))+(PI()*(s_0+1*s_r+IF(circ_int,eq_c1/2,0))/2))+2*IF(circ_int,0,eq_c2/2)))/(s_0+1*s_r+IF(circ_int,eq_c1/2,0))),IF(((22+0.5)*(4*IF(circ_int,0,eq_c1/2)+4*IF(circ_int,0,eq_c2/2)+2*PI()*(s_0+1*s_r+IF(circ_int,eq_c1/2,0)))/INDEX(lk_legs,2))&lt;(((((((2*IF(circ_int,0,eq_c2/2))+(PI()*(s_0+1*s_r+IF(circ_int,eq_c1/2,0))/2))+2*IF(circ_int,0,eq_c1/2))+(PI()*(s_0+1*s_r+IF(circ_int,eq_c1/2,0))/2))+2*IF(circ_int,0,eq_c2/2))+(PI()*(s_0+1*s_r+IF(circ_int,eq_c1/2,0))/2))+2*IF(circ_int,0,eq_c1/2)),-IF(circ_int,0,eq_c1/2)+(((22+0.5)*(4*IF(circ_int,0,eq_c1/2)+4*IF(circ_int,0,eq_c2/2)+2*PI()*(s_0+1*s_r+IF(circ_int,eq_c1/2,0)))/INDEX(lk_legs,2))-((((((2*IF(circ_int,0,eq_c2/2))+(PI()*(s_0+1*s_r+IF(circ_int,eq_c1/2,0))/2))+2*IF(circ_int,0,eq_c1/2))+(PI()*(s_0+1*s_r+IF(circ_int,eq_c1/2,0))/2))+2*IF(circ_int,0,eq_c2/2))+(PI()*(s_0+1*s_r+IF(circ_int,eq_c1/2,0))/2))),IF(circ_int,0,eq_c1/2)+(s_0+1*s_r+IF(circ_int,eq_c1/2,0))*COS(3*PI()/2+(((22+0.5)*(4*IF(circ_int,0,eq_c1/2)+4*IF(circ_int,0,eq_c2/2)+2*PI()*(s_0+1*s_r+IF(circ_int,eq_c1/2,0)))/INDEX(lk_legs,2))-(((((((2*IF(circ_int,0,eq_c2/2))+(PI()*(s_0+1*s_r+IF(circ_int,eq_c1/2,0))/2))+2*IF(circ_int,0,eq_c1/2))+(PI()*(s_0+1*s_r+IF(circ_int,eq_c1/2,0))/2))+2*IF(circ_int,0,eq_c2/2))+(PI()*(s_0+1*s_r+IF(circ_int,eq_c1/2,0))/2))+2*IF(circ_int,0,eq_c1/2)))/(s_0+1*s_r+IF(circ_int,eq_c1/2,0)))))))))),NA())</f>
        <v/>
      </c>
      <c r="BG25">
        <f>IF(AND(AND(links_on,2&lt;=n_per),INDEX(lk_kind,2)=1,22&lt;INDEX(lk_legs,2)),g_oy+IF(((22+0.5)*(4*IF(circ_int,0,eq_c1/2)+4*IF(circ_int,0,eq_c2/2)+2*PI()*(s_0+1*s_r+IF(circ_int,eq_c1/2,0)))/INDEX(lk_legs,2))&lt;(2*IF(circ_int,0,eq_c2/2)),-IF(circ_int,0,eq_c2/2)+((22+0.5)*(4*IF(circ_int,0,eq_c1/2)+4*IF(circ_int,0,eq_c2/2)+2*PI()*(s_0+1*s_r+IF(circ_int,eq_c1/2,0)))/INDEX(lk_legs,2)),IF(((22+0.5)*(4*IF(circ_int,0,eq_c1/2)+4*IF(circ_int,0,eq_c2/2)+2*PI()*(s_0+1*s_r+IF(circ_int,eq_c1/2,0)))/INDEX(lk_legs,2))&lt;((2*IF(circ_int,0,eq_c2/2))+(PI()*(s_0+1*s_r+IF(circ_int,eq_c1/2,0))/2)),IF(circ_int,0,eq_c2/2)+(s_0+1*s_r+IF(circ_int,eq_c1/2,0))*SIN((((22+0.5)*(4*IF(circ_int,0,eq_c1/2)+4*IF(circ_int,0,eq_c2/2)+2*PI()*(s_0+1*s_r+IF(circ_int,eq_c1/2,0)))/INDEX(lk_legs,2))-(2*IF(circ_int,0,eq_c2/2)))/(s_0+1*s_r+IF(circ_int,eq_c1/2,0))),IF(((22+0.5)*(4*IF(circ_int,0,eq_c1/2)+4*IF(circ_int,0,eq_c2/2)+2*PI()*(s_0+1*s_r+IF(circ_int,eq_c1/2,0)))/INDEX(lk_legs,2))&lt;(((2*IF(circ_int,0,eq_c2/2))+(PI()*(s_0+1*s_r+IF(circ_int,eq_c1/2,0))/2))+2*IF(circ_int,0,eq_c1/2)),IF(circ_int,0,eq_c2/2)+(s_0+1*s_r+IF(circ_int,eq_c1/2,0)),IF(((22+0.5)*(4*IF(circ_int,0,eq_c1/2)+4*IF(circ_int,0,eq_c2/2)+2*PI()*(s_0+1*s_r+IF(circ_int,eq_c1/2,0)))/INDEX(lk_legs,2))&lt;((((2*IF(circ_int,0,eq_c2/2))+(PI()*(s_0+1*s_r+IF(circ_int,eq_c1/2,0))/2))+2*IF(circ_int,0,eq_c1/2))+(PI()*(s_0+1*s_r+IF(circ_int,eq_c1/2,0))/2)),IF(circ_int,0,eq_c2/2)+(s_0+1*s_r+IF(circ_int,eq_c1/2,0))*SIN(PI()/2+(((22+0.5)*(4*IF(circ_int,0,eq_c1/2)+4*IF(circ_int,0,eq_c2/2)+2*PI()*(s_0+1*s_r+IF(circ_int,eq_c1/2,0)))/INDEX(lk_legs,2))-(((2*IF(circ_int,0,eq_c2/2))+(PI()*(s_0+1*s_r+IF(circ_int,eq_c1/2,0))/2))+2*IF(circ_int,0,eq_c1/2)))/(s_0+1*s_r+IF(circ_int,eq_c1/2,0))),IF(((22+0.5)*(4*IF(circ_int,0,eq_c1/2)+4*IF(circ_int,0,eq_c2/2)+2*PI()*(s_0+1*s_r+IF(circ_int,eq_c1/2,0)))/INDEX(lk_legs,2))&lt;(((((2*IF(circ_int,0,eq_c2/2))+(PI()*(s_0+1*s_r+IF(circ_int,eq_c1/2,0))/2))+2*IF(circ_int,0,eq_c1/2))+(PI()*(s_0+1*s_r+IF(circ_int,eq_c1/2,0))/2))+2*IF(circ_int,0,eq_c2/2)),IF(circ_int,0,eq_c2/2)-(((22+0.5)*(4*IF(circ_int,0,eq_c1/2)+4*IF(circ_int,0,eq_c2/2)+2*PI()*(s_0+1*s_r+IF(circ_int,eq_c1/2,0)))/INDEX(lk_legs,2))-((((2*IF(circ_int,0,eq_c2/2))+(PI()*(s_0+1*s_r+IF(circ_int,eq_c1/2,0))/2))+2*IF(circ_int,0,eq_c1/2))+(PI()*(s_0+1*s_r+IF(circ_int,eq_c1/2,0))/2))),IF(((22+0.5)*(4*IF(circ_int,0,eq_c1/2)+4*IF(circ_int,0,eq_c2/2)+2*PI()*(s_0+1*s_r+IF(circ_int,eq_c1/2,0)))/INDEX(lk_legs,2))&lt;((((((2*IF(circ_int,0,eq_c2/2))+(PI()*(s_0+1*s_r+IF(circ_int,eq_c1/2,0))/2))+2*IF(circ_int,0,eq_c1/2))+(PI()*(s_0+1*s_r+IF(circ_int,eq_c1/2,0))/2))+2*IF(circ_int,0,eq_c2/2))+(PI()*(s_0+1*s_r+IF(circ_int,eq_c1/2,0))/2)),-IF(circ_int,0,eq_c2/2)+(s_0+1*s_r+IF(circ_int,eq_c1/2,0))*SIN(PI()+(((22+0.5)*(4*IF(circ_int,0,eq_c1/2)+4*IF(circ_int,0,eq_c2/2)+2*PI()*(s_0+1*s_r+IF(circ_int,eq_c1/2,0)))/INDEX(lk_legs,2))-(((((2*IF(circ_int,0,eq_c2/2))+(PI()*(s_0+1*s_r+IF(circ_int,eq_c1/2,0))/2))+2*IF(circ_int,0,eq_c1/2))+(PI()*(s_0+1*s_r+IF(circ_int,eq_c1/2,0))/2))+2*IF(circ_int,0,eq_c2/2)))/(s_0+1*s_r+IF(circ_int,eq_c1/2,0))),IF(((22+0.5)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(22+0.5)*(4*IF(circ_int,0,eq_c1/2)+4*IF(circ_int,0,eq_c2/2)+2*PI()*(s_0+1*s_r+IF(circ_int,eq_c1/2,0)))/INDEX(lk_legs,2))-(((((((2*IF(circ_int,0,eq_c2/2))+(PI()*(s_0+1*s_r+IF(circ_int,eq_c1/2,0))/2))+2*IF(circ_int,0,eq_c1/2))+(PI()*(s_0+1*s_r+IF(circ_int,eq_c1/2,0))/2))+2*IF(circ_int,0,eq_c2/2))+(PI()*(s_0+1*s_r+IF(circ_int,eq_c1/2,0))/2))+2*IF(circ_int,0,eq_c1/2)))/(s_0+1*s_r+IF(circ_int,eq_c1/2,0)))))))))),NA())</f>
        <v/>
      </c>
      <c r="BI25">
        <f>IF(AND(links_on,3&lt;=n_per),IF(circ_int,(g_ox)+(c_1/2+(s_0+2*s_r))*-0.885456,CHOOSE(INDEX(lk_kind,3),(g_ox-eq_c1/2)+((s_0+2*s_r))*-0.923880,(eq_a1+eq_c1)+((s_0+2*s_r))*0.500000,eq_a1+eq_c1+(s_0+2*s_r),(eq_a1+eq_c1)+((s_0+2*s_r))*0.866025)),NA())</f>
        <v/>
      </c>
      <c r="BJ25">
        <f>IF(AND(links_on,3&lt;=n_per),IF(circ_int,(g_oy)+(c_1/2+(s_0+2*s_r))*0.464723,CHOOSE(INDEX(lk_kind,3),(g_oy+eq_c2/2)+((s_0+2*s_r))*0.382683,(g_oy-eq_c2/2)+((s_0+2*s_r))*-0.866025,0,(eq_a2+eq_c2)+((s_0+2*s_r))*0.500000)),NA())</f>
        <v/>
      </c>
      <c r="BL25">
        <f>IF(AND(AND(links_on,3&lt;=n_per),INDEX(lk_kind,3)=1,22&lt;INDEX(lk_legs,3)),g_ox+IF(((22+0.5)*(4*IF(circ_int,0,eq_c1/2)+4*IF(circ_int,0,eq_c2/2)+2*PI()*(s_0+2*s_r+IF(circ_int,eq_c1/2,0)))/INDEX(lk_legs,3))&lt;(2*IF(circ_int,0,eq_c2/2)),IF(circ_int,0,eq_c1/2)+(s_0+2*s_r+IF(circ_int,eq_c1/2,0)),IF(((22+0.5)*(4*IF(circ_int,0,eq_c1/2)+4*IF(circ_int,0,eq_c2/2)+2*PI()*(s_0+2*s_r+IF(circ_int,eq_c1/2,0)))/INDEX(lk_legs,3))&lt;((2*IF(circ_int,0,eq_c2/2))+(PI()*(s_0+2*s_r+IF(circ_int,eq_c1/2,0))/2)),IF(circ_int,0,eq_c1/2)+(s_0+2*s_r+IF(circ_int,eq_c1/2,0))*COS((((22+0.5)*(4*IF(circ_int,0,eq_c1/2)+4*IF(circ_int,0,eq_c2/2)+2*PI()*(s_0+2*s_r+IF(circ_int,eq_c1/2,0)))/INDEX(lk_legs,3))-(2*IF(circ_int,0,eq_c2/2)))/(s_0+2*s_r+IF(circ_int,eq_c1/2,0))),IF(((22+0.5)*(4*IF(circ_int,0,eq_c1/2)+4*IF(circ_int,0,eq_c2/2)+2*PI()*(s_0+2*s_r+IF(circ_int,eq_c1/2,0)))/INDEX(lk_legs,3))&lt;(((2*IF(circ_int,0,eq_c2/2))+(PI()*(s_0+2*s_r+IF(circ_int,eq_c1/2,0))/2))+2*IF(circ_int,0,eq_c1/2)),IF(circ_int,0,eq_c1/2)-(((22+0.5)*(4*IF(circ_int,0,eq_c1/2)+4*IF(circ_int,0,eq_c2/2)+2*PI()*(s_0+2*s_r+IF(circ_int,eq_c1/2,0)))/INDEX(lk_legs,3))-((2*IF(circ_int,0,eq_c2/2))+(PI()*(s_0+2*s_r+IF(circ_int,eq_c1/2,0))/2))),IF(((22+0.5)*(4*IF(circ_int,0,eq_c1/2)+4*IF(circ_int,0,eq_c2/2)+2*PI()*(s_0+2*s_r+IF(circ_int,eq_c1/2,0)))/INDEX(lk_legs,3))&lt;((((2*IF(circ_int,0,eq_c2/2))+(PI()*(s_0+2*s_r+IF(circ_int,eq_c1/2,0))/2))+2*IF(circ_int,0,eq_c1/2))+(PI()*(s_0+2*s_r+IF(circ_int,eq_c1/2,0))/2)),-IF(circ_int,0,eq_c1/2)+(s_0+2*s_r+IF(circ_int,eq_c1/2,0))*COS(PI()/2+(((22+0.5)*(4*IF(circ_int,0,eq_c1/2)+4*IF(circ_int,0,eq_c2/2)+2*PI()*(s_0+2*s_r+IF(circ_int,eq_c1/2,0)))/INDEX(lk_legs,3))-(((2*IF(circ_int,0,eq_c2/2))+(PI()*(s_0+2*s_r+IF(circ_int,eq_c1/2,0))/2))+2*IF(circ_int,0,eq_c1/2)))/(s_0+2*s_r+IF(circ_int,eq_c1/2,0))),IF(((22+0.5)*(4*IF(circ_int,0,eq_c1/2)+4*IF(circ_int,0,eq_c2/2)+2*PI()*(s_0+2*s_r+IF(circ_int,eq_c1/2,0)))/INDEX(lk_legs,3))&lt;(((((2*IF(circ_int,0,eq_c2/2))+(PI()*(s_0+2*s_r+IF(circ_int,eq_c1/2,0))/2))+2*IF(circ_int,0,eq_c1/2))+(PI()*(s_0+2*s_r+IF(circ_int,eq_c1/2,0))/2))+2*IF(circ_int,0,eq_c2/2)),-IF(circ_int,0,eq_c1/2)-(s_0+2*s_r+IF(circ_int,eq_c1/2,0)),IF(((22+0.5)*(4*IF(circ_int,0,eq_c1/2)+4*IF(circ_int,0,eq_c2/2)+2*PI()*(s_0+2*s_r+IF(circ_int,eq_c1/2,0)))/INDEX(lk_legs,3))&lt;((((((2*IF(circ_int,0,eq_c2/2))+(PI()*(s_0+2*s_r+IF(circ_int,eq_c1/2,0))/2))+2*IF(circ_int,0,eq_c1/2))+(PI()*(s_0+2*s_r+IF(circ_int,eq_c1/2,0))/2))+2*IF(circ_int,0,eq_c2/2))+(PI()*(s_0+2*s_r+IF(circ_int,eq_c1/2,0))/2)),-IF(circ_int,0,eq_c1/2)+(s_0+2*s_r+IF(circ_int,eq_c1/2,0))*COS(PI()+(((22+0.5)*(4*IF(circ_int,0,eq_c1/2)+4*IF(circ_int,0,eq_c2/2)+2*PI()*(s_0+2*s_r+IF(circ_int,eq_c1/2,0)))/INDEX(lk_legs,3))-(((((2*IF(circ_int,0,eq_c2/2))+(PI()*(s_0+2*s_r+IF(circ_int,eq_c1/2,0))/2))+2*IF(circ_int,0,eq_c1/2))+(PI()*(s_0+2*s_r+IF(circ_int,eq_c1/2,0))/2))+2*IF(circ_int,0,eq_c2/2)))/(s_0+2*s_r+IF(circ_int,eq_c1/2,0))),IF(((22+0.5)*(4*IF(circ_int,0,eq_c1/2)+4*IF(circ_int,0,eq_c2/2)+2*PI()*(s_0+2*s_r+IF(circ_int,eq_c1/2,0)))/INDEX(lk_legs,3))&lt;(((((((2*IF(circ_int,0,eq_c2/2))+(PI()*(s_0+2*s_r+IF(circ_int,eq_c1/2,0))/2))+2*IF(circ_int,0,eq_c1/2))+(PI()*(s_0+2*s_r+IF(circ_int,eq_c1/2,0))/2))+2*IF(circ_int,0,eq_c2/2))+(PI()*(s_0+2*s_r+IF(circ_int,eq_c1/2,0))/2))+2*IF(circ_int,0,eq_c1/2)),-IF(circ_int,0,eq_c1/2)+(((22+0.5)*(4*IF(circ_int,0,eq_c1/2)+4*IF(circ_int,0,eq_c2/2)+2*PI()*(s_0+2*s_r+IF(circ_int,eq_c1/2,0)))/INDEX(lk_legs,3))-((((((2*IF(circ_int,0,eq_c2/2))+(PI()*(s_0+2*s_r+IF(circ_int,eq_c1/2,0))/2))+2*IF(circ_int,0,eq_c1/2))+(PI()*(s_0+2*s_r+IF(circ_int,eq_c1/2,0))/2))+2*IF(circ_int,0,eq_c2/2))+(PI()*(s_0+2*s_r+IF(circ_int,eq_c1/2,0))/2))),IF(circ_int,0,eq_c1/2)+(s_0+2*s_r+IF(circ_int,eq_c1/2,0))*COS(3*PI()/2+(((22+0.5)*(4*IF(circ_int,0,eq_c1/2)+4*IF(circ_int,0,eq_c2/2)+2*PI()*(s_0+2*s_r+IF(circ_int,eq_c1/2,0)))/INDEX(lk_legs,3))-(((((((2*IF(circ_int,0,eq_c2/2))+(PI()*(s_0+2*s_r+IF(circ_int,eq_c1/2,0))/2))+2*IF(circ_int,0,eq_c1/2))+(PI()*(s_0+2*s_r+IF(circ_int,eq_c1/2,0))/2))+2*IF(circ_int,0,eq_c2/2))+(PI()*(s_0+2*s_r+IF(circ_int,eq_c1/2,0))/2))+2*IF(circ_int,0,eq_c1/2)))/(s_0+2*s_r+IF(circ_int,eq_c1/2,0)))))))))),NA())</f>
        <v/>
      </c>
      <c r="BM25">
        <f>IF(AND(AND(links_on,3&lt;=n_per),INDEX(lk_kind,3)=1,22&lt;INDEX(lk_legs,3)),g_oy+IF(((22+0.5)*(4*IF(circ_int,0,eq_c1/2)+4*IF(circ_int,0,eq_c2/2)+2*PI()*(s_0+2*s_r+IF(circ_int,eq_c1/2,0)))/INDEX(lk_legs,3))&lt;(2*IF(circ_int,0,eq_c2/2)),-IF(circ_int,0,eq_c2/2)+((22+0.5)*(4*IF(circ_int,0,eq_c1/2)+4*IF(circ_int,0,eq_c2/2)+2*PI()*(s_0+2*s_r+IF(circ_int,eq_c1/2,0)))/INDEX(lk_legs,3)),IF(((22+0.5)*(4*IF(circ_int,0,eq_c1/2)+4*IF(circ_int,0,eq_c2/2)+2*PI()*(s_0+2*s_r+IF(circ_int,eq_c1/2,0)))/INDEX(lk_legs,3))&lt;((2*IF(circ_int,0,eq_c2/2))+(PI()*(s_0+2*s_r+IF(circ_int,eq_c1/2,0))/2)),IF(circ_int,0,eq_c2/2)+(s_0+2*s_r+IF(circ_int,eq_c1/2,0))*SIN((((22+0.5)*(4*IF(circ_int,0,eq_c1/2)+4*IF(circ_int,0,eq_c2/2)+2*PI()*(s_0+2*s_r+IF(circ_int,eq_c1/2,0)))/INDEX(lk_legs,3))-(2*IF(circ_int,0,eq_c2/2)))/(s_0+2*s_r+IF(circ_int,eq_c1/2,0))),IF(((22+0.5)*(4*IF(circ_int,0,eq_c1/2)+4*IF(circ_int,0,eq_c2/2)+2*PI()*(s_0+2*s_r+IF(circ_int,eq_c1/2,0)))/INDEX(lk_legs,3))&lt;(((2*IF(circ_int,0,eq_c2/2))+(PI()*(s_0+2*s_r+IF(circ_int,eq_c1/2,0))/2))+2*IF(circ_int,0,eq_c1/2)),IF(circ_int,0,eq_c2/2)+(s_0+2*s_r+IF(circ_int,eq_c1/2,0)),IF(((22+0.5)*(4*IF(circ_int,0,eq_c1/2)+4*IF(circ_int,0,eq_c2/2)+2*PI()*(s_0+2*s_r+IF(circ_int,eq_c1/2,0)))/INDEX(lk_legs,3))&lt;((((2*IF(circ_int,0,eq_c2/2))+(PI()*(s_0+2*s_r+IF(circ_int,eq_c1/2,0))/2))+2*IF(circ_int,0,eq_c1/2))+(PI()*(s_0+2*s_r+IF(circ_int,eq_c1/2,0))/2)),IF(circ_int,0,eq_c2/2)+(s_0+2*s_r+IF(circ_int,eq_c1/2,0))*SIN(PI()/2+(((22+0.5)*(4*IF(circ_int,0,eq_c1/2)+4*IF(circ_int,0,eq_c2/2)+2*PI()*(s_0+2*s_r+IF(circ_int,eq_c1/2,0)))/INDEX(lk_legs,3))-(((2*IF(circ_int,0,eq_c2/2))+(PI()*(s_0+2*s_r+IF(circ_int,eq_c1/2,0))/2))+2*IF(circ_int,0,eq_c1/2)))/(s_0+2*s_r+IF(circ_int,eq_c1/2,0))),IF(((22+0.5)*(4*IF(circ_int,0,eq_c1/2)+4*IF(circ_int,0,eq_c2/2)+2*PI()*(s_0+2*s_r+IF(circ_int,eq_c1/2,0)))/INDEX(lk_legs,3))&lt;(((((2*IF(circ_int,0,eq_c2/2))+(PI()*(s_0+2*s_r+IF(circ_int,eq_c1/2,0))/2))+2*IF(circ_int,0,eq_c1/2))+(PI()*(s_0+2*s_r+IF(circ_int,eq_c1/2,0))/2))+2*IF(circ_int,0,eq_c2/2)),IF(circ_int,0,eq_c2/2)-(((22+0.5)*(4*IF(circ_int,0,eq_c1/2)+4*IF(circ_int,0,eq_c2/2)+2*PI()*(s_0+2*s_r+IF(circ_int,eq_c1/2,0)))/INDEX(lk_legs,3))-((((2*IF(circ_int,0,eq_c2/2))+(PI()*(s_0+2*s_r+IF(circ_int,eq_c1/2,0))/2))+2*IF(circ_int,0,eq_c1/2))+(PI()*(s_0+2*s_r+IF(circ_int,eq_c1/2,0))/2))),IF(((22+0.5)*(4*IF(circ_int,0,eq_c1/2)+4*IF(circ_int,0,eq_c2/2)+2*PI()*(s_0+2*s_r+IF(circ_int,eq_c1/2,0)))/INDEX(lk_legs,3))&lt;((((((2*IF(circ_int,0,eq_c2/2))+(PI()*(s_0+2*s_r+IF(circ_int,eq_c1/2,0))/2))+2*IF(circ_int,0,eq_c1/2))+(PI()*(s_0+2*s_r+IF(circ_int,eq_c1/2,0))/2))+2*IF(circ_int,0,eq_c2/2))+(PI()*(s_0+2*s_r+IF(circ_int,eq_c1/2,0))/2)),-IF(circ_int,0,eq_c2/2)+(s_0+2*s_r+IF(circ_int,eq_c1/2,0))*SIN(PI()+(((22+0.5)*(4*IF(circ_int,0,eq_c1/2)+4*IF(circ_int,0,eq_c2/2)+2*PI()*(s_0+2*s_r+IF(circ_int,eq_c1/2,0)))/INDEX(lk_legs,3))-(((((2*IF(circ_int,0,eq_c2/2))+(PI()*(s_0+2*s_r+IF(circ_int,eq_c1/2,0))/2))+2*IF(circ_int,0,eq_c1/2))+(PI()*(s_0+2*s_r+IF(circ_int,eq_c1/2,0))/2))+2*IF(circ_int,0,eq_c2/2)))/(s_0+2*s_r+IF(circ_int,eq_c1/2,0))),IF(((22+0.5)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(22+0.5)*(4*IF(circ_int,0,eq_c1/2)+4*IF(circ_int,0,eq_c2/2)+2*PI()*(s_0+2*s_r+IF(circ_int,eq_c1/2,0)))/INDEX(lk_legs,3))-(((((((2*IF(circ_int,0,eq_c2/2))+(PI()*(s_0+2*s_r+IF(circ_int,eq_c1/2,0))/2))+2*IF(circ_int,0,eq_c1/2))+(PI()*(s_0+2*s_r+IF(circ_int,eq_c1/2,0))/2))+2*IF(circ_int,0,eq_c2/2))+(PI()*(s_0+2*s_r+IF(circ_int,eq_c1/2,0))/2))+2*IF(circ_int,0,eq_c1/2)))/(s_0+2*s_r+IF(circ_int,eq_c1/2,0)))))))))),NA())</f>
        <v/>
      </c>
      <c r="BO25">
        <f>IF(AND(links_on,4&lt;=n_per),IF(circ_int,(g_ox)+(c_1/2+(s_0+3*s_r))*-0.885456,CHOOSE(INDEX(lk_kind,4),(g_ox-eq_c1/2)+((s_0+3*s_r))*-0.923880,(eq_a1+eq_c1)+((s_0+3*s_r))*0.500000,eq_a1+eq_c1+(s_0+3*s_r),(eq_a1+eq_c1)+((s_0+3*s_r))*0.866025)),NA())</f>
        <v/>
      </c>
      <c r="BP25">
        <f>IF(AND(links_on,4&lt;=n_per),IF(circ_int,(g_oy)+(c_1/2+(s_0+3*s_r))*0.464723,CHOOSE(INDEX(lk_kind,4),(g_oy+eq_c2/2)+((s_0+3*s_r))*0.382683,(g_oy-eq_c2/2)+((s_0+3*s_r))*-0.866025,0,(eq_a2+eq_c2)+((s_0+3*s_r))*0.500000)),NA())</f>
        <v/>
      </c>
      <c r="BR25">
        <f>IF(AND(AND(links_on,4&lt;=n_per),INDEX(lk_kind,4)=1,22&lt;INDEX(lk_legs,4)),g_ox+IF(((22+0.5)*(4*IF(circ_int,0,eq_c1/2)+4*IF(circ_int,0,eq_c2/2)+2*PI()*(s_0+3*s_r+IF(circ_int,eq_c1/2,0)))/INDEX(lk_legs,4))&lt;(2*IF(circ_int,0,eq_c2/2)),IF(circ_int,0,eq_c1/2)+(s_0+3*s_r+IF(circ_int,eq_c1/2,0)),IF(((22+0.5)*(4*IF(circ_int,0,eq_c1/2)+4*IF(circ_int,0,eq_c2/2)+2*PI()*(s_0+3*s_r+IF(circ_int,eq_c1/2,0)))/INDEX(lk_legs,4))&lt;((2*IF(circ_int,0,eq_c2/2))+(PI()*(s_0+3*s_r+IF(circ_int,eq_c1/2,0))/2)),IF(circ_int,0,eq_c1/2)+(s_0+3*s_r+IF(circ_int,eq_c1/2,0))*COS((((22+0.5)*(4*IF(circ_int,0,eq_c1/2)+4*IF(circ_int,0,eq_c2/2)+2*PI()*(s_0+3*s_r+IF(circ_int,eq_c1/2,0)))/INDEX(lk_legs,4))-(2*IF(circ_int,0,eq_c2/2)))/(s_0+3*s_r+IF(circ_int,eq_c1/2,0))),IF(((22+0.5)*(4*IF(circ_int,0,eq_c1/2)+4*IF(circ_int,0,eq_c2/2)+2*PI()*(s_0+3*s_r+IF(circ_int,eq_c1/2,0)))/INDEX(lk_legs,4))&lt;(((2*IF(circ_int,0,eq_c2/2))+(PI()*(s_0+3*s_r+IF(circ_int,eq_c1/2,0))/2))+2*IF(circ_int,0,eq_c1/2)),IF(circ_int,0,eq_c1/2)-(((22+0.5)*(4*IF(circ_int,0,eq_c1/2)+4*IF(circ_int,0,eq_c2/2)+2*PI()*(s_0+3*s_r+IF(circ_int,eq_c1/2,0)))/INDEX(lk_legs,4))-((2*IF(circ_int,0,eq_c2/2))+(PI()*(s_0+3*s_r+IF(circ_int,eq_c1/2,0))/2))),IF(((22+0.5)*(4*IF(circ_int,0,eq_c1/2)+4*IF(circ_int,0,eq_c2/2)+2*PI()*(s_0+3*s_r+IF(circ_int,eq_c1/2,0)))/INDEX(lk_legs,4))&lt;((((2*IF(circ_int,0,eq_c2/2))+(PI()*(s_0+3*s_r+IF(circ_int,eq_c1/2,0))/2))+2*IF(circ_int,0,eq_c1/2))+(PI()*(s_0+3*s_r+IF(circ_int,eq_c1/2,0))/2)),-IF(circ_int,0,eq_c1/2)+(s_0+3*s_r+IF(circ_int,eq_c1/2,0))*COS(PI()/2+(((22+0.5)*(4*IF(circ_int,0,eq_c1/2)+4*IF(circ_int,0,eq_c2/2)+2*PI()*(s_0+3*s_r+IF(circ_int,eq_c1/2,0)))/INDEX(lk_legs,4))-(((2*IF(circ_int,0,eq_c2/2))+(PI()*(s_0+3*s_r+IF(circ_int,eq_c1/2,0))/2))+2*IF(circ_int,0,eq_c1/2)))/(s_0+3*s_r+IF(circ_int,eq_c1/2,0))),IF(((22+0.5)*(4*IF(circ_int,0,eq_c1/2)+4*IF(circ_int,0,eq_c2/2)+2*PI()*(s_0+3*s_r+IF(circ_int,eq_c1/2,0)))/INDEX(lk_legs,4))&lt;(((((2*IF(circ_int,0,eq_c2/2))+(PI()*(s_0+3*s_r+IF(circ_int,eq_c1/2,0))/2))+2*IF(circ_int,0,eq_c1/2))+(PI()*(s_0+3*s_r+IF(circ_int,eq_c1/2,0))/2))+2*IF(circ_int,0,eq_c2/2)),-IF(circ_int,0,eq_c1/2)-(s_0+3*s_r+IF(circ_int,eq_c1/2,0)),IF(((22+0.5)*(4*IF(circ_int,0,eq_c1/2)+4*IF(circ_int,0,eq_c2/2)+2*PI()*(s_0+3*s_r+IF(circ_int,eq_c1/2,0)))/INDEX(lk_legs,4))&lt;((((((2*IF(circ_int,0,eq_c2/2))+(PI()*(s_0+3*s_r+IF(circ_int,eq_c1/2,0))/2))+2*IF(circ_int,0,eq_c1/2))+(PI()*(s_0+3*s_r+IF(circ_int,eq_c1/2,0))/2))+2*IF(circ_int,0,eq_c2/2))+(PI()*(s_0+3*s_r+IF(circ_int,eq_c1/2,0))/2)),-IF(circ_int,0,eq_c1/2)+(s_0+3*s_r+IF(circ_int,eq_c1/2,0))*COS(PI()+(((22+0.5)*(4*IF(circ_int,0,eq_c1/2)+4*IF(circ_int,0,eq_c2/2)+2*PI()*(s_0+3*s_r+IF(circ_int,eq_c1/2,0)))/INDEX(lk_legs,4))-(((((2*IF(circ_int,0,eq_c2/2))+(PI()*(s_0+3*s_r+IF(circ_int,eq_c1/2,0))/2))+2*IF(circ_int,0,eq_c1/2))+(PI()*(s_0+3*s_r+IF(circ_int,eq_c1/2,0))/2))+2*IF(circ_int,0,eq_c2/2)))/(s_0+3*s_r+IF(circ_int,eq_c1/2,0))),IF(((22+0.5)*(4*IF(circ_int,0,eq_c1/2)+4*IF(circ_int,0,eq_c2/2)+2*PI()*(s_0+3*s_r+IF(circ_int,eq_c1/2,0)))/INDEX(lk_legs,4))&lt;(((((((2*IF(circ_int,0,eq_c2/2))+(PI()*(s_0+3*s_r+IF(circ_int,eq_c1/2,0))/2))+2*IF(circ_int,0,eq_c1/2))+(PI()*(s_0+3*s_r+IF(circ_int,eq_c1/2,0))/2))+2*IF(circ_int,0,eq_c2/2))+(PI()*(s_0+3*s_r+IF(circ_int,eq_c1/2,0))/2))+2*IF(circ_int,0,eq_c1/2)),-IF(circ_int,0,eq_c1/2)+(((22+0.5)*(4*IF(circ_int,0,eq_c1/2)+4*IF(circ_int,0,eq_c2/2)+2*PI()*(s_0+3*s_r+IF(circ_int,eq_c1/2,0)))/INDEX(lk_legs,4))-((((((2*IF(circ_int,0,eq_c2/2))+(PI()*(s_0+3*s_r+IF(circ_int,eq_c1/2,0))/2))+2*IF(circ_int,0,eq_c1/2))+(PI()*(s_0+3*s_r+IF(circ_int,eq_c1/2,0))/2))+2*IF(circ_int,0,eq_c2/2))+(PI()*(s_0+3*s_r+IF(circ_int,eq_c1/2,0))/2))),IF(circ_int,0,eq_c1/2)+(s_0+3*s_r+IF(circ_int,eq_c1/2,0))*COS(3*PI()/2+(((22+0.5)*(4*IF(circ_int,0,eq_c1/2)+4*IF(circ_int,0,eq_c2/2)+2*PI()*(s_0+3*s_r+IF(circ_int,eq_c1/2,0)))/INDEX(lk_legs,4))-(((((((2*IF(circ_int,0,eq_c2/2))+(PI()*(s_0+3*s_r+IF(circ_int,eq_c1/2,0))/2))+2*IF(circ_int,0,eq_c1/2))+(PI()*(s_0+3*s_r+IF(circ_int,eq_c1/2,0))/2))+2*IF(circ_int,0,eq_c2/2))+(PI()*(s_0+3*s_r+IF(circ_int,eq_c1/2,0))/2))+2*IF(circ_int,0,eq_c1/2)))/(s_0+3*s_r+IF(circ_int,eq_c1/2,0)))))))))),NA())</f>
        <v/>
      </c>
      <c r="BS25">
        <f>IF(AND(AND(links_on,4&lt;=n_per),INDEX(lk_kind,4)=1,22&lt;INDEX(lk_legs,4)),g_oy+IF(((22+0.5)*(4*IF(circ_int,0,eq_c1/2)+4*IF(circ_int,0,eq_c2/2)+2*PI()*(s_0+3*s_r+IF(circ_int,eq_c1/2,0)))/INDEX(lk_legs,4))&lt;(2*IF(circ_int,0,eq_c2/2)),-IF(circ_int,0,eq_c2/2)+((22+0.5)*(4*IF(circ_int,0,eq_c1/2)+4*IF(circ_int,0,eq_c2/2)+2*PI()*(s_0+3*s_r+IF(circ_int,eq_c1/2,0)))/INDEX(lk_legs,4)),IF(((22+0.5)*(4*IF(circ_int,0,eq_c1/2)+4*IF(circ_int,0,eq_c2/2)+2*PI()*(s_0+3*s_r+IF(circ_int,eq_c1/2,0)))/INDEX(lk_legs,4))&lt;((2*IF(circ_int,0,eq_c2/2))+(PI()*(s_0+3*s_r+IF(circ_int,eq_c1/2,0))/2)),IF(circ_int,0,eq_c2/2)+(s_0+3*s_r+IF(circ_int,eq_c1/2,0))*SIN((((22+0.5)*(4*IF(circ_int,0,eq_c1/2)+4*IF(circ_int,0,eq_c2/2)+2*PI()*(s_0+3*s_r+IF(circ_int,eq_c1/2,0)))/INDEX(lk_legs,4))-(2*IF(circ_int,0,eq_c2/2)))/(s_0+3*s_r+IF(circ_int,eq_c1/2,0))),IF(((22+0.5)*(4*IF(circ_int,0,eq_c1/2)+4*IF(circ_int,0,eq_c2/2)+2*PI()*(s_0+3*s_r+IF(circ_int,eq_c1/2,0)))/INDEX(lk_legs,4))&lt;(((2*IF(circ_int,0,eq_c2/2))+(PI()*(s_0+3*s_r+IF(circ_int,eq_c1/2,0))/2))+2*IF(circ_int,0,eq_c1/2)),IF(circ_int,0,eq_c2/2)+(s_0+3*s_r+IF(circ_int,eq_c1/2,0)),IF(((22+0.5)*(4*IF(circ_int,0,eq_c1/2)+4*IF(circ_int,0,eq_c2/2)+2*PI()*(s_0+3*s_r+IF(circ_int,eq_c1/2,0)))/INDEX(lk_legs,4))&lt;((((2*IF(circ_int,0,eq_c2/2))+(PI()*(s_0+3*s_r+IF(circ_int,eq_c1/2,0))/2))+2*IF(circ_int,0,eq_c1/2))+(PI()*(s_0+3*s_r+IF(circ_int,eq_c1/2,0))/2)),IF(circ_int,0,eq_c2/2)+(s_0+3*s_r+IF(circ_int,eq_c1/2,0))*SIN(PI()/2+(((22+0.5)*(4*IF(circ_int,0,eq_c1/2)+4*IF(circ_int,0,eq_c2/2)+2*PI()*(s_0+3*s_r+IF(circ_int,eq_c1/2,0)))/INDEX(lk_legs,4))-(((2*IF(circ_int,0,eq_c2/2))+(PI()*(s_0+3*s_r+IF(circ_int,eq_c1/2,0))/2))+2*IF(circ_int,0,eq_c1/2)))/(s_0+3*s_r+IF(circ_int,eq_c1/2,0))),IF(((22+0.5)*(4*IF(circ_int,0,eq_c1/2)+4*IF(circ_int,0,eq_c2/2)+2*PI()*(s_0+3*s_r+IF(circ_int,eq_c1/2,0)))/INDEX(lk_legs,4))&lt;(((((2*IF(circ_int,0,eq_c2/2))+(PI()*(s_0+3*s_r+IF(circ_int,eq_c1/2,0))/2))+2*IF(circ_int,0,eq_c1/2))+(PI()*(s_0+3*s_r+IF(circ_int,eq_c1/2,0))/2))+2*IF(circ_int,0,eq_c2/2)),IF(circ_int,0,eq_c2/2)-(((22+0.5)*(4*IF(circ_int,0,eq_c1/2)+4*IF(circ_int,0,eq_c2/2)+2*PI()*(s_0+3*s_r+IF(circ_int,eq_c1/2,0)))/INDEX(lk_legs,4))-((((2*IF(circ_int,0,eq_c2/2))+(PI()*(s_0+3*s_r+IF(circ_int,eq_c1/2,0))/2))+2*IF(circ_int,0,eq_c1/2))+(PI()*(s_0+3*s_r+IF(circ_int,eq_c1/2,0))/2))),IF(((22+0.5)*(4*IF(circ_int,0,eq_c1/2)+4*IF(circ_int,0,eq_c2/2)+2*PI()*(s_0+3*s_r+IF(circ_int,eq_c1/2,0)))/INDEX(lk_legs,4))&lt;((((((2*IF(circ_int,0,eq_c2/2))+(PI()*(s_0+3*s_r+IF(circ_int,eq_c1/2,0))/2))+2*IF(circ_int,0,eq_c1/2))+(PI()*(s_0+3*s_r+IF(circ_int,eq_c1/2,0))/2))+2*IF(circ_int,0,eq_c2/2))+(PI()*(s_0+3*s_r+IF(circ_int,eq_c1/2,0))/2)),-IF(circ_int,0,eq_c2/2)+(s_0+3*s_r+IF(circ_int,eq_c1/2,0))*SIN(PI()+(((22+0.5)*(4*IF(circ_int,0,eq_c1/2)+4*IF(circ_int,0,eq_c2/2)+2*PI()*(s_0+3*s_r+IF(circ_int,eq_c1/2,0)))/INDEX(lk_legs,4))-(((((2*IF(circ_int,0,eq_c2/2))+(PI()*(s_0+3*s_r+IF(circ_int,eq_c1/2,0))/2))+2*IF(circ_int,0,eq_c1/2))+(PI()*(s_0+3*s_r+IF(circ_int,eq_c1/2,0))/2))+2*IF(circ_int,0,eq_c2/2)))/(s_0+3*s_r+IF(circ_int,eq_c1/2,0))),IF(((22+0.5)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(22+0.5)*(4*IF(circ_int,0,eq_c1/2)+4*IF(circ_int,0,eq_c2/2)+2*PI()*(s_0+3*s_r+IF(circ_int,eq_c1/2,0)))/INDEX(lk_legs,4))-(((((((2*IF(circ_int,0,eq_c2/2))+(PI()*(s_0+3*s_r+IF(circ_int,eq_c1/2,0))/2))+2*IF(circ_int,0,eq_c1/2))+(PI()*(s_0+3*s_r+IF(circ_int,eq_c1/2,0))/2))+2*IF(circ_int,0,eq_c2/2))+(PI()*(s_0+3*s_r+IF(circ_int,eq_c1/2,0))/2))+2*IF(circ_int,0,eq_c1/2)))/(s_0+3*s_r+IF(circ_int,eq_c1/2,0)))))))))),NA())</f>
        <v/>
      </c>
      <c r="BU25">
        <f>IF(AND(links_on,5&lt;=n_per),IF(circ_int,(g_ox)+(c_1/2+(s_0+4*s_r))*-0.885456,CHOOSE(INDEX(lk_kind,5),(g_ox-eq_c1/2)+((s_0+4*s_r))*-0.923880,(eq_a1+eq_c1)+((s_0+4*s_r))*0.500000,eq_a1+eq_c1+(s_0+4*s_r),(eq_a1+eq_c1)+((s_0+4*s_r))*0.866025)),NA())</f>
        <v/>
      </c>
      <c r="BV25">
        <f>IF(AND(links_on,5&lt;=n_per),IF(circ_int,(g_oy)+(c_1/2+(s_0+4*s_r))*0.464723,CHOOSE(INDEX(lk_kind,5),(g_oy+eq_c2/2)+((s_0+4*s_r))*0.382683,(g_oy-eq_c2/2)+((s_0+4*s_r))*-0.866025,0,(eq_a2+eq_c2)+((s_0+4*s_r))*0.500000)),NA())</f>
        <v/>
      </c>
      <c r="BX25">
        <f>IF(AND(AND(links_on,5&lt;=n_per),INDEX(lk_kind,5)=1,22&lt;INDEX(lk_legs,5)),g_ox+IF(((22+0.5)*(4*IF(circ_int,0,eq_c1/2)+4*IF(circ_int,0,eq_c2/2)+2*PI()*(s_0+4*s_r+IF(circ_int,eq_c1/2,0)))/INDEX(lk_legs,5))&lt;(2*IF(circ_int,0,eq_c2/2)),IF(circ_int,0,eq_c1/2)+(s_0+4*s_r+IF(circ_int,eq_c1/2,0)),IF(((22+0.5)*(4*IF(circ_int,0,eq_c1/2)+4*IF(circ_int,0,eq_c2/2)+2*PI()*(s_0+4*s_r+IF(circ_int,eq_c1/2,0)))/INDEX(lk_legs,5))&lt;((2*IF(circ_int,0,eq_c2/2))+(PI()*(s_0+4*s_r+IF(circ_int,eq_c1/2,0))/2)),IF(circ_int,0,eq_c1/2)+(s_0+4*s_r+IF(circ_int,eq_c1/2,0))*COS((((22+0.5)*(4*IF(circ_int,0,eq_c1/2)+4*IF(circ_int,0,eq_c2/2)+2*PI()*(s_0+4*s_r+IF(circ_int,eq_c1/2,0)))/INDEX(lk_legs,5))-(2*IF(circ_int,0,eq_c2/2)))/(s_0+4*s_r+IF(circ_int,eq_c1/2,0))),IF(((22+0.5)*(4*IF(circ_int,0,eq_c1/2)+4*IF(circ_int,0,eq_c2/2)+2*PI()*(s_0+4*s_r+IF(circ_int,eq_c1/2,0)))/INDEX(lk_legs,5))&lt;(((2*IF(circ_int,0,eq_c2/2))+(PI()*(s_0+4*s_r+IF(circ_int,eq_c1/2,0))/2))+2*IF(circ_int,0,eq_c1/2)),IF(circ_int,0,eq_c1/2)-(((22+0.5)*(4*IF(circ_int,0,eq_c1/2)+4*IF(circ_int,0,eq_c2/2)+2*PI()*(s_0+4*s_r+IF(circ_int,eq_c1/2,0)))/INDEX(lk_legs,5))-((2*IF(circ_int,0,eq_c2/2))+(PI()*(s_0+4*s_r+IF(circ_int,eq_c1/2,0))/2))),IF(((22+0.5)*(4*IF(circ_int,0,eq_c1/2)+4*IF(circ_int,0,eq_c2/2)+2*PI()*(s_0+4*s_r+IF(circ_int,eq_c1/2,0)))/INDEX(lk_legs,5))&lt;((((2*IF(circ_int,0,eq_c2/2))+(PI()*(s_0+4*s_r+IF(circ_int,eq_c1/2,0))/2))+2*IF(circ_int,0,eq_c1/2))+(PI()*(s_0+4*s_r+IF(circ_int,eq_c1/2,0))/2)),-IF(circ_int,0,eq_c1/2)+(s_0+4*s_r+IF(circ_int,eq_c1/2,0))*COS(PI()/2+(((22+0.5)*(4*IF(circ_int,0,eq_c1/2)+4*IF(circ_int,0,eq_c2/2)+2*PI()*(s_0+4*s_r+IF(circ_int,eq_c1/2,0)))/INDEX(lk_legs,5))-(((2*IF(circ_int,0,eq_c2/2))+(PI()*(s_0+4*s_r+IF(circ_int,eq_c1/2,0))/2))+2*IF(circ_int,0,eq_c1/2)))/(s_0+4*s_r+IF(circ_int,eq_c1/2,0))),IF(((22+0.5)*(4*IF(circ_int,0,eq_c1/2)+4*IF(circ_int,0,eq_c2/2)+2*PI()*(s_0+4*s_r+IF(circ_int,eq_c1/2,0)))/INDEX(lk_legs,5))&lt;(((((2*IF(circ_int,0,eq_c2/2))+(PI()*(s_0+4*s_r+IF(circ_int,eq_c1/2,0))/2))+2*IF(circ_int,0,eq_c1/2))+(PI()*(s_0+4*s_r+IF(circ_int,eq_c1/2,0))/2))+2*IF(circ_int,0,eq_c2/2)),-IF(circ_int,0,eq_c1/2)-(s_0+4*s_r+IF(circ_int,eq_c1/2,0)),IF(((22+0.5)*(4*IF(circ_int,0,eq_c1/2)+4*IF(circ_int,0,eq_c2/2)+2*PI()*(s_0+4*s_r+IF(circ_int,eq_c1/2,0)))/INDEX(lk_legs,5))&lt;((((((2*IF(circ_int,0,eq_c2/2))+(PI()*(s_0+4*s_r+IF(circ_int,eq_c1/2,0))/2))+2*IF(circ_int,0,eq_c1/2))+(PI()*(s_0+4*s_r+IF(circ_int,eq_c1/2,0))/2))+2*IF(circ_int,0,eq_c2/2))+(PI()*(s_0+4*s_r+IF(circ_int,eq_c1/2,0))/2)),-IF(circ_int,0,eq_c1/2)+(s_0+4*s_r+IF(circ_int,eq_c1/2,0))*COS(PI()+(((22+0.5)*(4*IF(circ_int,0,eq_c1/2)+4*IF(circ_int,0,eq_c2/2)+2*PI()*(s_0+4*s_r+IF(circ_int,eq_c1/2,0)))/INDEX(lk_legs,5))-(((((2*IF(circ_int,0,eq_c2/2))+(PI()*(s_0+4*s_r+IF(circ_int,eq_c1/2,0))/2))+2*IF(circ_int,0,eq_c1/2))+(PI()*(s_0+4*s_r+IF(circ_int,eq_c1/2,0))/2))+2*IF(circ_int,0,eq_c2/2)))/(s_0+4*s_r+IF(circ_int,eq_c1/2,0))),IF(((22+0.5)*(4*IF(circ_int,0,eq_c1/2)+4*IF(circ_int,0,eq_c2/2)+2*PI()*(s_0+4*s_r+IF(circ_int,eq_c1/2,0)))/INDEX(lk_legs,5))&lt;(((((((2*IF(circ_int,0,eq_c2/2))+(PI()*(s_0+4*s_r+IF(circ_int,eq_c1/2,0))/2))+2*IF(circ_int,0,eq_c1/2))+(PI()*(s_0+4*s_r+IF(circ_int,eq_c1/2,0))/2))+2*IF(circ_int,0,eq_c2/2))+(PI()*(s_0+4*s_r+IF(circ_int,eq_c1/2,0))/2))+2*IF(circ_int,0,eq_c1/2)),-IF(circ_int,0,eq_c1/2)+(((22+0.5)*(4*IF(circ_int,0,eq_c1/2)+4*IF(circ_int,0,eq_c2/2)+2*PI()*(s_0+4*s_r+IF(circ_int,eq_c1/2,0)))/INDEX(lk_legs,5))-((((((2*IF(circ_int,0,eq_c2/2))+(PI()*(s_0+4*s_r+IF(circ_int,eq_c1/2,0))/2))+2*IF(circ_int,0,eq_c1/2))+(PI()*(s_0+4*s_r+IF(circ_int,eq_c1/2,0))/2))+2*IF(circ_int,0,eq_c2/2))+(PI()*(s_0+4*s_r+IF(circ_int,eq_c1/2,0))/2))),IF(circ_int,0,eq_c1/2)+(s_0+4*s_r+IF(circ_int,eq_c1/2,0))*COS(3*PI()/2+(((22+0.5)*(4*IF(circ_int,0,eq_c1/2)+4*IF(circ_int,0,eq_c2/2)+2*PI()*(s_0+4*s_r+IF(circ_int,eq_c1/2,0)))/INDEX(lk_legs,5))-(((((((2*IF(circ_int,0,eq_c2/2))+(PI()*(s_0+4*s_r+IF(circ_int,eq_c1/2,0))/2))+2*IF(circ_int,0,eq_c1/2))+(PI()*(s_0+4*s_r+IF(circ_int,eq_c1/2,0))/2))+2*IF(circ_int,0,eq_c2/2))+(PI()*(s_0+4*s_r+IF(circ_int,eq_c1/2,0))/2))+2*IF(circ_int,0,eq_c1/2)))/(s_0+4*s_r+IF(circ_int,eq_c1/2,0)))))))))),NA())</f>
        <v/>
      </c>
      <c r="BY25">
        <f>IF(AND(AND(links_on,5&lt;=n_per),INDEX(lk_kind,5)=1,22&lt;INDEX(lk_legs,5)),g_oy+IF(((22+0.5)*(4*IF(circ_int,0,eq_c1/2)+4*IF(circ_int,0,eq_c2/2)+2*PI()*(s_0+4*s_r+IF(circ_int,eq_c1/2,0)))/INDEX(lk_legs,5))&lt;(2*IF(circ_int,0,eq_c2/2)),-IF(circ_int,0,eq_c2/2)+((22+0.5)*(4*IF(circ_int,0,eq_c1/2)+4*IF(circ_int,0,eq_c2/2)+2*PI()*(s_0+4*s_r+IF(circ_int,eq_c1/2,0)))/INDEX(lk_legs,5)),IF(((22+0.5)*(4*IF(circ_int,0,eq_c1/2)+4*IF(circ_int,0,eq_c2/2)+2*PI()*(s_0+4*s_r+IF(circ_int,eq_c1/2,0)))/INDEX(lk_legs,5))&lt;((2*IF(circ_int,0,eq_c2/2))+(PI()*(s_0+4*s_r+IF(circ_int,eq_c1/2,0))/2)),IF(circ_int,0,eq_c2/2)+(s_0+4*s_r+IF(circ_int,eq_c1/2,0))*SIN((((22+0.5)*(4*IF(circ_int,0,eq_c1/2)+4*IF(circ_int,0,eq_c2/2)+2*PI()*(s_0+4*s_r+IF(circ_int,eq_c1/2,0)))/INDEX(lk_legs,5))-(2*IF(circ_int,0,eq_c2/2)))/(s_0+4*s_r+IF(circ_int,eq_c1/2,0))),IF(((22+0.5)*(4*IF(circ_int,0,eq_c1/2)+4*IF(circ_int,0,eq_c2/2)+2*PI()*(s_0+4*s_r+IF(circ_int,eq_c1/2,0)))/INDEX(lk_legs,5))&lt;(((2*IF(circ_int,0,eq_c2/2))+(PI()*(s_0+4*s_r+IF(circ_int,eq_c1/2,0))/2))+2*IF(circ_int,0,eq_c1/2)),IF(circ_int,0,eq_c2/2)+(s_0+4*s_r+IF(circ_int,eq_c1/2,0)),IF(((22+0.5)*(4*IF(circ_int,0,eq_c1/2)+4*IF(circ_int,0,eq_c2/2)+2*PI()*(s_0+4*s_r+IF(circ_int,eq_c1/2,0)))/INDEX(lk_legs,5))&lt;((((2*IF(circ_int,0,eq_c2/2))+(PI()*(s_0+4*s_r+IF(circ_int,eq_c1/2,0))/2))+2*IF(circ_int,0,eq_c1/2))+(PI()*(s_0+4*s_r+IF(circ_int,eq_c1/2,0))/2)),IF(circ_int,0,eq_c2/2)+(s_0+4*s_r+IF(circ_int,eq_c1/2,0))*SIN(PI()/2+(((22+0.5)*(4*IF(circ_int,0,eq_c1/2)+4*IF(circ_int,0,eq_c2/2)+2*PI()*(s_0+4*s_r+IF(circ_int,eq_c1/2,0)))/INDEX(lk_legs,5))-(((2*IF(circ_int,0,eq_c2/2))+(PI()*(s_0+4*s_r+IF(circ_int,eq_c1/2,0))/2))+2*IF(circ_int,0,eq_c1/2)))/(s_0+4*s_r+IF(circ_int,eq_c1/2,0))),IF(((22+0.5)*(4*IF(circ_int,0,eq_c1/2)+4*IF(circ_int,0,eq_c2/2)+2*PI()*(s_0+4*s_r+IF(circ_int,eq_c1/2,0)))/INDEX(lk_legs,5))&lt;(((((2*IF(circ_int,0,eq_c2/2))+(PI()*(s_0+4*s_r+IF(circ_int,eq_c1/2,0))/2))+2*IF(circ_int,0,eq_c1/2))+(PI()*(s_0+4*s_r+IF(circ_int,eq_c1/2,0))/2))+2*IF(circ_int,0,eq_c2/2)),IF(circ_int,0,eq_c2/2)-(((22+0.5)*(4*IF(circ_int,0,eq_c1/2)+4*IF(circ_int,0,eq_c2/2)+2*PI()*(s_0+4*s_r+IF(circ_int,eq_c1/2,0)))/INDEX(lk_legs,5))-((((2*IF(circ_int,0,eq_c2/2))+(PI()*(s_0+4*s_r+IF(circ_int,eq_c1/2,0))/2))+2*IF(circ_int,0,eq_c1/2))+(PI()*(s_0+4*s_r+IF(circ_int,eq_c1/2,0))/2))),IF(((22+0.5)*(4*IF(circ_int,0,eq_c1/2)+4*IF(circ_int,0,eq_c2/2)+2*PI()*(s_0+4*s_r+IF(circ_int,eq_c1/2,0)))/INDEX(lk_legs,5))&lt;((((((2*IF(circ_int,0,eq_c2/2))+(PI()*(s_0+4*s_r+IF(circ_int,eq_c1/2,0))/2))+2*IF(circ_int,0,eq_c1/2))+(PI()*(s_0+4*s_r+IF(circ_int,eq_c1/2,0))/2))+2*IF(circ_int,0,eq_c2/2))+(PI()*(s_0+4*s_r+IF(circ_int,eq_c1/2,0))/2)),-IF(circ_int,0,eq_c2/2)+(s_0+4*s_r+IF(circ_int,eq_c1/2,0))*SIN(PI()+(((22+0.5)*(4*IF(circ_int,0,eq_c1/2)+4*IF(circ_int,0,eq_c2/2)+2*PI()*(s_0+4*s_r+IF(circ_int,eq_c1/2,0)))/INDEX(lk_legs,5))-(((((2*IF(circ_int,0,eq_c2/2))+(PI()*(s_0+4*s_r+IF(circ_int,eq_c1/2,0))/2))+2*IF(circ_int,0,eq_c1/2))+(PI()*(s_0+4*s_r+IF(circ_int,eq_c1/2,0))/2))+2*IF(circ_int,0,eq_c2/2)))/(s_0+4*s_r+IF(circ_int,eq_c1/2,0))),IF(((22+0.5)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(22+0.5)*(4*IF(circ_int,0,eq_c1/2)+4*IF(circ_int,0,eq_c2/2)+2*PI()*(s_0+4*s_r+IF(circ_int,eq_c1/2,0)))/INDEX(lk_legs,5))-(((((((2*IF(circ_int,0,eq_c2/2))+(PI()*(s_0+4*s_r+IF(circ_int,eq_c1/2,0))/2))+2*IF(circ_int,0,eq_c1/2))+(PI()*(s_0+4*s_r+IF(circ_int,eq_c1/2,0))/2))+2*IF(circ_int,0,eq_c2/2))+(PI()*(s_0+4*s_r+IF(circ_int,eq_c1/2,0))/2))+2*IF(circ_int,0,eq_c1/2)))/(s_0+4*s_r+IF(circ_int,eq_c1/2,0)))))))))),NA())</f>
        <v/>
      </c>
      <c r="CA25">
        <f>IF(AND(links_on,6&lt;=n_per),IF(circ_int,(g_ox)+(c_1/2+(s_0+5*s_r))*-0.885456,CHOOSE(INDEX(lk_kind,6),(g_ox-eq_c1/2)+((s_0+5*s_r))*-0.923880,(eq_a1+eq_c1)+((s_0+5*s_r))*0.500000,eq_a1+eq_c1+(s_0+5*s_r),(eq_a1+eq_c1)+((s_0+5*s_r))*0.866025)),NA())</f>
        <v/>
      </c>
      <c r="CB25">
        <f>IF(AND(links_on,6&lt;=n_per),IF(circ_int,(g_oy)+(c_1/2+(s_0+5*s_r))*0.464723,CHOOSE(INDEX(lk_kind,6),(g_oy+eq_c2/2)+((s_0+5*s_r))*0.382683,(g_oy-eq_c2/2)+((s_0+5*s_r))*-0.866025,0,(eq_a2+eq_c2)+((s_0+5*s_r))*0.500000)),NA())</f>
        <v/>
      </c>
      <c r="CD25">
        <f>IF(AND(AND(links_on,6&lt;=n_per),INDEX(lk_kind,6)=1,22&lt;INDEX(lk_legs,6)),g_ox+IF(((22+0.5)*(4*IF(circ_int,0,eq_c1/2)+4*IF(circ_int,0,eq_c2/2)+2*PI()*(s_0+5*s_r+IF(circ_int,eq_c1/2,0)))/INDEX(lk_legs,6))&lt;(2*IF(circ_int,0,eq_c2/2)),IF(circ_int,0,eq_c1/2)+(s_0+5*s_r+IF(circ_int,eq_c1/2,0)),IF(((22+0.5)*(4*IF(circ_int,0,eq_c1/2)+4*IF(circ_int,0,eq_c2/2)+2*PI()*(s_0+5*s_r+IF(circ_int,eq_c1/2,0)))/INDEX(lk_legs,6))&lt;((2*IF(circ_int,0,eq_c2/2))+(PI()*(s_0+5*s_r+IF(circ_int,eq_c1/2,0))/2)),IF(circ_int,0,eq_c1/2)+(s_0+5*s_r+IF(circ_int,eq_c1/2,0))*COS((((22+0.5)*(4*IF(circ_int,0,eq_c1/2)+4*IF(circ_int,0,eq_c2/2)+2*PI()*(s_0+5*s_r+IF(circ_int,eq_c1/2,0)))/INDEX(lk_legs,6))-(2*IF(circ_int,0,eq_c2/2)))/(s_0+5*s_r+IF(circ_int,eq_c1/2,0))),IF(((22+0.5)*(4*IF(circ_int,0,eq_c1/2)+4*IF(circ_int,0,eq_c2/2)+2*PI()*(s_0+5*s_r+IF(circ_int,eq_c1/2,0)))/INDEX(lk_legs,6))&lt;(((2*IF(circ_int,0,eq_c2/2))+(PI()*(s_0+5*s_r+IF(circ_int,eq_c1/2,0))/2))+2*IF(circ_int,0,eq_c1/2)),IF(circ_int,0,eq_c1/2)-(((22+0.5)*(4*IF(circ_int,0,eq_c1/2)+4*IF(circ_int,0,eq_c2/2)+2*PI()*(s_0+5*s_r+IF(circ_int,eq_c1/2,0)))/INDEX(lk_legs,6))-((2*IF(circ_int,0,eq_c2/2))+(PI()*(s_0+5*s_r+IF(circ_int,eq_c1/2,0))/2))),IF(((22+0.5)*(4*IF(circ_int,0,eq_c1/2)+4*IF(circ_int,0,eq_c2/2)+2*PI()*(s_0+5*s_r+IF(circ_int,eq_c1/2,0)))/INDEX(lk_legs,6))&lt;((((2*IF(circ_int,0,eq_c2/2))+(PI()*(s_0+5*s_r+IF(circ_int,eq_c1/2,0))/2))+2*IF(circ_int,0,eq_c1/2))+(PI()*(s_0+5*s_r+IF(circ_int,eq_c1/2,0))/2)),-IF(circ_int,0,eq_c1/2)+(s_0+5*s_r+IF(circ_int,eq_c1/2,0))*COS(PI()/2+(((22+0.5)*(4*IF(circ_int,0,eq_c1/2)+4*IF(circ_int,0,eq_c2/2)+2*PI()*(s_0+5*s_r+IF(circ_int,eq_c1/2,0)))/INDEX(lk_legs,6))-(((2*IF(circ_int,0,eq_c2/2))+(PI()*(s_0+5*s_r+IF(circ_int,eq_c1/2,0))/2))+2*IF(circ_int,0,eq_c1/2)))/(s_0+5*s_r+IF(circ_int,eq_c1/2,0))),IF(((22+0.5)*(4*IF(circ_int,0,eq_c1/2)+4*IF(circ_int,0,eq_c2/2)+2*PI()*(s_0+5*s_r+IF(circ_int,eq_c1/2,0)))/INDEX(lk_legs,6))&lt;(((((2*IF(circ_int,0,eq_c2/2))+(PI()*(s_0+5*s_r+IF(circ_int,eq_c1/2,0))/2))+2*IF(circ_int,0,eq_c1/2))+(PI()*(s_0+5*s_r+IF(circ_int,eq_c1/2,0))/2))+2*IF(circ_int,0,eq_c2/2)),-IF(circ_int,0,eq_c1/2)-(s_0+5*s_r+IF(circ_int,eq_c1/2,0)),IF(((22+0.5)*(4*IF(circ_int,0,eq_c1/2)+4*IF(circ_int,0,eq_c2/2)+2*PI()*(s_0+5*s_r+IF(circ_int,eq_c1/2,0)))/INDEX(lk_legs,6))&lt;((((((2*IF(circ_int,0,eq_c2/2))+(PI()*(s_0+5*s_r+IF(circ_int,eq_c1/2,0))/2))+2*IF(circ_int,0,eq_c1/2))+(PI()*(s_0+5*s_r+IF(circ_int,eq_c1/2,0))/2))+2*IF(circ_int,0,eq_c2/2))+(PI()*(s_0+5*s_r+IF(circ_int,eq_c1/2,0))/2)),-IF(circ_int,0,eq_c1/2)+(s_0+5*s_r+IF(circ_int,eq_c1/2,0))*COS(PI()+(((22+0.5)*(4*IF(circ_int,0,eq_c1/2)+4*IF(circ_int,0,eq_c2/2)+2*PI()*(s_0+5*s_r+IF(circ_int,eq_c1/2,0)))/INDEX(lk_legs,6))-(((((2*IF(circ_int,0,eq_c2/2))+(PI()*(s_0+5*s_r+IF(circ_int,eq_c1/2,0))/2))+2*IF(circ_int,0,eq_c1/2))+(PI()*(s_0+5*s_r+IF(circ_int,eq_c1/2,0))/2))+2*IF(circ_int,0,eq_c2/2)))/(s_0+5*s_r+IF(circ_int,eq_c1/2,0))),IF(((22+0.5)*(4*IF(circ_int,0,eq_c1/2)+4*IF(circ_int,0,eq_c2/2)+2*PI()*(s_0+5*s_r+IF(circ_int,eq_c1/2,0)))/INDEX(lk_legs,6))&lt;(((((((2*IF(circ_int,0,eq_c2/2))+(PI()*(s_0+5*s_r+IF(circ_int,eq_c1/2,0))/2))+2*IF(circ_int,0,eq_c1/2))+(PI()*(s_0+5*s_r+IF(circ_int,eq_c1/2,0))/2))+2*IF(circ_int,0,eq_c2/2))+(PI()*(s_0+5*s_r+IF(circ_int,eq_c1/2,0))/2))+2*IF(circ_int,0,eq_c1/2)),-IF(circ_int,0,eq_c1/2)+(((22+0.5)*(4*IF(circ_int,0,eq_c1/2)+4*IF(circ_int,0,eq_c2/2)+2*PI()*(s_0+5*s_r+IF(circ_int,eq_c1/2,0)))/INDEX(lk_legs,6))-((((((2*IF(circ_int,0,eq_c2/2))+(PI()*(s_0+5*s_r+IF(circ_int,eq_c1/2,0))/2))+2*IF(circ_int,0,eq_c1/2))+(PI()*(s_0+5*s_r+IF(circ_int,eq_c1/2,0))/2))+2*IF(circ_int,0,eq_c2/2))+(PI()*(s_0+5*s_r+IF(circ_int,eq_c1/2,0))/2))),IF(circ_int,0,eq_c1/2)+(s_0+5*s_r+IF(circ_int,eq_c1/2,0))*COS(3*PI()/2+(((22+0.5)*(4*IF(circ_int,0,eq_c1/2)+4*IF(circ_int,0,eq_c2/2)+2*PI()*(s_0+5*s_r+IF(circ_int,eq_c1/2,0)))/INDEX(lk_legs,6))-(((((((2*IF(circ_int,0,eq_c2/2))+(PI()*(s_0+5*s_r+IF(circ_int,eq_c1/2,0))/2))+2*IF(circ_int,0,eq_c1/2))+(PI()*(s_0+5*s_r+IF(circ_int,eq_c1/2,0))/2))+2*IF(circ_int,0,eq_c2/2))+(PI()*(s_0+5*s_r+IF(circ_int,eq_c1/2,0))/2))+2*IF(circ_int,0,eq_c1/2)))/(s_0+5*s_r+IF(circ_int,eq_c1/2,0)))))))))),NA())</f>
        <v/>
      </c>
      <c r="CE25">
        <f>IF(AND(AND(links_on,6&lt;=n_per),INDEX(lk_kind,6)=1,22&lt;INDEX(lk_legs,6)),g_oy+IF(((22+0.5)*(4*IF(circ_int,0,eq_c1/2)+4*IF(circ_int,0,eq_c2/2)+2*PI()*(s_0+5*s_r+IF(circ_int,eq_c1/2,0)))/INDEX(lk_legs,6))&lt;(2*IF(circ_int,0,eq_c2/2)),-IF(circ_int,0,eq_c2/2)+((22+0.5)*(4*IF(circ_int,0,eq_c1/2)+4*IF(circ_int,0,eq_c2/2)+2*PI()*(s_0+5*s_r+IF(circ_int,eq_c1/2,0)))/INDEX(lk_legs,6)),IF(((22+0.5)*(4*IF(circ_int,0,eq_c1/2)+4*IF(circ_int,0,eq_c2/2)+2*PI()*(s_0+5*s_r+IF(circ_int,eq_c1/2,0)))/INDEX(lk_legs,6))&lt;((2*IF(circ_int,0,eq_c2/2))+(PI()*(s_0+5*s_r+IF(circ_int,eq_c1/2,0))/2)),IF(circ_int,0,eq_c2/2)+(s_0+5*s_r+IF(circ_int,eq_c1/2,0))*SIN((((22+0.5)*(4*IF(circ_int,0,eq_c1/2)+4*IF(circ_int,0,eq_c2/2)+2*PI()*(s_0+5*s_r+IF(circ_int,eq_c1/2,0)))/INDEX(lk_legs,6))-(2*IF(circ_int,0,eq_c2/2)))/(s_0+5*s_r+IF(circ_int,eq_c1/2,0))),IF(((22+0.5)*(4*IF(circ_int,0,eq_c1/2)+4*IF(circ_int,0,eq_c2/2)+2*PI()*(s_0+5*s_r+IF(circ_int,eq_c1/2,0)))/INDEX(lk_legs,6))&lt;(((2*IF(circ_int,0,eq_c2/2))+(PI()*(s_0+5*s_r+IF(circ_int,eq_c1/2,0))/2))+2*IF(circ_int,0,eq_c1/2)),IF(circ_int,0,eq_c2/2)+(s_0+5*s_r+IF(circ_int,eq_c1/2,0)),IF(((22+0.5)*(4*IF(circ_int,0,eq_c1/2)+4*IF(circ_int,0,eq_c2/2)+2*PI()*(s_0+5*s_r+IF(circ_int,eq_c1/2,0)))/INDEX(lk_legs,6))&lt;((((2*IF(circ_int,0,eq_c2/2))+(PI()*(s_0+5*s_r+IF(circ_int,eq_c1/2,0))/2))+2*IF(circ_int,0,eq_c1/2))+(PI()*(s_0+5*s_r+IF(circ_int,eq_c1/2,0))/2)),IF(circ_int,0,eq_c2/2)+(s_0+5*s_r+IF(circ_int,eq_c1/2,0))*SIN(PI()/2+(((22+0.5)*(4*IF(circ_int,0,eq_c1/2)+4*IF(circ_int,0,eq_c2/2)+2*PI()*(s_0+5*s_r+IF(circ_int,eq_c1/2,0)))/INDEX(lk_legs,6))-(((2*IF(circ_int,0,eq_c2/2))+(PI()*(s_0+5*s_r+IF(circ_int,eq_c1/2,0))/2))+2*IF(circ_int,0,eq_c1/2)))/(s_0+5*s_r+IF(circ_int,eq_c1/2,0))),IF(((22+0.5)*(4*IF(circ_int,0,eq_c1/2)+4*IF(circ_int,0,eq_c2/2)+2*PI()*(s_0+5*s_r+IF(circ_int,eq_c1/2,0)))/INDEX(lk_legs,6))&lt;(((((2*IF(circ_int,0,eq_c2/2))+(PI()*(s_0+5*s_r+IF(circ_int,eq_c1/2,0))/2))+2*IF(circ_int,0,eq_c1/2))+(PI()*(s_0+5*s_r+IF(circ_int,eq_c1/2,0))/2))+2*IF(circ_int,0,eq_c2/2)),IF(circ_int,0,eq_c2/2)-(((22+0.5)*(4*IF(circ_int,0,eq_c1/2)+4*IF(circ_int,0,eq_c2/2)+2*PI()*(s_0+5*s_r+IF(circ_int,eq_c1/2,0)))/INDEX(lk_legs,6))-((((2*IF(circ_int,0,eq_c2/2))+(PI()*(s_0+5*s_r+IF(circ_int,eq_c1/2,0))/2))+2*IF(circ_int,0,eq_c1/2))+(PI()*(s_0+5*s_r+IF(circ_int,eq_c1/2,0))/2))),IF(((22+0.5)*(4*IF(circ_int,0,eq_c1/2)+4*IF(circ_int,0,eq_c2/2)+2*PI()*(s_0+5*s_r+IF(circ_int,eq_c1/2,0)))/INDEX(lk_legs,6))&lt;((((((2*IF(circ_int,0,eq_c2/2))+(PI()*(s_0+5*s_r+IF(circ_int,eq_c1/2,0))/2))+2*IF(circ_int,0,eq_c1/2))+(PI()*(s_0+5*s_r+IF(circ_int,eq_c1/2,0))/2))+2*IF(circ_int,0,eq_c2/2))+(PI()*(s_0+5*s_r+IF(circ_int,eq_c1/2,0))/2)),-IF(circ_int,0,eq_c2/2)+(s_0+5*s_r+IF(circ_int,eq_c1/2,0))*SIN(PI()+(((22+0.5)*(4*IF(circ_int,0,eq_c1/2)+4*IF(circ_int,0,eq_c2/2)+2*PI()*(s_0+5*s_r+IF(circ_int,eq_c1/2,0)))/INDEX(lk_legs,6))-(((((2*IF(circ_int,0,eq_c2/2))+(PI()*(s_0+5*s_r+IF(circ_int,eq_c1/2,0))/2))+2*IF(circ_int,0,eq_c1/2))+(PI()*(s_0+5*s_r+IF(circ_int,eq_c1/2,0))/2))+2*IF(circ_int,0,eq_c2/2)))/(s_0+5*s_r+IF(circ_int,eq_c1/2,0))),IF(((22+0.5)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(22+0.5)*(4*IF(circ_int,0,eq_c1/2)+4*IF(circ_int,0,eq_c2/2)+2*PI()*(s_0+5*s_r+IF(circ_int,eq_c1/2,0)))/INDEX(lk_legs,6))-(((((((2*IF(circ_int,0,eq_c2/2))+(PI()*(s_0+5*s_r+IF(circ_int,eq_c1/2,0))/2))+2*IF(circ_int,0,eq_c1/2))+(PI()*(s_0+5*s_r+IF(circ_int,eq_c1/2,0))/2))+2*IF(circ_int,0,eq_c2/2))+(PI()*(s_0+5*s_r+IF(circ_int,eq_c1/2,0))/2))+2*IF(circ_int,0,eq_c1/2)))/(s_0+5*s_r+IF(circ_int,eq_c1/2,0)))))))))),NA())</f>
        <v/>
      </c>
      <c r="CG25">
        <f>IF(AND(links_on,7&lt;=n_per),IF(circ_int,(g_ox)+(c_1/2+(s_0+6*s_r))*-0.885456,CHOOSE(INDEX(lk_kind,7),(g_ox-eq_c1/2)+((s_0+6*s_r))*-0.923880,(eq_a1+eq_c1)+((s_0+6*s_r))*0.500000,eq_a1+eq_c1+(s_0+6*s_r),(eq_a1+eq_c1)+((s_0+6*s_r))*0.866025)),NA())</f>
        <v/>
      </c>
      <c r="CH25">
        <f>IF(AND(links_on,7&lt;=n_per),IF(circ_int,(g_oy)+(c_1/2+(s_0+6*s_r))*0.464723,CHOOSE(INDEX(lk_kind,7),(g_oy+eq_c2/2)+((s_0+6*s_r))*0.382683,(g_oy-eq_c2/2)+((s_0+6*s_r))*-0.866025,0,(eq_a2+eq_c2)+((s_0+6*s_r))*0.500000)),NA())</f>
        <v/>
      </c>
      <c r="CJ25">
        <f>IF(AND(AND(links_on,7&lt;=n_per),INDEX(lk_kind,7)=1,22&lt;INDEX(lk_legs,7)),g_ox+IF(((22+0.5)*(4*IF(circ_int,0,eq_c1/2)+4*IF(circ_int,0,eq_c2/2)+2*PI()*(s_0+6*s_r+IF(circ_int,eq_c1/2,0)))/INDEX(lk_legs,7))&lt;(2*IF(circ_int,0,eq_c2/2)),IF(circ_int,0,eq_c1/2)+(s_0+6*s_r+IF(circ_int,eq_c1/2,0)),IF(((22+0.5)*(4*IF(circ_int,0,eq_c1/2)+4*IF(circ_int,0,eq_c2/2)+2*PI()*(s_0+6*s_r+IF(circ_int,eq_c1/2,0)))/INDEX(lk_legs,7))&lt;((2*IF(circ_int,0,eq_c2/2))+(PI()*(s_0+6*s_r+IF(circ_int,eq_c1/2,0))/2)),IF(circ_int,0,eq_c1/2)+(s_0+6*s_r+IF(circ_int,eq_c1/2,0))*COS((((22+0.5)*(4*IF(circ_int,0,eq_c1/2)+4*IF(circ_int,0,eq_c2/2)+2*PI()*(s_0+6*s_r+IF(circ_int,eq_c1/2,0)))/INDEX(lk_legs,7))-(2*IF(circ_int,0,eq_c2/2)))/(s_0+6*s_r+IF(circ_int,eq_c1/2,0))),IF(((22+0.5)*(4*IF(circ_int,0,eq_c1/2)+4*IF(circ_int,0,eq_c2/2)+2*PI()*(s_0+6*s_r+IF(circ_int,eq_c1/2,0)))/INDEX(lk_legs,7))&lt;(((2*IF(circ_int,0,eq_c2/2))+(PI()*(s_0+6*s_r+IF(circ_int,eq_c1/2,0))/2))+2*IF(circ_int,0,eq_c1/2)),IF(circ_int,0,eq_c1/2)-(((22+0.5)*(4*IF(circ_int,0,eq_c1/2)+4*IF(circ_int,0,eq_c2/2)+2*PI()*(s_0+6*s_r+IF(circ_int,eq_c1/2,0)))/INDEX(lk_legs,7))-((2*IF(circ_int,0,eq_c2/2))+(PI()*(s_0+6*s_r+IF(circ_int,eq_c1/2,0))/2))),IF(((22+0.5)*(4*IF(circ_int,0,eq_c1/2)+4*IF(circ_int,0,eq_c2/2)+2*PI()*(s_0+6*s_r+IF(circ_int,eq_c1/2,0)))/INDEX(lk_legs,7))&lt;((((2*IF(circ_int,0,eq_c2/2))+(PI()*(s_0+6*s_r+IF(circ_int,eq_c1/2,0))/2))+2*IF(circ_int,0,eq_c1/2))+(PI()*(s_0+6*s_r+IF(circ_int,eq_c1/2,0))/2)),-IF(circ_int,0,eq_c1/2)+(s_0+6*s_r+IF(circ_int,eq_c1/2,0))*COS(PI()/2+(((22+0.5)*(4*IF(circ_int,0,eq_c1/2)+4*IF(circ_int,0,eq_c2/2)+2*PI()*(s_0+6*s_r+IF(circ_int,eq_c1/2,0)))/INDEX(lk_legs,7))-(((2*IF(circ_int,0,eq_c2/2))+(PI()*(s_0+6*s_r+IF(circ_int,eq_c1/2,0))/2))+2*IF(circ_int,0,eq_c1/2)))/(s_0+6*s_r+IF(circ_int,eq_c1/2,0))),IF(((22+0.5)*(4*IF(circ_int,0,eq_c1/2)+4*IF(circ_int,0,eq_c2/2)+2*PI()*(s_0+6*s_r+IF(circ_int,eq_c1/2,0)))/INDEX(lk_legs,7))&lt;(((((2*IF(circ_int,0,eq_c2/2))+(PI()*(s_0+6*s_r+IF(circ_int,eq_c1/2,0))/2))+2*IF(circ_int,0,eq_c1/2))+(PI()*(s_0+6*s_r+IF(circ_int,eq_c1/2,0))/2))+2*IF(circ_int,0,eq_c2/2)),-IF(circ_int,0,eq_c1/2)-(s_0+6*s_r+IF(circ_int,eq_c1/2,0)),IF(((22+0.5)*(4*IF(circ_int,0,eq_c1/2)+4*IF(circ_int,0,eq_c2/2)+2*PI()*(s_0+6*s_r+IF(circ_int,eq_c1/2,0)))/INDEX(lk_legs,7))&lt;((((((2*IF(circ_int,0,eq_c2/2))+(PI()*(s_0+6*s_r+IF(circ_int,eq_c1/2,0))/2))+2*IF(circ_int,0,eq_c1/2))+(PI()*(s_0+6*s_r+IF(circ_int,eq_c1/2,0))/2))+2*IF(circ_int,0,eq_c2/2))+(PI()*(s_0+6*s_r+IF(circ_int,eq_c1/2,0))/2)),-IF(circ_int,0,eq_c1/2)+(s_0+6*s_r+IF(circ_int,eq_c1/2,0))*COS(PI()+(((22+0.5)*(4*IF(circ_int,0,eq_c1/2)+4*IF(circ_int,0,eq_c2/2)+2*PI()*(s_0+6*s_r+IF(circ_int,eq_c1/2,0)))/INDEX(lk_legs,7))-(((((2*IF(circ_int,0,eq_c2/2))+(PI()*(s_0+6*s_r+IF(circ_int,eq_c1/2,0))/2))+2*IF(circ_int,0,eq_c1/2))+(PI()*(s_0+6*s_r+IF(circ_int,eq_c1/2,0))/2))+2*IF(circ_int,0,eq_c2/2)))/(s_0+6*s_r+IF(circ_int,eq_c1/2,0))),IF(((22+0.5)*(4*IF(circ_int,0,eq_c1/2)+4*IF(circ_int,0,eq_c2/2)+2*PI()*(s_0+6*s_r+IF(circ_int,eq_c1/2,0)))/INDEX(lk_legs,7))&lt;(((((((2*IF(circ_int,0,eq_c2/2))+(PI()*(s_0+6*s_r+IF(circ_int,eq_c1/2,0))/2))+2*IF(circ_int,0,eq_c1/2))+(PI()*(s_0+6*s_r+IF(circ_int,eq_c1/2,0))/2))+2*IF(circ_int,0,eq_c2/2))+(PI()*(s_0+6*s_r+IF(circ_int,eq_c1/2,0))/2))+2*IF(circ_int,0,eq_c1/2)),-IF(circ_int,0,eq_c1/2)+(((22+0.5)*(4*IF(circ_int,0,eq_c1/2)+4*IF(circ_int,0,eq_c2/2)+2*PI()*(s_0+6*s_r+IF(circ_int,eq_c1/2,0)))/INDEX(lk_legs,7))-((((((2*IF(circ_int,0,eq_c2/2))+(PI()*(s_0+6*s_r+IF(circ_int,eq_c1/2,0))/2))+2*IF(circ_int,0,eq_c1/2))+(PI()*(s_0+6*s_r+IF(circ_int,eq_c1/2,0))/2))+2*IF(circ_int,0,eq_c2/2))+(PI()*(s_0+6*s_r+IF(circ_int,eq_c1/2,0))/2))),IF(circ_int,0,eq_c1/2)+(s_0+6*s_r+IF(circ_int,eq_c1/2,0))*COS(3*PI()/2+(((22+0.5)*(4*IF(circ_int,0,eq_c1/2)+4*IF(circ_int,0,eq_c2/2)+2*PI()*(s_0+6*s_r+IF(circ_int,eq_c1/2,0)))/INDEX(lk_legs,7))-(((((((2*IF(circ_int,0,eq_c2/2))+(PI()*(s_0+6*s_r+IF(circ_int,eq_c1/2,0))/2))+2*IF(circ_int,0,eq_c1/2))+(PI()*(s_0+6*s_r+IF(circ_int,eq_c1/2,0))/2))+2*IF(circ_int,0,eq_c2/2))+(PI()*(s_0+6*s_r+IF(circ_int,eq_c1/2,0))/2))+2*IF(circ_int,0,eq_c1/2)))/(s_0+6*s_r+IF(circ_int,eq_c1/2,0)))))))))),NA())</f>
        <v/>
      </c>
      <c r="CK25">
        <f>IF(AND(AND(links_on,7&lt;=n_per),INDEX(lk_kind,7)=1,22&lt;INDEX(lk_legs,7)),g_oy+IF(((22+0.5)*(4*IF(circ_int,0,eq_c1/2)+4*IF(circ_int,0,eq_c2/2)+2*PI()*(s_0+6*s_r+IF(circ_int,eq_c1/2,0)))/INDEX(lk_legs,7))&lt;(2*IF(circ_int,0,eq_c2/2)),-IF(circ_int,0,eq_c2/2)+((22+0.5)*(4*IF(circ_int,0,eq_c1/2)+4*IF(circ_int,0,eq_c2/2)+2*PI()*(s_0+6*s_r+IF(circ_int,eq_c1/2,0)))/INDEX(lk_legs,7)),IF(((22+0.5)*(4*IF(circ_int,0,eq_c1/2)+4*IF(circ_int,0,eq_c2/2)+2*PI()*(s_0+6*s_r+IF(circ_int,eq_c1/2,0)))/INDEX(lk_legs,7))&lt;((2*IF(circ_int,0,eq_c2/2))+(PI()*(s_0+6*s_r+IF(circ_int,eq_c1/2,0))/2)),IF(circ_int,0,eq_c2/2)+(s_0+6*s_r+IF(circ_int,eq_c1/2,0))*SIN((((22+0.5)*(4*IF(circ_int,0,eq_c1/2)+4*IF(circ_int,0,eq_c2/2)+2*PI()*(s_0+6*s_r+IF(circ_int,eq_c1/2,0)))/INDEX(lk_legs,7))-(2*IF(circ_int,0,eq_c2/2)))/(s_0+6*s_r+IF(circ_int,eq_c1/2,0))),IF(((22+0.5)*(4*IF(circ_int,0,eq_c1/2)+4*IF(circ_int,0,eq_c2/2)+2*PI()*(s_0+6*s_r+IF(circ_int,eq_c1/2,0)))/INDEX(lk_legs,7))&lt;(((2*IF(circ_int,0,eq_c2/2))+(PI()*(s_0+6*s_r+IF(circ_int,eq_c1/2,0))/2))+2*IF(circ_int,0,eq_c1/2)),IF(circ_int,0,eq_c2/2)+(s_0+6*s_r+IF(circ_int,eq_c1/2,0)),IF(((22+0.5)*(4*IF(circ_int,0,eq_c1/2)+4*IF(circ_int,0,eq_c2/2)+2*PI()*(s_0+6*s_r+IF(circ_int,eq_c1/2,0)))/INDEX(lk_legs,7))&lt;((((2*IF(circ_int,0,eq_c2/2))+(PI()*(s_0+6*s_r+IF(circ_int,eq_c1/2,0))/2))+2*IF(circ_int,0,eq_c1/2))+(PI()*(s_0+6*s_r+IF(circ_int,eq_c1/2,0))/2)),IF(circ_int,0,eq_c2/2)+(s_0+6*s_r+IF(circ_int,eq_c1/2,0))*SIN(PI()/2+(((22+0.5)*(4*IF(circ_int,0,eq_c1/2)+4*IF(circ_int,0,eq_c2/2)+2*PI()*(s_0+6*s_r+IF(circ_int,eq_c1/2,0)))/INDEX(lk_legs,7))-(((2*IF(circ_int,0,eq_c2/2))+(PI()*(s_0+6*s_r+IF(circ_int,eq_c1/2,0))/2))+2*IF(circ_int,0,eq_c1/2)))/(s_0+6*s_r+IF(circ_int,eq_c1/2,0))),IF(((22+0.5)*(4*IF(circ_int,0,eq_c1/2)+4*IF(circ_int,0,eq_c2/2)+2*PI()*(s_0+6*s_r+IF(circ_int,eq_c1/2,0)))/INDEX(lk_legs,7))&lt;(((((2*IF(circ_int,0,eq_c2/2))+(PI()*(s_0+6*s_r+IF(circ_int,eq_c1/2,0))/2))+2*IF(circ_int,0,eq_c1/2))+(PI()*(s_0+6*s_r+IF(circ_int,eq_c1/2,0))/2))+2*IF(circ_int,0,eq_c2/2)),IF(circ_int,0,eq_c2/2)-(((22+0.5)*(4*IF(circ_int,0,eq_c1/2)+4*IF(circ_int,0,eq_c2/2)+2*PI()*(s_0+6*s_r+IF(circ_int,eq_c1/2,0)))/INDEX(lk_legs,7))-((((2*IF(circ_int,0,eq_c2/2))+(PI()*(s_0+6*s_r+IF(circ_int,eq_c1/2,0))/2))+2*IF(circ_int,0,eq_c1/2))+(PI()*(s_0+6*s_r+IF(circ_int,eq_c1/2,0))/2))),IF(((22+0.5)*(4*IF(circ_int,0,eq_c1/2)+4*IF(circ_int,0,eq_c2/2)+2*PI()*(s_0+6*s_r+IF(circ_int,eq_c1/2,0)))/INDEX(lk_legs,7))&lt;((((((2*IF(circ_int,0,eq_c2/2))+(PI()*(s_0+6*s_r+IF(circ_int,eq_c1/2,0))/2))+2*IF(circ_int,0,eq_c1/2))+(PI()*(s_0+6*s_r+IF(circ_int,eq_c1/2,0))/2))+2*IF(circ_int,0,eq_c2/2))+(PI()*(s_0+6*s_r+IF(circ_int,eq_c1/2,0))/2)),-IF(circ_int,0,eq_c2/2)+(s_0+6*s_r+IF(circ_int,eq_c1/2,0))*SIN(PI()+(((22+0.5)*(4*IF(circ_int,0,eq_c1/2)+4*IF(circ_int,0,eq_c2/2)+2*PI()*(s_0+6*s_r+IF(circ_int,eq_c1/2,0)))/INDEX(lk_legs,7))-(((((2*IF(circ_int,0,eq_c2/2))+(PI()*(s_0+6*s_r+IF(circ_int,eq_c1/2,0))/2))+2*IF(circ_int,0,eq_c1/2))+(PI()*(s_0+6*s_r+IF(circ_int,eq_c1/2,0))/2))+2*IF(circ_int,0,eq_c2/2)))/(s_0+6*s_r+IF(circ_int,eq_c1/2,0))),IF(((22+0.5)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(22+0.5)*(4*IF(circ_int,0,eq_c1/2)+4*IF(circ_int,0,eq_c2/2)+2*PI()*(s_0+6*s_r+IF(circ_int,eq_c1/2,0)))/INDEX(lk_legs,7))-(((((((2*IF(circ_int,0,eq_c2/2))+(PI()*(s_0+6*s_r+IF(circ_int,eq_c1/2,0))/2))+2*IF(circ_int,0,eq_c1/2))+(PI()*(s_0+6*s_r+IF(circ_int,eq_c1/2,0))/2))+2*IF(circ_int,0,eq_c2/2))+(PI()*(s_0+6*s_r+IF(circ_int,eq_c1/2,0))/2))+2*IF(circ_int,0,eq_c1/2)))/(s_0+6*s_r+IF(circ_int,eq_c1/2,0)))))))))),NA())</f>
        <v/>
      </c>
      <c r="CM25">
        <f>IF(AND(links_on,8&lt;=n_per),IF(circ_int,(g_ox)+(c_1/2+(s_0+7*s_r))*-0.885456,CHOOSE(INDEX(lk_kind,8),(g_ox-eq_c1/2)+((s_0+7*s_r))*-0.923880,(eq_a1+eq_c1)+((s_0+7*s_r))*0.500000,eq_a1+eq_c1+(s_0+7*s_r),(eq_a1+eq_c1)+((s_0+7*s_r))*0.866025)),NA())</f>
        <v/>
      </c>
      <c r="CN25">
        <f>IF(AND(links_on,8&lt;=n_per),IF(circ_int,(g_oy)+(c_1/2+(s_0+7*s_r))*0.464723,CHOOSE(INDEX(lk_kind,8),(g_oy+eq_c2/2)+((s_0+7*s_r))*0.382683,(g_oy-eq_c2/2)+((s_0+7*s_r))*-0.866025,0,(eq_a2+eq_c2)+((s_0+7*s_r))*0.500000)),NA())</f>
        <v/>
      </c>
      <c r="CP25">
        <f>IF(AND(AND(links_on,8&lt;=n_per),INDEX(lk_kind,8)=1,22&lt;INDEX(lk_legs,8)),g_ox+IF(((22+0.5)*(4*IF(circ_int,0,eq_c1/2)+4*IF(circ_int,0,eq_c2/2)+2*PI()*(s_0+7*s_r+IF(circ_int,eq_c1/2,0)))/INDEX(lk_legs,8))&lt;(2*IF(circ_int,0,eq_c2/2)),IF(circ_int,0,eq_c1/2)+(s_0+7*s_r+IF(circ_int,eq_c1/2,0)),IF(((22+0.5)*(4*IF(circ_int,0,eq_c1/2)+4*IF(circ_int,0,eq_c2/2)+2*PI()*(s_0+7*s_r+IF(circ_int,eq_c1/2,0)))/INDEX(lk_legs,8))&lt;((2*IF(circ_int,0,eq_c2/2))+(PI()*(s_0+7*s_r+IF(circ_int,eq_c1/2,0))/2)),IF(circ_int,0,eq_c1/2)+(s_0+7*s_r+IF(circ_int,eq_c1/2,0))*COS((((22+0.5)*(4*IF(circ_int,0,eq_c1/2)+4*IF(circ_int,0,eq_c2/2)+2*PI()*(s_0+7*s_r+IF(circ_int,eq_c1/2,0)))/INDEX(lk_legs,8))-(2*IF(circ_int,0,eq_c2/2)))/(s_0+7*s_r+IF(circ_int,eq_c1/2,0))),IF(((22+0.5)*(4*IF(circ_int,0,eq_c1/2)+4*IF(circ_int,0,eq_c2/2)+2*PI()*(s_0+7*s_r+IF(circ_int,eq_c1/2,0)))/INDEX(lk_legs,8))&lt;(((2*IF(circ_int,0,eq_c2/2))+(PI()*(s_0+7*s_r+IF(circ_int,eq_c1/2,0))/2))+2*IF(circ_int,0,eq_c1/2)),IF(circ_int,0,eq_c1/2)-(((22+0.5)*(4*IF(circ_int,0,eq_c1/2)+4*IF(circ_int,0,eq_c2/2)+2*PI()*(s_0+7*s_r+IF(circ_int,eq_c1/2,0)))/INDEX(lk_legs,8))-((2*IF(circ_int,0,eq_c2/2))+(PI()*(s_0+7*s_r+IF(circ_int,eq_c1/2,0))/2))),IF(((22+0.5)*(4*IF(circ_int,0,eq_c1/2)+4*IF(circ_int,0,eq_c2/2)+2*PI()*(s_0+7*s_r+IF(circ_int,eq_c1/2,0)))/INDEX(lk_legs,8))&lt;((((2*IF(circ_int,0,eq_c2/2))+(PI()*(s_0+7*s_r+IF(circ_int,eq_c1/2,0))/2))+2*IF(circ_int,0,eq_c1/2))+(PI()*(s_0+7*s_r+IF(circ_int,eq_c1/2,0))/2)),-IF(circ_int,0,eq_c1/2)+(s_0+7*s_r+IF(circ_int,eq_c1/2,0))*COS(PI()/2+(((22+0.5)*(4*IF(circ_int,0,eq_c1/2)+4*IF(circ_int,0,eq_c2/2)+2*PI()*(s_0+7*s_r+IF(circ_int,eq_c1/2,0)))/INDEX(lk_legs,8))-(((2*IF(circ_int,0,eq_c2/2))+(PI()*(s_0+7*s_r+IF(circ_int,eq_c1/2,0))/2))+2*IF(circ_int,0,eq_c1/2)))/(s_0+7*s_r+IF(circ_int,eq_c1/2,0))),IF(((22+0.5)*(4*IF(circ_int,0,eq_c1/2)+4*IF(circ_int,0,eq_c2/2)+2*PI()*(s_0+7*s_r+IF(circ_int,eq_c1/2,0)))/INDEX(lk_legs,8))&lt;(((((2*IF(circ_int,0,eq_c2/2))+(PI()*(s_0+7*s_r+IF(circ_int,eq_c1/2,0))/2))+2*IF(circ_int,0,eq_c1/2))+(PI()*(s_0+7*s_r+IF(circ_int,eq_c1/2,0))/2))+2*IF(circ_int,0,eq_c2/2)),-IF(circ_int,0,eq_c1/2)-(s_0+7*s_r+IF(circ_int,eq_c1/2,0)),IF(((22+0.5)*(4*IF(circ_int,0,eq_c1/2)+4*IF(circ_int,0,eq_c2/2)+2*PI()*(s_0+7*s_r+IF(circ_int,eq_c1/2,0)))/INDEX(lk_legs,8))&lt;((((((2*IF(circ_int,0,eq_c2/2))+(PI()*(s_0+7*s_r+IF(circ_int,eq_c1/2,0))/2))+2*IF(circ_int,0,eq_c1/2))+(PI()*(s_0+7*s_r+IF(circ_int,eq_c1/2,0))/2))+2*IF(circ_int,0,eq_c2/2))+(PI()*(s_0+7*s_r+IF(circ_int,eq_c1/2,0))/2)),-IF(circ_int,0,eq_c1/2)+(s_0+7*s_r+IF(circ_int,eq_c1/2,0))*COS(PI()+(((22+0.5)*(4*IF(circ_int,0,eq_c1/2)+4*IF(circ_int,0,eq_c2/2)+2*PI()*(s_0+7*s_r+IF(circ_int,eq_c1/2,0)))/INDEX(lk_legs,8))-(((((2*IF(circ_int,0,eq_c2/2))+(PI()*(s_0+7*s_r+IF(circ_int,eq_c1/2,0))/2))+2*IF(circ_int,0,eq_c1/2))+(PI()*(s_0+7*s_r+IF(circ_int,eq_c1/2,0))/2))+2*IF(circ_int,0,eq_c2/2)))/(s_0+7*s_r+IF(circ_int,eq_c1/2,0))),IF(((22+0.5)*(4*IF(circ_int,0,eq_c1/2)+4*IF(circ_int,0,eq_c2/2)+2*PI()*(s_0+7*s_r+IF(circ_int,eq_c1/2,0)))/INDEX(lk_legs,8))&lt;(((((((2*IF(circ_int,0,eq_c2/2))+(PI()*(s_0+7*s_r+IF(circ_int,eq_c1/2,0))/2))+2*IF(circ_int,0,eq_c1/2))+(PI()*(s_0+7*s_r+IF(circ_int,eq_c1/2,0))/2))+2*IF(circ_int,0,eq_c2/2))+(PI()*(s_0+7*s_r+IF(circ_int,eq_c1/2,0))/2))+2*IF(circ_int,0,eq_c1/2)),-IF(circ_int,0,eq_c1/2)+(((22+0.5)*(4*IF(circ_int,0,eq_c1/2)+4*IF(circ_int,0,eq_c2/2)+2*PI()*(s_0+7*s_r+IF(circ_int,eq_c1/2,0)))/INDEX(lk_legs,8))-((((((2*IF(circ_int,0,eq_c2/2))+(PI()*(s_0+7*s_r+IF(circ_int,eq_c1/2,0))/2))+2*IF(circ_int,0,eq_c1/2))+(PI()*(s_0+7*s_r+IF(circ_int,eq_c1/2,0))/2))+2*IF(circ_int,0,eq_c2/2))+(PI()*(s_0+7*s_r+IF(circ_int,eq_c1/2,0))/2))),IF(circ_int,0,eq_c1/2)+(s_0+7*s_r+IF(circ_int,eq_c1/2,0))*COS(3*PI()/2+(((22+0.5)*(4*IF(circ_int,0,eq_c1/2)+4*IF(circ_int,0,eq_c2/2)+2*PI()*(s_0+7*s_r+IF(circ_int,eq_c1/2,0)))/INDEX(lk_legs,8))-(((((((2*IF(circ_int,0,eq_c2/2))+(PI()*(s_0+7*s_r+IF(circ_int,eq_c1/2,0))/2))+2*IF(circ_int,0,eq_c1/2))+(PI()*(s_0+7*s_r+IF(circ_int,eq_c1/2,0))/2))+2*IF(circ_int,0,eq_c2/2))+(PI()*(s_0+7*s_r+IF(circ_int,eq_c1/2,0))/2))+2*IF(circ_int,0,eq_c1/2)))/(s_0+7*s_r+IF(circ_int,eq_c1/2,0)))))))))),NA())</f>
        <v/>
      </c>
      <c r="CQ25">
        <f>IF(AND(AND(links_on,8&lt;=n_per),INDEX(lk_kind,8)=1,22&lt;INDEX(lk_legs,8)),g_oy+IF(((22+0.5)*(4*IF(circ_int,0,eq_c1/2)+4*IF(circ_int,0,eq_c2/2)+2*PI()*(s_0+7*s_r+IF(circ_int,eq_c1/2,0)))/INDEX(lk_legs,8))&lt;(2*IF(circ_int,0,eq_c2/2)),-IF(circ_int,0,eq_c2/2)+((22+0.5)*(4*IF(circ_int,0,eq_c1/2)+4*IF(circ_int,0,eq_c2/2)+2*PI()*(s_0+7*s_r+IF(circ_int,eq_c1/2,0)))/INDEX(lk_legs,8)),IF(((22+0.5)*(4*IF(circ_int,0,eq_c1/2)+4*IF(circ_int,0,eq_c2/2)+2*PI()*(s_0+7*s_r+IF(circ_int,eq_c1/2,0)))/INDEX(lk_legs,8))&lt;((2*IF(circ_int,0,eq_c2/2))+(PI()*(s_0+7*s_r+IF(circ_int,eq_c1/2,0))/2)),IF(circ_int,0,eq_c2/2)+(s_0+7*s_r+IF(circ_int,eq_c1/2,0))*SIN((((22+0.5)*(4*IF(circ_int,0,eq_c1/2)+4*IF(circ_int,0,eq_c2/2)+2*PI()*(s_0+7*s_r+IF(circ_int,eq_c1/2,0)))/INDEX(lk_legs,8))-(2*IF(circ_int,0,eq_c2/2)))/(s_0+7*s_r+IF(circ_int,eq_c1/2,0))),IF(((22+0.5)*(4*IF(circ_int,0,eq_c1/2)+4*IF(circ_int,0,eq_c2/2)+2*PI()*(s_0+7*s_r+IF(circ_int,eq_c1/2,0)))/INDEX(lk_legs,8))&lt;(((2*IF(circ_int,0,eq_c2/2))+(PI()*(s_0+7*s_r+IF(circ_int,eq_c1/2,0))/2))+2*IF(circ_int,0,eq_c1/2)),IF(circ_int,0,eq_c2/2)+(s_0+7*s_r+IF(circ_int,eq_c1/2,0)),IF(((22+0.5)*(4*IF(circ_int,0,eq_c1/2)+4*IF(circ_int,0,eq_c2/2)+2*PI()*(s_0+7*s_r+IF(circ_int,eq_c1/2,0)))/INDEX(lk_legs,8))&lt;((((2*IF(circ_int,0,eq_c2/2))+(PI()*(s_0+7*s_r+IF(circ_int,eq_c1/2,0))/2))+2*IF(circ_int,0,eq_c1/2))+(PI()*(s_0+7*s_r+IF(circ_int,eq_c1/2,0))/2)),IF(circ_int,0,eq_c2/2)+(s_0+7*s_r+IF(circ_int,eq_c1/2,0))*SIN(PI()/2+(((22+0.5)*(4*IF(circ_int,0,eq_c1/2)+4*IF(circ_int,0,eq_c2/2)+2*PI()*(s_0+7*s_r+IF(circ_int,eq_c1/2,0)))/INDEX(lk_legs,8))-(((2*IF(circ_int,0,eq_c2/2))+(PI()*(s_0+7*s_r+IF(circ_int,eq_c1/2,0))/2))+2*IF(circ_int,0,eq_c1/2)))/(s_0+7*s_r+IF(circ_int,eq_c1/2,0))),IF(((22+0.5)*(4*IF(circ_int,0,eq_c1/2)+4*IF(circ_int,0,eq_c2/2)+2*PI()*(s_0+7*s_r+IF(circ_int,eq_c1/2,0)))/INDEX(lk_legs,8))&lt;(((((2*IF(circ_int,0,eq_c2/2))+(PI()*(s_0+7*s_r+IF(circ_int,eq_c1/2,0))/2))+2*IF(circ_int,0,eq_c1/2))+(PI()*(s_0+7*s_r+IF(circ_int,eq_c1/2,0))/2))+2*IF(circ_int,0,eq_c2/2)),IF(circ_int,0,eq_c2/2)-(((22+0.5)*(4*IF(circ_int,0,eq_c1/2)+4*IF(circ_int,0,eq_c2/2)+2*PI()*(s_0+7*s_r+IF(circ_int,eq_c1/2,0)))/INDEX(lk_legs,8))-((((2*IF(circ_int,0,eq_c2/2))+(PI()*(s_0+7*s_r+IF(circ_int,eq_c1/2,0))/2))+2*IF(circ_int,0,eq_c1/2))+(PI()*(s_0+7*s_r+IF(circ_int,eq_c1/2,0))/2))),IF(((22+0.5)*(4*IF(circ_int,0,eq_c1/2)+4*IF(circ_int,0,eq_c2/2)+2*PI()*(s_0+7*s_r+IF(circ_int,eq_c1/2,0)))/INDEX(lk_legs,8))&lt;((((((2*IF(circ_int,0,eq_c2/2))+(PI()*(s_0+7*s_r+IF(circ_int,eq_c1/2,0))/2))+2*IF(circ_int,0,eq_c1/2))+(PI()*(s_0+7*s_r+IF(circ_int,eq_c1/2,0))/2))+2*IF(circ_int,0,eq_c2/2))+(PI()*(s_0+7*s_r+IF(circ_int,eq_c1/2,0))/2)),-IF(circ_int,0,eq_c2/2)+(s_0+7*s_r+IF(circ_int,eq_c1/2,0))*SIN(PI()+(((22+0.5)*(4*IF(circ_int,0,eq_c1/2)+4*IF(circ_int,0,eq_c2/2)+2*PI()*(s_0+7*s_r+IF(circ_int,eq_c1/2,0)))/INDEX(lk_legs,8))-(((((2*IF(circ_int,0,eq_c2/2))+(PI()*(s_0+7*s_r+IF(circ_int,eq_c1/2,0))/2))+2*IF(circ_int,0,eq_c1/2))+(PI()*(s_0+7*s_r+IF(circ_int,eq_c1/2,0))/2))+2*IF(circ_int,0,eq_c2/2)))/(s_0+7*s_r+IF(circ_int,eq_c1/2,0))),IF(((22+0.5)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(22+0.5)*(4*IF(circ_int,0,eq_c1/2)+4*IF(circ_int,0,eq_c2/2)+2*PI()*(s_0+7*s_r+IF(circ_int,eq_c1/2,0)))/INDEX(lk_legs,8))-(((((((2*IF(circ_int,0,eq_c2/2))+(PI()*(s_0+7*s_r+IF(circ_int,eq_c1/2,0))/2))+2*IF(circ_int,0,eq_c1/2))+(PI()*(s_0+7*s_r+IF(circ_int,eq_c1/2,0))/2))+2*IF(circ_int,0,eq_c2/2))+(PI()*(s_0+7*s_r+IF(circ_int,eq_c1/2,0))/2))+2*IF(circ_int,0,eq_c1/2)))/(s_0+7*s_r+IF(circ_int,eq_c1/2,0)))))))))),NA())</f>
        <v/>
      </c>
      <c r="CS25">
        <f>IF(AND(links_on,9&lt;=n_per),IF(circ_int,(g_ox)+(c_1/2+(s_0+8*s_r))*-0.885456,CHOOSE(INDEX(lk_kind,9),(g_ox-eq_c1/2)+((s_0+8*s_r))*-0.923880,(eq_a1+eq_c1)+((s_0+8*s_r))*0.500000,eq_a1+eq_c1+(s_0+8*s_r),(eq_a1+eq_c1)+((s_0+8*s_r))*0.866025)),NA())</f>
        <v/>
      </c>
      <c r="CT25">
        <f>IF(AND(links_on,9&lt;=n_per),IF(circ_int,(g_oy)+(c_1/2+(s_0+8*s_r))*0.464723,CHOOSE(INDEX(lk_kind,9),(g_oy+eq_c2/2)+((s_0+8*s_r))*0.382683,(g_oy-eq_c2/2)+((s_0+8*s_r))*-0.866025,0,(eq_a2+eq_c2)+((s_0+8*s_r))*0.500000)),NA())</f>
        <v/>
      </c>
      <c r="CV25">
        <f>IF(AND(AND(links_on,9&lt;=n_per),INDEX(lk_kind,9)=1,22&lt;INDEX(lk_legs,9)),g_ox+IF(((22+0.5)*(4*IF(circ_int,0,eq_c1/2)+4*IF(circ_int,0,eq_c2/2)+2*PI()*(s_0+8*s_r+IF(circ_int,eq_c1/2,0)))/INDEX(lk_legs,9))&lt;(2*IF(circ_int,0,eq_c2/2)),IF(circ_int,0,eq_c1/2)+(s_0+8*s_r+IF(circ_int,eq_c1/2,0)),IF(((22+0.5)*(4*IF(circ_int,0,eq_c1/2)+4*IF(circ_int,0,eq_c2/2)+2*PI()*(s_0+8*s_r+IF(circ_int,eq_c1/2,0)))/INDEX(lk_legs,9))&lt;((2*IF(circ_int,0,eq_c2/2))+(PI()*(s_0+8*s_r+IF(circ_int,eq_c1/2,0))/2)),IF(circ_int,0,eq_c1/2)+(s_0+8*s_r+IF(circ_int,eq_c1/2,0))*COS((((22+0.5)*(4*IF(circ_int,0,eq_c1/2)+4*IF(circ_int,0,eq_c2/2)+2*PI()*(s_0+8*s_r+IF(circ_int,eq_c1/2,0)))/INDEX(lk_legs,9))-(2*IF(circ_int,0,eq_c2/2)))/(s_0+8*s_r+IF(circ_int,eq_c1/2,0))),IF(((22+0.5)*(4*IF(circ_int,0,eq_c1/2)+4*IF(circ_int,0,eq_c2/2)+2*PI()*(s_0+8*s_r+IF(circ_int,eq_c1/2,0)))/INDEX(lk_legs,9))&lt;(((2*IF(circ_int,0,eq_c2/2))+(PI()*(s_0+8*s_r+IF(circ_int,eq_c1/2,0))/2))+2*IF(circ_int,0,eq_c1/2)),IF(circ_int,0,eq_c1/2)-(((22+0.5)*(4*IF(circ_int,0,eq_c1/2)+4*IF(circ_int,0,eq_c2/2)+2*PI()*(s_0+8*s_r+IF(circ_int,eq_c1/2,0)))/INDEX(lk_legs,9))-((2*IF(circ_int,0,eq_c2/2))+(PI()*(s_0+8*s_r+IF(circ_int,eq_c1/2,0))/2))),IF(((22+0.5)*(4*IF(circ_int,0,eq_c1/2)+4*IF(circ_int,0,eq_c2/2)+2*PI()*(s_0+8*s_r+IF(circ_int,eq_c1/2,0)))/INDEX(lk_legs,9))&lt;((((2*IF(circ_int,0,eq_c2/2))+(PI()*(s_0+8*s_r+IF(circ_int,eq_c1/2,0))/2))+2*IF(circ_int,0,eq_c1/2))+(PI()*(s_0+8*s_r+IF(circ_int,eq_c1/2,0))/2)),-IF(circ_int,0,eq_c1/2)+(s_0+8*s_r+IF(circ_int,eq_c1/2,0))*COS(PI()/2+(((22+0.5)*(4*IF(circ_int,0,eq_c1/2)+4*IF(circ_int,0,eq_c2/2)+2*PI()*(s_0+8*s_r+IF(circ_int,eq_c1/2,0)))/INDEX(lk_legs,9))-(((2*IF(circ_int,0,eq_c2/2))+(PI()*(s_0+8*s_r+IF(circ_int,eq_c1/2,0))/2))+2*IF(circ_int,0,eq_c1/2)))/(s_0+8*s_r+IF(circ_int,eq_c1/2,0))),IF(((22+0.5)*(4*IF(circ_int,0,eq_c1/2)+4*IF(circ_int,0,eq_c2/2)+2*PI()*(s_0+8*s_r+IF(circ_int,eq_c1/2,0)))/INDEX(lk_legs,9))&lt;(((((2*IF(circ_int,0,eq_c2/2))+(PI()*(s_0+8*s_r+IF(circ_int,eq_c1/2,0))/2))+2*IF(circ_int,0,eq_c1/2))+(PI()*(s_0+8*s_r+IF(circ_int,eq_c1/2,0))/2))+2*IF(circ_int,0,eq_c2/2)),-IF(circ_int,0,eq_c1/2)-(s_0+8*s_r+IF(circ_int,eq_c1/2,0)),IF(((22+0.5)*(4*IF(circ_int,0,eq_c1/2)+4*IF(circ_int,0,eq_c2/2)+2*PI()*(s_0+8*s_r+IF(circ_int,eq_c1/2,0)))/INDEX(lk_legs,9))&lt;((((((2*IF(circ_int,0,eq_c2/2))+(PI()*(s_0+8*s_r+IF(circ_int,eq_c1/2,0))/2))+2*IF(circ_int,0,eq_c1/2))+(PI()*(s_0+8*s_r+IF(circ_int,eq_c1/2,0))/2))+2*IF(circ_int,0,eq_c2/2))+(PI()*(s_0+8*s_r+IF(circ_int,eq_c1/2,0))/2)),-IF(circ_int,0,eq_c1/2)+(s_0+8*s_r+IF(circ_int,eq_c1/2,0))*COS(PI()+(((22+0.5)*(4*IF(circ_int,0,eq_c1/2)+4*IF(circ_int,0,eq_c2/2)+2*PI()*(s_0+8*s_r+IF(circ_int,eq_c1/2,0)))/INDEX(lk_legs,9))-(((((2*IF(circ_int,0,eq_c2/2))+(PI()*(s_0+8*s_r+IF(circ_int,eq_c1/2,0))/2))+2*IF(circ_int,0,eq_c1/2))+(PI()*(s_0+8*s_r+IF(circ_int,eq_c1/2,0))/2))+2*IF(circ_int,0,eq_c2/2)))/(s_0+8*s_r+IF(circ_int,eq_c1/2,0))),IF(((22+0.5)*(4*IF(circ_int,0,eq_c1/2)+4*IF(circ_int,0,eq_c2/2)+2*PI()*(s_0+8*s_r+IF(circ_int,eq_c1/2,0)))/INDEX(lk_legs,9))&lt;(((((((2*IF(circ_int,0,eq_c2/2))+(PI()*(s_0+8*s_r+IF(circ_int,eq_c1/2,0))/2))+2*IF(circ_int,0,eq_c1/2))+(PI()*(s_0+8*s_r+IF(circ_int,eq_c1/2,0))/2))+2*IF(circ_int,0,eq_c2/2))+(PI()*(s_0+8*s_r+IF(circ_int,eq_c1/2,0))/2))+2*IF(circ_int,0,eq_c1/2)),-IF(circ_int,0,eq_c1/2)+(((22+0.5)*(4*IF(circ_int,0,eq_c1/2)+4*IF(circ_int,0,eq_c2/2)+2*PI()*(s_0+8*s_r+IF(circ_int,eq_c1/2,0)))/INDEX(lk_legs,9))-((((((2*IF(circ_int,0,eq_c2/2))+(PI()*(s_0+8*s_r+IF(circ_int,eq_c1/2,0))/2))+2*IF(circ_int,0,eq_c1/2))+(PI()*(s_0+8*s_r+IF(circ_int,eq_c1/2,0))/2))+2*IF(circ_int,0,eq_c2/2))+(PI()*(s_0+8*s_r+IF(circ_int,eq_c1/2,0))/2))),IF(circ_int,0,eq_c1/2)+(s_0+8*s_r+IF(circ_int,eq_c1/2,0))*COS(3*PI()/2+(((22+0.5)*(4*IF(circ_int,0,eq_c1/2)+4*IF(circ_int,0,eq_c2/2)+2*PI()*(s_0+8*s_r+IF(circ_int,eq_c1/2,0)))/INDEX(lk_legs,9))-(((((((2*IF(circ_int,0,eq_c2/2))+(PI()*(s_0+8*s_r+IF(circ_int,eq_c1/2,0))/2))+2*IF(circ_int,0,eq_c1/2))+(PI()*(s_0+8*s_r+IF(circ_int,eq_c1/2,0))/2))+2*IF(circ_int,0,eq_c2/2))+(PI()*(s_0+8*s_r+IF(circ_int,eq_c1/2,0))/2))+2*IF(circ_int,0,eq_c1/2)))/(s_0+8*s_r+IF(circ_int,eq_c1/2,0)))))))))),NA())</f>
        <v/>
      </c>
      <c r="CW25">
        <f>IF(AND(AND(links_on,9&lt;=n_per),INDEX(lk_kind,9)=1,22&lt;INDEX(lk_legs,9)),g_oy+IF(((22+0.5)*(4*IF(circ_int,0,eq_c1/2)+4*IF(circ_int,0,eq_c2/2)+2*PI()*(s_0+8*s_r+IF(circ_int,eq_c1/2,0)))/INDEX(lk_legs,9))&lt;(2*IF(circ_int,0,eq_c2/2)),-IF(circ_int,0,eq_c2/2)+((22+0.5)*(4*IF(circ_int,0,eq_c1/2)+4*IF(circ_int,0,eq_c2/2)+2*PI()*(s_0+8*s_r+IF(circ_int,eq_c1/2,0)))/INDEX(lk_legs,9)),IF(((22+0.5)*(4*IF(circ_int,0,eq_c1/2)+4*IF(circ_int,0,eq_c2/2)+2*PI()*(s_0+8*s_r+IF(circ_int,eq_c1/2,0)))/INDEX(lk_legs,9))&lt;((2*IF(circ_int,0,eq_c2/2))+(PI()*(s_0+8*s_r+IF(circ_int,eq_c1/2,0))/2)),IF(circ_int,0,eq_c2/2)+(s_0+8*s_r+IF(circ_int,eq_c1/2,0))*SIN((((22+0.5)*(4*IF(circ_int,0,eq_c1/2)+4*IF(circ_int,0,eq_c2/2)+2*PI()*(s_0+8*s_r+IF(circ_int,eq_c1/2,0)))/INDEX(lk_legs,9))-(2*IF(circ_int,0,eq_c2/2)))/(s_0+8*s_r+IF(circ_int,eq_c1/2,0))),IF(((22+0.5)*(4*IF(circ_int,0,eq_c1/2)+4*IF(circ_int,0,eq_c2/2)+2*PI()*(s_0+8*s_r+IF(circ_int,eq_c1/2,0)))/INDEX(lk_legs,9))&lt;(((2*IF(circ_int,0,eq_c2/2))+(PI()*(s_0+8*s_r+IF(circ_int,eq_c1/2,0))/2))+2*IF(circ_int,0,eq_c1/2)),IF(circ_int,0,eq_c2/2)+(s_0+8*s_r+IF(circ_int,eq_c1/2,0)),IF(((22+0.5)*(4*IF(circ_int,0,eq_c1/2)+4*IF(circ_int,0,eq_c2/2)+2*PI()*(s_0+8*s_r+IF(circ_int,eq_c1/2,0)))/INDEX(lk_legs,9))&lt;((((2*IF(circ_int,0,eq_c2/2))+(PI()*(s_0+8*s_r+IF(circ_int,eq_c1/2,0))/2))+2*IF(circ_int,0,eq_c1/2))+(PI()*(s_0+8*s_r+IF(circ_int,eq_c1/2,0))/2)),IF(circ_int,0,eq_c2/2)+(s_0+8*s_r+IF(circ_int,eq_c1/2,0))*SIN(PI()/2+(((22+0.5)*(4*IF(circ_int,0,eq_c1/2)+4*IF(circ_int,0,eq_c2/2)+2*PI()*(s_0+8*s_r+IF(circ_int,eq_c1/2,0)))/INDEX(lk_legs,9))-(((2*IF(circ_int,0,eq_c2/2))+(PI()*(s_0+8*s_r+IF(circ_int,eq_c1/2,0))/2))+2*IF(circ_int,0,eq_c1/2)))/(s_0+8*s_r+IF(circ_int,eq_c1/2,0))),IF(((22+0.5)*(4*IF(circ_int,0,eq_c1/2)+4*IF(circ_int,0,eq_c2/2)+2*PI()*(s_0+8*s_r+IF(circ_int,eq_c1/2,0)))/INDEX(lk_legs,9))&lt;(((((2*IF(circ_int,0,eq_c2/2))+(PI()*(s_0+8*s_r+IF(circ_int,eq_c1/2,0))/2))+2*IF(circ_int,0,eq_c1/2))+(PI()*(s_0+8*s_r+IF(circ_int,eq_c1/2,0))/2))+2*IF(circ_int,0,eq_c2/2)),IF(circ_int,0,eq_c2/2)-(((22+0.5)*(4*IF(circ_int,0,eq_c1/2)+4*IF(circ_int,0,eq_c2/2)+2*PI()*(s_0+8*s_r+IF(circ_int,eq_c1/2,0)))/INDEX(lk_legs,9))-((((2*IF(circ_int,0,eq_c2/2))+(PI()*(s_0+8*s_r+IF(circ_int,eq_c1/2,0))/2))+2*IF(circ_int,0,eq_c1/2))+(PI()*(s_0+8*s_r+IF(circ_int,eq_c1/2,0))/2))),IF(((22+0.5)*(4*IF(circ_int,0,eq_c1/2)+4*IF(circ_int,0,eq_c2/2)+2*PI()*(s_0+8*s_r+IF(circ_int,eq_c1/2,0)))/INDEX(lk_legs,9))&lt;((((((2*IF(circ_int,0,eq_c2/2))+(PI()*(s_0+8*s_r+IF(circ_int,eq_c1/2,0))/2))+2*IF(circ_int,0,eq_c1/2))+(PI()*(s_0+8*s_r+IF(circ_int,eq_c1/2,0))/2))+2*IF(circ_int,0,eq_c2/2))+(PI()*(s_0+8*s_r+IF(circ_int,eq_c1/2,0))/2)),-IF(circ_int,0,eq_c2/2)+(s_0+8*s_r+IF(circ_int,eq_c1/2,0))*SIN(PI()+(((22+0.5)*(4*IF(circ_int,0,eq_c1/2)+4*IF(circ_int,0,eq_c2/2)+2*PI()*(s_0+8*s_r+IF(circ_int,eq_c1/2,0)))/INDEX(lk_legs,9))-(((((2*IF(circ_int,0,eq_c2/2))+(PI()*(s_0+8*s_r+IF(circ_int,eq_c1/2,0))/2))+2*IF(circ_int,0,eq_c1/2))+(PI()*(s_0+8*s_r+IF(circ_int,eq_c1/2,0))/2))+2*IF(circ_int,0,eq_c2/2)))/(s_0+8*s_r+IF(circ_int,eq_c1/2,0))),IF(((22+0.5)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(22+0.5)*(4*IF(circ_int,0,eq_c1/2)+4*IF(circ_int,0,eq_c2/2)+2*PI()*(s_0+8*s_r+IF(circ_int,eq_c1/2,0)))/INDEX(lk_legs,9))-(((((((2*IF(circ_int,0,eq_c2/2))+(PI()*(s_0+8*s_r+IF(circ_int,eq_c1/2,0))/2))+2*IF(circ_int,0,eq_c1/2))+(PI()*(s_0+8*s_r+IF(circ_int,eq_c1/2,0))/2))+2*IF(circ_int,0,eq_c2/2))+(PI()*(s_0+8*s_r+IF(circ_int,eq_c1/2,0))/2))+2*IF(circ_int,0,eq_c1/2)))/(s_0+8*s_r+IF(circ_int,eq_c1/2,0)))))))))),NA())</f>
        <v/>
      </c>
      <c r="CY25">
        <f>IF(AND(links_on,10&lt;=n_per),IF(circ_int,(g_ox)+(c_1/2+(s_0+9*s_r))*-0.885456,CHOOSE(INDEX(lk_kind,10),(g_ox-eq_c1/2)+((s_0+9*s_r))*-0.923880,(eq_a1+eq_c1)+((s_0+9*s_r))*0.500000,eq_a1+eq_c1+(s_0+9*s_r),(eq_a1+eq_c1)+((s_0+9*s_r))*0.866025)),NA())</f>
        <v/>
      </c>
      <c r="CZ25">
        <f>IF(AND(links_on,10&lt;=n_per),IF(circ_int,(g_oy)+(c_1/2+(s_0+9*s_r))*0.464723,CHOOSE(INDEX(lk_kind,10),(g_oy+eq_c2/2)+((s_0+9*s_r))*0.382683,(g_oy-eq_c2/2)+((s_0+9*s_r))*-0.866025,0,(eq_a2+eq_c2)+((s_0+9*s_r))*0.500000)),NA())</f>
        <v/>
      </c>
      <c r="DB25">
        <f>IF(AND(AND(links_on,10&lt;=n_per),INDEX(lk_kind,10)=1,22&lt;INDEX(lk_legs,10)),g_ox+IF(((22+0.5)*(4*IF(circ_int,0,eq_c1/2)+4*IF(circ_int,0,eq_c2/2)+2*PI()*(s_0+9*s_r+IF(circ_int,eq_c1/2,0)))/INDEX(lk_legs,10))&lt;(2*IF(circ_int,0,eq_c2/2)),IF(circ_int,0,eq_c1/2)+(s_0+9*s_r+IF(circ_int,eq_c1/2,0)),IF(((22+0.5)*(4*IF(circ_int,0,eq_c1/2)+4*IF(circ_int,0,eq_c2/2)+2*PI()*(s_0+9*s_r+IF(circ_int,eq_c1/2,0)))/INDEX(lk_legs,10))&lt;((2*IF(circ_int,0,eq_c2/2))+(PI()*(s_0+9*s_r+IF(circ_int,eq_c1/2,0))/2)),IF(circ_int,0,eq_c1/2)+(s_0+9*s_r+IF(circ_int,eq_c1/2,0))*COS((((22+0.5)*(4*IF(circ_int,0,eq_c1/2)+4*IF(circ_int,0,eq_c2/2)+2*PI()*(s_0+9*s_r+IF(circ_int,eq_c1/2,0)))/INDEX(lk_legs,10))-(2*IF(circ_int,0,eq_c2/2)))/(s_0+9*s_r+IF(circ_int,eq_c1/2,0))),IF(((22+0.5)*(4*IF(circ_int,0,eq_c1/2)+4*IF(circ_int,0,eq_c2/2)+2*PI()*(s_0+9*s_r+IF(circ_int,eq_c1/2,0)))/INDEX(lk_legs,10))&lt;(((2*IF(circ_int,0,eq_c2/2))+(PI()*(s_0+9*s_r+IF(circ_int,eq_c1/2,0))/2))+2*IF(circ_int,0,eq_c1/2)),IF(circ_int,0,eq_c1/2)-(((22+0.5)*(4*IF(circ_int,0,eq_c1/2)+4*IF(circ_int,0,eq_c2/2)+2*PI()*(s_0+9*s_r+IF(circ_int,eq_c1/2,0)))/INDEX(lk_legs,10))-((2*IF(circ_int,0,eq_c2/2))+(PI()*(s_0+9*s_r+IF(circ_int,eq_c1/2,0))/2))),IF(((22+0.5)*(4*IF(circ_int,0,eq_c1/2)+4*IF(circ_int,0,eq_c2/2)+2*PI()*(s_0+9*s_r+IF(circ_int,eq_c1/2,0)))/INDEX(lk_legs,10))&lt;((((2*IF(circ_int,0,eq_c2/2))+(PI()*(s_0+9*s_r+IF(circ_int,eq_c1/2,0))/2))+2*IF(circ_int,0,eq_c1/2))+(PI()*(s_0+9*s_r+IF(circ_int,eq_c1/2,0))/2)),-IF(circ_int,0,eq_c1/2)+(s_0+9*s_r+IF(circ_int,eq_c1/2,0))*COS(PI()/2+(((22+0.5)*(4*IF(circ_int,0,eq_c1/2)+4*IF(circ_int,0,eq_c2/2)+2*PI()*(s_0+9*s_r+IF(circ_int,eq_c1/2,0)))/INDEX(lk_legs,10))-(((2*IF(circ_int,0,eq_c2/2))+(PI()*(s_0+9*s_r+IF(circ_int,eq_c1/2,0))/2))+2*IF(circ_int,0,eq_c1/2)))/(s_0+9*s_r+IF(circ_int,eq_c1/2,0))),IF(((22+0.5)*(4*IF(circ_int,0,eq_c1/2)+4*IF(circ_int,0,eq_c2/2)+2*PI()*(s_0+9*s_r+IF(circ_int,eq_c1/2,0)))/INDEX(lk_legs,10))&lt;(((((2*IF(circ_int,0,eq_c2/2))+(PI()*(s_0+9*s_r+IF(circ_int,eq_c1/2,0))/2))+2*IF(circ_int,0,eq_c1/2))+(PI()*(s_0+9*s_r+IF(circ_int,eq_c1/2,0))/2))+2*IF(circ_int,0,eq_c2/2)),-IF(circ_int,0,eq_c1/2)-(s_0+9*s_r+IF(circ_int,eq_c1/2,0)),IF(((22+0.5)*(4*IF(circ_int,0,eq_c1/2)+4*IF(circ_int,0,eq_c2/2)+2*PI()*(s_0+9*s_r+IF(circ_int,eq_c1/2,0)))/INDEX(lk_legs,10))&lt;((((((2*IF(circ_int,0,eq_c2/2))+(PI()*(s_0+9*s_r+IF(circ_int,eq_c1/2,0))/2))+2*IF(circ_int,0,eq_c1/2))+(PI()*(s_0+9*s_r+IF(circ_int,eq_c1/2,0))/2))+2*IF(circ_int,0,eq_c2/2))+(PI()*(s_0+9*s_r+IF(circ_int,eq_c1/2,0))/2)),-IF(circ_int,0,eq_c1/2)+(s_0+9*s_r+IF(circ_int,eq_c1/2,0))*COS(PI()+(((22+0.5)*(4*IF(circ_int,0,eq_c1/2)+4*IF(circ_int,0,eq_c2/2)+2*PI()*(s_0+9*s_r+IF(circ_int,eq_c1/2,0)))/INDEX(lk_legs,10))-(((((2*IF(circ_int,0,eq_c2/2))+(PI()*(s_0+9*s_r+IF(circ_int,eq_c1/2,0))/2))+2*IF(circ_int,0,eq_c1/2))+(PI()*(s_0+9*s_r+IF(circ_int,eq_c1/2,0))/2))+2*IF(circ_int,0,eq_c2/2)))/(s_0+9*s_r+IF(circ_int,eq_c1/2,0))),IF(((22+0.5)*(4*IF(circ_int,0,eq_c1/2)+4*IF(circ_int,0,eq_c2/2)+2*PI()*(s_0+9*s_r+IF(circ_int,eq_c1/2,0)))/INDEX(lk_legs,10))&lt;(((((((2*IF(circ_int,0,eq_c2/2))+(PI()*(s_0+9*s_r+IF(circ_int,eq_c1/2,0))/2))+2*IF(circ_int,0,eq_c1/2))+(PI()*(s_0+9*s_r+IF(circ_int,eq_c1/2,0))/2))+2*IF(circ_int,0,eq_c2/2))+(PI()*(s_0+9*s_r+IF(circ_int,eq_c1/2,0))/2))+2*IF(circ_int,0,eq_c1/2)),-IF(circ_int,0,eq_c1/2)+(((22+0.5)*(4*IF(circ_int,0,eq_c1/2)+4*IF(circ_int,0,eq_c2/2)+2*PI()*(s_0+9*s_r+IF(circ_int,eq_c1/2,0)))/INDEX(lk_legs,10))-((((((2*IF(circ_int,0,eq_c2/2))+(PI()*(s_0+9*s_r+IF(circ_int,eq_c1/2,0))/2))+2*IF(circ_int,0,eq_c1/2))+(PI()*(s_0+9*s_r+IF(circ_int,eq_c1/2,0))/2))+2*IF(circ_int,0,eq_c2/2))+(PI()*(s_0+9*s_r+IF(circ_int,eq_c1/2,0))/2))),IF(circ_int,0,eq_c1/2)+(s_0+9*s_r+IF(circ_int,eq_c1/2,0))*COS(3*PI()/2+(((22+0.5)*(4*IF(circ_int,0,eq_c1/2)+4*IF(circ_int,0,eq_c2/2)+2*PI()*(s_0+9*s_r+IF(circ_int,eq_c1/2,0)))/INDEX(lk_legs,10))-(((((((2*IF(circ_int,0,eq_c2/2))+(PI()*(s_0+9*s_r+IF(circ_int,eq_c1/2,0))/2))+2*IF(circ_int,0,eq_c1/2))+(PI()*(s_0+9*s_r+IF(circ_int,eq_c1/2,0))/2))+2*IF(circ_int,0,eq_c2/2))+(PI()*(s_0+9*s_r+IF(circ_int,eq_c1/2,0))/2))+2*IF(circ_int,0,eq_c1/2)))/(s_0+9*s_r+IF(circ_int,eq_c1/2,0)))))))))),NA())</f>
        <v/>
      </c>
      <c r="DC25">
        <f>IF(AND(AND(links_on,10&lt;=n_per),INDEX(lk_kind,10)=1,22&lt;INDEX(lk_legs,10)),g_oy+IF(((22+0.5)*(4*IF(circ_int,0,eq_c1/2)+4*IF(circ_int,0,eq_c2/2)+2*PI()*(s_0+9*s_r+IF(circ_int,eq_c1/2,0)))/INDEX(lk_legs,10))&lt;(2*IF(circ_int,0,eq_c2/2)),-IF(circ_int,0,eq_c2/2)+((22+0.5)*(4*IF(circ_int,0,eq_c1/2)+4*IF(circ_int,0,eq_c2/2)+2*PI()*(s_0+9*s_r+IF(circ_int,eq_c1/2,0)))/INDEX(lk_legs,10)),IF(((22+0.5)*(4*IF(circ_int,0,eq_c1/2)+4*IF(circ_int,0,eq_c2/2)+2*PI()*(s_0+9*s_r+IF(circ_int,eq_c1/2,0)))/INDEX(lk_legs,10))&lt;((2*IF(circ_int,0,eq_c2/2))+(PI()*(s_0+9*s_r+IF(circ_int,eq_c1/2,0))/2)),IF(circ_int,0,eq_c2/2)+(s_0+9*s_r+IF(circ_int,eq_c1/2,0))*SIN((((22+0.5)*(4*IF(circ_int,0,eq_c1/2)+4*IF(circ_int,0,eq_c2/2)+2*PI()*(s_0+9*s_r+IF(circ_int,eq_c1/2,0)))/INDEX(lk_legs,10))-(2*IF(circ_int,0,eq_c2/2)))/(s_0+9*s_r+IF(circ_int,eq_c1/2,0))),IF(((22+0.5)*(4*IF(circ_int,0,eq_c1/2)+4*IF(circ_int,0,eq_c2/2)+2*PI()*(s_0+9*s_r+IF(circ_int,eq_c1/2,0)))/INDEX(lk_legs,10))&lt;(((2*IF(circ_int,0,eq_c2/2))+(PI()*(s_0+9*s_r+IF(circ_int,eq_c1/2,0))/2))+2*IF(circ_int,0,eq_c1/2)),IF(circ_int,0,eq_c2/2)+(s_0+9*s_r+IF(circ_int,eq_c1/2,0)),IF(((22+0.5)*(4*IF(circ_int,0,eq_c1/2)+4*IF(circ_int,0,eq_c2/2)+2*PI()*(s_0+9*s_r+IF(circ_int,eq_c1/2,0)))/INDEX(lk_legs,10))&lt;((((2*IF(circ_int,0,eq_c2/2))+(PI()*(s_0+9*s_r+IF(circ_int,eq_c1/2,0))/2))+2*IF(circ_int,0,eq_c1/2))+(PI()*(s_0+9*s_r+IF(circ_int,eq_c1/2,0))/2)),IF(circ_int,0,eq_c2/2)+(s_0+9*s_r+IF(circ_int,eq_c1/2,0))*SIN(PI()/2+(((22+0.5)*(4*IF(circ_int,0,eq_c1/2)+4*IF(circ_int,0,eq_c2/2)+2*PI()*(s_0+9*s_r+IF(circ_int,eq_c1/2,0)))/INDEX(lk_legs,10))-(((2*IF(circ_int,0,eq_c2/2))+(PI()*(s_0+9*s_r+IF(circ_int,eq_c1/2,0))/2))+2*IF(circ_int,0,eq_c1/2)))/(s_0+9*s_r+IF(circ_int,eq_c1/2,0))),IF(((22+0.5)*(4*IF(circ_int,0,eq_c1/2)+4*IF(circ_int,0,eq_c2/2)+2*PI()*(s_0+9*s_r+IF(circ_int,eq_c1/2,0)))/INDEX(lk_legs,10))&lt;(((((2*IF(circ_int,0,eq_c2/2))+(PI()*(s_0+9*s_r+IF(circ_int,eq_c1/2,0))/2))+2*IF(circ_int,0,eq_c1/2))+(PI()*(s_0+9*s_r+IF(circ_int,eq_c1/2,0))/2))+2*IF(circ_int,0,eq_c2/2)),IF(circ_int,0,eq_c2/2)-(((22+0.5)*(4*IF(circ_int,0,eq_c1/2)+4*IF(circ_int,0,eq_c2/2)+2*PI()*(s_0+9*s_r+IF(circ_int,eq_c1/2,0)))/INDEX(lk_legs,10))-((((2*IF(circ_int,0,eq_c2/2))+(PI()*(s_0+9*s_r+IF(circ_int,eq_c1/2,0))/2))+2*IF(circ_int,0,eq_c1/2))+(PI()*(s_0+9*s_r+IF(circ_int,eq_c1/2,0))/2))),IF(((22+0.5)*(4*IF(circ_int,0,eq_c1/2)+4*IF(circ_int,0,eq_c2/2)+2*PI()*(s_0+9*s_r+IF(circ_int,eq_c1/2,0)))/INDEX(lk_legs,10))&lt;((((((2*IF(circ_int,0,eq_c2/2))+(PI()*(s_0+9*s_r+IF(circ_int,eq_c1/2,0))/2))+2*IF(circ_int,0,eq_c1/2))+(PI()*(s_0+9*s_r+IF(circ_int,eq_c1/2,0))/2))+2*IF(circ_int,0,eq_c2/2))+(PI()*(s_0+9*s_r+IF(circ_int,eq_c1/2,0))/2)),-IF(circ_int,0,eq_c2/2)+(s_0+9*s_r+IF(circ_int,eq_c1/2,0))*SIN(PI()+(((22+0.5)*(4*IF(circ_int,0,eq_c1/2)+4*IF(circ_int,0,eq_c2/2)+2*PI()*(s_0+9*s_r+IF(circ_int,eq_c1/2,0)))/INDEX(lk_legs,10))-(((((2*IF(circ_int,0,eq_c2/2))+(PI()*(s_0+9*s_r+IF(circ_int,eq_c1/2,0))/2))+2*IF(circ_int,0,eq_c1/2))+(PI()*(s_0+9*s_r+IF(circ_int,eq_c1/2,0))/2))+2*IF(circ_int,0,eq_c2/2)))/(s_0+9*s_r+IF(circ_int,eq_c1/2,0))),IF(((22+0.5)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(22+0.5)*(4*IF(circ_int,0,eq_c1/2)+4*IF(circ_int,0,eq_c2/2)+2*PI()*(s_0+9*s_r+IF(circ_int,eq_c1/2,0)))/INDEX(lk_legs,10))-(((((((2*IF(circ_int,0,eq_c2/2))+(PI()*(s_0+9*s_r+IF(circ_int,eq_c1/2,0))/2))+2*IF(circ_int,0,eq_c1/2))+(PI()*(s_0+9*s_r+IF(circ_int,eq_c1/2,0))/2))+2*IF(circ_int,0,eq_c2/2))+(PI()*(s_0+9*s_r+IF(circ_int,eq_c1/2,0))/2))+2*IF(circ_int,0,eq_c1/2)))/(s_0+9*s_r+IF(circ_int,eq_c1/2,0)))))))))),NA())</f>
        <v/>
      </c>
      <c r="DE25">
        <f>IF(AND(links_on,11&lt;=n_per),IF(circ_int,(g_ox)+(c_1/2+(s_0+10*s_r))*-0.885456,CHOOSE(INDEX(lk_kind,11),(g_ox-eq_c1/2)+((s_0+10*s_r))*-0.923880,(eq_a1+eq_c1)+((s_0+10*s_r))*0.500000,eq_a1+eq_c1+(s_0+10*s_r),(eq_a1+eq_c1)+((s_0+10*s_r))*0.866025)),NA())</f>
        <v/>
      </c>
      <c r="DF25">
        <f>IF(AND(links_on,11&lt;=n_per),IF(circ_int,(g_oy)+(c_1/2+(s_0+10*s_r))*0.464723,CHOOSE(INDEX(lk_kind,11),(g_oy+eq_c2/2)+((s_0+10*s_r))*0.382683,(g_oy-eq_c2/2)+((s_0+10*s_r))*-0.866025,0,(eq_a2+eq_c2)+((s_0+10*s_r))*0.500000)),NA())</f>
        <v/>
      </c>
      <c r="DH25">
        <f>IF(AND(AND(links_on,11&lt;=n_per),INDEX(lk_kind,11)=1,22&lt;INDEX(lk_legs,11)),g_ox+IF(((22+0.5)*(4*IF(circ_int,0,eq_c1/2)+4*IF(circ_int,0,eq_c2/2)+2*PI()*(s_0+10*s_r+IF(circ_int,eq_c1/2,0)))/INDEX(lk_legs,11))&lt;(2*IF(circ_int,0,eq_c2/2)),IF(circ_int,0,eq_c1/2)+(s_0+10*s_r+IF(circ_int,eq_c1/2,0)),IF(((22+0.5)*(4*IF(circ_int,0,eq_c1/2)+4*IF(circ_int,0,eq_c2/2)+2*PI()*(s_0+10*s_r+IF(circ_int,eq_c1/2,0)))/INDEX(lk_legs,11))&lt;((2*IF(circ_int,0,eq_c2/2))+(PI()*(s_0+10*s_r+IF(circ_int,eq_c1/2,0))/2)),IF(circ_int,0,eq_c1/2)+(s_0+10*s_r+IF(circ_int,eq_c1/2,0))*COS((((22+0.5)*(4*IF(circ_int,0,eq_c1/2)+4*IF(circ_int,0,eq_c2/2)+2*PI()*(s_0+10*s_r+IF(circ_int,eq_c1/2,0)))/INDEX(lk_legs,11))-(2*IF(circ_int,0,eq_c2/2)))/(s_0+10*s_r+IF(circ_int,eq_c1/2,0))),IF(((22+0.5)*(4*IF(circ_int,0,eq_c1/2)+4*IF(circ_int,0,eq_c2/2)+2*PI()*(s_0+10*s_r+IF(circ_int,eq_c1/2,0)))/INDEX(lk_legs,11))&lt;(((2*IF(circ_int,0,eq_c2/2))+(PI()*(s_0+10*s_r+IF(circ_int,eq_c1/2,0))/2))+2*IF(circ_int,0,eq_c1/2)),IF(circ_int,0,eq_c1/2)-(((22+0.5)*(4*IF(circ_int,0,eq_c1/2)+4*IF(circ_int,0,eq_c2/2)+2*PI()*(s_0+10*s_r+IF(circ_int,eq_c1/2,0)))/INDEX(lk_legs,11))-((2*IF(circ_int,0,eq_c2/2))+(PI()*(s_0+10*s_r+IF(circ_int,eq_c1/2,0))/2))),IF(((22+0.5)*(4*IF(circ_int,0,eq_c1/2)+4*IF(circ_int,0,eq_c2/2)+2*PI()*(s_0+10*s_r+IF(circ_int,eq_c1/2,0)))/INDEX(lk_legs,11))&lt;((((2*IF(circ_int,0,eq_c2/2))+(PI()*(s_0+10*s_r+IF(circ_int,eq_c1/2,0))/2))+2*IF(circ_int,0,eq_c1/2))+(PI()*(s_0+10*s_r+IF(circ_int,eq_c1/2,0))/2)),-IF(circ_int,0,eq_c1/2)+(s_0+10*s_r+IF(circ_int,eq_c1/2,0))*COS(PI()/2+(((22+0.5)*(4*IF(circ_int,0,eq_c1/2)+4*IF(circ_int,0,eq_c2/2)+2*PI()*(s_0+10*s_r+IF(circ_int,eq_c1/2,0)))/INDEX(lk_legs,11))-(((2*IF(circ_int,0,eq_c2/2))+(PI()*(s_0+10*s_r+IF(circ_int,eq_c1/2,0))/2))+2*IF(circ_int,0,eq_c1/2)))/(s_0+10*s_r+IF(circ_int,eq_c1/2,0))),IF(((22+0.5)*(4*IF(circ_int,0,eq_c1/2)+4*IF(circ_int,0,eq_c2/2)+2*PI()*(s_0+10*s_r+IF(circ_int,eq_c1/2,0)))/INDEX(lk_legs,11))&lt;(((((2*IF(circ_int,0,eq_c2/2))+(PI()*(s_0+10*s_r+IF(circ_int,eq_c1/2,0))/2))+2*IF(circ_int,0,eq_c1/2))+(PI()*(s_0+10*s_r+IF(circ_int,eq_c1/2,0))/2))+2*IF(circ_int,0,eq_c2/2)),-IF(circ_int,0,eq_c1/2)-(s_0+10*s_r+IF(circ_int,eq_c1/2,0)),IF(((22+0.5)*(4*IF(circ_int,0,eq_c1/2)+4*IF(circ_int,0,eq_c2/2)+2*PI()*(s_0+10*s_r+IF(circ_int,eq_c1/2,0)))/INDEX(lk_legs,11))&lt;((((((2*IF(circ_int,0,eq_c2/2))+(PI()*(s_0+10*s_r+IF(circ_int,eq_c1/2,0))/2))+2*IF(circ_int,0,eq_c1/2))+(PI()*(s_0+10*s_r+IF(circ_int,eq_c1/2,0))/2))+2*IF(circ_int,0,eq_c2/2))+(PI()*(s_0+10*s_r+IF(circ_int,eq_c1/2,0))/2)),-IF(circ_int,0,eq_c1/2)+(s_0+10*s_r+IF(circ_int,eq_c1/2,0))*COS(PI()+(((22+0.5)*(4*IF(circ_int,0,eq_c1/2)+4*IF(circ_int,0,eq_c2/2)+2*PI()*(s_0+10*s_r+IF(circ_int,eq_c1/2,0)))/INDEX(lk_legs,11))-(((((2*IF(circ_int,0,eq_c2/2))+(PI()*(s_0+10*s_r+IF(circ_int,eq_c1/2,0))/2))+2*IF(circ_int,0,eq_c1/2))+(PI()*(s_0+10*s_r+IF(circ_int,eq_c1/2,0))/2))+2*IF(circ_int,0,eq_c2/2)))/(s_0+10*s_r+IF(circ_int,eq_c1/2,0))),IF(((22+0.5)*(4*IF(circ_int,0,eq_c1/2)+4*IF(circ_int,0,eq_c2/2)+2*PI()*(s_0+10*s_r+IF(circ_int,eq_c1/2,0)))/INDEX(lk_legs,11))&lt;(((((((2*IF(circ_int,0,eq_c2/2))+(PI()*(s_0+10*s_r+IF(circ_int,eq_c1/2,0))/2))+2*IF(circ_int,0,eq_c1/2))+(PI()*(s_0+10*s_r+IF(circ_int,eq_c1/2,0))/2))+2*IF(circ_int,0,eq_c2/2))+(PI()*(s_0+10*s_r+IF(circ_int,eq_c1/2,0))/2))+2*IF(circ_int,0,eq_c1/2)),-IF(circ_int,0,eq_c1/2)+(((22+0.5)*(4*IF(circ_int,0,eq_c1/2)+4*IF(circ_int,0,eq_c2/2)+2*PI()*(s_0+10*s_r+IF(circ_int,eq_c1/2,0)))/INDEX(lk_legs,11))-((((((2*IF(circ_int,0,eq_c2/2))+(PI()*(s_0+10*s_r+IF(circ_int,eq_c1/2,0))/2))+2*IF(circ_int,0,eq_c1/2))+(PI()*(s_0+10*s_r+IF(circ_int,eq_c1/2,0))/2))+2*IF(circ_int,0,eq_c2/2))+(PI()*(s_0+10*s_r+IF(circ_int,eq_c1/2,0))/2))),IF(circ_int,0,eq_c1/2)+(s_0+10*s_r+IF(circ_int,eq_c1/2,0))*COS(3*PI()/2+(((22+0.5)*(4*IF(circ_int,0,eq_c1/2)+4*IF(circ_int,0,eq_c2/2)+2*PI()*(s_0+10*s_r+IF(circ_int,eq_c1/2,0)))/INDEX(lk_legs,11))-(((((((2*IF(circ_int,0,eq_c2/2))+(PI()*(s_0+10*s_r+IF(circ_int,eq_c1/2,0))/2))+2*IF(circ_int,0,eq_c1/2))+(PI()*(s_0+10*s_r+IF(circ_int,eq_c1/2,0))/2))+2*IF(circ_int,0,eq_c2/2))+(PI()*(s_0+10*s_r+IF(circ_int,eq_c1/2,0))/2))+2*IF(circ_int,0,eq_c1/2)))/(s_0+10*s_r+IF(circ_int,eq_c1/2,0)))))))))),NA())</f>
        <v/>
      </c>
      <c r="DI25">
        <f>IF(AND(AND(links_on,11&lt;=n_per),INDEX(lk_kind,11)=1,22&lt;INDEX(lk_legs,11)),g_oy+IF(((22+0.5)*(4*IF(circ_int,0,eq_c1/2)+4*IF(circ_int,0,eq_c2/2)+2*PI()*(s_0+10*s_r+IF(circ_int,eq_c1/2,0)))/INDEX(lk_legs,11))&lt;(2*IF(circ_int,0,eq_c2/2)),-IF(circ_int,0,eq_c2/2)+((22+0.5)*(4*IF(circ_int,0,eq_c1/2)+4*IF(circ_int,0,eq_c2/2)+2*PI()*(s_0+10*s_r+IF(circ_int,eq_c1/2,0)))/INDEX(lk_legs,11)),IF(((22+0.5)*(4*IF(circ_int,0,eq_c1/2)+4*IF(circ_int,0,eq_c2/2)+2*PI()*(s_0+10*s_r+IF(circ_int,eq_c1/2,0)))/INDEX(lk_legs,11))&lt;((2*IF(circ_int,0,eq_c2/2))+(PI()*(s_0+10*s_r+IF(circ_int,eq_c1/2,0))/2)),IF(circ_int,0,eq_c2/2)+(s_0+10*s_r+IF(circ_int,eq_c1/2,0))*SIN((((22+0.5)*(4*IF(circ_int,0,eq_c1/2)+4*IF(circ_int,0,eq_c2/2)+2*PI()*(s_0+10*s_r+IF(circ_int,eq_c1/2,0)))/INDEX(lk_legs,11))-(2*IF(circ_int,0,eq_c2/2)))/(s_0+10*s_r+IF(circ_int,eq_c1/2,0))),IF(((22+0.5)*(4*IF(circ_int,0,eq_c1/2)+4*IF(circ_int,0,eq_c2/2)+2*PI()*(s_0+10*s_r+IF(circ_int,eq_c1/2,0)))/INDEX(lk_legs,11))&lt;(((2*IF(circ_int,0,eq_c2/2))+(PI()*(s_0+10*s_r+IF(circ_int,eq_c1/2,0))/2))+2*IF(circ_int,0,eq_c1/2)),IF(circ_int,0,eq_c2/2)+(s_0+10*s_r+IF(circ_int,eq_c1/2,0)),IF(((22+0.5)*(4*IF(circ_int,0,eq_c1/2)+4*IF(circ_int,0,eq_c2/2)+2*PI()*(s_0+10*s_r+IF(circ_int,eq_c1/2,0)))/INDEX(lk_legs,11))&lt;((((2*IF(circ_int,0,eq_c2/2))+(PI()*(s_0+10*s_r+IF(circ_int,eq_c1/2,0))/2))+2*IF(circ_int,0,eq_c1/2))+(PI()*(s_0+10*s_r+IF(circ_int,eq_c1/2,0))/2)),IF(circ_int,0,eq_c2/2)+(s_0+10*s_r+IF(circ_int,eq_c1/2,0))*SIN(PI()/2+(((22+0.5)*(4*IF(circ_int,0,eq_c1/2)+4*IF(circ_int,0,eq_c2/2)+2*PI()*(s_0+10*s_r+IF(circ_int,eq_c1/2,0)))/INDEX(lk_legs,11))-(((2*IF(circ_int,0,eq_c2/2))+(PI()*(s_0+10*s_r+IF(circ_int,eq_c1/2,0))/2))+2*IF(circ_int,0,eq_c1/2)))/(s_0+10*s_r+IF(circ_int,eq_c1/2,0))),IF(((22+0.5)*(4*IF(circ_int,0,eq_c1/2)+4*IF(circ_int,0,eq_c2/2)+2*PI()*(s_0+10*s_r+IF(circ_int,eq_c1/2,0)))/INDEX(lk_legs,11))&lt;(((((2*IF(circ_int,0,eq_c2/2))+(PI()*(s_0+10*s_r+IF(circ_int,eq_c1/2,0))/2))+2*IF(circ_int,0,eq_c1/2))+(PI()*(s_0+10*s_r+IF(circ_int,eq_c1/2,0))/2))+2*IF(circ_int,0,eq_c2/2)),IF(circ_int,0,eq_c2/2)-(((22+0.5)*(4*IF(circ_int,0,eq_c1/2)+4*IF(circ_int,0,eq_c2/2)+2*PI()*(s_0+10*s_r+IF(circ_int,eq_c1/2,0)))/INDEX(lk_legs,11))-((((2*IF(circ_int,0,eq_c2/2))+(PI()*(s_0+10*s_r+IF(circ_int,eq_c1/2,0))/2))+2*IF(circ_int,0,eq_c1/2))+(PI()*(s_0+10*s_r+IF(circ_int,eq_c1/2,0))/2))),IF(((22+0.5)*(4*IF(circ_int,0,eq_c1/2)+4*IF(circ_int,0,eq_c2/2)+2*PI()*(s_0+10*s_r+IF(circ_int,eq_c1/2,0)))/INDEX(lk_legs,11))&lt;((((((2*IF(circ_int,0,eq_c2/2))+(PI()*(s_0+10*s_r+IF(circ_int,eq_c1/2,0))/2))+2*IF(circ_int,0,eq_c1/2))+(PI()*(s_0+10*s_r+IF(circ_int,eq_c1/2,0))/2))+2*IF(circ_int,0,eq_c2/2))+(PI()*(s_0+10*s_r+IF(circ_int,eq_c1/2,0))/2)),-IF(circ_int,0,eq_c2/2)+(s_0+10*s_r+IF(circ_int,eq_c1/2,0))*SIN(PI()+(((22+0.5)*(4*IF(circ_int,0,eq_c1/2)+4*IF(circ_int,0,eq_c2/2)+2*PI()*(s_0+10*s_r+IF(circ_int,eq_c1/2,0)))/INDEX(lk_legs,11))-(((((2*IF(circ_int,0,eq_c2/2))+(PI()*(s_0+10*s_r+IF(circ_int,eq_c1/2,0))/2))+2*IF(circ_int,0,eq_c1/2))+(PI()*(s_0+10*s_r+IF(circ_int,eq_c1/2,0))/2))+2*IF(circ_int,0,eq_c2/2)))/(s_0+10*s_r+IF(circ_int,eq_c1/2,0))),IF(((22+0.5)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(22+0.5)*(4*IF(circ_int,0,eq_c1/2)+4*IF(circ_int,0,eq_c2/2)+2*PI()*(s_0+10*s_r+IF(circ_int,eq_c1/2,0)))/INDEX(lk_legs,11))-(((((((2*IF(circ_int,0,eq_c2/2))+(PI()*(s_0+10*s_r+IF(circ_int,eq_c1/2,0))/2))+2*IF(circ_int,0,eq_c1/2))+(PI()*(s_0+10*s_r+IF(circ_int,eq_c1/2,0))/2))+2*IF(circ_int,0,eq_c2/2))+(PI()*(s_0+10*s_r+IF(circ_int,eq_c1/2,0))/2))+2*IF(circ_int,0,eq_c1/2)))/(s_0+10*s_r+IF(circ_int,eq_c1/2,0)))))))))),NA())</f>
        <v/>
      </c>
      <c r="DK25">
        <f>IF(AND(links_on,12&lt;=n_per),IF(circ_int,(g_ox)+(c_1/2+(s_0+11*s_r))*-0.885456,CHOOSE(INDEX(lk_kind,12),(g_ox-eq_c1/2)+((s_0+11*s_r))*-0.923880,(eq_a1+eq_c1)+((s_0+11*s_r))*0.500000,eq_a1+eq_c1+(s_0+11*s_r),(eq_a1+eq_c1)+((s_0+11*s_r))*0.866025)),NA())</f>
        <v/>
      </c>
      <c r="DL25">
        <f>IF(AND(links_on,12&lt;=n_per),IF(circ_int,(g_oy)+(c_1/2+(s_0+11*s_r))*0.464723,CHOOSE(INDEX(lk_kind,12),(g_oy+eq_c2/2)+((s_0+11*s_r))*0.382683,(g_oy-eq_c2/2)+((s_0+11*s_r))*-0.866025,0,(eq_a2+eq_c2)+((s_0+11*s_r))*0.500000)),NA())</f>
        <v/>
      </c>
      <c r="DN25">
        <f>IF(AND(AND(links_on,12&lt;=n_per),INDEX(lk_kind,12)=1,22&lt;INDEX(lk_legs,12)),g_ox+IF(((22+0.5)*(4*IF(circ_int,0,eq_c1/2)+4*IF(circ_int,0,eq_c2/2)+2*PI()*(s_0+11*s_r+IF(circ_int,eq_c1/2,0)))/INDEX(lk_legs,12))&lt;(2*IF(circ_int,0,eq_c2/2)),IF(circ_int,0,eq_c1/2)+(s_0+11*s_r+IF(circ_int,eq_c1/2,0)),IF(((22+0.5)*(4*IF(circ_int,0,eq_c1/2)+4*IF(circ_int,0,eq_c2/2)+2*PI()*(s_0+11*s_r+IF(circ_int,eq_c1/2,0)))/INDEX(lk_legs,12))&lt;((2*IF(circ_int,0,eq_c2/2))+(PI()*(s_0+11*s_r+IF(circ_int,eq_c1/2,0))/2)),IF(circ_int,0,eq_c1/2)+(s_0+11*s_r+IF(circ_int,eq_c1/2,0))*COS((((22+0.5)*(4*IF(circ_int,0,eq_c1/2)+4*IF(circ_int,0,eq_c2/2)+2*PI()*(s_0+11*s_r+IF(circ_int,eq_c1/2,0)))/INDEX(lk_legs,12))-(2*IF(circ_int,0,eq_c2/2)))/(s_0+11*s_r+IF(circ_int,eq_c1/2,0))),IF(((22+0.5)*(4*IF(circ_int,0,eq_c1/2)+4*IF(circ_int,0,eq_c2/2)+2*PI()*(s_0+11*s_r+IF(circ_int,eq_c1/2,0)))/INDEX(lk_legs,12))&lt;(((2*IF(circ_int,0,eq_c2/2))+(PI()*(s_0+11*s_r+IF(circ_int,eq_c1/2,0))/2))+2*IF(circ_int,0,eq_c1/2)),IF(circ_int,0,eq_c1/2)-(((22+0.5)*(4*IF(circ_int,0,eq_c1/2)+4*IF(circ_int,0,eq_c2/2)+2*PI()*(s_0+11*s_r+IF(circ_int,eq_c1/2,0)))/INDEX(lk_legs,12))-((2*IF(circ_int,0,eq_c2/2))+(PI()*(s_0+11*s_r+IF(circ_int,eq_c1/2,0))/2))),IF(((22+0.5)*(4*IF(circ_int,0,eq_c1/2)+4*IF(circ_int,0,eq_c2/2)+2*PI()*(s_0+11*s_r+IF(circ_int,eq_c1/2,0)))/INDEX(lk_legs,12))&lt;((((2*IF(circ_int,0,eq_c2/2))+(PI()*(s_0+11*s_r+IF(circ_int,eq_c1/2,0))/2))+2*IF(circ_int,0,eq_c1/2))+(PI()*(s_0+11*s_r+IF(circ_int,eq_c1/2,0))/2)),-IF(circ_int,0,eq_c1/2)+(s_0+11*s_r+IF(circ_int,eq_c1/2,0))*COS(PI()/2+(((22+0.5)*(4*IF(circ_int,0,eq_c1/2)+4*IF(circ_int,0,eq_c2/2)+2*PI()*(s_0+11*s_r+IF(circ_int,eq_c1/2,0)))/INDEX(lk_legs,12))-(((2*IF(circ_int,0,eq_c2/2))+(PI()*(s_0+11*s_r+IF(circ_int,eq_c1/2,0))/2))+2*IF(circ_int,0,eq_c1/2)))/(s_0+11*s_r+IF(circ_int,eq_c1/2,0))),IF(((22+0.5)*(4*IF(circ_int,0,eq_c1/2)+4*IF(circ_int,0,eq_c2/2)+2*PI()*(s_0+11*s_r+IF(circ_int,eq_c1/2,0)))/INDEX(lk_legs,12))&lt;(((((2*IF(circ_int,0,eq_c2/2))+(PI()*(s_0+11*s_r+IF(circ_int,eq_c1/2,0))/2))+2*IF(circ_int,0,eq_c1/2))+(PI()*(s_0+11*s_r+IF(circ_int,eq_c1/2,0))/2))+2*IF(circ_int,0,eq_c2/2)),-IF(circ_int,0,eq_c1/2)-(s_0+11*s_r+IF(circ_int,eq_c1/2,0)),IF(((22+0.5)*(4*IF(circ_int,0,eq_c1/2)+4*IF(circ_int,0,eq_c2/2)+2*PI()*(s_0+11*s_r+IF(circ_int,eq_c1/2,0)))/INDEX(lk_legs,12))&lt;((((((2*IF(circ_int,0,eq_c2/2))+(PI()*(s_0+11*s_r+IF(circ_int,eq_c1/2,0))/2))+2*IF(circ_int,0,eq_c1/2))+(PI()*(s_0+11*s_r+IF(circ_int,eq_c1/2,0))/2))+2*IF(circ_int,0,eq_c2/2))+(PI()*(s_0+11*s_r+IF(circ_int,eq_c1/2,0))/2)),-IF(circ_int,0,eq_c1/2)+(s_0+11*s_r+IF(circ_int,eq_c1/2,0))*COS(PI()+(((22+0.5)*(4*IF(circ_int,0,eq_c1/2)+4*IF(circ_int,0,eq_c2/2)+2*PI()*(s_0+11*s_r+IF(circ_int,eq_c1/2,0)))/INDEX(lk_legs,12))-(((((2*IF(circ_int,0,eq_c2/2))+(PI()*(s_0+11*s_r+IF(circ_int,eq_c1/2,0))/2))+2*IF(circ_int,0,eq_c1/2))+(PI()*(s_0+11*s_r+IF(circ_int,eq_c1/2,0))/2))+2*IF(circ_int,0,eq_c2/2)))/(s_0+11*s_r+IF(circ_int,eq_c1/2,0))),IF(((22+0.5)*(4*IF(circ_int,0,eq_c1/2)+4*IF(circ_int,0,eq_c2/2)+2*PI()*(s_0+11*s_r+IF(circ_int,eq_c1/2,0)))/INDEX(lk_legs,12))&lt;(((((((2*IF(circ_int,0,eq_c2/2))+(PI()*(s_0+11*s_r+IF(circ_int,eq_c1/2,0))/2))+2*IF(circ_int,0,eq_c1/2))+(PI()*(s_0+11*s_r+IF(circ_int,eq_c1/2,0))/2))+2*IF(circ_int,0,eq_c2/2))+(PI()*(s_0+11*s_r+IF(circ_int,eq_c1/2,0))/2))+2*IF(circ_int,0,eq_c1/2)),-IF(circ_int,0,eq_c1/2)+(((22+0.5)*(4*IF(circ_int,0,eq_c1/2)+4*IF(circ_int,0,eq_c2/2)+2*PI()*(s_0+11*s_r+IF(circ_int,eq_c1/2,0)))/INDEX(lk_legs,12))-((((((2*IF(circ_int,0,eq_c2/2))+(PI()*(s_0+11*s_r+IF(circ_int,eq_c1/2,0))/2))+2*IF(circ_int,0,eq_c1/2))+(PI()*(s_0+11*s_r+IF(circ_int,eq_c1/2,0))/2))+2*IF(circ_int,0,eq_c2/2))+(PI()*(s_0+11*s_r+IF(circ_int,eq_c1/2,0))/2))),IF(circ_int,0,eq_c1/2)+(s_0+11*s_r+IF(circ_int,eq_c1/2,0))*COS(3*PI()/2+(((22+0.5)*(4*IF(circ_int,0,eq_c1/2)+4*IF(circ_int,0,eq_c2/2)+2*PI()*(s_0+11*s_r+IF(circ_int,eq_c1/2,0)))/INDEX(lk_legs,12))-(((((((2*IF(circ_int,0,eq_c2/2))+(PI()*(s_0+11*s_r+IF(circ_int,eq_c1/2,0))/2))+2*IF(circ_int,0,eq_c1/2))+(PI()*(s_0+11*s_r+IF(circ_int,eq_c1/2,0))/2))+2*IF(circ_int,0,eq_c2/2))+(PI()*(s_0+11*s_r+IF(circ_int,eq_c1/2,0))/2))+2*IF(circ_int,0,eq_c1/2)))/(s_0+11*s_r+IF(circ_int,eq_c1/2,0)))))))))),NA())</f>
        <v/>
      </c>
      <c r="DO25">
        <f>IF(AND(AND(links_on,12&lt;=n_per),INDEX(lk_kind,12)=1,22&lt;INDEX(lk_legs,12)),g_oy+IF(((22+0.5)*(4*IF(circ_int,0,eq_c1/2)+4*IF(circ_int,0,eq_c2/2)+2*PI()*(s_0+11*s_r+IF(circ_int,eq_c1/2,0)))/INDEX(lk_legs,12))&lt;(2*IF(circ_int,0,eq_c2/2)),-IF(circ_int,0,eq_c2/2)+((22+0.5)*(4*IF(circ_int,0,eq_c1/2)+4*IF(circ_int,0,eq_c2/2)+2*PI()*(s_0+11*s_r+IF(circ_int,eq_c1/2,0)))/INDEX(lk_legs,12)),IF(((22+0.5)*(4*IF(circ_int,0,eq_c1/2)+4*IF(circ_int,0,eq_c2/2)+2*PI()*(s_0+11*s_r+IF(circ_int,eq_c1/2,0)))/INDEX(lk_legs,12))&lt;((2*IF(circ_int,0,eq_c2/2))+(PI()*(s_0+11*s_r+IF(circ_int,eq_c1/2,0))/2)),IF(circ_int,0,eq_c2/2)+(s_0+11*s_r+IF(circ_int,eq_c1/2,0))*SIN((((22+0.5)*(4*IF(circ_int,0,eq_c1/2)+4*IF(circ_int,0,eq_c2/2)+2*PI()*(s_0+11*s_r+IF(circ_int,eq_c1/2,0)))/INDEX(lk_legs,12))-(2*IF(circ_int,0,eq_c2/2)))/(s_0+11*s_r+IF(circ_int,eq_c1/2,0))),IF(((22+0.5)*(4*IF(circ_int,0,eq_c1/2)+4*IF(circ_int,0,eq_c2/2)+2*PI()*(s_0+11*s_r+IF(circ_int,eq_c1/2,0)))/INDEX(lk_legs,12))&lt;(((2*IF(circ_int,0,eq_c2/2))+(PI()*(s_0+11*s_r+IF(circ_int,eq_c1/2,0))/2))+2*IF(circ_int,0,eq_c1/2)),IF(circ_int,0,eq_c2/2)+(s_0+11*s_r+IF(circ_int,eq_c1/2,0)),IF(((22+0.5)*(4*IF(circ_int,0,eq_c1/2)+4*IF(circ_int,0,eq_c2/2)+2*PI()*(s_0+11*s_r+IF(circ_int,eq_c1/2,0)))/INDEX(lk_legs,12))&lt;((((2*IF(circ_int,0,eq_c2/2))+(PI()*(s_0+11*s_r+IF(circ_int,eq_c1/2,0))/2))+2*IF(circ_int,0,eq_c1/2))+(PI()*(s_0+11*s_r+IF(circ_int,eq_c1/2,0))/2)),IF(circ_int,0,eq_c2/2)+(s_0+11*s_r+IF(circ_int,eq_c1/2,0))*SIN(PI()/2+(((22+0.5)*(4*IF(circ_int,0,eq_c1/2)+4*IF(circ_int,0,eq_c2/2)+2*PI()*(s_0+11*s_r+IF(circ_int,eq_c1/2,0)))/INDEX(lk_legs,12))-(((2*IF(circ_int,0,eq_c2/2))+(PI()*(s_0+11*s_r+IF(circ_int,eq_c1/2,0))/2))+2*IF(circ_int,0,eq_c1/2)))/(s_0+11*s_r+IF(circ_int,eq_c1/2,0))),IF(((22+0.5)*(4*IF(circ_int,0,eq_c1/2)+4*IF(circ_int,0,eq_c2/2)+2*PI()*(s_0+11*s_r+IF(circ_int,eq_c1/2,0)))/INDEX(lk_legs,12))&lt;(((((2*IF(circ_int,0,eq_c2/2))+(PI()*(s_0+11*s_r+IF(circ_int,eq_c1/2,0))/2))+2*IF(circ_int,0,eq_c1/2))+(PI()*(s_0+11*s_r+IF(circ_int,eq_c1/2,0))/2))+2*IF(circ_int,0,eq_c2/2)),IF(circ_int,0,eq_c2/2)-(((22+0.5)*(4*IF(circ_int,0,eq_c1/2)+4*IF(circ_int,0,eq_c2/2)+2*PI()*(s_0+11*s_r+IF(circ_int,eq_c1/2,0)))/INDEX(lk_legs,12))-((((2*IF(circ_int,0,eq_c2/2))+(PI()*(s_0+11*s_r+IF(circ_int,eq_c1/2,0))/2))+2*IF(circ_int,0,eq_c1/2))+(PI()*(s_0+11*s_r+IF(circ_int,eq_c1/2,0))/2))),IF(((22+0.5)*(4*IF(circ_int,0,eq_c1/2)+4*IF(circ_int,0,eq_c2/2)+2*PI()*(s_0+11*s_r+IF(circ_int,eq_c1/2,0)))/INDEX(lk_legs,12))&lt;((((((2*IF(circ_int,0,eq_c2/2))+(PI()*(s_0+11*s_r+IF(circ_int,eq_c1/2,0))/2))+2*IF(circ_int,0,eq_c1/2))+(PI()*(s_0+11*s_r+IF(circ_int,eq_c1/2,0))/2))+2*IF(circ_int,0,eq_c2/2))+(PI()*(s_0+11*s_r+IF(circ_int,eq_c1/2,0))/2)),-IF(circ_int,0,eq_c2/2)+(s_0+11*s_r+IF(circ_int,eq_c1/2,0))*SIN(PI()+(((22+0.5)*(4*IF(circ_int,0,eq_c1/2)+4*IF(circ_int,0,eq_c2/2)+2*PI()*(s_0+11*s_r+IF(circ_int,eq_c1/2,0)))/INDEX(lk_legs,12))-(((((2*IF(circ_int,0,eq_c2/2))+(PI()*(s_0+11*s_r+IF(circ_int,eq_c1/2,0))/2))+2*IF(circ_int,0,eq_c1/2))+(PI()*(s_0+11*s_r+IF(circ_int,eq_c1/2,0))/2))+2*IF(circ_int,0,eq_c2/2)))/(s_0+11*s_r+IF(circ_int,eq_c1/2,0))),IF(((22+0.5)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(22+0.5)*(4*IF(circ_int,0,eq_c1/2)+4*IF(circ_int,0,eq_c2/2)+2*PI()*(s_0+11*s_r+IF(circ_int,eq_c1/2,0)))/INDEX(lk_legs,12))-(((((((2*IF(circ_int,0,eq_c2/2))+(PI()*(s_0+11*s_r+IF(circ_int,eq_c1/2,0))/2))+2*IF(circ_int,0,eq_c1/2))+(PI()*(s_0+11*s_r+IF(circ_int,eq_c1/2,0))/2))+2*IF(circ_int,0,eq_c2/2))+(PI()*(s_0+11*s_r+IF(circ_int,eq_c1/2,0))/2))+2*IF(circ_int,0,eq_c1/2)))/(s_0+11*s_r+IF(circ_int,eq_c1/2,0)))))))))),NA())</f>
        <v/>
      </c>
    </row>
    <row r="26">
      <c r="A26">
        <f>IF(shape="Circular",(g_ox)+(c_1/2+0)*-0.935016,CHOOSE(1,(g_ox-eq_c1/2)+(0)*-0.965926,(eq_a1+eq_c1)+(0)*0.382683,eq_a1+eq_c1+0,(eq_a1+eq_c1)+(0)*0.923880))</f>
        <v/>
      </c>
      <c r="B26">
        <f>IF(shape="Circular",(g_oy)+(c_1/2+0)*0.354605,CHOOSE(1,(g_oy+eq_c2/2)+(0)*0.258819,(g_oy-eq_c2/2)+(0)*-0.923880,0,(eq_a2+eq_c2)+(0)*0.382683))</f>
        <v/>
      </c>
      <c r="D26">
        <f>IF(circ_int,(g_ox)+(c_1/2+2*d_eff)*-0.935016,CHOOSE(geo_idx,(g_ox-eq_c1/2)+(2*d_eff)*-0.965926,(eq_a1+eq_c1)+(2*d_eff)*0.382683,eq_a1+eq_c1+2*d_eff,(eq_a1+eq_c1)+(2*d_eff)*0.923880))</f>
        <v/>
      </c>
      <c r="E26">
        <f>IF(circ_int,(g_oy)+(c_1/2+2*d_eff)*0.354605,CHOOSE(geo_idx,(g_oy+eq_c2/2)+(2*d_eff)*0.258819,(g_oy-eq_c2/2)+(2*d_eff)*-0.923880,0,(eq_a2+eq_c2)+(2*d_eff)*0.382683))</f>
        <v/>
      </c>
      <c r="G26">
        <f>IF(AND(inputs_ok,punch_ok,A_sw&gt;0),IF(circ_int,(g_ox)+(c_1/2+r_out)*-0.935016,CHOOSE(kind_out,(g_ox-eq_c1/2)+(r_out)*-0.965926,(eq_a1+eq_c1)+(r_out)*0.382683,eq_a1+eq_c1+r_out,(eq_a1+eq_c1)+(r_out)*0.923880)),NA())</f>
        <v/>
      </c>
      <c r="H26">
        <f>IF(AND(inputs_ok,punch_ok,A_sw&gt;0),IF(circ_int,(g_oy)+(c_1/2+r_out)*0.354605,CHOOSE(kind_out,(g_oy+eq_c2/2)+(r_out)*0.258819,(g_oy-eq_c2/2)+(r_out)*-0.923880,0,(eq_a2+eq_c2)+(r_out)*0.382683)),NA())</f>
        <v/>
      </c>
      <c r="AW26">
        <f>IF(AND(links_on,1&lt;=n_per),IF(circ_int,(g_ox)+(c_1/2+(s_0+0*s_r))*-0.935016,CHOOSE(INDEX(lk_kind,1),(g_ox-eq_c1/2)+((s_0+0*s_r))*-0.965926,(eq_a1+eq_c1)+((s_0+0*s_r))*0.382683,eq_a1+eq_c1+(s_0+0*s_r),(eq_a1+eq_c1)+((s_0+0*s_r))*0.923880)),NA())</f>
        <v/>
      </c>
      <c r="AX26">
        <f>IF(AND(links_on,1&lt;=n_per),IF(circ_int,(g_oy)+(c_1/2+(s_0+0*s_r))*0.354605,CHOOSE(INDEX(lk_kind,1),(g_oy+eq_c2/2)+((s_0+0*s_r))*0.258819,(g_oy-eq_c2/2)+((s_0+0*s_r))*-0.923880,0,(eq_a2+eq_c2)+((s_0+0*s_r))*0.382683)),NA())</f>
        <v/>
      </c>
      <c r="AZ26">
        <f>IF(AND(AND(links_on,1&lt;=n_per),INDEX(lk_kind,1)=1,23&lt;INDEX(lk_legs,1)),g_ox+IF(((23+0.5)*(4*IF(circ_int,0,eq_c1/2)+4*IF(circ_int,0,eq_c2/2)+2*PI()*(s_0+0*s_r+IF(circ_int,eq_c1/2,0)))/INDEX(lk_legs,1))&lt;(2*IF(circ_int,0,eq_c2/2)),IF(circ_int,0,eq_c1/2)+(s_0+0*s_r+IF(circ_int,eq_c1/2,0)),IF(((23+0.5)*(4*IF(circ_int,0,eq_c1/2)+4*IF(circ_int,0,eq_c2/2)+2*PI()*(s_0+0*s_r+IF(circ_int,eq_c1/2,0)))/INDEX(lk_legs,1))&lt;((2*IF(circ_int,0,eq_c2/2))+(PI()*(s_0+0*s_r+IF(circ_int,eq_c1/2,0))/2)),IF(circ_int,0,eq_c1/2)+(s_0+0*s_r+IF(circ_int,eq_c1/2,0))*COS((((23+0.5)*(4*IF(circ_int,0,eq_c1/2)+4*IF(circ_int,0,eq_c2/2)+2*PI()*(s_0+0*s_r+IF(circ_int,eq_c1/2,0)))/INDEX(lk_legs,1))-(2*IF(circ_int,0,eq_c2/2)))/(s_0+0*s_r+IF(circ_int,eq_c1/2,0))),IF(((23+0.5)*(4*IF(circ_int,0,eq_c1/2)+4*IF(circ_int,0,eq_c2/2)+2*PI()*(s_0+0*s_r+IF(circ_int,eq_c1/2,0)))/INDEX(lk_legs,1))&lt;(((2*IF(circ_int,0,eq_c2/2))+(PI()*(s_0+0*s_r+IF(circ_int,eq_c1/2,0))/2))+2*IF(circ_int,0,eq_c1/2)),IF(circ_int,0,eq_c1/2)-(((23+0.5)*(4*IF(circ_int,0,eq_c1/2)+4*IF(circ_int,0,eq_c2/2)+2*PI()*(s_0+0*s_r+IF(circ_int,eq_c1/2,0)))/INDEX(lk_legs,1))-((2*IF(circ_int,0,eq_c2/2))+(PI()*(s_0+0*s_r+IF(circ_int,eq_c1/2,0))/2))),IF(((23+0.5)*(4*IF(circ_int,0,eq_c1/2)+4*IF(circ_int,0,eq_c2/2)+2*PI()*(s_0+0*s_r+IF(circ_int,eq_c1/2,0)))/INDEX(lk_legs,1))&lt;((((2*IF(circ_int,0,eq_c2/2))+(PI()*(s_0+0*s_r+IF(circ_int,eq_c1/2,0))/2))+2*IF(circ_int,0,eq_c1/2))+(PI()*(s_0+0*s_r+IF(circ_int,eq_c1/2,0))/2)),-IF(circ_int,0,eq_c1/2)+(s_0+0*s_r+IF(circ_int,eq_c1/2,0))*COS(PI()/2+(((23+0.5)*(4*IF(circ_int,0,eq_c1/2)+4*IF(circ_int,0,eq_c2/2)+2*PI()*(s_0+0*s_r+IF(circ_int,eq_c1/2,0)))/INDEX(lk_legs,1))-(((2*IF(circ_int,0,eq_c2/2))+(PI()*(s_0+0*s_r+IF(circ_int,eq_c1/2,0))/2))+2*IF(circ_int,0,eq_c1/2)))/(s_0+0*s_r+IF(circ_int,eq_c1/2,0))),IF(((23+0.5)*(4*IF(circ_int,0,eq_c1/2)+4*IF(circ_int,0,eq_c2/2)+2*PI()*(s_0+0*s_r+IF(circ_int,eq_c1/2,0)))/INDEX(lk_legs,1))&lt;(((((2*IF(circ_int,0,eq_c2/2))+(PI()*(s_0+0*s_r+IF(circ_int,eq_c1/2,0))/2))+2*IF(circ_int,0,eq_c1/2))+(PI()*(s_0+0*s_r+IF(circ_int,eq_c1/2,0))/2))+2*IF(circ_int,0,eq_c2/2)),-IF(circ_int,0,eq_c1/2)-(s_0+0*s_r+IF(circ_int,eq_c1/2,0)),IF(((23+0.5)*(4*IF(circ_int,0,eq_c1/2)+4*IF(circ_int,0,eq_c2/2)+2*PI()*(s_0+0*s_r+IF(circ_int,eq_c1/2,0)))/INDEX(lk_legs,1))&lt;((((((2*IF(circ_int,0,eq_c2/2))+(PI()*(s_0+0*s_r+IF(circ_int,eq_c1/2,0))/2))+2*IF(circ_int,0,eq_c1/2))+(PI()*(s_0+0*s_r+IF(circ_int,eq_c1/2,0))/2))+2*IF(circ_int,0,eq_c2/2))+(PI()*(s_0+0*s_r+IF(circ_int,eq_c1/2,0))/2)),-IF(circ_int,0,eq_c1/2)+(s_0+0*s_r+IF(circ_int,eq_c1/2,0))*COS(PI()+(((23+0.5)*(4*IF(circ_int,0,eq_c1/2)+4*IF(circ_int,0,eq_c2/2)+2*PI()*(s_0+0*s_r+IF(circ_int,eq_c1/2,0)))/INDEX(lk_legs,1))-(((((2*IF(circ_int,0,eq_c2/2))+(PI()*(s_0+0*s_r+IF(circ_int,eq_c1/2,0))/2))+2*IF(circ_int,0,eq_c1/2))+(PI()*(s_0+0*s_r+IF(circ_int,eq_c1/2,0))/2))+2*IF(circ_int,0,eq_c2/2)))/(s_0+0*s_r+IF(circ_int,eq_c1/2,0))),IF(((23+0.5)*(4*IF(circ_int,0,eq_c1/2)+4*IF(circ_int,0,eq_c2/2)+2*PI()*(s_0+0*s_r+IF(circ_int,eq_c1/2,0)))/INDEX(lk_legs,1))&lt;(((((((2*IF(circ_int,0,eq_c2/2))+(PI()*(s_0+0*s_r+IF(circ_int,eq_c1/2,0))/2))+2*IF(circ_int,0,eq_c1/2))+(PI()*(s_0+0*s_r+IF(circ_int,eq_c1/2,0))/2))+2*IF(circ_int,0,eq_c2/2))+(PI()*(s_0+0*s_r+IF(circ_int,eq_c1/2,0))/2))+2*IF(circ_int,0,eq_c1/2)),-IF(circ_int,0,eq_c1/2)+(((23+0.5)*(4*IF(circ_int,0,eq_c1/2)+4*IF(circ_int,0,eq_c2/2)+2*PI()*(s_0+0*s_r+IF(circ_int,eq_c1/2,0)))/INDEX(lk_legs,1))-((((((2*IF(circ_int,0,eq_c2/2))+(PI()*(s_0+0*s_r+IF(circ_int,eq_c1/2,0))/2))+2*IF(circ_int,0,eq_c1/2))+(PI()*(s_0+0*s_r+IF(circ_int,eq_c1/2,0))/2))+2*IF(circ_int,0,eq_c2/2))+(PI()*(s_0+0*s_r+IF(circ_int,eq_c1/2,0))/2))),IF(circ_int,0,eq_c1/2)+(s_0+0*s_r+IF(circ_int,eq_c1/2,0))*COS(3*PI()/2+(((23+0.5)*(4*IF(circ_int,0,eq_c1/2)+4*IF(circ_int,0,eq_c2/2)+2*PI()*(s_0+0*s_r+IF(circ_int,eq_c1/2,0)))/INDEX(lk_legs,1))-(((((((2*IF(circ_int,0,eq_c2/2))+(PI()*(s_0+0*s_r+IF(circ_int,eq_c1/2,0))/2))+2*IF(circ_int,0,eq_c1/2))+(PI()*(s_0+0*s_r+IF(circ_int,eq_c1/2,0))/2))+2*IF(circ_int,0,eq_c2/2))+(PI()*(s_0+0*s_r+IF(circ_int,eq_c1/2,0))/2))+2*IF(circ_int,0,eq_c1/2)))/(s_0+0*s_r+IF(circ_int,eq_c1/2,0)))))))))),NA())</f>
        <v/>
      </c>
      <c r="BA26">
        <f>IF(AND(AND(links_on,1&lt;=n_per),INDEX(lk_kind,1)=1,23&lt;INDEX(lk_legs,1)),g_oy+IF(((23+0.5)*(4*IF(circ_int,0,eq_c1/2)+4*IF(circ_int,0,eq_c2/2)+2*PI()*(s_0+0*s_r+IF(circ_int,eq_c1/2,0)))/INDEX(lk_legs,1))&lt;(2*IF(circ_int,0,eq_c2/2)),-IF(circ_int,0,eq_c2/2)+((23+0.5)*(4*IF(circ_int,0,eq_c1/2)+4*IF(circ_int,0,eq_c2/2)+2*PI()*(s_0+0*s_r+IF(circ_int,eq_c1/2,0)))/INDEX(lk_legs,1)),IF(((23+0.5)*(4*IF(circ_int,0,eq_c1/2)+4*IF(circ_int,0,eq_c2/2)+2*PI()*(s_0+0*s_r+IF(circ_int,eq_c1/2,0)))/INDEX(lk_legs,1))&lt;((2*IF(circ_int,0,eq_c2/2))+(PI()*(s_0+0*s_r+IF(circ_int,eq_c1/2,0))/2)),IF(circ_int,0,eq_c2/2)+(s_0+0*s_r+IF(circ_int,eq_c1/2,0))*SIN((((23+0.5)*(4*IF(circ_int,0,eq_c1/2)+4*IF(circ_int,0,eq_c2/2)+2*PI()*(s_0+0*s_r+IF(circ_int,eq_c1/2,0)))/INDEX(lk_legs,1))-(2*IF(circ_int,0,eq_c2/2)))/(s_0+0*s_r+IF(circ_int,eq_c1/2,0))),IF(((23+0.5)*(4*IF(circ_int,0,eq_c1/2)+4*IF(circ_int,0,eq_c2/2)+2*PI()*(s_0+0*s_r+IF(circ_int,eq_c1/2,0)))/INDEX(lk_legs,1))&lt;(((2*IF(circ_int,0,eq_c2/2))+(PI()*(s_0+0*s_r+IF(circ_int,eq_c1/2,0))/2))+2*IF(circ_int,0,eq_c1/2)),IF(circ_int,0,eq_c2/2)+(s_0+0*s_r+IF(circ_int,eq_c1/2,0)),IF(((23+0.5)*(4*IF(circ_int,0,eq_c1/2)+4*IF(circ_int,0,eq_c2/2)+2*PI()*(s_0+0*s_r+IF(circ_int,eq_c1/2,0)))/INDEX(lk_legs,1))&lt;((((2*IF(circ_int,0,eq_c2/2))+(PI()*(s_0+0*s_r+IF(circ_int,eq_c1/2,0))/2))+2*IF(circ_int,0,eq_c1/2))+(PI()*(s_0+0*s_r+IF(circ_int,eq_c1/2,0))/2)),IF(circ_int,0,eq_c2/2)+(s_0+0*s_r+IF(circ_int,eq_c1/2,0))*SIN(PI()/2+(((23+0.5)*(4*IF(circ_int,0,eq_c1/2)+4*IF(circ_int,0,eq_c2/2)+2*PI()*(s_0+0*s_r+IF(circ_int,eq_c1/2,0)))/INDEX(lk_legs,1))-(((2*IF(circ_int,0,eq_c2/2))+(PI()*(s_0+0*s_r+IF(circ_int,eq_c1/2,0))/2))+2*IF(circ_int,0,eq_c1/2)))/(s_0+0*s_r+IF(circ_int,eq_c1/2,0))),IF(((23+0.5)*(4*IF(circ_int,0,eq_c1/2)+4*IF(circ_int,0,eq_c2/2)+2*PI()*(s_0+0*s_r+IF(circ_int,eq_c1/2,0)))/INDEX(lk_legs,1))&lt;(((((2*IF(circ_int,0,eq_c2/2))+(PI()*(s_0+0*s_r+IF(circ_int,eq_c1/2,0))/2))+2*IF(circ_int,0,eq_c1/2))+(PI()*(s_0+0*s_r+IF(circ_int,eq_c1/2,0))/2))+2*IF(circ_int,0,eq_c2/2)),IF(circ_int,0,eq_c2/2)-(((23+0.5)*(4*IF(circ_int,0,eq_c1/2)+4*IF(circ_int,0,eq_c2/2)+2*PI()*(s_0+0*s_r+IF(circ_int,eq_c1/2,0)))/INDEX(lk_legs,1))-((((2*IF(circ_int,0,eq_c2/2))+(PI()*(s_0+0*s_r+IF(circ_int,eq_c1/2,0))/2))+2*IF(circ_int,0,eq_c1/2))+(PI()*(s_0+0*s_r+IF(circ_int,eq_c1/2,0))/2))),IF(((23+0.5)*(4*IF(circ_int,0,eq_c1/2)+4*IF(circ_int,0,eq_c2/2)+2*PI()*(s_0+0*s_r+IF(circ_int,eq_c1/2,0)))/INDEX(lk_legs,1))&lt;((((((2*IF(circ_int,0,eq_c2/2))+(PI()*(s_0+0*s_r+IF(circ_int,eq_c1/2,0))/2))+2*IF(circ_int,0,eq_c1/2))+(PI()*(s_0+0*s_r+IF(circ_int,eq_c1/2,0))/2))+2*IF(circ_int,0,eq_c2/2))+(PI()*(s_0+0*s_r+IF(circ_int,eq_c1/2,0))/2)),-IF(circ_int,0,eq_c2/2)+(s_0+0*s_r+IF(circ_int,eq_c1/2,0))*SIN(PI()+(((23+0.5)*(4*IF(circ_int,0,eq_c1/2)+4*IF(circ_int,0,eq_c2/2)+2*PI()*(s_0+0*s_r+IF(circ_int,eq_c1/2,0)))/INDEX(lk_legs,1))-(((((2*IF(circ_int,0,eq_c2/2))+(PI()*(s_0+0*s_r+IF(circ_int,eq_c1/2,0))/2))+2*IF(circ_int,0,eq_c1/2))+(PI()*(s_0+0*s_r+IF(circ_int,eq_c1/2,0))/2))+2*IF(circ_int,0,eq_c2/2)))/(s_0+0*s_r+IF(circ_int,eq_c1/2,0))),IF(((23+0.5)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(23+0.5)*(4*IF(circ_int,0,eq_c1/2)+4*IF(circ_int,0,eq_c2/2)+2*PI()*(s_0+0*s_r+IF(circ_int,eq_c1/2,0)))/INDEX(lk_legs,1))-(((((((2*IF(circ_int,0,eq_c2/2))+(PI()*(s_0+0*s_r+IF(circ_int,eq_c1/2,0))/2))+2*IF(circ_int,0,eq_c1/2))+(PI()*(s_0+0*s_r+IF(circ_int,eq_c1/2,0))/2))+2*IF(circ_int,0,eq_c2/2))+(PI()*(s_0+0*s_r+IF(circ_int,eq_c1/2,0))/2))+2*IF(circ_int,0,eq_c1/2)))/(s_0+0*s_r+IF(circ_int,eq_c1/2,0)))))))))),NA())</f>
        <v/>
      </c>
      <c r="BC26">
        <f>IF(AND(links_on,2&lt;=n_per),IF(circ_int,(g_ox)+(c_1/2+(s_0+1*s_r))*-0.935016,CHOOSE(INDEX(lk_kind,2),(g_ox-eq_c1/2)+((s_0+1*s_r))*-0.965926,(eq_a1+eq_c1)+((s_0+1*s_r))*0.382683,eq_a1+eq_c1+(s_0+1*s_r),(eq_a1+eq_c1)+((s_0+1*s_r))*0.923880)),NA())</f>
        <v/>
      </c>
      <c r="BD26">
        <f>IF(AND(links_on,2&lt;=n_per),IF(circ_int,(g_oy)+(c_1/2+(s_0+1*s_r))*0.354605,CHOOSE(INDEX(lk_kind,2),(g_oy+eq_c2/2)+((s_0+1*s_r))*0.258819,(g_oy-eq_c2/2)+((s_0+1*s_r))*-0.923880,0,(eq_a2+eq_c2)+((s_0+1*s_r))*0.382683)),NA())</f>
        <v/>
      </c>
      <c r="BF26">
        <f>IF(AND(AND(links_on,2&lt;=n_per),INDEX(lk_kind,2)=1,23&lt;INDEX(lk_legs,2)),g_ox+IF(((23+0.5)*(4*IF(circ_int,0,eq_c1/2)+4*IF(circ_int,0,eq_c2/2)+2*PI()*(s_0+1*s_r+IF(circ_int,eq_c1/2,0)))/INDEX(lk_legs,2))&lt;(2*IF(circ_int,0,eq_c2/2)),IF(circ_int,0,eq_c1/2)+(s_0+1*s_r+IF(circ_int,eq_c1/2,0)),IF(((23+0.5)*(4*IF(circ_int,0,eq_c1/2)+4*IF(circ_int,0,eq_c2/2)+2*PI()*(s_0+1*s_r+IF(circ_int,eq_c1/2,0)))/INDEX(lk_legs,2))&lt;((2*IF(circ_int,0,eq_c2/2))+(PI()*(s_0+1*s_r+IF(circ_int,eq_c1/2,0))/2)),IF(circ_int,0,eq_c1/2)+(s_0+1*s_r+IF(circ_int,eq_c1/2,0))*COS((((23+0.5)*(4*IF(circ_int,0,eq_c1/2)+4*IF(circ_int,0,eq_c2/2)+2*PI()*(s_0+1*s_r+IF(circ_int,eq_c1/2,0)))/INDEX(lk_legs,2))-(2*IF(circ_int,0,eq_c2/2)))/(s_0+1*s_r+IF(circ_int,eq_c1/2,0))),IF(((23+0.5)*(4*IF(circ_int,0,eq_c1/2)+4*IF(circ_int,0,eq_c2/2)+2*PI()*(s_0+1*s_r+IF(circ_int,eq_c1/2,0)))/INDEX(lk_legs,2))&lt;(((2*IF(circ_int,0,eq_c2/2))+(PI()*(s_0+1*s_r+IF(circ_int,eq_c1/2,0))/2))+2*IF(circ_int,0,eq_c1/2)),IF(circ_int,0,eq_c1/2)-(((23+0.5)*(4*IF(circ_int,0,eq_c1/2)+4*IF(circ_int,0,eq_c2/2)+2*PI()*(s_0+1*s_r+IF(circ_int,eq_c1/2,0)))/INDEX(lk_legs,2))-((2*IF(circ_int,0,eq_c2/2))+(PI()*(s_0+1*s_r+IF(circ_int,eq_c1/2,0))/2))),IF(((23+0.5)*(4*IF(circ_int,0,eq_c1/2)+4*IF(circ_int,0,eq_c2/2)+2*PI()*(s_0+1*s_r+IF(circ_int,eq_c1/2,0)))/INDEX(lk_legs,2))&lt;((((2*IF(circ_int,0,eq_c2/2))+(PI()*(s_0+1*s_r+IF(circ_int,eq_c1/2,0))/2))+2*IF(circ_int,0,eq_c1/2))+(PI()*(s_0+1*s_r+IF(circ_int,eq_c1/2,0))/2)),-IF(circ_int,0,eq_c1/2)+(s_0+1*s_r+IF(circ_int,eq_c1/2,0))*COS(PI()/2+(((23+0.5)*(4*IF(circ_int,0,eq_c1/2)+4*IF(circ_int,0,eq_c2/2)+2*PI()*(s_0+1*s_r+IF(circ_int,eq_c1/2,0)))/INDEX(lk_legs,2))-(((2*IF(circ_int,0,eq_c2/2))+(PI()*(s_0+1*s_r+IF(circ_int,eq_c1/2,0))/2))+2*IF(circ_int,0,eq_c1/2)))/(s_0+1*s_r+IF(circ_int,eq_c1/2,0))),IF(((23+0.5)*(4*IF(circ_int,0,eq_c1/2)+4*IF(circ_int,0,eq_c2/2)+2*PI()*(s_0+1*s_r+IF(circ_int,eq_c1/2,0)))/INDEX(lk_legs,2))&lt;(((((2*IF(circ_int,0,eq_c2/2))+(PI()*(s_0+1*s_r+IF(circ_int,eq_c1/2,0))/2))+2*IF(circ_int,0,eq_c1/2))+(PI()*(s_0+1*s_r+IF(circ_int,eq_c1/2,0))/2))+2*IF(circ_int,0,eq_c2/2)),-IF(circ_int,0,eq_c1/2)-(s_0+1*s_r+IF(circ_int,eq_c1/2,0)),IF(((23+0.5)*(4*IF(circ_int,0,eq_c1/2)+4*IF(circ_int,0,eq_c2/2)+2*PI()*(s_0+1*s_r+IF(circ_int,eq_c1/2,0)))/INDEX(lk_legs,2))&lt;((((((2*IF(circ_int,0,eq_c2/2))+(PI()*(s_0+1*s_r+IF(circ_int,eq_c1/2,0))/2))+2*IF(circ_int,0,eq_c1/2))+(PI()*(s_0+1*s_r+IF(circ_int,eq_c1/2,0))/2))+2*IF(circ_int,0,eq_c2/2))+(PI()*(s_0+1*s_r+IF(circ_int,eq_c1/2,0))/2)),-IF(circ_int,0,eq_c1/2)+(s_0+1*s_r+IF(circ_int,eq_c1/2,0))*COS(PI()+(((23+0.5)*(4*IF(circ_int,0,eq_c1/2)+4*IF(circ_int,0,eq_c2/2)+2*PI()*(s_0+1*s_r+IF(circ_int,eq_c1/2,0)))/INDEX(lk_legs,2))-(((((2*IF(circ_int,0,eq_c2/2))+(PI()*(s_0+1*s_r+IF(circ_int,eq_c1/2,0))/2))+2*IF(circ_int,0,eq_c1/2))+(PI()*(s_0+1*s_r+IF(circ_int,eq_c1/2,0))/2))+2*IF(circ_int,0,eq_c2/2)))/(s_0+1*s_r+IF(circ_int,eq_c1/2,0))),IF(((23+0.5)*(4*IF(circ_int,0,eq_c1/2)+4*IF(circ_int,0,eq_c2/2)+2*PI()*(s_0+1*s_r+IF(circ_int,eq_c1/2,0)))/INDEX(lk_legs,2))&lt;(((((((2*IF(circ_int,0,eq_c2/2))+(PI()*(s_0+1*s_r+IF(circ_int,eq_c1/2,0))/2))+2*IF(circ_int,0,eq_c1/2))+(PI()*(s_0+1*s_r+IF(circ_int,eq_c1/2,0))/2))+2*IF(circ_int,0,eq_c2/2))+(PI()*(s_0+1*s_r+IF(circ_int,eq_c1/2,0))/2))+2*IF(circ_int,0,eq_c1/2)),-IF(circ_int,0,eq_c1/2)+(((23+0.5)*(4*IF(circ_int,0,eq_c1/2)+4*IF(circ_int,0,eq_c2/2)+2*PI()*(s_0+1*s_r+IF(circ_int,eq_c1/2,0)))/INDEX(lk_legs,2))-((((((2*IF(circ_int,0,eq_c2/2))+(PI()*(s_0+1*s_r+IF(circ_int,eq_c1/2,0))/2))+2*IF(circ_int,0,eq_c1/2))+(PI()*(s_0+1*s_r+IF(circ_int,eq_c1/2,0))/2))+2*IF(circ_int,0,eq_c2/2))+(PI()*(s_0+1*s_r+IF(circ_int,eq_c1/2,0))/2))),IF(circ_int,0,eq_c1/2)+(s_0+1*s_r+IF(circ_int,eq_c1/2,0))*COS(3*PI()/2+(((23+0.5)*(4*IF(circ_int,0,eq_c1/2)+4*IF(circ_int,0,eq_c2/2)+2*PI()*(s_0+1*s_r+IF(circ_int,eq_c1/2,0)))/INDEX(lk_legs,2))-(((((((2*IF(circ_int,0,eq_c2/2))+(PI()*(s_0+1*s_r+IF(circ_int,eq_c1/2,0))/2))+2*IF(circ_int,0,eq_c1/2))+(PI()*(s_0+1*s_r+IF(circ_int,eq_c1/2,0))/2))+2*IF(circ_int,0,eq_c2/2))+(PI()*(s_0+1*s_r+IF(circ_int,eq_c1/2,0))/2))+2*IF(circ_int,0,eq_c1/2)))/(s_0+1*s_r+IF(circ_int,eq_c1/2,0)))))))))),NA())</f>
        <v/>
      </c>
      <c r="BG26">
        <f>IF(AND(AND(links_on,2&lt;=n_per),INDEX(lk_kind,2)=1,23&lt;INDEX(lk_legs,2)),g_oy+IF(((23+0.5)*(4*IF(circ_int,0,eq_c1/2)+4*IF(circ_int,0,eq_c2/2)+2*PI()*(s_0+1*s_r+IF(circ_int,eq_c1/2,0)))/INDEX(lk_legs,2))&lt;(2*IF(circ_int,0,eq_c2/2)),-IF(circ_int,0,eq_c2/2)+((23+0.5)*(4*IF(circ_int,0,eq_c1/2)+4*IF(circ_int,0,eq_c2/2)+2*PI()*(s_0+1*s_r+IF(circ_int,eq_c1/2,0)))/INDEX(lk_legs,2)),IF(((23+0.5)*(4*IF(circ_int,0,eq_c1/2)+4*IF(circ_int,0,eq_c2/2)+2*PI()*(s_0+1*s_r+IF(circ_int,eq_c1/2,0)))/INDEX(lk_legs,2))&lt;((2*IF(circ_int,0,eq_c2/2))+(PI()*(s_0+1*s_r+IF(circ_int,eq_c1/2,0))/2)),IF(circ_int,0,eq_c2/2)+(s_0+1*s_r+IF(circ_int,eq_c1/2,0))*SIN((((23+0.5)*(4*IF(circ_int,0,eq_c1/2)+4*IF(circ_int,0,eq_c2/2)+2*PI()*(s_0+1*s_r+IF(circ_int,eq_c1/2,0)))/INDEX(lk_legs,2))-(2*IF(circ_int,0,eq_c2/2)))/(s_0+1*s_r+IF(circ_int,eq_c1/2,0))),IF(((23+0.5)*(4*IF(circ_int,0,eq_c1/2)+4*IF(circ_int,0,eq_c2/2)+2*PI()*(s_0+1*s_r+IF(circ_int,eq_c1/2,0)))/INDEX(lk_legs,2))&lt;(((2*IF(circ_int,0,eq_c2/2))+(PI()*(s_0+1*s_r+IF(circ_int,eq_c1/2,0))/2))+2*IF(circ_int,0,eq_c1/2)),IF(circ_int,0,eq_c2/2)+(s_0+1*s_r+IF(circ_int,eq_c1/2,0)),IF(((23+0.5)*(4*IF(circ_int,0,eq_c1/2)+4*IF(circ_int,0,eq_c2/2)+2*PI()*(s_0+1*s_r+IF(circ_int,eq_c1/2,0)))/INDEX(lk_legs,2))&lt;((((2*IF(circ_int,0,eq_c2/2))+(PI()*(s_0+1*s_r+IF(circ_int,eq_c1/2,0))/2))+2*IF(circ_int,0,eq_c1/2))+(PI()*(s_0+1*s_r+IF(circ_int,eq_c1/2,0))/2)),IF(circ_int,0,eq_c2/2)+(s_0+1*s_r+IF(circ_int,eq_c1/2,0))*SIN(PI()/2+(((23+0.5)*(4*IF(circ_int,0,eq_c1/2)+4*IF(circ_int,0,eq_c2/2)+2*PI()*(s_0+1*s_r+IF(circ_int,eq_c1/2,0)))/INDEX(lk_legs,2))-(((2*IF(circ_int,0,eq_c2/2))+(PI()*(s_0+1*s_r+IF(circ_int,eq_c1/2,0))/2))+2*IF(circ_int,0,eq_c1/2)))/(s_0+1*s_r+IF(circ_int,eq_c1/2,0))),IF(((23+0.5)*(4*IF(circ_int,0,eq_c1/2)+4*IF(circ_int,0,eq_c2/2)+2*PI()*(s_0+1*s_r+IF(circ_int,eq_c1/2,0)))/INDEX(lk_legs,2))&lt;(((((2*IF(circ_int,0,eq_c2/2))+(PI()*(s_0+1*s_r+IF(circ_int,eq_c1/2,0))/2))+2*IF(circ_int,0,eq_c1/2))+(PI()*(s_0+1*s_r+IF(circ_int,eq_c1/2,0))/2))+2*IF(circ_int,0,eq_c2/2)),IF(circ_int,0,eq_c2/2)-(((23+0.5)*(4*IF(circ_int,0,eq_c1/2)+4*IF(circ_int,0,eq_c2/2)+2*PI()*(s_0+1*s_r+IF(circ_int,eq_c1/2,0)))/INDEX(lk_legs,2))-((((2*IF(circ_int,0,eq_c2/2))+(PI()*(s_0+1*s_r+IF(circ_int,eq_c1/2,0))/2))+2*IF(circ_int,0,eq_c1/2))+(PI()*(s_0+1*s_r+IF(circ_int,eq_c1/2,0))/2))),IF(((23+0.5)*(4*IF(circ_int,0,eq_c1/2)+4*IF(circ_int,0,eq_c2/2)+2*PI()*(s_0+1*s_r+IF(circ_int,eq_c1/2,0)))/INDEX(lk_legs,2))&lt;((((((2*IF(circ_int,0,eq_c2/2))+(PI()*(s_0+1*s_r+IF(circ_int,eq_c1/2,0))/2))+2*IF(circ_int,0,eq_c1/2))+(PI()*(s_0+1*s_r+IF(circ_int,eq_c1/2,0))/2))+2*IF(circ_int,0,eq_c2/2))+(PI()*(s_0+1*s_r+IF(circ_int,eq_c1/2,0))/2)),-IF(circ_int,0,eq_c2/2)+(s_0+1*s_r+IF(circ_int,eq_c1/2,0))*SIN(PI()+(((23+0.5)*(4*IF(circ_int,0,eq_c1/2)+4*IF(circ_int,0,eq_c2/2)+2*PI()*(s_0+1*s_r+IF(circ_int,eq_c1/2,0)))/INDEX(lk_legs,2))-(((((2*IF(circ_int,0,eq_c2/2))+(PI()*(s_0+1*s_r+IF(circ_int,eq_c1/2,0))/2))+2*IF(circ_int,0,eq_c1/2))+(PI()*(s_0+1*s_r+IF(circ_int,eq_c1/2,0))/2))+2*IF(circ_int,0,eq_c2/2)))/(s_0+1*s_r+IF(circ_int,eq_c1/2,0))),IF(((23+0.5)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(23+0.5)*(4*IF(circ_int,0,eq_c1/2)+4*IF(circ_int,0,eq_c2/2)+2*PI()*(s_0+1*s_r+IF(circ_int,eq_c1/2,0)))/INDEX(lk_legs,2))-(((((((2*IF(circ_int,0,eq_c2/2))+(PI()*(s_0+1*s_r+IF(circ_int,eq_c1/2,0))/2))+2*IF(circ_int,0,eq_c1/2))+(PI()*(s_0+1*s_r+IF(circ_int,eq_c1/2,0))/2))+2*IF(circ_int,0,eq_c2/2))+(PI()*(s_0+1*s_r+IF(circ_int,eq_c1/2,0))/2))+2*IF(circ_int,0,eq_c1/2)))/(s_0+1*s_r+IF(circ_int,eq_c1/2,0)))))))))),NA())</f>
        <v/>
      </c>
      <c r="BI26">
        <f>IF(AND(links_on,3&lt;=n_per),IF(circ_int,(g_ox)+(c_1/2+(s_0+2*s_r))*-0.935016,CHOOSE(INDEX(lk_kind,3),(g_ox-eq_c1/2)+((s_0+2*s_r))*-0.965926,(eq_a1+eq_c1)+((s_0+2*s_r))*0.382683,eq_a1+eq_c1+(s_0+2*s_r),(eq_a1+eq_c1)+((s_0+2*s_r))*0.923880)),NA())</f>
        <v/>
      </c>
      <c r="BJ26">
        <f>IF(AND(links_on,3&lt;=n_per),IF(circ_int,(g_oy)+(c_1/2+(s_0+2*s_r))*0.354605,CHOOSE(INDEX(lk_kind,3),(g_oy+eq_c2/2)+((s_0+2*s_r))*0.258819,(g_oy-eq_c2/2)+((s_0+2*s_r))*-0.923880,0,(eq_a2+eq_c2)+((s_0+2*s_r))*0.382683)),NA())</f>
        <v/>
      </c>
      <c r="BL26">
        <f>IF(AND(AND(links_on,3&lt;=n_per),INDEX(lk_kind,3)=1,23&lt;INDEX(lk_legs,3)),g_ox+IF(((23+0.5)*(4*IF(circ_int,0,eq_c1/2)+4*IF(circ_int,0,eq_c2/2)+2*PI()*(s_0+2*s_r+IF(circ_int,eq_c1/2,0)))/INDEX(lk_legs,3))&lt;(2*IF(circ_int,0,eq_c2/2)),IF(circ_int,0,eq_c1/2)+(s_0+2*s_r+IF(circ_int,eq_c1/2,0)),IF(((23+0.5)*(4*IF(circ_int,0,eq_c1/2)+4*IF(circ_int,0,eq_c2/2)+2*PI()*(s_0+2*s_r+IF(circ_int,eq_c1/2,0)))/INDEX(lk_legs,3))&lt;((2*IF(circ_int,0,eq_c2/2))+(PI()*(s_0+2*s_r+IF(circ_int,eq_c1/2,0))/2)),IF(circ_int,0,eq_c1/2)+(s_0+2*s_r+IF(circ_int,eq_c1/2,0))*COS((((23+0.5)*(4*IF(circ_int,0,eq_c1/2)+4*IF(circ_int,0,eq_c2/2)+2*PI()*(s_0+2*s_r+IF(circ_int,eq_c1/2,0)))/INDEX(lk_legs,3))-(2*IF(circ_int,0,eq_c2/2)))/(s_0+2*s_r+IF(circ_int,eq_c1/2,0))),IF(((23+0.5)*(4*IF(circ_int,0,eq_c1/2)+4*IF(circ_int,0,eq_c2/2)+2*PI()*(s_0+2*s_r+IF(circ_int,eq_c1/2,0)))/INDEX(lk_legs,3))&lt;(((2*IF(circ_int,0,eq_c2/2))+(PI()*(s_0+2*s_r+IF(circ_int,eq_c1/2,0))/2))+2*IF(circ_int,0,eq_c1/2)),IF(circ_int,0,eq_c1/2)-(((23+0.5)*(4*IF(circ_int,0,eq_c1/2)+4*IF(circ_int,0,eq_c2/2)+2*PI()*(s_0+2*s_r+IF(circ_int,eq_c1/2,0)))/INDEX(lk_legs,3))-((2*IF(circ_int,0,eq_c2/2))+(PI()*(s_0+2*s_r+IF(circ_int,eq_c1/2,0))/2))),IF(((23+0.5)*(4*IF(circ_int,0,eq_c1/2)+4*IF(circ_int,0,eq_c2/2)+2*PI()*(s_0+2*s_r+IF(circ_int,eq_c1/2,0)))/INDEX(lk_legs,3))&lt;((((2*IF(circ_int,0,eq_c2/2))+(PI()*(s_0+2*s_r+IF(circ_int,eq_c1/2,0))/2))+2*IF(circ_int,0,eq_c1/2))+(PI()*(s_0+2*s_r+IF(circ_int,eq_c1/2,0))/2)),-IF(circ_int,0,eq_c1/2)+(s_0+2*s_r+IF(circ_int,eq_c1/2,0))*COS(PI()/2+(((23+0.5)*(4*IF(circ_int,0,eq_c1/2)+4*IF(circ_int,0,eq_c2/2)+2*PI()*(s_0+2*s_r+IF(circ_int,eq_c1/2,0)))/INDEX(lk_legs,3))-(((2*IF(circ_int,0,eq_c2/2))+(PI()*(s_0+2*s_r+IF(circ_int,eq_c1/2,0))/2))+2*IF(circ_int,0,eq_c1/2)))/(s_0+2*s_r+IF(circ_int,eq_c1/2,0))),IF(((23+0.5)*(4*IF(circ_int,0,eq_c1/2)+4*IF(circ_int,0,eq_c2/2)+2*PI()*(s_0+2*s_r+IF(circ_int,eq_c1/2,0)))/INDEX(lk_legs,3))&lt;(((((2*IF(circ_int,0,eq_c2/2))+(PI()*(s_0+2*s_r+IF(circ_int,eq_c1/2,0))/2))+2*IF(circ_int,0,eq_c1/2))+(PI()*(s_0+2*s_r+IF(circ_int,eq_c1/2,0))/2))+2*IF(circ_int,0,eq_c2/2)),-IF(circ_int,0,eq_c1/2)-(s_0+2*s_r+IF(circ_int,eq_c1/2,0)),IF(((23+0.5)*(4*IF(circ_int,0,eq_c1/2)+4*IF(circ_int,0,eq_c2/2)+2*PI()*(s_0+2*s_r+IF(circ_int,eq_c1/2,0)))/INDEX(lk_legs,3))&lt;((((((2*IF(circ_int,0,eq_c2/2))+(PI()*(s_0+2*s_r+IF(circ_int,eq_c1/2,0))/2))+2*IF(circ_int,0,eq_c1/2))+(PI()*(s_0+2*s_r+IF(circ_int,eq_c1/2,0))/2))+2*IF(circ_int,0,eq_c2/2))+(PI()*(s_0+2*s_r+IF(circ_int,eq_c1/2,0))/2)),-IF(circ_int,0,eq_c1/2)+(s_0+2*s_r+IF(circ_int,eq_c1/2,0))*COS(PI()+(((23+0.5)*(4*IF(circ_int,0,eq_c1/2)+4*IF(circ_int,0,eq_c2/2)+2*PI()*(s_0+2*s_r+IF(circ_int,eq_c1/2,0)))/INDEX(lk_legs,3))-(((((2*IF(circ_int,0,eq_c2/2))+(PI()*(s_0+2*s_r+IF(circ_int,eq_c1/2,0))/2))+2*IF(circ_int,0,eq_c1/2))+(PI()*(s_0+2*s_r+IF(circ_int,eq_c1/2,0))/2))+2*IF(circ_int,0,eq_c2/2)))/(s_0+2*s_r+IF(circ_int,eq_c1/2,0))),IF(((23+0.5)*(4*IF(circ_int,0,eq_c1/2)+4*IF(circ_int,0,eq_c2/2)+2*PI()*(s_0+2*s_r+IF(circ_int,eq_c1/2,0)))/INDEX(lk_legs,3))&lt;(((((((2*IF(circ_int,0,eq_c2/2))+(PI()*(s_0+2*s_r+IF(circ_int,eq_c1/2,0))/2))+2*IF(circ_int,0,eq_c1/2))+(PI()*(s_0+2*s_r+IF(circ_int,eq_c1/2,0))/2))+2*IF(circ_int,0,eq_c2/2))+(PI()*(s_0+2*s_r+IF(circ_int,eq_c1/2,0))/2))+2*IF(circ_int,0,eq_c1/2)),-IF(circ_int,0,eq_c1/2)+(((23+0.5)*(4*IF(circ_int,0,eq_c1/2)+4*IF(circ_int,0,eq_c2/2)+2*PI()*(s_0+2*s_r+IF(circ_int,eq_c1/2,0)))/INDEX(lk_legs,3))-((((((2*IF(circ_int,0,eq_c2/2))+(PI()*(s_0+2*s_r+IF(circ_int,eq_c1/2,0))/2))+2*IF(circ_int,0,eq_c1/2))+(PI()*(s_0+2*s_r+IF(circ_int,eq_c1/2,0))/2))+2*IF(circ_int,0,eq_c2/2))+(PI()*(s_0+2*s_r+IF(circ_int,eq_c1/2,0))/2))),IF(circ_int,0,eq_c1/2)+(s_0+2*s_r+IF(circ_int,eq_c1/2,0))*COS(3*PI()/2+(((23+0.5)*(4*IF(circ_int,0,eq_c1/2)+4*IF(circ_int,0,eq_c2/2)+2*PI()*(s_0+2*s_r+IF(circ_int,eq_c1/2,0)))/INDEX(lk_legs,3))-(((((((2*IF(circ_int,0,eq_c2/2))+(PI()*(s_0+2*s_r+IF(circ_int,eq_c1/2,0))/2))+2*IF(circ_int,0,eq_c1/2))+(PI()*(s_0+2*s_r+IF(circ_int,eq_c1/2,0))/2))+2*IF(circ_int,0,eq_c2/2))+(PI()*(s_0+2*s_r+IF(circ_int,eq_c1/2,0))/2))+2*IF(circ_int,0,eq_c1/2)))/(s_0+2*s_r+IF(circ_int,eq_c1/2,0)))))))))),NA())</f>
        <v/>
      </c>
      <c r="BM26">
        <f>IF(AND(AND(links_on,3&lt;=n_per),INDEX(lk_kind,3)=1,23&lt;INDEX(lk_legs,3)),g_oy+IF(((23+0.5)*(4*IF(circ_int,0,eq_c1/2)+4*IF(circ_int,0,eq_c2/2)+2*PI()*(s_0+2*s_r+IF(circ_int,eq_c1/2,0)))/INDEX(lk_legs,3))&lt;(2*IF(circ_int,0,eq_c2/2)),-IF(circ_int,0,eq_c2/2)+((23+0.5)*(4*IF(circ_int,0,eq_c1/2)+4*IF(circ_int,0,eq_c2/2)+2*PI()*(s_0+2*s_r+IF(circ_int,eq_c1/2,0)))/INDEX(lk_legs,3)),IF(((23+0.5)*(4*IF(circ_int,0,eq_c1/2)+4*IF(circ_int,0,eq_c2/2)+2*PI()*(s_0+2*s_r+IF(circ_int,eq_c1/2,0)))/INDEX(lk_legs,3))&lt;((2*IF(circ_int,0,eq_c2/2))+(PI()*(s_0+2*s_r+IF(circ_int,eq_c1/2,0))/2)),IF(circ_int,0,eq_c2/2)+(s_0+2*s_r+IF(circ_int,eq_c1/2,0))*SIN((((23+0.5)*(4*IF(circ_int,0,eq_c1/2)+4*IF(circ_int,0,eq_c2/2)+2*PI()*(s_0+2*s_r+IF(circ_int,eq_c1/2,0)))/INDEX(lk_legs,3))-(2*IF(circ_int,0,eq_c2/2)))/(s_0+2*s_r+IF(circ_int,eq_c1/2,0))),IF(((23+0.5)*(4*IF(circ_int,0,eq_c1/2)+4*IF(circ_int,0,eq_c2/2)+2*PI()*(s_0+2*s_r+IF(circ_int,eq_c1/2,0)))/INDEX(lk_legs,3))&lt;(((2*IF(circ_int,0,eq_c2/2))+(PI()*(s_0+2*s_r+IF(circ_int,eq_c1/2,0))/2))+2*IF(circ_int,0,eq_c1/2)),IF(circ_int,0,eq_c2/2)+(s_0+2*s_r+IF(circ_int,eq_c1/2,0)),IF(((23+0.5)*(4*IF(circ_int,0,eq_c1/2)+4*IF(circ_int,0,eq_c2/2)+2*PI()*(s_0+2*s_r+IF(circ_int,eq_c1/2,0)))/INDEX(lk_legs,3))&lt;((((2*IF(circ_int,0,eq_c2/2))+(PI()*(s_0+2*s_r+IF(circ_int,eq_c1/2,0))/2))+2*IF(circ_int,0,eq_c1/2))+(PI()*(s_0+2*s_r+IF(circ_int,eq_c1/2,0))/2)),IF(circ_int,0,eq_c2/2)+(s_0+2*s_r+IF(circ_int,eq_c1/2,0))*SIN(PI()/2+(((23+0.5)*(4*IF(circ_int,0,eq_c1/2)+4*IF(circ_int,0,eq_c2/2)+2*PI()*(s_0+2*s_r+IF(circ_int,eq_c1/2,0)))/INDEX(lk_legs,3))-(((2*IF(circ_int,0,eq_c2/2))+(PI()*(s_0+2*s_r+IF(circ_int,eq_c1/2,0))/2))+2*IF(circ_int,0,eq_c1/2)))/(s_0+2*s_r+IF(circ_int,eq_c1/2,0))),IF(((23+0.5)*(4*IF(circ_int,0,eq_c1/2)+4*IF(circ_int,0,eq_c2/2)+2*PI()*(s_0+2*s_r+IF(circ_int,eq_c1/2,0)))/INDEX(lk_legs,3))&lt;(((((2*IF(circ_int,0,eq_c2/2))+(PI()*(s_0+2*s_r+IF(circ_int,eq_c1/2,0))/2))+2*IF(circ_int,0,eq_c1/2))+(PI()*(s_0+2*s_r+IF(circ_int,eq_c1/2,0))/2))+2*IF(circ_int,0,eq_c2/2)),IF(circ_int,0,eq_c2/2)-(((23+0.5)*(4*IF(circ_int,0,eq_c1/2)+4*IF(circ_int,0,eq_c2/2)+2*PI()*(s_0+2*s_r+IF(circ_int,eq_c1/2,0)))/INDEX(lk_legs,3))-((((2*IF(circ_int,0,eq_c2/2))+(PI()*(s_0+2*s_r+IF(circ_int,eq_c1/2,0))/2))+2*IF(circ_int,0,eq_c1/2))+(PI()*(s_0+2*s_r+IF(circ_int,eq_c1/2,0))/2))),IF(((23+0.5)*(4*IF(circ_int,0,eq_c1/2)+4*IF(circ_int,0,eq_c2/2)+2*PI()*(s_0+2*s_r+IF(circ_int,eq_c1/2,0)))/INDEX(lk_legs,3))&lt;((((((2*IF(circ_int,0,eq_c2/2))+(PI()*(s_0+2*s_r+IF(circ_int,eq_c1/2,0))/2))+2*IF(circ_int,0,eq_c1/2))+(PI()*(s_0+2*s_r+IF(circ_int,eq_c1/2,0))/2))+2*IF(circ_int,0,eq_c2/2))+(PI()*(s_0+2*s_r+IF(circ_int,eq_c1/2,0))/2)),-IF(circ_int,0,eq_c2/2)+(s_0+2*s_r+IF(circ_int,eq_c1/2,0))*SIN(PI()+(((23+0.5)*(4*IF(circ_int,0,eq_c1/2)+4*IF(circ_int,0,eq_c2/2)+2*PI()*(s_0+2*s_r+IF(circ_int,eq_c1/2,0)))/INDEX(lk_legs,3))-(((((2*IF(circ_int,0,eq_c2/2))+(PI()*(s_0+2*s_r+IF(circ_int,eq_c1/2,0))/2))+2*IF(circ_int,0,eq_c1/2))+(PI()*(s_0+2*s_r+IF(circ_int,eq_c1/2,0))/2))+2*IF(circ_int,0,eq_c2/2)))/(s_0+2*s_r+IF(circ_int,eq_c1/2,0))),IF(((23+0.5)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(23+0.5)*(4*IF(circ_int,0,eq_c1/2)+4*IF(circ_int,0,eq_c2/2)+2*PI()*(s_0+2*s_r+IF(circ_int,eq_c1/2,0)))/INDEX(lk_legs,3))-(((((((2*IF(circ_int,0,eq_c2/2))+(PI()*(s_0+2*s_r+IF(circ_int,eq_c1/2,0))/2))+2*IF(circ_int,0,eq_c1/2))+(PI()*(s_0+2*s_r+IF(circ_int,eq_c1/2,0))/2))+2*IF(circ_int,0,eq_c2/2))+(PI()*(s_0+2*s_r+IF(circ_int,eq_c1/2,0))/2))+2*IF(circ_int,0,eq_c1/2)))/(s_0+2*s_r+IF(circ_int,eq_c1/2,0)))))))))),NA())</f>
        <v/>
      </c>
      <c r="BO26">
        <f>IF(AND(links_on,4&lt;=n_per),IF(circ_int,(g_ox)+(c_1/2+(s_0+3*s_r))*-0.935016,CHOOSE(INDEX(lk_kind,4),(g_ox-eq_c1/2)+((s_0+3*s_r))*-0.965926,(eq_a1+eq_c1)+((s_0+3*s_r))*0.382683,eq_a1+eq_c1+(s_0+3*s_r),(eq_a1+eq_c1)+((s_0+3*s_r))*0.923880)),NA())</f>
        <v/>
      </c>
      <c r="BP26">
        <f>IF(AND(links_on,4&lt;=n_per),IF(circ_int,(g_oy)+(c_1/2+(s_0+3*s_r))*0.354605,CHOOSE(INDEX(lk_kind,4),(g_oy+eq_c2/2)+((s_0+3*s_r))*0.258819,(g_oy-eq_c2/2)+((s_0+3*s_r))*-0.923880,0,(eq_a2+eq_c2)+((s_0+3*s_r))*0.382683)),NA())</f>
        <v/>
      </c>
      <c r="BR26">
        <f>IF(AND(AND(links_on,4&lt;=n_per),INDEX(lk_kind,4)=1,23&lt;INDEX(lk_legs,4)),g_ox+IF(((23+0.5)*(4*IF(circ_int,0,eq_c1/2)+4*IF(circ_int,0,eq_c2/2)+2*PI()*(s_0+3*s_r+IF(circ_int,eq_c1/2,0)))/INDEX(lk_legs,4))&lt;(2*IF(circ_int,0,eq_c2/2)),IF(circ_int,0,eq_c1/2)+(s_0+3*s_r+IF(circ_int,eq_c1/2,0)),IF(((23+0.5)*(4*IF(circ_int,0,eq_c1/2)+4*IF(circ_int,0,eq_c2/2)+2*PI()*(s_0+3*s_r+IF(circ_int,eq_c1/2,0)))/INDEX(lk_legs,4))&lt;((2*IF(circ_int,0,eq_c2/2))+(PI()*(s_0+3*s_r+IF(circ_int,eq_c1/2,0))/2)),IF(circ_int,0,eq_c1/2)+(s_0+3*s_r+IF(circ_int,eq_c1/2,0))*COS((((23+0.5)*(4*IF(circ_int,0,eq_c1/2)+4*IF(circ_int,0,eq_c2/2)+2*PI()*(s_0+3*s_r+IF(circ_int,eq_c1/2,0)))/INDEX(lk_legs,4))-(2*IF(circ_int,0,eq_c2/2)))/(s_0+3*s_r+IF(circ_int,eq_c1/2,0))),IF(((23+0.5)*(4*IF(circ_int,0,eq_c1/2)+4*IF(circ_int,0,eq_c2/2)+2*PI()*(s_0+3*s_r+IF(circ_int,eq_c1/2,0)))/INDEX(lk_legs,4))&lt;(((2*IF(circ_int,0,eq_c2/2))+(PI()*(s_0+3*s_r+IF(circ_int,eq_c1/2,0))/2))+2*IF(circ_int,0,eq_c1/2)),IF(circ_int,0,eq_c1/2)-(((23+0.5)*(4*IF(circ_int,0,eq_c1/2)+4*IF(circ_int,0,eq_c2/2)+2*PI()*(s_0+3*s_r+IF(circ_int,eq_c1/2,0)))/INDEX(lk_legs,4))-((2*IF(circ_int,0,eq_c2/2))+(PI()*(s_0+3*s_r+IF(circ_int,eq_c1/2,0))/2))),IF(((23+0.5)*(4*IF(circ_int,0,eq_c1/2)+4*IF(circ_int,0,eq_c2/2)+2*PI()*(s_0+3*s_r+IF(circ_int,eq_c1/2,0)))/INDEX(lk_legs,4))&lt;((((2*IF(circ_int,0,eq_c2/2))+(PI()*(s_0+3*s_r+IF(circ_int,eq_c1/2,0))/2))+2*IF(circ_int,0,eq_c1/2))+(PI()*(s_0+3*s_r+IF(circ_int,eq_c1/2,0))/2)),-IF(circ_int,0,eq_c1/2)+(s_0+3*s_r+IF(circ_int,eq_c1/2,0))*COS(PI()/2+(((23+0.5)*(4*IF(circ_int,0,eq_c1/2)+4*IF(circ_int,0,eq_c2/2)+2*PI()*(s_0+3*s_r+IF(circ_int,eq_c1/2,0)))/INDEX(lk_legs,4))-(((2*IF(circ_int,0,eq_c2/2))+(PI()*(s_0+3*s_r+IF(circ_int,eq_c1/2,0))/2))+2*IF(circ_int,0,eq_c1/2)))/(s_0+3*s_r+IF(circ_int,eq_c1/2,0))),IF(((23+0.5)*(4*IF(circ_int,0,eq_c1/2)+4*IF(circ_int,0,eq_c2/2)+2*PI()*(s_0+3*s_r+IF(circ_int,eq_c1/2,0)))/INDEX(lk_legs,4))&lt;(((((2*IF(circ_int,0,eq_c2/2))+(PI()*(s_0+3*s_r+IF(circ_int,eq_c1/2,0))/2))+2*IF(circ_int,0,eq_c1/2))+(PI()*(s_0+3*s_r+IF(circ_int,eq_c1/2,0))/2))+2*IF(circ_int,0,eq_c2/2)),-IF(circ_int,0,eq_c1/2)-(s_0+3*s_r+IF(circ_int,eq_c1/2,0)),IF(((23+0.5)*(4*IF(circ_int,0,eq_c1/2)+4*IF(circ_int,0,eq_c2/2)+2*PI()*(s_0+3*s_r+IF(circ_int,eq_c1/2,0)))/INDEX(lk_legs,4))&lt;((((((2*IF(circ_int,0,eq_c2/2))+(PI()*(s_0+3*s_r+IF(circ_int,eq_c1/2,0))/2))+2*IF(circ_int,0,eq_c1/2))+(PI()*(s_0+3*s_r+IF(circ_int,eq_c1/2,0))/2))+2*IF(circ_int,0,eq_c2/2))+(PI()*(s_0+3*s_r+IF(circ_int,eq_c1/2,0))/2)),-IF(circ_int,0,eq_c1/2)+(s_0+3*s_r+IF(circ_int,eq_c1/2,0))*COS(PI()+(((23+0.5)*(4*IF(circ_int,0,eq_c1/2)+4*IF(circ_int,0,eq_c2/2)+2*PI()*(s_0+3*s_r+IF(circ_int,eq_c1/2,0)))/INDEX(lk_legs,4))-(((((2*IF(circ_int,0,eq_c2/2))+(PI()*(s_0+3*s_r+IF(circ_int,eq_c1/2,0))/2))+2*IF(circ_int,0,eq_c1/2))+(PI()*(s_0+3*s_r+IF(circ_int,eq_c1/2,0))/2))+2*IF(circ_int,0,eq_c2/2)))/(s_0+3*s_r+IF(circ_int,eq_c1/2,0))),IF(((23+0.5)*(4*IF(circ_int,0,eq_c1/2)+4*IF(circ_int,0,eq_c2/2)+2*PI()*(s_0+3*s_r+IF(circ_int,eq_c1/2,0)))/INDEX(lk_legs,4))&lt;(((((((2*IF(circ_int,0,eq_c2/2))+(PI()*(s_0+3*s_r+IF(circ_int,eq_c1/2,0))/2))+2*IF(circ_int,0,eq_c1/2))+(PI()*(s_0+3*s_r+IF(circ_int,eq_c1/2,0))/2))+2*IF(circ_int,0,eq_c2/2))+(PI()*(s_0+3*s_r+IF(circ_int,eq_c1/2,0))/2))+2*IF(circ_int,0,eq_c1/2)),-IF(circ_int,0,eq_c1/2)+(((23+0.5)*(4*IF(circ_int,0,eq_c1/2)+4*IF(circ_int,0,eq_c2/2)+2*PI()*(s_0+3*s_r+IF(circ_int,eq_c1/2,0)))/INDEX(lk_legs,4))-((((((2*IF(circ_int,0,eq_c2/2))+(PI()*(s_0+3*s_r+IF(circ_int,eq_c1/2,0))/2))+2*IF(circ_int,0,eq_c1/2))+(PI()*(s_0+3*s_r+IF(circ_int,eq_c1/2,0))/2))+2*IF(circ_int,0,eq_c2/2))+(PI()*(s_0+3*s_r+IF(circ_int,eq_c1/2,0))/2))),IF(circ_int,0,eq_c1/2)+(s_0+3*s_r+IF(circ_int,eq_c1/2,0))*COS(3*PI()/2+(((23+0.5)*(4*IF(circ_int,0,eq_c1/2)+4*IF(circ_int,0,eq_c2/2)+2*PI()*(s_0+3*s_r+IF(circ_int,eq_c1/2,0)))/INDEX(lk_legs,4))-(((((((2*IF(circ_int,0,eq_c2/2))+(PI()*(s_0+3*s_r+IF(circ_int,eq_c1/2,0))/2))+2*IF(circ_int,0,eq_c1/2))+(PI()*(s_0+3*s_r+IF(circ_int,eq_c1/2,0))/2))+2*IF(circ_int,0,eq_c2/2))+(PI()*(s_0+3*s_r+IF(circ_int,eq_c1/2,0))/2))+2*IF(circ_int,0,eq_c1/2)))/(s_0+3*s_r+IF(circ_int,eq_c1/2,0)))))))))),NA())</f>
        <v/>
      </c>
      <c r="BS26">
        <f>IF(AND(AND(links_on,4&lt;=n_per),INDEX(lk_kind,4)=1,23&lt;INDEX(lk_legs,4)),g_oy+IF(((23+0.5)*(4*IF(circ_int,0,eq_c1/2)+4*IF(circ_int,0,eq_c2/2)+2*PI()*(s_0+3*s_r+IF(circ_int,eq_c1/2,0)))/INDEX(lk_legs,4))&lt;(2*IF(circ_int,0,eq_c2/2)),-IF(circ_int,0,eq_c2/2)+((23+0.5)*(4*IF(circ_int,0,eq_c1/2)+4*IF(circ_int,0,eq_c2/2)+2*PI()*(s_0+3*s_r+IF(circ_int,eq_c1/2,0)))/INDEX(lk_legs,4)),IF(((23+0.5)*(4*IF(circ_int,0,eq_c1/2)+4*IF(circ_int,0,eq_c2/2)+2*PI()*(s_0+3*s_r+IF(circ_int,eq_c1/2,0)))/INDEX(lk_legs,4))&lt;((2*IF(circ_int,0,eq_c2/2))+(PI()*(s_0+3*s_r+IF(circ_int,eq_c1/2,0))/2)),IF(circ_int,0,eq_c2/2)+(s_0+3*s_r+IF(circ_int,eq_c1/2,0))*SIN((((23+0.5)*(4*IF(circ_int,0,eq_c1/2)+4*IF(circ_int,0,eq_c2/2)+2*PI()*(s_0+3*s_r+IF(circ_int,eq_c1/2,0)))/INDEX(lk_legs,4))-(2*IF(circ_int,0,eq_c2/2)))/(s_0+3*s_r+IF(circ_int,eq_c1/2,0))),IF(((23+0.5)*(4*IF(circ_int,0,eq_c1/2)+4*IF(circ_int,0,eq_c2/2)+2*PI()*(s_0+3*s_r+IF(circ_int,eq_c1/2,0)))/INDEX(lk_legs,4))&lt;(((2*IF(circ_int,0,eq_c2/2))+(PI()*(s_0+3*s_r+IF(circ_int,eq_c1/2,0))/2))+2*IF(circ_int,0,eq_c1/2)),IF(circ_int,0,eq_c2/2)+(s_0+3*s_r+IF(circ_int,eq_c1/2,0)),IF(((23+0.5)*(4*IF(circ_int,0,eq_c1/2)+4*IF(circ_int,0,eq_c2/2)+2*PI()*(s_0+3*s_r+IF(circ_int,eq_c1/2,0)))/INDEX(lk_legs,4))&lt;((((2*IF(circ_int,0,eq_c2/2))+(PI()*(s_0+3*s_r+IF(circ_int,eq_c1/2,0))/2))+2*IF(circ_int,0,eq_c1/2))+(PI()*(s_0+3*s_r+IF(circ_int,eq_c1/2,0))/2)),IF(circ_int,0,eq_c2/2)+(s_0+3*s_r+IF(circ_int,eq_c1/2,0))*SIN(PI()/2+(((23+0.5)*(4*IF(circ_int,0,eq_c1/2)+4*IF(circ_int,0,eq_c2/2)+2*PI()*(s_0+3*s_r+IF(circ_int,eq_c1/2,0)))/INDEX(lk_legs,4))-(((2*IF(circ_int,0,eq_c2/2))+(PI()*(s_0+3*s_r+IF(circ_int,eq_c1/2,0))/2))+2*IF(circ_int,0,eq_c1/2)))/(s_0+3*s_r+IF(circ_int,eq_c1/2,0))),IF(((23+0.5)*(4*IF(circ_int,0,eq_c1/2)+4*IF(circ_int,0,eq_c2/2)+2*PI()*(s_0+3*s_r+IF(circ_int,eq_c1/2,0)))/INDEX(lk_legs,4))&lt;(((((2*IF(circ_int,0,eq_c2/2))+(PI()*(s_0+3*s_r+IF(circ_int,eq_c1/2,0))/2))+2*IF(circ_int,0,eq_c1/2))+(PI()*(s_0+3*s_r+IF(circ_int,eq_c1/2,0))/2))+2*IF(circ_int,0,eq_c2/2)),IF(circ_int,0,eq_c2/2)-(((23+0.5)*(4*IF(circ_int,0,eq_c1/2)+4*IF(circ_int,0,eq_c2/2)+2*PI()*(s_0+3*s_r+IF(circ_int,eq_c1/2,0)))/INDEX(lk_legs,4))-((((2*IF(circ_int,0,eq_c2/2))+(PI()*(s_0+3*s_r+IF(circ_int,eq_c1/2,0))/2))+2*IF(circ_int,0,eq_c1/2))+(PI()*(s_0+3*s_r+IF(circ_int,eq_c1/2,0))/2))),IF(((23+0.5)*(4*IF(circ_int,0,eq_c1/2)+4*IF(circ_int,0,eq_c2/2)+2*PI()*(s_0+3*s_r+IF(circ_int,eq_c1/2,0)))/INDEX(lk_legs,4))&lt;((((((2*IF(circ_int,0,eq_c2/2))+(PI()*(s_0+3*s_r+IF(circ_int,eq_c1/2,0))/2))+2*IF(circ_int,0,eq_c1/2))+(PI()*(s_0+3*s_r+IF(circ_int,eq_c1/2,0))/2))+2*IF(circ_int,0,eq_c2/2))+(PI()*(s_0+3*s_r+IF(circ_int,eq_c1/2,0))/2)),-IF(circ_int,0,eq_c2/2)+(s_0+3*s_r+IF(circ_int,eq_c1/2,0))*SIN(PI()+(((23+0.5)*(4*IF(circ_int,0,eq_c1/2)+4*IF(circ_int,0,eq_c2/2)+2*PI()*(s_0+3*s_r+IF(circ_int,eq_c1/2,0)))/INDEX(lk_legs,4))-(((((2*IF(circ_int,0,eq_c2/2))+(PI()*(s_0+3*s_r+IF(circ_int,eq_c1/2,0))/2))+2*IF(circ_int,0,eq_c1/2))+(PI()*(s_0+3*s_r+IF(circ_int,eq_c1/2,0))/2))+2*IF(circ_int,0,eq_c2/2)))/(s_0+3*s_r+IF(circ_int,eq_c1/2,0))),IF(((23+0.5)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(23+0.5)*(4*IF(circ_int,0,eq_c1/2)+4*IF(circ_int,0,eq_c2/2)+2*PI()*(s_0+3*s_r+IF(circ_int,eq_c1/2,0)))/INDEX(lk_legs,4))-(((((((2*IF(circ_int,0,eq_c2/2))+(PI()*(s_0+3*s_r+IF(circ_int,eq_c1/2,0))/2))+2*IF(circ_int,0,eq_c1/2))+(PI()*(s_0+3*s_r+IF(circ_int,eq_c1/2,0))/2))+2*IF(circ_int,0,eq_c2/2))+(PI()*(s_0+3*s_r+IF(circ_int,eq_c1/2,0))/2))+2*IF(circ_int,0,eq_c1/2)))/(s_0+3*s_r+IF(circ_int,eq_c1/2,0)))))))))),NA())</f>
        <v/>
      </c>
      <c r="BU26">
        <f>IF(AND(links_on,5&lt;=n_per),IF(circ_int,(g_ox)+(c_1/2+(s_0+4*s_r))*-0.935016,CHOOSE(INDEX(lk_kind,5),(g_ox-eq_c1/2)+((s_0+4*s_r))*-0.965926,(eq_a1+eq_c1)+((s_0+4*s_r))*0.382683,eq_a1+eq_c1+(s_0+4*s_r),(eq_a1+eq_c1)+((s_0+4*s_r))*0.923880)),NA())</f>
        <v/>
      </c>
      <c r="BV26">
        <f>IF(AND(links_on,5&lt;=n_per),IF(circ_int,(g_oy)+(c_1/2+(s_0+4*s_r))*0.354605,CHOOSE(INDEX(lk_kind,5),(g_oy+eq_c2/2)+((s_0+4*s_r))*0.258819,(g_oy-eq_c2/2)+((s_0+4*s_r))*-0.923880,0,(eq_a2+eq_c2)+((s_0+4*s_r))*0.382683)),NA())</f>
        <v/>
      </c>
      <c r="BX26">
        <f>IF(AND(AND(links_on,5&lt;=n_per),INDEX(lk_kind,5)=1,23&lt;INDEX(lk_legs,5)),g_ox+IF(((23+0.5)*(4*IF(circ_int,0,eq_c1/2)+4*IF(circ_int,0,eq_c2/2)+2*PI()*(s_0+4*s_r+IF(circ_int,eq_c1/2,0)))/INDEX(lk_legs,5))&lt;(2*IF(circ_int,0,eq_c2/2)),IF(circ_int,0,eq_c1/2)+(s_0+4*s_r+IF(circ_int,eq_c1/2,0)),IF(((23+0.5)*(4*IF(circ_int,0,eq_c1/2)+4*IF(circ_int,0,eq_c2/2)+2*PI()*(s_0+4*s_r+IF(circ_int,eq_c1/2,0)))/INDEX(lk_legs,5))&lt;((2*IF(circ_int,0,eq_c2/2))+(PI()*(s_0+4*s_r+IF(circ_int,eq_c1/2,0))/2)),IF(circ_int,0,eq_c1/2)+(s_0+4*s_r+IF(circ_int,eq_c1/2,0))*COS((((23+0.5)*(4*IF(circ_int,0,eq_c1/2)+4*IF(circ_int,0,eq_c2/2)+2*PI()*(s_0+4*s_r+IF(circ_int,eq_c1/2,0)))/INDEX(lk_legs,5))-(2*IF(circ_int,0,eq_c2/2)))/(s_0+4*s_r+IF(circ_int,eq_c1/2,0))),IF(((23+0.5)*(4*IF(circ_int,0,eq_c1/2)+4*IF(circ_int,0,eq_c2/2)+2*PI()*(s_0+4*s_r+IF(circ_int,eq_c1/2,0)))/INDEX(lk_legs,5))&lt;(((2*IF(circ_int,0,eq_c2/2))+(PI()*(s_0+4*s_r+IF(circ_int,eq_c1/2,0))/2))+2*IF(circ_int,0,eq_c1/2)),IF(circ_int,0,eq_c1/2)-(((23+0.5)*(4*IF(circ_int,0,eq_c1/2)+4*IF(circ_int,0,eq_c2/2)+2*PI()*(s_0+4*s_r+IF(circ_int,eq_c1/2,0)))/INDEX(lk_legs,5))-((2*IF(circ_int,0,eq_c2/2))+(PI()*(s_0+4*s_r+IF(circ_int,eq_c1/2,0))/2))),IF(((23+0.5)*(4*IF(circ_int,0,eq_c1/2)+4*IF(circ_int,0,eq_c2/2)+2*PI()*(s_0+4*s_r+IF(circ_int,eq_c1/2,0)))/INDEX(lk_legs,5))&lt;((((2*IF(circ_int,0,eq_c2/2))+(PI()*(s_0+4*s_r+IF(circ_int,eq_c1/2,0))/2))+2*IF(circ_int,0,eq_c1/2))+(PI()*(s_0+4*s_r+IF(circ_int,eq_c1/2,0))/2)),-IF(circ_int,0,eq_c1/2)+(s_0+4*s_r+IF(circ_int,eq_c1/2,0))*COS(PI()/2+(((23+0.5)*(4*IF(circ_int,0,eq_c1/2)+4*IF(circ_int,0,eq_c2/2)+2*PI()*(s_0+4*s_r+IF(circ_int,eq_c1/2,0)))/INDEX(lk_legs,5))-(((2*IF(circ_int,0,eq_c2/2))+(PI()*(s_0+4*s_r+IF(circ_int,eq_c1/2,0))/2))+2*IF(circ_int,0,eq_c1/2)))/(s_0+4*s_r+IF(circ_int,eq_c1/2,0))),IF(((23+0.5)*(4*IF(circ_int,0,eq_c1/2)+4*IF(circ_int,0,eq_c2/2)+2*PI()*(s_0+4*s_r+IF(circ_int,eq_c1/2,0)))/INDEX(lk_legs,5))&lt;(((((2*IF(circ_int,0,eq_c2/2))+(PI()*(s_0+4*s_r+IF(circ_int,eq_c1/2,0))/2))+2*IF(circ_int,0,eq_c1/2))+(PI()*(s_0+4*s_r+IF(circ_int,eq_c1/2,0))/2))+2*IF(circ_int,0,eq_c2/2)),-IF(circ_int,0,eq_c1/2)-(s_0+4*s_r+IF(circ_int,eq_c1/2,0)),IF(((23+0.5)*(4*IF(circ_int,0,eq_c1/2)+4*IF(circ_int,0,eq_c2/2)+2*PI()*(s_0+4*s_r+IF(circ_int,eq_c1/2,0)))/INDEX(lk_legs,5))&lt;((((((2*IF(circ_int,0,eq_c2/2))+(PI()*(s_0+4*s_r+IF(circ_int,eq_c1/2,0))/2))+2*IF(circ_int,0,eq_c1/2))+(PI()*(s_0+4*s_r+IF(circ_int,eq_c1/2,0))/2))+2*IF(circ_int,0,eq_c2/2))+(PI()*(s_0+4*s_r+IF(circ_int,eq_c1/2,0))/2)),-IF(circ_int,0,eq_c1/2)+(s_0+4*s_r+IF(circ_int,eq_c1/2,0))*COS(PI()+(((23+0.5)*(4*IF(circ_int,0,eq_c1/2)+4*IF(circ_int,0,eq_c2/2)+2*PI()*(s_0+4*s_r+IF(circ_int,eq_c1/2,0)))/INDEX(lk_legs,5))-(((((2*IF(circ_int,0,eq_c2/2))+(PI()*(s_0+4*s_r+IF(circ_int,eq_c1/2,0))/2))+2*IF(circ_int,0,eq_c1/2))+(PI()*(s_0+4*s_r+IF(circ_int,eq_c1/2,0))/2))+2*IF(circ_int,0,eq_c2/2)))/(s_0+4*s_r+IF(circ_int,eq_c1/2,0))),IF(((23+0.5)*(4*IF(circ_int,0,eq_c1/2)+4*IF(circ_int,0,eq_c2/2)+2*PI()*(s_0+4*s_r+IF(circ_int,eq_c1/2,0)))/INDEX(lk_legs,5))&lt;(((((((2*IF(circ_int,0,eq_c2/2))+(PI()*(s_0+4*s_r+IF(circ_int,eq_c1/2,0))/2))+2*IF(circ_int,0,eq_c1/2))+(PI()*(s_0+4*s_r+IF(circ_int,eq_c1/2,0))/2))+2*IF(circ_int,0,eq_c2/2))+(PI()*(s_0+4*s_r+IF(circ_int,eq_c1/2,0))/2))+2*IF(circ_int,0,eq_c1/2)),-IF(circ_int,0,eq_c1/2)+(((23+0.5)*(4*IF(circ_int,0,eq_c1/2)+4*IF(circ_int,0,eq_c2/2)+2*PI()*(s_0+4*s_r+IF(circ_int,eq_c1/2,0)))/INDEX(lk_legs,5))-((((((2*IF(circ_int,0,eq_c2/2))+(PI()*(s_0+4*s_r+IF(circ_int,eq_c1/2,0))/2))+2*IF(circ_int,0,eq_c1/2))+(PI()*(s_0+4*s_r+IF(circ_int,eq_c1/2,0))/2))+2*IF(circ_int,0,eq_c2/2))+(PI()*(s_0+4*s_r+IF(circ_int,eq_c1/2,0))/2))),IF(circ_int,0,eq_c1/2)+(s_0+4*s_r+IF(circ_int,eq_c1/2,0))*COS(3*PI()/2+(((23+0.5)*(4*IF(circ_int,0,eq_c1/2)+4*IF(circ_int,0,eq_c2/2)+2*PI()*(s_0+4*s_r+IF(circ_int,eq_c1/2,0)))/INDEX(lk_legs,5))-(((((((2*IF(circ_int,0,eq_c2/2))+(PI()*(s_0+4*s_r+IF(circ_int,eq_c1/2,0))/2))+2*IF(circ_int,0,eq_c1/2))+(PI()*(s_0+4*s_r+IF(circ_int,eq_c1/2,0))/2))+2*IF(circ_int,0,eq_c2/2))+(PI()*(s_0+4*s_r+IF(circ_int,eq_c1/2,0))/2))+2*IF(circ_int,0,eq_c1/2)))/(s_0+4*s_r+IF(circ_int,eq_c1/2,0)))))))))),NA())</f>
        <v/>
      </c>
      <c r="BY26">
        <f>IF(AND(AND(links_on,5&lt;=n_per),INDEX(lk_kind,5)=1,23&lt;INDEX(lk_legs,5)),g_oy+IF(((23+0.5)*(4*IF(circ_int,0,eq_c1/2)+4*IF(circ_int,0,eq_c2/2)+2*PI()*(s_0+4*s_r+IF(circ_int,eq_c1/2,0)))/INDEX(lk_legs,5))&lt;(2*IF(circ_int,0,eq_c2/2)),-IF(circ_int,0,eq_c2/2)+((23+0.5)*(4*IF(circ_int,0,eq_c1/2)+4*IF(circ_int,0,eq_c2/2)+2*PI()*(s_0+4*s_r+IF(circ_int,eq_c1/2,0)))/INDEX(lk_legs,5)),IF(((23+0.5)*(4*IF(circ_int,0,eq_c1/2)+4*IF(circ_int,0,eq_c2/2)+2*PI()*(s_0+4*s_r+IF(circ_int,eq_c1/2,0)))/INDEX(lk_legs,5))&lt;((2*IF(circ_int,0,eq_c2/2))+(PI()*(s_0+4*s_r+IF(circ_int,eq_c1/2,0))/2)),IF(circ_int,0,eq_c2/2)+(s_0+4*s_r+IF(circ_int,eq_c1/2,0))*SIN((((23+0.5)*(4*IF(circ_int,0,eq_c1/2)+4*IF(circ_int,0,eq_c2/2)+2*PI()*(s_0+4*s_r+IF(circ_int,eq_c1/2,0)))/INDEX(lk_legs,5))-(2*IF(circ_int,0,eq_c2/2)))/(s_0+4*s_r+IF(circ_int,eq_c1/2,0))),IF(((23+0.5)*(4*IF(circ_int,0,eq_c1/2)+4*IF(circ_int,0,eq_c2/2)+2*PI()*(s_0+4*s_r+IF(circ_int,eq_c1/2,0)))/INDEX(lk_legs,5))&lt;(((2*IF(circ_int,0,eq_c2/2))+(PI()*(s_0+4*s_r+IF(circ_int,eq_c1/2,0))/2))+2*IF(circ_int,0,eq_c1/2)),IF(circ_int,0,eq_c2/2)+(s_0+4*s_r+IF(circ_int,eq_c1/2,0)),IF(((23+0.5)*(4*IF(circ_int,0,eq_c1/2)+4*IF(circ_int,0,eq_c2/2)+2*PI()*(s_0+4*s_r+IF(circ_int,eq_c1/2,0)))/INDEX(lk_legs,5))&lt;((((2*IF(circ_int,0,eq_c2/2))+(PI()*(s_0+4*s_r+IF(circ_int,eq_c1/2,0))/2))+2*IF(circ_int,0,eq_c1/2))+(PI()*(s_0+4*s_r+IF(circ_int,eq_c1/2,0))/2)),IF(circ_int,0,eq_c2/2)+(s_0+4*s_r+IF(circ_int,eq_c1/2,0))*SIN(PI()/2+(((23+0.5)*(4*IF(circ_int,0,eq_c1/2)+4*IF(circ_int,0,eq_c2/2)+2*PI()*(s_0+4*s_r+IF(circ_int,eq_c1/2,0)))/INDEX(lk_legs,5))-(((2*IF(circ_int,0,eq_c2/2))+(PI()*(s_0+4*s_r+IF(circ_int,eq_c1/2,0))/2))+2*IF(circ_int,0,eq_c1/2)))/(s_0+4*s_r+IF(circ_int,eq_c1/2,0))),IF(((23+0.5)*(4*IF(circ_int,0,eq_c1/2)+4*IF(circ_int,0,eq_c2/2)+2*PI()*(s_0+4*s_r+IF(circ_int,eq_c1/2,0)))/INDEX(lk_legs,5))&lt;(((((2*IF(circ_int,0,eq_c2/2))+(PI()*(s_0+4*s_r+IF(circ_int,eq_c1/2,0))/2))+2*IF(circ_int,0,eq_c1/2))+(PI()*(s_0+4*s_r+IF(circ_int,eq_c1/2,0))/2))+2*IF(circ_int,0,eq_c2/2)),IF(circ_int,0,eq_c2/2)-(((23+0.5)*(4*IF(circ_int,0,eq_c1/2)+4*IF(circ_int,0,eq_c2/2)+2*PI()*(s_0+4*s_r+IF(circ_int,eq_c1/2,0)))/INDEX(lk_legs,5))-((((2*IF(circ_int,0,eq_c2/2))+(PI()*(s_0+4*s_r+IF(circ_int,eq_c1/2,0))/2))+2*IF(circ_int,0,eq_c1/2))+(PI()*(s_0+4*s_r+IF(circ_int,eq_c1/2,0))/2))),IF(((23+0.5)*(4*IF(circ_int,0,eq_c1/2)+4*IF(circ_int,0,eq_c2/2)+2*PI()*(s_0+4*s_r+IF(circ_int,eq_c1/2,0)))/INDEX(lk_legs,5))&lt;((((((2*IF(circ_int,0,eq_c2/2))+(PI()*(s_0+4*s_r+IF(circ_int,eq_c1/2,0))/2))+2*IF(circ_int,0,eq_c1/2))+(PI()*(s_0+4*s_r+IF(circ_int,eq_c1/2,0))/2))+2*IF(circ_int,0,eq_c2/2))+(PI()*(s_0+4*s_r+IF(circ_int,eq_c1/2,0))/2)),-IF(circ_int,0,eq_c2/2)+(s_0+4*s_r+IF(circ_int,eq_c1/2,0))*SIN(PI()+(((23+0.5)*(4*IF(circ_int,0,eq_c1/2)+4*IF(circ_int,0,eq_c2/2)+2*PI()*(s_0+4*s_r+IF(circ_int,eq_c1/2,0)))/INDEX(lk_legs,5))-(((((2*IF(circ_int,0,eq_c2/2))+(PI()*(s_0+4*s_r+IF(circ_int,eq_c1/2,0))/2))+2*IF(circ_int,0,eq_c1/2))+(PI()*(s_0+4*s_r+IF(circ_int,eq_c1/2,0))/2))+2*IF(circ_int,0,eq_c2/2)))/(s_0+4*s_r+IF(circ_int,eq_c1/2,0))),IF(((23+0.5)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(23+0.5)*(4*IF(circ_int,0,eq_c1/2)+4*IF(circ_int,0,eq_c2/2)+2*PI()*(s_0+4*s_r+IF(circ_int,eq_c1/2,0)))/INDEX(lk_legs,5))-(((((((2*IF(circ_int,0,eq_c2/2))+(PI()*(s_0+4*s_r+IF(circ_int,eq_c1/2,0))/2))+2*IF(circ_int,0,eq_c1/2))+(PI()*(s_0+4*s_r+IF(circ_int,eq_c1/2,0))/2))+2*IF(circ_int,0,eq_c2/2))+(PI()*(s_0+4*s_r+IF(circ_int,eq_c1/2,0))/2))+2*IF(circ_int,0,eq_c1/2)))/(s_0+4*s_r+IF(circ_int,eq_c1/2,0)))))))))),NA())</f>
        <v/>
      </c>
      <c r="CA26">
        <f>IF(AND(links_on,6&lt;=n_per),IF(circ_int,(g_ox)+(c_1/2+(s_0+5*s_r))*-0.935016,CHOOSE(INDEX(lk_kind,6),(g_ox-eq_c1/2)+((s_0+5*s_r))*-0.965926,(eq_a1+eq_c1)+((s_0+5*s_r))*0.382683,eq_a1+eq_c1+(s_0+5*s_r),(eq_a1+eq_c1)+((s_0+5*s_r))*0.923880)),NA())</f>
        <v/>
      </c>
      <c r="CB26">
        <f>IF(AND(links_on,6&lt;=n_per),IF(circ_int,(g_oy)+(c_1/2+(s_0+5*s_r))*0.354605,CHOOSE(INDEX(lk_kind,6),(g_oy+eq_c2/2)+((s_0+5*s_r))*0.258819,(g_oy-eq_c2/2)+((s_0+5*s_r))*-0.923880,0,(eq_a2+eq_c2)+((s_0+5*s_r))*0.382683)),NA())</f>
        <v/>
      </c>
      <c r="CD26">
        <f>IF(AND(AND(links_on,6&lt;=n_per),INDEX(lk_kind,6)=1,23&lt;INDEX(lk_legs,6)),g_ox+IF(((23+0.5)*(4*IF(circ_int,0,eq_c1/2)+4*IF(circ_int,0,eq_c2/2)+2*PI()*(s_0+5*s_r+IF(circ_int,eq_c1/2,0)))/INDEX(lk_legs,6))&lt;(2*IF(circ_int,0,eq_c2/2)),IF(circ_int,0,eq_c1/2)+(s_0+5*s_r+IF(circ_int,eq_c1/2,0)),IF(((23+0.5)*(4*IF(circ_int,0,eq_c1/2)+4*IF(circ_int,0,eq_c2/2)+2*PI()*(s_0+5*s_r+IF(circ_int,eq_c1/2,0)))/INDEX(lk_legs,6))&lt;((2*IF(circ_int,0,eq_c2/2))+(PI()*(s_0+5*s_r+IF(circ_int,eq_c1/2,0))/2)),IF(circ_int,0,eq_c1/2)+(s_0+5*s_r+IF(circ_int,eq_c1/2,0))*COS((((23+0.5)*(4*IF(circ_int,0,eq_c1/2)+4*IF(circ_int,0,eq_c2/2)+2*PI()*(s_0+5*s_r+IF(circ_int,eq_c1/2,0)))/INDEX(lk_legs,6))-(2*IF(circ_int,0,eq_c2/2)))/(s_0+5*s_r+IF(circ_int,eq_c1/2,0))),IF(((23+0.5)*(4*IF(circ_int,0,eq_c1/2)+4*IF(circ_int,0,eq_c2/2)+2*PI()*(s_0+5*s_r+IF(circ_int,eq_c1/2,0)))/INDEX(lk_legs,6))&lt;(((2*IF(circ_int,0,eq_c2/2))+(PI()*(s_0+5*s_r+IF(circ_int,eq_c1/2,0))/2))+2*IF(circ_int,0,eq_c1/2)),IF(circ_int,0,eq_c1/2)-(((23+0.5)*(4*IF(circ_int,0,eq_c1/2)+4*IF(circ_int,0,eq_c2/2)+2*PI()*(s_0+5*s_r+IF(circ_int,eq_c1/2,0)))/INDEX(lk_legs,6))-((2*IF(circ_int,0,eq_c2/2))+(PI()*(s_0+5*s_r+IF(circ_int,eq_c1/2,0))/2))),IF(((23+0.5)*(4*IF(circ_int,0,eq_c1/2)+4*IF(circ_int,0,eq_c2/2)+2*PI()*(s_0+5*s_r+IF(circ_int,eq_c1/2,0)))/INDEX(lk_legs,6))&lt;((((2*IF(circ_int,0,eq_c2/2))+(PI()*(s_0+5*s_r+IF(circ_int,eq_c1/2,0))/2))+2*IF(circ_int,0,eq_c1/2))+(PI()*(s_0+5*s_r+IF(circ_int,eq_c1/2,0))/2)),-IF(circ_int,0,eq_c1/2)+(s_0+5*s_r+IF(circ_int,eq_c1/2,0))*COS(PI()/2+(((23+0.5)*(4*IF(circ_int,0,eq_c1/2)+4*IF(circ_int,0,eq_c2/2)+2*PI()*(s_0+5*s_r+IF(circ_int,eq_c1/2,0)))/INDEX(lk_legs,6))-(((2*IF(circ_int,0,eq_c2/2))+(PI()*(s_0+5*s_r+IF(circ_int,eq_c1/2,0))/2))+2*IF(circ_int,0,eq_c1/2)))/(s_0+5*s_r+IF(circ_int,eq_c1/2,0))),IF(((23+0.5)*(4*IF(circ_int,0,eq_c1/2)+4*IF(circ_int,0,eq_c2/2)+2*PI()*(s_0+5*s_r+IF(circ_int,eq_c1/2,0)))/INDEX(lk_legs,6))&lt;(((((2*IF(circ_int,0,eq_c2/2))+(PI()*(s_0+5*s_r+IF(circ_int,eq_c1/2,0))/2))+2*IF(circ_int,0,eq_c1/2))+(PI()*(s_0+5*s_r+IF(circ_int,eq_c1/2,0))/2))+2*IF(circ_int,0,eq_c2/2)),-IF(circ_int,0,eq_c1/2)-(s_0+5*s_r+IF(circ_int,eq_c1/2,0)),IF(((23+0.5)*(4*IF(circ_int,0,eq_c1/2)+4*IF(circ_int,0,eq_c2/2)+2*PI()*(s_0+5*s_r+IF(circ_int,eq_c1/2,0)))/INDEX(lk_legs,6))&lt;((((((2*IF(circ_int,0,eq_c2/2))+(PI()*(s_0+5*s_r+IF(circ_int,eq_c1/2,0))/2))+2*IF(circ_int,0,eq_c1/2))+(PI()*(s_0+5*s_r+IF(circ_int,eq_c1/2,0))/2))+2*IF(circ_int,0,eq_c2/2))+(PI()*(s_0+5*s_r+IF(circ_int,eq_c1/2,0))/2)),-IF(circ_int,0,eq_c1/2)+(s_0+5*s_r+IF(circ_int,eq_c1/2,0))*COS(PI()+(((23+0.5)*(4*IF(circ_int,0,eq_c1/2)+4*IF(circ_int,0,eq_c2/2)+2*PI()*(s_0+5*s_r+IF(circ_int,eq_c1/2,0)))/INDEX(lk_legs,6))-(((((2*IF(circ_int,0,eq_c2/2))+(PI()*(s_0+5*s_r+IF(circ_int,eq_c1/2,0))/2))+2*IF(circ_int,0,eq_c1/2))+(PI()*(s_0+5*s_r+IF(circ_int,eq_c1/2,0))/2))+2*IF(circ_int,0,eq_c2/2)))/(s_0+5*s_r+IF(circ_int,eq_c1/2,0))),IF(((23+0.5)*(4*IF(circ_int,0,eq_c1/2)+4*IF(circ_int,0,eq_c2/2)+2*PI()*(s_0+5*s_r+IF(circ_int,eq_c1/2,0)))/INDEX(lk_legs,6))&lt;(((((((2*IF(circ_int,0,eq_c2/2))+(PI()*(s_0+5*s_r+IF(circ_int,eq_c1/2,0))/2))+2*IF(circ_int,0,eq_c1/2))+(PI()*(s_0+5*s_r+IF(circ_int,eq_c1/2,0))/2))+2*IF(circ_int,0,eq_c2/2))+(PI()*(s_0+5*s_r+IF(circ_int,eq_c1/2,0))/2))+2*IF(circ_int,0,eq_c1/2)),-IF(circ_int,0,eq_c1/2)+(((23+0.5)*(4*IF(circ_int,0,eq_c1/2)+4*IF(circ_int,0,eq_c2/2)+2*PI()*(s_0+5*s_r+IF(circ_int,eq_c1/2,0)))/INDEX(lk_legs,6))-((((((2*IF(circ_int,0,eq_c2/2))+(PI()*(s_0+5*s_r+IF(circ_int,eq_c1/2,0))/2))+2*IF(circ_int,0,eq_c1/2))+(PI()*(s_0+5*s_r+IF(circ_int,eq_c1/2,0))/2))+2*IF(circ_int,0,eq_c2/2))+(PI()*(s_0+5*s_r+IF(circ_int,eq_c1/2,0))/2))),IF(circ_int,0,eq_c1/2)+(s_0+5*s_r+IF(circ_int,eq_c1/2,0))*COS(3*PI()/2+(((23+0.5)*(4*IF(circ_int,0,eq_c1/2)+4*IF(circ_int,0,eq_c2/2)+2*PI()*(s_0+5*s_r+IF(circ_int,eq_c1/2,0)))/INDEX(lk_legs,6))-(((((((2*IF(circ_int,0,eq_c2/2))+(PI()*(s_0+5*s_r+IF(circ_int,eq_c1/2,0))/2))+2*IF(circ_int,0,eq_c1/2))+(PI()*(s_0+5*s_r+IF(circ_int,eq_c1/2,0))/2))+2*IF(circ_int,0,eq_c2/2))+(PI()*(s_0+5*s_r+IF(circ_int,eq_c1/2,0))/2))+2*IF(circ_int,0,eq_c1/2)))/(s_0+5*s_r+IF(circ_int,eq_c1/2,0)))))))))),NA())</f>
        <v/>
      </c>
      <c r="CE26">
        <f>IF(AND(AND(links_on,6&lt;=n_per),INDEX(lk_kind,6)=1,23&lt;INDEX(lk_legs,6)),g_oy+IF(((23+0.5)*(4*IF(circ_int,0,eq_c1/2)+4*IF(circ_int,0,eq_c2/2)+2*PI()*(s_0+5*s_r+IF(circ_int,eq_c1/2,0)))/INDEX(lk_legs,6))&lt;(2*IF(circ_int,0,eq_c2/2)),-IF(circ_int,0,eq_c2/2)+((23+0.5)*(4*IF(circ_int,0,eq_c1/2)+4*IF(circ_int,0,eq_c2/2)+2*PI()*(s_0+5*s_r+IF(circ_int,eq_c1/2,0)))/INDEX(lk_legs,6)),IF(((23+0.5)*(4*IF(circ_int,0,eq_c1/2)+4*IF(circ_int,0,eq_c2/2)+2*PI()*(s_0+5*s_r+IF(circ_int,eq_c1/2,0)))/INDEX(lk_legs,6))&lt;((2*IF(circ_int,0,eq_c2/2))+(PI()*(s_0+5*s_r+IF(circ_int,eq_c1/2,0))/2)),IF(circ_int,0,eq_c2/2)+(s_0+5*s_r+IF(circ_int,eq_c1/2,0))*SIN((((23+0.5)*(4*IF(circ_int,0,eq_c1/2)+4*IF(circ_int,0,eq_c2/2)+2*PI()*(s_0+5*s_r+IF(circ_int,eq_c1/2,0)))/INDEX(lk_legs,6))-(2*IF(circ_int,0,eq_c2/2)))/(s_0+5*s_r+IF(circ_int,eq_c1/2,0))),IF(((23+0.5)*(4*IF(circ_int,0,eq_c1/2)+4*IF(circ_int,0,eq_c2/2)+2*PI()*(s_0+5*s_r+IF(circ_int,eq_c1/2,0)))/INDEX(lk_legs,6))&lt;(((2*IF(circ_int,0,eq_c2/2))+(PI()*(s_0+5*s_r+IF(circ_int,eq_c1/2,0))/2))+2*IF(circ_int,0,eq_c1/2)),IF(circ_int,0,eq_c2/2)+(s_0+5*s_r+IF(circ_int,eq_c1/2,0)),IF(((23+0.5)*(4*IF(circ_int,0,eq_c1/2)+4*IF(circ_int,0,eq_c2/2)+2*PI()*(s_0+5*s_r+IF(circ_int,eq_c1/2,0)))/INDEX(lk_legs,6))&lt;((((2*IF(circ_int,0,eq_c2/2))+(PI()*(s_0+5*s_r+IF(circ_int,eq_c1/2,0))/2))+2*IF(circ_int,0,eq_c1/2))+(PI()*(s_0+5*s_r+IF(circ_int,eq_c1/2,0))/2)),IF(circ_int,0,eq_c2/2)+(s_0+5*s_r+IF(circ_int,eq_c1/2,0))*SIN(PI()/2+(((23+0.5)*(4*IF(circ_int,0,eq_c1/2)+4*IF(circ_int,0,eq_c2/2)+2*PI()*(s_0+5*s_r+IF(circ_int,eq_c1/2,0)))/INDEX(lk_legs,6))-(((2*IF(circ_int,0,eq_c2/2))+(PI()*(s_0+5*s_r+IF(circ_int,eq_c1/2,0))/2))+2*IF(circ_int,0,eq_c1/2)))/(s_0+5*s_r+IF(circ_int,eq_c1/2,0))),IF(((23+0.5)*(4*IF(circ_int,0,eq_c1/2)+4*IF(circ_int,0,eq_c2/2)+2*PI()*(s_0+5*s_r+IF(circ_int,eq_c1/2,0)))/INDEX(lk_legs,6))&lt;(((((2*IF(circ_int,0,eq_c2/2))+(PI()*(s_0+5*s_r+IF(circ_int,eq_c1/2,0))/2))+2*IF(circ_int,0,eq_c1/2))+(PI()*(s_0+5*s_r+IF(circ_int,eq_c1/2,0))/2))+2*IF(circ_int,0,eq_c2/2)),IF(circ_int,0,eq_c2/2)-(((23+0.5)*(4*IF(circ_int,0,eq_c1/2)+4*IF(circ_int,0,eq_c2/2)+2*PI()*(s_0+5*s_r+IF(circ_int,eq_c1/2,0)))/INDEX(lk_legs,6))-((((2*IF(circ_int,0,eq_c2/2))+(PI()*(s_0+5*s_r+IF(circ_int,eq_c1/2,0))/2))+2*IF(circ_int,0,eq_c1/2))+(PI()*(s_0+5*s_r+IF(circ_int,eq_c1/2,0))/2))),IF(((23+0.5)*(4*IF(circ_int,0,eq_c1/2)+4*IF(circ_int,0,eq_c2/2)+2*PI()*(s_0+5*s_r+IF(circ_int,eq_c1/2,0)))/INDEX(lk_legs,6))&lt;((((((2*IF(circ_int,0,eq_c2/2))+(PI()*(s_0+5*s_r+IF(circ_int,eq_c1/2,0))/2))+2*IF(circ_int,0,eq_c1/2))+(PI()*(s_0+5*s_r+IF(circ_int,eq_c1/2,0))/2))+2*IF(circ_int,0,eq_c2/2))+(PI()*(s_0+5*s_r+IF(circ_int,eq_c1/2,0))/2)),-IF(circ_int,0,eq_c2/2)+(s_0+5*s_r+IF(circ_int,eq_c1/2,0))*SIN(PI()+(((23+0.5)*(4*IF(circ_int,0,eq_c1/2)+4*IF(circ_int,0,eq_c2/2)+2*PI()*(s_0+5*s_r+IF(circ_int,eq_c1/2,0)))/INDEX(lk_legs,6))-(((((2*IF(circ_int,0,eq_c2/2))+(PI()*(s_0+5*s_r+IF(circ_int,eq_c1/2,0))/2))+2*IF(circ_int,0,eq_c1/2))+(PI()*(s_0+5*s_r+IF(circ_int,eq_c1/2,0))/2))+2*IF(circ_int,0,eq_c2/2)))/(s_0+5*s_r+IF(circ_int,eq_c1/2,0))),IF(((23+0.5)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(23+0.5)*(4*IF(circ_int,0,eq_c1/2)+4*IF(circ_int,0,eq_c2/2)+2*PI()*(s_0+5*s_r+IF(circ_int,eq_c1/2,0)))/INDEX(lk_legs,6))-(((((((2*IF(circ_int,0,eq_c2/2))+(PI()*(s_0+5*s_r+IF(circ_int,eq_c1/2,0))/2))+2*IF(circ_int,0,eq_c1/2))+(PI()*(s_0+5*s_r+IF(circ_int,eq_c1/2,0))/2))+2*IF(circ_int,0,eq_c2/2))+(PI()*(s_0+5*s_r+IF(circ_int,eq_c1/2,0))/2))+2*IF(circ_int,0,eq_c1/2)))/(s_0+5*s_r+IF(circ_int,eq_c1/2,0)))))))))),NA())</f>
        <v/>
      </c>
      <c r="CG26">
        <f>IF(AND(links_on,7&lt;=n_per),IF(circ_int,(g_ox)+(c_1/2+(s_0+6*s_r))*-0.935016,CHOOSE(INDEX(lk_kind,7),(g_ox-eq_c1/2)+((s_0+6*s_r))*-0.965926,(eq_a1+eq_c1)+((s_0+6*s_r))*0.382683,eq_a1+eq_c1+(s_0+6*s_r),(eq_a1+eq_c1)+((s_0+6*s_r))*0.923880)),NA())</f>
        <v/>
      </c>
      <c r="CH26">
        <f>IF(AND(links_on,7&lt;=n_per),IF(circ_int,(g_oy)+(c_1/2+(s_0+6*s_r))*0.354605,CHOOSE(INDEX(lk_kind,7),(g_oy+eq_c2/2)+((s_0+6*s_r))*0.258819,(g_oy-eq_c2/2)+((s_0+6*s_r))*-0.923880,0,(eq_a2+eq_c2)+((s_0+6*s_r))*0.382683)),NA())</f>
        <v/>
      </c>
      <c r="CJ26">
        <f>IF(AND(AND(links_on,7&lt;=n_per),INDEX(lk_kind,7)=1,23&lt;INDEX(lk_legs,7)),g_ox+IF(((23+0.5)*(4*IF(circ_int,0,eq_c1/2)+4*IF(circ_int,0,eq_c2/2)+2*PI()*(s_0+6*s_r+IF(circ_int,eq_c1/2,0)))/INDEX(lk_legs,7))&lt;(2*IF(circ_int,0,eq_c2/2)),IF(circ_int,0,eq_c1/2)+(s_0+6*s_r+IF(circ_int,eq_c1/2,0)),IF(((23+0.5)*(4*IF(circ_int,0,eq_c1/2)+4*IF(circ_int,0,eq_c2/2)+2*PI()*(s_0+6*s_r+IF(circ_int,eq_c1/2,0)))/INDEX(lk_legs,7))&lt;((2*IF(circ_int,0,eq_c2/2))+(PI()*(s_0+6*s_r+IF(circ_int,eq_c1/2,0))/2)),IF(circ_int,0,eq_c1/2)+(s_0+6*s_r+IF(circ_int,eq_c1/2,0))*COS((((23+0.5)*(4*IF(circ_int,0,eq_c1/2)+4*IF(circ_int,0,eq_c2/2)+2*PI()*(s_0+6*s_r+IF(circ_int,eq_c1/2,0)))/INDEX(lk_legs,7))-(2*IF(circ_int,0,eq_c2/2)))/(s_0+6*s_r+IF(circ_int,eq_c1/2,0))),IF(((23+0.5)*(4*IF(circ_int,0,eq_c1/2)+4*IF(circ_int,0,eq_c2/2)+2*PI()*(s_0+6*s_r+IF(circ_int,eq_c1/2,0)))/INDEX(lk_legs,7))&lt;(((2*IF(circ_int,0,eq_c2/2))+(PI()*(s_0+6*s_r+IF(circ_int,eq_c1/2,0))/2))+2*IF(circ_int,0,eq_c1/2)),IF(circ_int,0,eq_c1/2)-(((23+0.5)*(4*IF(circ_int,0,eq_c1/2)+4*IF(circ_int,0,eq_c2/2)+2*PI()*(s_0+6*s_r+IF(circ_int,eq_c1/2,0)))/INDEX(lk_legs,7))-((2*IF(circ_int,0,eq_c2/2))+(PI()*(s_0+6*s_r+IF(circ_int,eq_c1/2,0))/2))),IF(((23+0.5)*(4*IF(circ_int,0,eq_c1/2)+4*IF(circ_int,0,eq_c2/2)+2*PI()*(s_0+6*s_r+IF(circ_int,eq_c1/2,0)))/INDEX(lk_legs,7))&lt;((((2*IF(circ_int,0,eq_c2/2))+(PI()*(s_0+6*s_r+IF(circ_int,eq_c1/2,0))/2))+2*IF(circ_int,0,eq_c1/2))+(PI()*(s_0+6*s_r+IF(circ_int,eq_c1/2,0))/2)),-IF(circ_int,0,eq_c1/2)+(s_0+6*s_r+IF(circ_int,eq_c1/2,0))*COS(PI()/2+(((23+0.5)*(4*IF(circ_int,0,eq_c1/2)+4*IF(circ_int,0,eq_c2/2)+2*PI()*(s_0+6*s_r+IF(circ_int,eq_c1/2,0)))/INDEX(lk_legs,7))-(((2*IF(circ_int,0,eq_c2/2))+(PI()*(s_0+6*s_r+IF(circ_int,eq_c1/2,0))/2))+2*IF(circ_int,0,eq_c1/2)))/(s_0+6*s_r+IF(circ_int,eq_c1/2,0))),IF(((23+0.5)*(4*IF(circ_int,0,eq_c1/2)+4*IF(circ_int,0,eq_c2/2)+2*PI()*(s_0+6*s_r+IF(circ_int,eq_c1/2,0)))/INDEX(lk_legs,7))&lt;(((((2*IF(circ_int,0,eq_c2/2))+(PI()*(s_0+6*s_r+IF(circ_int,eq_c1/2,0))/2))+2*IF(circ_int,0,eq_c1/2))+(PI()*(s_0+6*s_r+IF(circ_int,eq_c1/2,0))/2))+2*IF(circ_int,0,eq_c2/2)),-IF(circ_int,0,eq_c1/2)-(s_0+6*s_r+IF(circ_int,eq_c1/2,0)),IF(((23+0.5)*(4*IF(circ_int,0,eq_c1/2)+4*IF(circ_int,0,eq_c2/2)+2*PI()*(s_0+6*s_r+IF(circ_int,eq_c1/2,0)))/INDEX(lk_legs,7))&lt;((((((2*IF(circ_int,0,eq_c2/2))+(PI()*(s_0+6*s_r+IF(circ_int,eq_c1/2,0))/2))+2*IF(circ_int,0,eq_c1/2))+(PI()*(s_0+6*s_r+IF(circ_int,eq_c1/2,0))/2))+2*IF(circ_int,0,eq_c2/2))+(PI()*(s_0+6*s_r+IF(circ_int,eq_c1/2,0))/2)),-IF(circ_int,0,eq_c1/2)+(s_0+6*s_r+IF(circ_int,eq_c1/2,0))*COS(PI()+(((23+0.5)*(4*IF(circ_int,0,eq_c1/2)+4*IF(circ_int,0,eq_c2/2)+2*PI()*(s_0+6*s_r+IF(circ_int,eq_c1/2,0)))/INDEX(lk_legs,7))-(((((2*IF(circ_int,0,eq_c2/2))+(PI()*(s_0+6*s_r+IF(circ_int,eq_c1/2,0))/2))+2*IF(circ_int,0,eq_c1/2))+(PI()*(s_0+6*s_r+IF(circ_int,eq_c1/2,0))/2))+2*IF(circ_int,0,eq_c2/2)))/(s_0+6*s_r+IF(circ_int,eq_c1/2,0))),IF(((23+0.5)*(4*IF(circ_int,0,eq_c1/2)+4*IF(circ_int,0,eq_c2/2)+2*PI()*(s_0+6*s_r+IF(circ_int,eq_c1/2,0)))/INDEX(lk_legs,7))&lt;(((((((2*IF(circ_int,0,eq_c2/2))+(PI()*(s_0+6*s_r+IF(circ_int,eq_c1/2,0))/2))+2*IF(circ_int,0,eq_c1/2))+(PI()*(s_0+6*s_r+IF(circ_int,eq_c1/2,0))/2))+2*IF(circ_int,0,eq_c2/2))+(PI()*(s_0+6*s_r+IF(circ_int,eq_c1/2,0))/2))+2*IF(circ_int,0,eq_c1/2)),-IF(circ_int,0,eq_c1/2)+(((23+0.5)*(4*IF(circ_int,0,eq_c1/2)+4*IF(circ_int,0,eq_c2/2)+2*PI()*(s_0+6*s_r+IF(circ_int,eq_c1/2,0)))/INDEX(lk_legs,7))-((((((2*IF(circ_int,0,eq_c2/2))+(PI()*(s_0+6*s_r+IF(circ_int,eq_c1/2,0))/2))+2*IF(circ_int,0,eq_c1/2))+(PI()*(s_0+6*s_r+IF(circ_int,eq_c1/2,0))/2))+2*IF(circ_int,0,eq_c2/2))+(PI()*(s_0+6*s_r+IF(circ_int,eq_c1/2,0))/2))),IF(circ_int,0,eq_c1/2)+(s_0+6*s_r+IF(circ_int,eq_c1/2,0))*COS(3*PI()/2+(((23+0.5)*(4*IF(circ_int,0,eq_c1/2)+4*IF(circ_int,0,eq_c2/2)+2*PI()*(s_0+6*s_r+IF(circ_int,eq_c1/2,0)))/INDEX(lk_legs,7))-(((((((2*IF(circ_int,0,eq_c2/2))+(PI()*(s_0+6*s_r+IF(circ_int,eq_c1/2,0))/2))+2*IF(circ_int,0,eq_c1/2))+(PI()*(s_0+6*s_r+IF(circ_int,eq_c1/2,0))/2))+2*IF(circ_int,0,eq_c2/2))+(PI()*(s_0+6*s_r+IF(circ_int,eq_c1/2,0))/2))+2*IF(circ_int,0,eq_c1/2)))/(s_0+6*s_r+IF(circ_int,eq_c1/2,0)))))))))),NA())</f>
        <v/>
      </c>
      <c r="CK26">
        <f>IF(AND(AND(links_on,7&lt;=n_per),INDEX(lk_kind,7)=1,23&lt;INDEX(lk_legs,7)),g_oy+IF(((23+0.5)*(4*IF(circ_int,0,eq_c1/2)+4*IF(circ_int,0,eq_c2/2)+2*PI()*(s_0+6*s_r+IF(circ_int,eq_c1/2,0)))/INDEX(lk_legs,7))&lt;(2*IF(circ_int,0,eq_c2/2)),-IF(circ_int,0,eq_c2/2)+((23+0.5)*(4*IF(circ_int,0,eq_c1/2)+4*IF(circ_int,0,eq_c2/2)+2*PI()*(s_0+6*s_r+IF(circ_int,eq_c1/2,0)))/INDEX(lk_legs,7)),IF(((23+0.5)*(4*IF(circ_int,0,eq_c1/2)+4*IF(circ_int,0,eq_c2/2)+2*PI()*(s_0+6*s_r+IF(circ_int,eq_c1/2,0)))/INDEX(lk_legs,7))&lt;((2*IF(circ_int,0,eq_c2/2))+(PI()*(s_0+6*s_r+IF(circ_int,eq_c1/2,0))/2)),IF(circ_int,0,eq_c2/2)+(s_0+6*s_r+IF(circ_int,eq_c1/2,0))*SIN((((23+0.5)*(4*IF(circ_int,0,eq_c1/2)+4*IF(circ_int,0,eq_c2/2)+2*PI()*(s_0+6*s_r+IF(circ_int,eq_c1/2,0)))/INDEX(lk_legs,7))-(2*IF(circ_int,0,eq_c2/2)))/(s_0+6*s_r+IF(circ_int,eq_c1/2,0))),IF(((23+0.5)*(4*IF(circ_int,0,eq_c1/2)+4*IF(circ_int,0,eq_c2/2)+2*PI()*(s_0+6*s_r+IF(circ_int,eq_c1/2,0)))/INDEX(lk_legs,7))&lt;(((2*IF(circ_int,0,eq_c2/2))+(PI()*(s_0+6*s_r+IF(circ_int,eq_c1/2,0))/2))+2*IF(circ_int,0,eq_c1/2)),IF(circ_int,0,eq_c2/2)+(s_0+6*s_r+IF(circ_int,eq_c1/2,0)),IF(((23+0.5)*(4*IF(circ_int,0,eq_c1/2)+4*IF(circ_int,0,eq_c2/2)+2*PI()*(s_0+6*s_r+IF(circ_int,eq_c1/2,0)))/INDEX(lk_legs,7))&lt;((((2*IF(circ_int,0,eq_c2/2))+(PI()*(s_0+6*s_r+IF(circ_int,eq_c1/2,0))/2))+2*IF(circ_int,0,eq_c1/2))+(PI()*(s_0+6*s_r+IF(circ_int,eq_c1/2,0))/2)),IF(circ_int,0,eq_c2/2)+(s_0+6*s_r+IF(circ_int,eq_c1/2,0))*SIN(PI()/2+(((23+0.5)*(4*IF(circ_int,0,eq_c1/2)+4*IF(circ_int,0,eq_c2/2)+2*PI()*(s_0+6*s_r+IF(circ_int,eq_c1/2,0)))/INDEX(lk_legs,7))-(((2*IF(circ_int,0,eq_c2/2))+(PI()*(s_0+6*s_r+IF(circ_int,eq_c1/2,0))/2))+2*IF(circ_int,0,eq_c1/2)))/(s_0+6*s_r+IF(circ_int,eq_c1/2,0))),IF(((23+0.5)*(4*IF(circ_int,0,eq_c1/2)+4*IF(circ_int,0,eq_c2/2)+2*PI()*(s_0+6*s_r+IF(circ_int,eq_c1/2,0)))/INDEX(lk_legs,7))&lt;(((((2*IF(circ_int,0,eq_c2/2))+(PI()*(s_0+6*s_r+IF(circ_int,eq_c1/2,0))/2))+2*IF(circ_int,0,eq_c1/2))+(PI()*(s_0+6*s_r+IF(circ_int,eq_c1/2,0))/2))+2*IF(circ_int,0,eq_c2/2)),IF(circ_int,0,eq_c2/2)-(((23+0.5)*(4*IF(circ_int,0,eq_c1/2)+4*IF(circ_int,0,eq_c2/2)+2*PI()*(s_0+6*s_r+IF(circ_int,eq_c1/2,0)))/INDEX(lk_legs,7))-((((2*IF(circ_int,0,eq_c2/2))+(PI()*(s_0+6*s_r+IF(circ_int,eq_c1/2,0))/2))+2*IF(circ_int,0,eq_c1/2))+(PI()*(s_0+6*s_r+IF(circ_int,eq_c1/2,0))/2))),IF(((23+0.5)*(4*IF(circ_int,0,eq_c1/2)+4*IF(circ_int,0,eq_c2/2)+2*PI()*(s_0+6*s_r+IF(circ_int,eq_c1/2,0)))/INDEX(lk_legs,7))&lt;((((((2*IF(circ_int,0,eq_c2/2))+(PI()*(s_0+6*s_r+IF(circ_int,eq_c1/2,0))/2))+2*IF(circ_int,0,eq_c1/2))+(PI()*(s_0+6*s_r+IF(circ_int,eq_c1/2,0))/2))+2*IF(circ_int,0,eq_c2/2))+(PI()*(s_0+6*s_r+IF(circ_int,eq_c1/2,0))/2)),-IF(circ_int,0,eq_c2/2)+(s_0+6*s_r+IF(circ_int,eq_c1/2,0))*SIN(PI()+(((23+0.5)*(4*IF(circ_int,0,eq_c1/2)+4*IF(circ_int,0,eq_c2/2)+2*PI()*(s_0+6*s_r+IF(circ_int,eq_c1/2,0)))/INDEX(lk_legs,7))-(((((2*IF(circ_int,0,eq_c2/2))+(PI()*(s_0+6*s_r+IF(circ_int,eq_c1/2,0))/2))+2*IF(circ_int,0,eq_c1/2))+(PI()*(s_0+6*s_r+IF(circ_int,eq_c1/2,0))/2))+2*IF(circ_int,0,eq_c2/2)))/(s_0+6*s_r+IF(circ_int,eq_c1/2,0))),IF(((23+0.5)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(23+0.5)*(4*IF(circ_int,0,eq_c1/2)+4*IF(circ_int,0,eq_c2/2)+2*PI()*(s_0+6*s_r+IF(circ_int,eq_c1/2,0)))/INDEX(lk_legs,7))-(((((((2*IF(circ_int,0,eq_c2/2))+(PI()*(s_0+6*s_r+IF(circ_int,eq_c1/2,0))/2))+2*IF(circ_int,0,eq_c1/2))+(PI()*(s_0+6*s_r+IF(circ_int,eq_c1/2,0))/2))+2*IF(circ_int,0,eq_c2/2))+(PI()*(s_0+6*s_r+IF(circ_int,eq_c1/2,0))/2))+2*IF(circ_int,0,eq_c1/2)))/(s_0+6*s_r+IF(circ_int,eq_c1/2,0)))))))))),NA())</f>
        <v/>
      </c>
      <c r="CM26">
        <f>IF(AND(links_on,8&lt;=n_per),IF(circ_int,(g_ox)+(c_1/2+(s_0+7*s_r))*-0.935016,CHOOSE(INDEX(lk_kind,8),(g_ox-eq_c1/2)+((s_0+7*s_r))*-0.965926,(eq_a1+eq_c1)+((s_0+7*s_r))*0.382683,eq_a1+eq_c1+(s_0+7*s_r),(eq_a1+eq_c1)+((s_0+7*s_r))*0.923880)),NA())</f>
        <v/>
      </c>
      <c r="CN26">
        <f>IF(AND(links_on,8&lt;=n_per),IF(circ_int,(g_oy)+(c_1/2+(s_0+7*s_r))*0.354605,CHOOSE(INDEX(lk_kind,8),(g_oy+eq_c2/2)+((s_0+7*s_r))*0.258819,(g_oy-eq_c2/2)+((s_0+7*s_r))*-0.923880,0,(eq_a2+eq_c2)+((s_0+7*s_r))*0.382683)),NA())</f>
        <v/>
      </c>
      <c r="CP26">
        <f>IF(AND(AND(links_on,8&lt;=n_per),INDEX(lk_kind,8)=1,23&lt;INDEX(lk_legs,8)),g_ox+IF(((23+0.5)*(4*IF(circ_int,0,eq_c1/2)+4*IF(circ_int,0,eq_c2/2)+2*PI()*(s_0+7*s_r+IF(circ_int,eq_c1/2,0)))/INDEX(lk_legs,8))&lt;(2*IF(circ_int,0,eq_c2/2)),IF(circ_int,0,eq_c1/2)+(s_0+7*s_r+IF(circ_int,eq_c1/2,0)),IF(((23+0.5)*(4*IF(circ_int,0,eq_c1/2)+4*IF(circ_int,0,eq_c2/2)+2*PI()*(s_0+7*s_r+IF(circ_int,eq_c1/2,0)))/INDEX(lk_legs,8))&lt;((2*IF(circ_int,0,eq_c2/2))+(PI()*(s_0+7*s_r+IF(circ_int,eq_c1/2,0))/2)),IF(circ_int,0,eq_c1/2)+(s_0+7*s_r+IF(circ_int,eq_c1/2,0))*COS((((23+0.5)*(4*IF(circ_int,0,eq_c1/2)+4*IF(circ_int,0,eq_c2/2)+2*PI()*(s_0+7*s_r+IF(circ_int,eq_c1/2,0)))/INDEX(lk_legs,8))-(2*IF(circ_int,0,eq_c2/2)))/(s_0+7*s_r+IF(circ_int,eq_c1/2,0))),IF(((23+0.5)*(4*IF(circ_int,0,eq_c1/2)+4*IF(circ_int,0,eq_c2/2)+2*PI()*(s_0+7*s_r+IF(circ_int,eq_c1/2,0)))/INDEX(lk_legs,8))&lt;(((2*IF(circ_int,0,eq_c2/2))+(PI()*(s_0+7*s_r+IF(circ_int,eq_c1/2,0))/2))+2*IF(circ_int,0,eq_c1/2)),IF(circ_int,0,eq_c1/2)-(((23+0.5)*(4*IF(circ_int,0,eq_c1/2)+4*IF(circ_int,0,eq_c2/2)+2*PI()*(s_0+7*s_r+IF(circ_int,eq_c1/2,0)))/INDEX(lk_legs,8))-((2*IF(circ_int,0,eq_c2/2))+(PI()*(s_0+7*s_r+IF(circ_int,eq_c1/2,0))/2))),IF(((23+0.5)*(4*IF(circ_int,0,eq_c1/2)+4*IF(circ_int,0,eq_c2/2)+2*PI()*(s_0+7*s_r+IF(circ_int,eq_c1/2,0)))/INDEX(lk_legs,8))&lt;((((2*IF(circ_int,0,eq_c2/2))+(PI()*(s_0+7*s_r+IF(circ_int,eq_c1/2,0))/2))+2*IF(circ_int,0,eq_c1/2))+(PI()*(s_0+7*s_r+IF(circ_int,eq_c1/2,0))/2)),-IF(circ_int,0,eq_c1/2)+(s_0+7*s_r+IF(circ_int,eq_c1/2,0))*COS(PI()/2+(((23+0.5)*(4*IF(circ_int,0,eq_c1/2)+4*IF(circ_int,0,eq_c2/2)+2*PI()*(s_0+7*s_r+IF(circ_int,eq_c1/2,0)))/INDEX(lk_legs,8))-(((2*IF(circ_int,0,eq_c2/2))+(PI()*(s_0+7*s_r+IF(circ_int,eq_c1/2,0))/2))+2*IF(circ_int,0,eq_c1/2)))/(s_0+7*s_r+IF(circ_int,eq_c1/2,0))),IF(((23+0.5)*(4*IF(circ_int,0,eq_c1/2)+4*IF(circ_int,0,eq_c2/2)+2*PI()*(s_0+7*s_r+IF(circ_int,eq_c1/2,0)))/INDEX(lk_legs,8))&lt;(((((2*IF(circ_int,0,eq_c2/2))+(PI()*(s_0+7*s_r+IF(circ_int,eq_c1/2,0))/2))+2*IF(circ_int,0,eq_c1/2))+(PI()*(s_0+7*s_r+IF(circ_int,eq_c1/2,0))/2))+2*IF(circ_int,0,eq_c2/2)),-IF(circ_int,0,eq_c1/2)-(s_0+7*s_r+IF(circ_int,eq_c1/2,0)),IF(((23+0.5)*(4*IF(circ_int,0,eq_c1/2)+4*IF(circ_int,0,eq_c2/2)+2*PI()*(s_0+7*s_r+IF(circ_int,eq_c1/2,0)))/INDEX(lk_legs,8))&lt;((((((2*IF(circ_int,0,eq_c2/2))+(PI()*(s_0+7*s_r+IF(circ_int,eq_c1/2,0))/2))+2*IF(circ_int,0,eq_c1/2))+(PI()*(s_0+7*s_r+IF(circ_int,eq_c1/2,0))/2))+2*IF(circ_int,0,eq_c2/2))+(PI()*(s_0+7*s_r+IF(circ_int,eq_c1/2,0))/2)),-IF(circ_int,0,eq_c1/2)+(s_0+7*s_r+IF(circ_int,eq_c1/2,0))*COS(PI()+(((23+0.5)*(4*IF(circ_int,0,eq_c1/2)+4*IF(circ_int,0,eq_c2/2)+2*PI()*(s_0+7*s_r+IF(circ_int,eq_c1/2,0)))/INDEX(lk_legs,8))-(((((2*IF(circ_int,0,eq_c2/2))+(PI()*(s_0+7*s_r+IF(circ_int,eq_c1/2,0))/2))+2*IF(circ_int,0,eq_c1/2))+(PI()*(s_0+7*s_r+IF(circ_int,eq_c1/2,0))/2))+2*IF(circ_int,0,eq_c2/2)))/(s_0+7*s_r+IF(circ_int,eq_c1/2,0))),IF(((23+0.5)*(4*IF(circ_int,0,eq_c1/2)+4*IF(circ_int,0,eq_c2/2)+2*PI()*(s_0+7*s_r+IF(circ_int,eq_c1/2,0)))/INDEX(lk_legs,8))&lt;(((((((2*IF(circ_int,0,eq_c2/2))+(PI()*(s_0+7*s_r+IF(circ_int,eq_c1/2,0))/2))+2*IF(circ_int,0,eq_c1/2))+(PI()*(s_0+7*s_r+IF(circ_int,eq_c1/2,0))/2))+2*IF(circ_int,0,eq_c2/2))+(PI()*(s_0+7*s_r+IF(circ_int,eq_c1/2,0))/2))+2*IF(circ_int,0,eq_c1/2)),-IF(circ_int,0,eq_c1/2)+(((23+0.5)*(4*IF(circ_int,0,eq_c1/2)+4*IF(circ_int,0,eq_c2/2)+2*PI()*(s_0+7*s_r+IF(circ_int,eq_c1/2,0)))/INDEX(lk_legs,8))-((((((2*IF(circ_int,0,eq_c2/2))+(PI()*(s_0+7*s_r+IF(circ_int,eq_c1/2,0))/2))+2*IF(circ_int,0,eq_c1/2))+(PI()*(s_0+7*s_r+IF(circ_int,eq_c1/2,0))/2))+2*IF(circ_int,0,eq_c2/2))+(PI()*(s_0+7*s_r+IF(circ_int,eq_c1/2,0))/2))),IF(circ_int,0,eq_c1/2)+(s_0+7*s_r+IF(circ_int,eq_c1/2,0))*COS(3*PI()/2+(((23+0.5)*(4*IF(circ_int,0,eq_c1/2)+4*IF(circ_int,0,eq_c2/2)+2*PI()*(s_0+7*s_r+IF(circ_int,eq_c1/2,0)))/INDEX(lk_legs,8))-(((((((2*IF(circ_int,0,eq_c2/2))+(PI()*(s_0+7*s_r+IF(circ_int,eq_c1/2,0))/2))+2*IF(circ_int,0,eq_c1/2))+(PI()*(s_0+7*s_r+IF(circ_int,eq_c1/2,0))/2))+2*IF(circ_int,0,eq_c2/2))+(PI()*(s_0+7*s_r+IF(circ_int,eq_c1/2,0))/2))+2*IF(circ_int,0,eq_c1/2)))/(s_0+7*s_r+IF(circ_int,eq_c1/2,0)))))))))),NA())</f>
        <v/>
      </c>
      <c r="CQ26">
        <f>IF(AND(AND(links_on,8&lt;=n_per),INDEX(lk_kind,8)=1,23&lt;INDEX(lk_legs,8)),g_oy+IF(((23+0.5)*(4*IF(circ_int,0,eq_c1/2)+4*IF(circ_int,0,eq_c2/2)+2*PI()*(s_0+7*s_r+IF(circ_int,eq_c1/2,0)))/INDEX(lk_legs,8))&lt;(2*IF(circ_int,0,eq_c2/2)),-IF(circ_int,0,eq_c2/2)+((23+0.5)*(4*IF(circ_int,0,eq_c1/2)+4*IF(circ_int,0,eq_c2/2)+2*PI()*(s_0+7*s_r+IF(circ_int,eq_c1/2,0)))/INDEX(lk_legs,8)),IF(((23+0.5)*(4*IF(circ_int,0,eq_c1/2)+4*IF(circ_int,0,eq_c2/2)+2*PI()*(s_0+7*s_r+IF(circ_int,eq_c1/2,0)))/INDEX(lk_legs,8))&lt;((2*IF(circ_int,0,eq_c2/2))+(PI()*(s_0+7*s_r+IF(circ_int,eq_c1/2,0))/2)),IF(circ_int,0,eq_c2/2)+(s_0+7*s_r+IF(circ_int,eq_c1/2,0))*SIN((((23+0.5)*(4*IF(circ_int,0,eq_c1/2)+4*IF(circ_int,0,eq_c2/2)+2*PI()*(s_0+7*s_r+IF(circ_int,eq_c1/2,0)))/INDEX(lk_legs,8))-(2*IF(circ_int,0,eq_c2/2)))/(s_0+7*s_r+IF(circ_int,eq_c1/2,0))),IF(((23+0.5)*(4*IF(circ_int,0,eq_c1/2)+4*IF(circ_int,0,eq_c2/2)+2*PI()*(s_0+7*s_r+IF(circ_int,eq_c1/2,0)))/INDEX(lk_legs,8))&lt;(((2*IF(circ_int,0,eq_c2/2))+(PI()*(s_0+7*s_r+IF(circ_int,eq_c1/2,0))/2))+2*IF(circ_int,0,eq_c1/2)),IF(circ_int,0,eq_c2/2)+(s_0+7*s_r+IF(circ_int,eq_c1/2,0)),IF(((23+0.5)*(4*IF(circ_int,0,eq_c1/2)+4*IF(circ_int,0,eq_c2/2)+2*PI()*(s_0+7*s_r+IF(circ_int,eq_c1/2,0)))/INDEX(lk_legs,8))&lt;((((2*IF(circ_int,0,eq_c2/2))+(PI()*(s_0+7*s_r+IF(circ_int,eq_c1/2,0))/2))+2*IF(circ_int,0,eq_c1/2))+(PI()*(s_0+7*s_r+IF(circ_int,eq_c1/2,0))/2)),IF(circ_int,0,eq_c2/2)+(s_0+7*s_r+IF(circ_int,eq_c1/2,0))*SIN(PI()/2+(((23+0.5)*(4*IF(circ_int,0,eq_c1/2)+4*IF(circ_int,0,eq_c2/2)+2*PI()*(s_0+7*s_r+IF(circ_int,eq_c1/2,0)))/INDEX(lk_legs,8))-(((2*IF(circ_int,0,eq_c2/2))+(PI()*(s_0+7*s_r+IF(circ_int,eq_c1/2,0))/2))+2*IF(circ_int,0,eq_c1/2)))/(s_0+7*s_r+IF(circ_int,eq_c1/2,0))),IF(((23+0.5)*(4*IF(circ_int,0,eq_c1/2)+4*IF(circ_int,0,eq_c2/2)+2*PI()*(s_0+7*s_r+IF(circ_int,eq_c1/2,0)))/INDEX(lk_legs,8))&lt;(((((2*IF(circ_int,0,eq_c2/2))+(PI()*(s_0+7*s_r+IF(circ_int,eq_c1/2,0))/2))+2*IF(circ_int,0,eq_c1/2))+(PI()*(s_0+7*s_r+IF(circ_int,eq_c1/2,0))/2))+2*IF(circ_int,0,eq_c2/2)),IF(circ_int,0,eq_c2/2)-(((23+0.5)*(4*IF(circ_int,0,eq_c1/2)+4*IF(circ_int,0,eq_c2/2)+2*PI()*(s_0+7*s_r+IF(circ_int,eq_c1/2,0)))/INDEX(lk_legs,8))-((((2*IF(circ_int,0,eq_c2/2))+(PI()*(s_0+7*s_r+IF(circ_int,eq_c1/2,0))/2))+2*IF(circ_int,0,eq_c1/2))+(PI()*(s_0+7*s_r+IF(circ_int,eq_c1/2,0))/2))),IF(((23+0.5)*(4*IF(circ_int,0,eq_c1/2)+4*IF(circ_int,0,eq_c2/2)+2*PI()*(s_0+7*s_r+IF(circ_int,eq_c1/2,0)))/INDEX(lk_legs,8))&lt;((((((2*IF(circ_int,0,eq_c2/2))+(PI()*(s_0+7*s_r+IF(circ_int,eq_c1/2,0))/2))+2*IF(circ_int,0,eq_c1/2))+(PI()*(s_0+7*s_r+IF(circ_int,eq_c1/2,0))/2))+2*IF(circ_int,0,eq_c2/2))+(PI()*(s_0+7*s_r+IF(circ_int,eq_c1/2,0))/2)),-IF(circ_int,0,eq_c2/2)+(s_0+7*s_r+IF(circ_int,eq_c1/2,0))*SIN(PI()+(((23+0.5)*(4*IF(circ_int,0,eq_c1/2)+4*IF(circ_int,0,eq_c2/2)+2*PI()*(s_0+7*s_r+IF(circ_int,eq_c1/2,0)))/INDEX(lk_legs,8))-(((((2*IF(circ_int,0,eq_c2/2))+(PI()*(s_0+7*s_r+IF(circ_int,eq_c1/2,0))/2))+2*IF(circ_int,0,eq_c1/2))+(PI()*(s_0+7*s_r+IF(circ_int,eq_c1/2,0))/2))+2*IF(circ_int,0,eq_c2/2)))/(s_0+7*s_r+IF(circ_int,eq_c1/2,0))),IF(((23+0.5)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(23+0.5)*(4*IF(circ_int,0,eq_c1/2)+4*IF(circ_int,0,eq_c2/2)+2*PI()*(s_0+7*s_r+IF(circ_int,eq_c1/2,0)))/INDEX(lk_legs,8))-(((((((2*IF(circ_int,0,eq_c2/2))+(PI()*(s_0+7*s_r+IF(circ_int,eq_c1/2,0))/2))+2*IF(circ_int,0,eq_c1/2))+(PI()*(s_0+7*s_r+IF(circ_int,eq_c1/2,0))/2))+2*IF(circ_int,0,eq_c2/2))+(PI()*(s_0+7*s_r+IF(circ_int,eq_c1/2,0))/2))+2*IF(circ_int,0,eq_c1/2)))/(s_0+7*s_r+IF(circ_int,eq_c1/2,0)))))))))),NA())</f>
        <v/>
      </c>
      <c r="CS26">
        <f>IF(AND(links_on,9&lt;=n_per),IF(circ_int,(g_ox)+(c_1/2+(s_0+8*s_r))*-0.935016,CHOOSE(INDEX(lk_kind,9),(g_ox-eq_c1/2)+((s_0+8*s_r))*-0.965926,(eq_a1+eq_c1)+((s_0+8*s_r))*0.382683,eq_a1+eq_c1+(s_0+8*s_r),(eq_a1+eq_c1)+((s_0+8*s_r))*0.923880)),NA())</f>
        <v/>
      </c>
      <c r="CT26">
        <f>IF(AND(links_on,9&lt;=n_per),IF(circ_int,(g_oy)+(c_1/2+(s_0+8*s_r))*0.354605,CHOOSE(INDEX(lk_kind,9),(g_oy+eq_c2/2)+((s_0+8*s_r))*0.258819,(g_oy-eq_c2/2)+((s_0+8*s_r))*-0.923880,0,(eq_a2+eq_c2)+((s_0+8*s_r))*0.382683)),NA())</f>
        <v/>
      </c>
      <c r="CV26">
        <f>IF(AND(AND(links_on,9&lt;=n_per),INDEX(lk_kind,9)=1,23&lt;INDEX(lk_legs,9)),g_ox+IF(((23+0.5)*(4*IF(circ_int,0,eq_c1/2)+4*IF(circ_int,0,eq_c2/2)+2*PI()*(s_0+8*s_r+IF(circ_int,eq_c1/2,0)))/INDEX(lk_legs,9))&lt;(2*IF(circ_int,0,eq_c2/2)),IF(circ_int,0,eq_c1/2)+(s_0+8*s_r+IF(circ_int,eq_c1/2,0)),IF(((23+0.5)*(4*IF(circ_int,0,eq_c1/2)+4*IF(circ_int,0,eq_c2/2)+2*PI()*(s_0+8*s_r+IF(circ_int,eq_c1/2,0)))/INDEX(lk_legs,9))&lt;((2*IF(circ_int,0,eq_c2/2))+(PI()*(s_0+8*s_r+IF(circ_int,eq_c1/2,0))/2)),IF(circ_int,0,eq_c1/2)+(s_0+8*s_r+IF(circ_int,eq_c1/2,0))*COS((((23+0.5)*(4*IF(circ_int,0,eq_c1/2)+4*IF(circ_int,0,eq_c2/2)+2*PI()*(s_0+8*s_r+IF(circ_int,eq_c1/2,0)))/INDEX(lk_legs,9))-(2*IF(circ_int,0,eq_c2/2)))/(s_0+8*s_r+IF(circ_int,eq_c1/2,0))),IF(((23+0.5)*(4*IF(circ_int,0,eq_c1/2)+4*IF(circ_int,0,eq_c2/2)+2*PI()*(s_0+8*s_r+IF(circ_int,eq_c1/2,0)))/INDEX(lk_legs,9))&lt;(((2*IF(circ_int,0,eq_c2/2))+(PI()*(s_0+8*s_r+IF(circ_int,eq_c1/2,0))/2))+2*IF(circ_int,0,eq_c1/2)),IF(circ_int,0,eq_c1/2)-(((23+0.5)*(4*IF(circ_int,0,eq_c1/2)+4*IF(circ_int,0,eq_c2/2)+2*PI()*(s_0+8*s_r+IF(circ_int,eq_c1/2,0)))/INDEX(lk_legs,9))-((2*IF(circ_int,0,eq_c2/2))+(PI()*(s_0+8*s_r+IF(circ_int,eq_c1/2,0))/2))),IF(((23+0.5)*(4*IF(circ_int,0,eq_c1/2)+4*IF(circ_int,0,eq_c2/2)+2*PI()*(s_0+8*s_r+IF(circ_int,eq_c1/2,0)))/INDEX(lk_legs,9))&lt;((((2*IF(circ_int,0,eq_c2/2))+(PI()*(s_0+8*s_r+IF(circ_int,eq_c1/2,0))/2))+2*IF(circ_int,0,eq_c1/2))+(PI()*(s_0+8*s_r+IF(circ_int,eq_c1/2,0))/2)),-IF(circ_int,0,eq_c1/2)+(s_0+8*s_r+IF(circ_int,eq_c1/2,0))*COS(PI()/2+(((23+0.5)*(4*IF(circ_int,0,eq_c1/2)+4*IF(circ_int,0,eq_c2/2)+2*PI()*(s_0+8*s_r+IF(circ_int,eq_c1/2,0)))/INDEX(lk_legs,9))-(((2*IF(circ_int,0,eq_c2/2))+(PI()*(s_0+8*s_r+IF(circ_int,eq_c1/2,0))/2))+2*IF(circ_int,0,eq_c1/2)))/(s_0+8*s_r+IF(circ_int,eq_c1/2,0))),IF(((23+0.5)*(4*IF(circ_int,0,eq_c1/2)+4*IF(circ_int,0,eq_c2/2)+2*PI()*(s_0+8*s_r+IF(circ_int,eq_c1/2,0)))/INDEX(lk_legs,9))&lt;(((((2*IF(circ_int,0,eq_c2/2))+(PI()*(s_0+8*s_r+IF(circ_int,eq_c1/2,0))/2))+2*IF(circ_int,0,eq_c1/2))+(PI()*(s_0+8*s_r+IF(circ_int,eq_c1/2,0))/2))+2*IF(circ_int,0,eq_c2/2)),-IF(circ_int,0,eq_c1/2)-(s_0+8*s_r+IF(circ_int,eq_c1/2,0)),IF(((23+0.5)*(4*IF(circ_int,0,eq_c1/2)+4*IF(circ_int,0,eq_c2/2)+2*PI()*(s_0+8*s_r+IF(circ_int,eq_c1/2,0)))/INDEX(lk_legs,9))&lt;((((((2*IF(circ_int,0,eq_c2/2))+(PI()*(s_0+8*s_r+IF(circ_int,eq_c1/2,0))/2))+2*IF(circ_int,0,eq_c1/2))+(PI()*(s_0+8*s_r+IF(circ_int,eq_c1/2,0))/2))+2*IF(circ_int,0,eq_c2/2))+(PI()*(s_0+8*s_r+IF(circ_int,eq_c1/2,0))/2)),-IF(circ_int,0,eq_c1/2)+(s_0+8*s_r+IF(circ_int,eq_c1/2,0))*COS(PI()+(((23+0.5)*(4*IF(circ_int,0,eq_c1/2)+4*IF(circ_int,0,eq_c2/2)+2*PI()*(s_0+8*s_r+IF(circ_int,eq_c1/2,0)))/INDEX(lk_legs,9))-(((((2*IF(circ_int,0,eq_c2/2))+(PI()*(s_0+8*s_r+IF(circ_int,eq_c1/2,0))/2))+2*IF(circ_int,0,eq_c1/2))+(PI()*(s_0+8*s_r+IF(circ_int,eq_c1/2,0))/2))+2*IF(circ_int,0,eq_c2/2)))/(s_0+8*s_r+IF(circ_int,eq_c1/2,0))),IF(((23+0.5)*(4*IF(circ_int,0,eq_c1/2)+4*IF(circ_int,0,eq_c2/2)+2*PI()*(s_0+8*s_r+IF(circ_int,eq_c1/2,0)))/INDEX(lk_legs,9))&lt;(((((((2*IF(circ_int,0,eq_c2/2))+(PI()*(s_0+8*s_r+IF(circ_int,eq_c1/2,0))/2))+2*IF(circ_int,0,eq_c1/2))+(PI()*(s_0+8*s_r+IF(circ_int,eq_c1/2,0))/2))+2*IF(circ_int,0,eq_c2/2))+(PI()*(s_0+8*s_r+IF(circ_int,eq_c1/2,0))/2))+2*IF(circ_int,0,eq_c1/2)),-IF(circ_int,0,eq_c1/2)+(((23+0.5)*(4*IF(circ_int,0,eq_c1/2)+4*IF(circ_int,0,eq_c2/2)+2*PI()*(s_0+8*s_r+IF(circ_int,eq_c1/2,0)))/INDEX(lk_legs,9))-((((((2*IF(circ_int,0,eq_c2/2))+(PI()*(s_0+8*s_r+IF(circ_int,eq_c1/2,0))/2))+2*IF(circ_int,0,eq_c1/2))+(PI()*(s_0+8*s_r+IF(circ_int,eq_c1/2,0))/2))+2*IF(circ_int,0,eq_c2/2))+(PI()*(s_0+8*s_r+IF(circ_int,eq_c1/2,0))/2))),IF(circ_int,0,eq_c1/2)+(s_0+8*s_r+IF(circ_int,eq_c1/2,0))*COS(3*PI()/2+(((23+0.5)*(4*IF(circ_int,0,eq_c1/2)+4*IF(circ_int,0,eq_c2/2)+2*PI()*(s_0+8*s_r+IF(circ_int,eq_c1/2,0)))/INDEX(lk_legs,9))-(((((((2*IF(circ_int,0,eq_c2/2))+(PI()*(s_0+8*s_r+IF(circ_int,eq_c1/2,0))/2))+2*IF(circ_int,0,eq_c1/2))+(PI()*(s_0+8*s_r+IF(circ_int,eq_c1/2,0))/2))+2*IF(circ_int,0,eq_c2/2))+(PI()*(s_0+8*s_r+IF(circ_int,eq_c1/2,0))/2))+2*IF(circ_int,0,eq_c1/2)))/(s_0+8*s_r+IF(circ_int,eq_c1/2,0)))))))))),NA())</f>
        <v/>
      </c>
      <c r="CW26">
        <f>IF(AND(AND(links_on,9&lt;=n_per),INDEX(lk_kind,9)=1,23&lt;INDEX(lk_legs,9)),g_oy+IF(((23+0.5)*(4*IF(circ_int,0,eq_c1/2)+4*IF(circ_int,0,eq_c2/2)+2*PI()*(s_0+8*s_r+IF(circ_int,eq_c1/2,0)))/INDEX(lk_legs,9))&lt;(2*IF(circ_int,0,eq_c2/2)),-IF(circ_int,0,eq_c2/2)+((23+0.5)*(4*IF(circ_int,0,eq_c1/2)+4*IF(circ_int,0,eq_c2/2)+2*PI()*(s_0+8*s_r+IF(circ_int,eq_c1/2,0)))/INDEX(lk_legs,9)),IF(((23+0.5)*(4*IF(circ_int,0,eq_c1/2)+4*IF(circ_int,0,eq_c2/2)+2*PI()*(s_0+8*s_r+IF(circ_int,eq_c1/2,0)))/INDEX(lk_legs,9))&lt;((2*IF(circ_int,0,eq_c2/2))+(PI()*(s_0+8*s_r+IF(circ_int,eq_c1/2,0))/2)),IF(circ_int,0,eq_c2/2)+(s_0+8*s_r+IF(circ_int,eq_c1/2,0))*SIN((((23+0.5)*(4*IF(circ_int,0,eq_c1/2)+4*IF(circ_int,0,eq_c2/2)+2*PI()*(s_0+8*s_r+IF(circ_int,eq_c1/2,0)))/INDEX(lk_legs,9))-(2*IF(circ_int,0,eq_c2/2)))/(s_0+8*s_r+IF(circ_int,eq_c1/2,0))),IF(((23+0.5)*(4*IF(circ_int,0,eq_c1/2)+4*IF(circ_int,0,eq_c2/2)+2*PI()*(s_0+8*s_r+IF(circ_int,eq_c1/2,0)))/INDEX(lk_legs,9))&lt;(((2*IF(circ_int,0,eq_c2/2))+(PI()*(s_0+8*s_r+IF(circ_int,eq_c1/2,0))/2))+2*IF(circ_int,0,eq_c1/2)),IF(circ_int,0,eq_c2/2)+(s_0+8*s_r+IF(circ_int,eq_c1/2,0)),IF(((23+0.5)*(4*IF(circ_int,0,eq_c1/2)+4*IF(circ_int,0,eq_c2/2)+2*PI()*(s_0+8*s_r+IF(circ_int,eq_c1/2,0)))/INDEX(lk_legs,9))&lt;((((2*IF(circ_int,0,eq_c2/2))+(PI()*(s_0+8*s_r+IF(circ_int,eq_c1/2,0))/2))+2*IF(circ_int,0,eq_c1/2))+(PI()*(s_0+8*s_r+IF(circ_int,eq_c1/2,0))/2)),IF(circ_int,0,eq_c2/2)+(s_0+8*s_r+IF(circ_int,eq_c1/2,0))*SIN(PI()/2+(((23+0.5)*(4*IF(circ_int,0,eq_c1/2)+4*IF(circ_int,0,eq_c2/2)+2*PI()*(s_0+8*s_r+IF(circ_int,eq_c1/2,0)))/INDEX(lk_legs,9))-(((2*IF(circ_int,0,eq_c2/2))+(PI()*(s_0+8*s_r+IF(circ_int,eq_c1/2,0))/2))+2*IF(circ_int,0,eq_c1/2)))/(s_0+8*s_r+IF(circ_int,eq_c1/2,0))),IF(((23+0.5)*(4*IF(circ_int,0,eq_c1/2)+4*IF(circ_int,0,eq_c2/2)+2*PI()*(s_0+8*s_r+IF(circ_int,eq_c1/2,0)))/INDEX(lk_legs,9))&lt;(((((2*IF(circ_int,0,eq_c2/2))+(PI()*(s_0+8*s_r+IF(circ_int,eq_c1/2,0))/2))+2*IF(circ_int,0,eq_c1/2))+(PI()*(s_0+8*s_r+IF(circ_int,eq_c1/2,0))/2))+2*IF(circ_int,0,eq_c2/2)),IF(circ_int,0,eq_c2/2)-(((23+0.5)*(4*IF(circ_int,0,eq_c1/2)+4*IF(circ_int,0,eq_c2/2)+2*PI()*(s_0+8*s_r+IF(circ_int,eq_c1/2,0)))/INDEX(lk_legs,9))-((((2*IF(circ_int,0,eq_c2/2))+(PI()*(s_0+8*s_r+IF(circ_int,eq_c1/2,0))/2))+2*IF(circ_int,0,eq_c1/2))+(PI()*(s_0+8*s_r+IF(circ_int,eq_c1/2,0))/2))),IF(((23+0.5)*(4*IF(circ_int,0,eq_c1/2)+4*IF(circ_int,0,eq_c2/2)+2*PI()*(s_0+8*s_r+IF(circ_int,eq_c1/2,0)))/INDEX(lk_legs,9))&lt;((((((2*IF(circ_int,0,eq_c2/2))+(PI()*(s_0+8*s_r+IF(circ_int,eq_c1/2,0))/2))+2*IF(circ_int,0,eq_c1/2))+(PI()*(s_0+8*s_r+IF(circ_int,eq_c1/2,0))/2))+2*IF(circ_int,0,eq_c2/2))+(PI()*(s_0+8*s_r+IF(circ_int,eq_c1/2,0))/2)),-IF(circ_int,0,eq_c2/2)+(s_0+8*s_r+IF(circ_int,eq_c1/2,0))*SIN(PI()+(((23+0.5)*(4*IF(circ_int,0,eq_c1/2)+4*IF(circ_int,0,eq_c2/2)+2*PI()*(s_0+8*s_r+IF(circ_int,eq_c1/2,0)))/INDEX(lk_legs,9))-(((((2*IF(circ_int,0,eq_c2/2))+(PI()*(s_0+8*s_r+IF(circ_int,eq_c1/2,0))/2))+2*IF(circ_int,0,eq_c1/2))+(PI()*(s_0+8*s_r+IF(circ_int,eq_c1/2,0))/2))+2*IF(circ_int,0,eq_c2/2)))/(s_0+8*s_r+IF(circ_int,eq_c1/2,0))),IF(((23+0.5)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(23+0.5)*(4*IF(circ_int,0,eq_c1/2)+4*IF(circ_int,0,eq_c2/2)+2*PI()*(s_0+8*s_r+IF(circ_int,eq_c1/2,0)))/INDEX(lk_legs,9))-(((((((2*IF(circ_int,0,eq_c2/2))+(PI()*(s_0+8*s_r+IF(circ_int,eq_c1/2,0))/2))+2*IF(circ_int,0,eq_c1/2))+(PI()*(s_0+8*s_r+IF(circ_int,eq_c1/2,0))/2))+2*IF(circ_int,0,eq_c2/2))+(PI()*(s_0+8*s_r+IF(circ_int,eq_c1/2,0))/2))+2*IF(circ_int,0,eq_c1/2)))/(s_0+8*s_r+IF(circ_int,eq_c1/2,0)))))))))),NA())</f>
        <v/>
      </c>
      <c r="CY26">
        <f>IF(AND(links_on,10&lt;=n_per),IF(circ_int,(g_ox)+(c_1/2+(s_0+9*s_r))*-0.935016,CHOOSE(INDEX(lk_kind,10),(g_ox-eq_c1/2)+((s_0+9*s_r))*-0.965926,(eq_a1+eq_c1)+((s_0+9*s_r))*0.382683,eq_a1+eq_c1+(s_0+9*s_r),(eq_a1+eq_c1)+((s_0+9*s_r))*0.923880)),NA())</f>
        <v/>
      </c>
      <c r="CZ26">
        <f>IF(AND(links_on,10&lt;=n_per),IF(circ_int,(g_oy)+(c_1/2+(s_0+9*s_r))*0.354605,CHOOSE(INDEX(lk_kind,10),(g_oy+eq_c2/2)+((s_0+9*s_r))*0.258819,(g_oy-eq_c2/2)+((s_0+9*s_r))*-0.923880,0,(eq_a2+eq_c2)+((s_0+9*s_r))*0.382683)),NA())</f>
        <v/>
      </c>
      <c r="DB26">
        <f>IF(AND(AND(links_on,10&lt;=n_per),INDEX(lk_kind,10)=1,23&lt;INDEX(lk_legs,10)),g_ox+IF(((23+0.5)*(4*IF(circ_int,0,eq_c1/2)+4*IF(circ_int,0,eq_c2/2)+2*PI()*(s_0+9*s_r+IF(circ_int,eq_c1/2,0)))/INDEX(lk_legs,10))&lt;(2*IF(circ_int,0,eq_c2/2)),IF(circ_int,0,eq_c1/2)+(s_0+9*s_r+IF(circ_int,eq_c1/2,0)),IF(((23+0.5)*(4*IF(circ_int,0,eq_c1/2)+4*IF(circ_int,0,eq_c2/2)+2*PI()*(s_0+9*s_r+IF(circ_int,eq_c1/2,0)))/INDEX(lk_legs,10))&lt;((2*IF(circ_int,0,eq_c2/2))+(PI()*(s_0+9*s_r+IF(circ_int,eq_c1/2,0))/2)),IF(circ_int,0,eq_c1/2)+(s_0+9*s_r+IF(circ_int,eq_c1/2,0))*COS((((23+0.5)*(4*IF(circ_int,0,eq_c1/2)+4*IF(circ_int,0,eq_c2/2)+2*PI()*(s_0+9*s_r+IF(circ_int,eq_c1/2,0)))/INDEX(lk_legs,10))-(2*IF(circ_int,0,eq_c2/2)))/(s_0+9*s_r+IF(circ_int,eq_c1/2,0))),IF(((23+0.5)*(4*IF(circ_int,0,eq_c1/2)+4*IF(circ_int,0,eq_c2/2)+2*PI()*(s_0+9*s_r+IF(circ_int,eq_c1/2,0)))/INDEX(lk_legs,10))&lt;(((2*IF(circ_int,0,eq_c2/2))+(PI()*(s_0+9*s_r+IF(circ_int,eq_c1/2,0))/2))+2*IF(circ_int,0,eq_c1/2)),IF(circ_int,0,eq_c1/2)-(((23+0.5)*(4*IF(circ_int,0,eq_c1/2)+4*IF(circ_int,0,eq_c2/2)+2*PI()*(s_0+9*s_r+IF(circ_int,eq_c1/2,0)))/INDEX(lk_legs,10))-((2*IF(circ_int,0,eq_c2/2))+(PI()*(s_0+9*s_r+IF(circ_int,eq_c1/2,0))/2))),IF(((23+0.5)*(4*IF(circ_int,0,eq_c1/2)+4*IF(circ_int,0,eq_c2/2)+2*PI()*(s_0+9*s_r+IF(circ_int,eq_c1/2,0)))/INDEX(lk_legs,10))&lt;((((2*IF(circ_int,0,eq_c2/2))+(PI()*(s_0+9*s_r+IF(circ_int,eq_c1/2,0))/2))+2*IF(circ_int,0,eq_c1/2))+(PI()*(s_0+9*s_r+IF(circ_int,eq_c1/2,0))/2)),-IF(circ_int,0,eq_c1/2)+(s_0+9*s_r+IF(circ_int,eq_c1/2,0))*COS(PI()/2+(((23+0.5)*(4*IF(circ_int,0,eq_c1/2)+4*IF(circ_int,0,eq_c2/2)+2*PI()*(s_0+9*s_r+IF(circ_int,eq_c1/2,0)))/INDEX(lk_legs,10))-(((2*IF(circ_int,0,eq_c2/2))+(PI()*(s_0+9*s_r+IF(circ_int,eq_c1/2,0))/2))+2*IF(circ_int,0,eq_c1/2)))/(s_0+9*s_r+IF(circ_int,eq_c1/2,0))),IF(((23+0.5)*(4*IF(circ_int,0,eq_c1/2)+4*IF(circ_int,0,eq_c2/2)+2*PI()*(s_0+9*s_r+IF(circ_int,eq_c1/2,0)))/INDEX(lk_legs,10))&lt;(((((2*IF(circ_int,0,eq_c2/2))+(PI()*(s_0+9*s_r+IF(circ_int,eq_c1/2,0))/2))+2*IF(circ_int,0,eq_c1/2))+(PI()*(s_0+9*s_r+IF(circ_int,eq_c1/2,0))/2))+2*IF(circ_int,0,eq_c2/2)),-IF(circ_int,0,eq_c1/2)-(s_0+9*s_r+IF(circ_int,eq_c1/2,0)),IF(((23+0.5)*(4*IF(circ_int,0,eq_c1/2)+4*IF(circ_int,0,eq_c2/2)+2*PI()*(s_0+9*s_r+IF(circ_int,eq_c1/2,0)))/INDEX(lk_legs,10))&lt;((((((2*IF(circ_int,0,eq_c2/2))+(PI()*(s_0+9*s_r+IF(circ_int,eq_c1/2,0))/2))+2*IF(circ_int,0,eq_c1/2))+(PI()*(s_0+9*s_r+IF(circ_int,eq_c1/2,0))/2))+2*IF(circ_int,0,eq_c2/2))+(PI()*(s_0+9*s_r+IF(circ_int,eq_c1/2,0))/2)),-IF(circ_int,0,eq_c1/2)+(s_0+9*s_r+IF(circ_int,eq_c1/2,0))*COS(PI()+(((23+0.5)*(4*IF(circ_int,0,eq_c1/2)+4*IF(circ_int,0,eq_c2/2)+2*PI()*(s_0+9*s_r+IF(circ_int,eq_c1/2,0)))/INDEX(lk_legs,10))-(((((2*IF(circ_int,0,eq_c2/2))+(PI()*(s_0+9*s_r+IF(circ_int,eq_c1/2,0))/2))+2*IF(circ_int,0,eq_c1/2))+(PI()*(s_0+9*s_r+IF(circ_int,eq_c1/2,0))/2))+2*IF(circ_int,0,eq_c2/2)))/(s_0+9*s_r+IF(circ_int,eq_c1/2,0))),IF(((23+0.5)*(4*IF(circ_int,0,eq_c1/2)+4*IF(circ_int,0,eq_c2/2)+2*PI()*(s_0+9*s_r+IF(circ_int,eq_c1/2,0)))/INDEX(lk_legs,10))&lt;(((((((2*IF(circ_int,0,eq_c2/2))+(PI()*(s_0+9*s_r+IF(circ_int,eq_c1/2,0))/2))+2*IF(circ_int,0,eq_c1/2))+(PI()*(s_0+9*s_r+IF(circ_int,eq_c1/2,0))/2))+2*IF(circ_int,0,eq_c2/2))+(PI()*(s_0+9*s_r+IF(circ_int,eq_c1/2,0))/2))+2*IF(circ_int,0,eq_c1/2)),-IF(circ_int,0,eq_c1/2)+(((23+0.5)*(4*IF(circ_int,0,eq_c1/2)+4*IF(circ_int,0,eq_c2/2)+2*PI()*(s_0+9*s_r+IF(circ_int,eq_c1/2,0)))/INDEX(lk_legs,10))-((((((2*IF(circ_int,0,eq_c2/2))+(PI()*(s_0+9*s_r+IF(circ_int,eq_c1/2,0))/2))+2*IF(circ_int,0,eq_c1/2))+(PI()*(s_0+9*s_r+IF(circ_int,eq_c1/2,0))/2))+2*IF(circ_int,0,eq_c2/2))+(PI()*(s_0+9*s_r+IF(circ_int,eq_c1/2,0))/2))),IF(circ_int,0,eq_c1/2)+(s_0+9*s_r+IF(circ_int,eq_c1/2,0))*COS(3*PI()/2+(((23+0.5)*(4*IF(circ_int,0,eq_c1/2)+4*IF(circ_int,0,eq_c2/2)+2*PI()*(s_0+9*s_r+IF(circ_int,eq_c1/2,0)))/INDEX(lk_legs,10))-(((((((2*IF(circ_int,0,eq_c2/2))+(PI()*(s_0+9*s_r+IF(circ_int,eq_c1/2,0))/2))+2*IF(circ_int,0,eq_c1/2))+(PI()*(s_0+9*s_r+IF(circ_int,eq_c1/2,0))/2))+2*IF(circ_int,0,eq_c2/2))+(PI()*(s_0+9*s_r+IF(circ_int,eq_c1/2,0))/2))+2*IF(circ_int,0,eq_c1/2)))/(s_0+9*s_r+IF(circ_int,eq_c1/2,0)))))))))),NA())</f>
        <v/>
      </c>
      <c r="DC26">
        <f>IF(AND(AND(links_on,10&lt;=n_per),INDEX(lk_kind,10)=1,23&lt;INDEX(lk_legs,10)),g_oy+IF(((23+0.5)*(4*IF(circ_int,0,eq_c1/2)+4*IF(circ_int,0,eq_c2/2)+2*PI()*(s_0+9*s_r+IF(circ_int,eq_c1/2,0)))/INDEX(lk_legs,10))&lt;(2*IF(circ_int,0,eq_c2/2)),-IF(circ_int,0,eq_c2/2)+((23+0.5)*(4*IF(circ_int,0,eq_c1/2)+4*IF(circ_int,0,eq_c2/2)+2*PI()*(s_0+9*s_r+IF(circ_int,eq_c1/2,0)))/INDEX(lk_legs,10)),IF(((23+0.5)*(4*IF(circ_int,0,eq_c1/2)+4*IF(circ_int,0,eq_c2/2)+2*PI()*(s_0+9*s_r+IF(circ_int,eq_c1/2,0)))/INDEX(lk_legs,10))&lt;((2*IF(circ_int,0,eq_c2/2))+(PI()*(s_0+9*s_r+IF(circ_int,eq_c1/2,0))/2)),IF(circ_int,0,eq_c2/2)+(s_0+9*s_r+IF(circ_int,eq_c1/2,0))*SIN((((23+0.5)*(4*IF(circ_int,0,eq_c1/2)+4*IF(circ_int,0,eq_c2/2)+2*PI()*(s_0+9*s_r+IF(circ_int,eq_c1/2,0)))/INDEX(lk_legs,10))-(2*IF(circ_int,0,eq_c2/2)))/(s_0+9*s_r+IF(circ_int,eq_c1/2,0))),IF(((23+0.5)*(4*IF(circ_int,0,eq_c1/2)+4*IF(circ_int,0,eq_c2/2)+2*PI()*(s_0+9*s_r+IF(circ_int,eq_c1/2,0)))/INDEX(lk_legs,10))&lt;(((2*IF(circ_int,0,eq_c2/2))+(PI()*(s_0+9*s_r+IF(circ_int,eq_c1/2,0))/2))+2*IF(circ_int,0,eq_c1/2)),IF(circ_int,0,eq_c2/2)+(s_0+9*s_r+IF(circ_int,eq_c1/2,0)),IF(((23+0.5)*(4*IF(circ_int,0,eq_c1/2)+4*IF(circ_int,0,eq_c2/2)+2*PI()*(s_0+9*s_r+IF(circ_int,eq_c1/2,0)))/INDEX(lk_legs,10))&lt;((((2*IF(circ_int,0,eq_c2/2))+(PI()*(s_0+9*s_r+IF(circ_int,eq_c1/2,0))/2))+2*IF(circ_int,0,eq_c1/2))+(PI()*(s_0+9*s_r+IF(circ_int,eq_c1/2,0))/2)),IF(circ_int,0,eq_c2/2)+(s_0+9*s_r+IF(circ_int,eq_c1/2,0))*SIN(PI()/2+(((23+0.5)*(4*IF(circ_int,0,eq_c1/2)+4*IF(circ_int,0,eq_c2/2)+2*PI()*(s_0+9*s_r+IF(circ_int,eq_c1/2,0)))/INDEX(lk_legs,10))-(((2*IF(circ_int,0,eq_c2/2))+(PI()*(s_0+9*s_r+IF(circ_int,eq_c1/2,0))/2))+2*IF(circ_int,0,eq_c1/2)))/(s_0+9*s_r+IF(circ_int,eq_c1/2,0))),IF(((23+0.5)*(4*IF(circ_int,0,eq_c1/2)+4*IF(circ_int,0,eq_c2/2)+2*PI()*(s_0+9*s_r+IF(circ_int,eq_c1/2,0)))/INDEX(lk_legs,10))&lt;(((((2*IF(circ_int,0,eq_c2/2))+(PI()*(s_0+9*s_r+IF(circ_int,eq_c1/2,0))/2))+2*IF(circ_int,0,eq_c1/2))+(PI()*(s_0+9*s_r+IF(circ_int,eq_c1/2,0))/2))+2*IF(circ_int,0,eq_c2/2)),IF(circ_int,0,eq_c2/2)-(((23+0.5)*(4*IF(circ_int,0,eq_c1/2)+4*IF(circ_int,0,eq_c2/2)+2*PI()*(s_0+9*s_r+IF(circ_int,eq_c1/2,0)))/INDEX(lk_legs,10))-((((2*IF(circ_int,0,eq_c2/2))+(PI()*(s_0+9*s_r+IF(circ_int,eq_c1/2,0))/2))+2*IF(circ_int,0,eq_c1/2))+(PI()*(s_0+9*s_r+IF(circ_int,eq_c1/2,0))/2))),IF(((23+0.5)*(4*IF(circ_int,0,eq_c1/2)+4*IF(circ_int,0,eq_c2/2)+2*PI()*(s_0+9*s_r+IF(circ_int,eq_c1/2,0)))/INDEX(lk_legs,10))&lt;((((((2*IF(circ_int,0,eq_c2/2))+(PI()*(s_0+9*s_r+IF(circ_int,eq_c1/2,0))/2))+2*IF(circ_int,0,eq_c1/2))+(PI()*(s_0+9*s_r+IF(circ_int,eq_c1/2,0))/2))+2*IF(circ_int,0,eq_c2/2))+(PI()*(s_0+9*s_r+IF(circ_int,eq_c1/2,0))/2)),-IF(circ_int,0,eq_c2/2)+(s_0+9*s_r+IF(circ_int,eq_c1/2,0))*SIN(PI()+(((23+0.5)*(4*IF(circ_int,0,eq_c1/2)+4*IF(circ_int,0,eq_c2/2)+2*PI()*(s_0+9*s_r+IF(circ_int,eq_c1/2,0)))/INDEX(lk_legs,10))-(((((2*IF(circ_int,0,eq_c2/2))+(PI()*(s_0+9*s_r+IF(circ_int,eq_c1/2,0))/2))+2*IF(circ_int,0,eq_c1/2))+(PI()*(s_0+9*s_r+IF(circ_int,eq_c1/2,0))/2))+2*IF(circ_int,0,eq_c2/2)))/(s_0+9*s_r+IF(circ_int,eq_c1/2,0))),IF(((23+0.5)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(23+0.5)*(4*IF(circ_int,0,eq_c1/2)+4*IF(circ_int,0,eq_c2/2)+2*PI()*(s_0+9*s_r+IF(circ_int,eq_c1/2,0)))/INDEX(lk_legs,10))-(((((((2*IF(circ_int,0,eq_c2/2))+(PI()*(s_0+9*s_r+IF(circ_int,eq_c1/2,0))/2))+2*IF(circ_int,0,eq_c1/2))+(PI()*(s_0+9*s_r+IF(circ_int,eq_c1/2,0))/2))+2*IF(circ_int,0,eq_c2/2))+(PI()*(s_0+9*s_r+IF(circ_int,eq_c1/2,0))/2))+2*IF(circ_int,0,eq_c1/2)))/(s_0+9*s_r+IF(circ_int,eq_c1/2,0)))))))))),NA())</f>
        <v/>
      </c>
      <c r="DE26">
        <f>IF(AND(links_on,11&lt;=n_per),IF(circ_int,(g_ox)+(c_1/2+(s_0+10*s_r))*-0.935016,CHOOSE(INDEX(lk_kind,11),(g_ox-eq_c1/2)+((s_0+10*s_r))*-0.965926,(eq_a1+eq_c1)+((s_0+10*s_r))*0.382683,eq_a1+eq_c1+(s_0+10*s_r),(eq_a1+eq_c1)+((s_0+10*s_r))*0.923880)),NA())</f>
        <v/>
      </c>
      <c r="DF26">
        <f>IF(AND(links_on,11&lt;=n_per),IF(circ_int,(g_oy)+(c_1/2+(s_0+10*s_r))*0.354605,CHOOSE(INDEX(lk_kind,11),(g_oy+eq_c2/2)+((s_0+10*s_r))*0.258819,(g_oy-eq_c2/2)+((s_0+10*s_r))*-0.923880,0,(eq_a2+eq_c2)+((s_0+10*s_r))*0.382683)),NA())</f>
        <v/>
      </c>
      <c r="DH26">
        <f>IF(AND(AND(links_on,11&lt;=n_per),INDEX(lk_kind,11)=1,23&lt;INDEX(lk_legs,11)),g_ox+IF(((23+0.5)*(4*IF(circ_int,0,eq_c1/2)+4*IF(circ_int,0,eq_c2/2)+2*PI()*(s_0+10*s_r+IF(circ_int,eq_c1/2,0)))/INDEX(lk_legs,11))&lt;(2*IF(circ_int,0,eq_c2/2)),IF(circ_int,0,eq_c1/2)+(s_0+10*s_r+IF(circ_int,eq_c1/2,0)),IF(((23+0.5)*(4*IF(circ_int,0,eq_c1/2)+4*IF(circ_int,0,eq_c2/2)+2*PI()*(s_0+10*s_r+IF(circ_int,eq_c1/2,0)))/INDEX(lk_legs,11))&lt;((2*IF(circ_int,0,eq_c2/2))+(PI()*(s_0+10*s_r+IF(circ_int,eq_c1/2,0))/2)),IF(circ_int,0,eq_c1/2)+(s_0+10*s_r+IF(circ_int,eq_c1/2,0))*COS((((23+0.5)*(4*IF(circ_int,0,eq_c1/2)+4*IF(circ_int,0,eq_c2/2)+2*PI()*(s_0+10*s_r+IF(circ_int,eq_c1/2,0)))/INDEX(lk_legs,11))-(2*IF(circ_int,0,eq_c2/2)))/(s_0+10*s_r+IF(circ_int,eq_c1/2,0))),IF(((23+0.5)*(4*IF(circ_int,0,eq_c1/2)+4*IF(circ_int,0,eq_c2/2)+2*PI()*(s_0+10*s_r+IF(circ_int,eq_c1/2,0)))/INDEX(lk_legs,11))&lt;(((2*IF(circ_int,0,eq_c2/2))+(PI()*(s_0+10*s_r+IF(circ_int,eq_c1/2,0))/2))+2*IF(circ_int,0,eq_c1/2)),IF(circ_int,0,eq_c1/2)-(((23+0.5)*(4*IF(circ_int,0,eq_c1/2)+4*IF(circ_int,0,eq_c2/2)+2*PI()*(s_0+10*s_r+IF(circ_int,eq_c1/2,0)))/INDEX(lk_legs,11))-((2*IF(circ_int,0,eq_c2/2))+(PI()*(s_0+10*s_r+IF(circ_int,eq_c1/2,0))/2))),IF(((23+0.5)*(4*IF(circ_int,0,eq_c1/2)+4*IF(circ_int,0,eq_c2/2)+2*PI()*(s_0+10*s_r+IF(circ_int,eq_c1/2,0)))/INDEX(lk_legs,11))&lt;((((2*IF(circ_int,0,eq_c2/2))+(PI()*(s_0+10*s_r+IF(circ_int,eq_c1/2,0))/2))+2*IF(circ_int,0,eq_c1/2))+(PI()*(s_0+10*s_r+IF(circ_int,eq_c1/2,0))/2)),-IF(circ_int,0,eq_c1/2)+(s_0+10*s_r+IF(circ_int,eq_c1/2,0))*COS(PI()/2+(((23+0.5)*(4*IF(circ_int,0,eq_c1/2)+4*IF(circ_int,0,eq_c2/2)+2*PI()*(s_0+10*s_r+IF(circ_int,eq_c1/2,0)))/INDEX(lk_legs,11))-(((2*IF(circ_int,0,eq_c2/2))+(PI()*(s_0+10*s_r+IF(circ_int,eq_c1/2,0))/2))+2*IF(circ_int,0,eq_c1/2)))/(s_0+10*s_r+IF(circ_int,eq_c1/2,0))),IF(((23+0.5)*(4*IF(circ_int,0,eq_c1/2)+4*IF(circ_int,0,eq_c2/2)+2*PI()*(s_0+10*s_r+IF(circ_int,eq_c1/2,0)))/INDEX(lk_legs,11))&lt;(((((2*IF(circ_int,0,eq_c2/2))+(PI()*(s_0+10*s_r+IF(circ_int,eq_c1/2,0))/2))+2*IF(circ_int,0,eq_c1/2))+(PI()*(s_0+10*s_r+IF(circ_int,eq_c1/2,0))/2))+2*IF(circ_int,0,eq_c2/2)),-IF(circ_int,0,eq_c1/2)-(s_0+10*s_r+IF(circ_int,eq_c1/2,0)),IF(((23+0.5)*(4*IF(circ_int,0,eq_c1/2)+4*IF(circ_int,0,eq_c2/2)+2*PI()*(s_0+10*s_r+IF(circ_int,eq_c1/2,0)))/INDEX(lk_legs,11))&lt;((((((2*IF(circ_int,0,eq_c2/2))+(PI()*(s_0+10*s_r+IF(circ_int,eq_c1/2,0))/2))+2*IF(circ_int,0,eq_c1/2))+(PI()*(s_0+10*s_r+IF(circ_int,eq_c1/2,0))/2))+2*IF(circ_int,0,eq_c2/2))+(PI()*(s_0+10*s_r+IF(circ_int,eq_c1/2,0))/2)),-IF(circ_int,0,eq_c1/2)+(s_0+10*s_r+IF(circ_int,eq_c1/2,0))*COS(PI()+(((23+0.5)*(4*IF(circ_int,0,eq_c1/2)+4*IF(circ_int,0,eq_c2/2)+2*PI()*(s_0+10*s_r+IF(circ_int,eq_c1/2,0)))/INDEX(lk_legs,11))-(((((2*IF(circ_int,0,eq_c2/2))+(PI()*(s_0+10*s_r+IF(circ_int,eq_c1/2,0))/2))+2*IF(circ_int,0,eq_c1/2))+(PI()*(s_0+10*s_r+IF(circ_int,eq_c1/2,0))/2))+2*IF(circ_int,0,eq_c2/2)))/(s_0+10*s_r+IF(circ_int,eq_c1/2,0))),IF(((23+0.5)*(4*IF(circ_int,0,eq_c1/2)+4*IF(circ_int,0,eq_c2/2)+2*PI()*(s_0+10*s_r+IF(circ_int,eq_c1/2,0)))/INDEX(lk_legs,11))&lt;(((((((2*IF(circ_int,0,eq_c2/2))+(PI()*(s_0+10*s_r+IF(circ_int,eq_c1/2,0))/2))+2*IF(circ_int,0,eq_c1/2))+(PI()*(s_0+10*s_r+IF(circ_int,eq_c1/2,0))/2))+2*IF(circ_int,0,eq_c2/2))+(PI()*(s_0+10*s_r+IF(circ_int,eq_c1/2,0))/2))+2*IF(circ_int,0,eq_c1/2)),-IF(circ_int,0,eq_c1/2)+(((23+0.5)*(4*IF(circ_int,0,eq_c1/2)+4*IF(circ_int,0,eq_c2/2)+2*PI()*(s_0+10*s_r+IF(circ_int,eq_c1/2,0)))/INDEX(lk_legs,11))-((((((2*IF(circ_int,0,eq_c2/2))+(PI()*(s_0+10*s_r+IF(circ_int,eq_c1/2,0))/2))+2*IF(circ_int,0,eq_c1/2))+(PI()*(s_0+10*s_r+IF(circ_int,eq_c1/2,0))/2))+2*IF(circ_int,0,eq_c2/2))+(PI()*(s_0+10*s_r+IF(circ_int,eq_c1/2,0))/2))),IF(circ_int,0,eq_c1/2)+(s_0+10*s_r+IF(circ_int,eq_c1/2,0))*COS(3*PI()/2+(((23+0.5)*(4*IF(circ_int,0,eq_c1/2)+4*IF(circ_int,0,eq_c2/2)+2*PI()*(s_0+10*s_r+IF(circ_int,eq_c1/2,0)))/INDEX(lk_legs,11))-(((((((2*IF(circ_int,0,eq_c2/2))+(PI()*(s_0+10*s_r+IF(circ_int,eq_c1/2,0))/2))+2*IF(circ_int,0,eq_c1/2))+(PI()*(s_0+10*s_r+IF(circ_int,eq_c1/2,0))/2))+2*IF(circ_int,0,eq_c2/2))+(PI()*(s_0+10*s_r+IF(circ_int,eq_c1/2,0))/2))+2*IF(circ_int,0,eq_c1/2)))/(s_0+10*s_r+IF(circ_int,eq_c1/2,0)))))))))),NA())</f>
        <v/>
      </c>
      <c r="DI26">
        <f>IF(AND(AND(links_on,11&lt;=n_per),INDEX(lk_kind,11)=1,23&lt;INDEX(lk_legs,11)),g_oy+IF(((23+0.5)*(4*IF(circ_int,0,eq_c1/2)+4*IF(circ_int,0,eq_c2/2)+2*PI()*(s_0+10*s_r+IF(circ_int,eq_c1/2,0)))/INDEX(lk_legs,11))&lt;(2*IF(circ_int,0,eq_c2/2)),-IF(circ_int,0,eq_c2/2)+((23+0.5)*(4*IF(circ_int,0,eq_c1/2)+4*IF(circ_int,0,eq_c2/2)+2*PI()*(s_0+10*s_r+IF(circ_int,eq_c1/2,0)))/INDEX(lk_legs,11)),IF(((23+0.5)*(4*IF(circ_int,0,eq_c1/2)+4*IF(circ_int,0,eq_c2/2)+2*PI()*(s_0+10*s_r+IF(circ_int,eq_c1/2,0)))/INDEX(lk_legs,11))&lt;((2*IF(circ_int,0,eq_c2/2))+(PI()*(s_0+10*s_r+IF(circ_int,eq_c1/2,0))/2)),IF(circ_int,0,eq_c2/2)+(s_0+10*s_r+IF(circ_int,eq_c1/2,0))*SIN((((23+0.5)*(4*IF(circ_int,0,eq_c1/2)+4*IF(circ_int,0,eq_c2/2)+2*PI()*(s_0+10*s_r+IF(circ_int,eq_c1/2,0)))/INDEX(lk_legs,11))-(2*IF(circ_int,0,eq_c2/2)))/(s_0+10*s_r+IF(circ_int,eq_c1/2,0))),IF(((23+0.5)*(4*IF(circ_int,0,eq_c1/2)+4*IF(circ_int,0,eq_c2/2)+2*PI()*(s_0+10*s_r+IF(circ_int,eq_c1/2,0)))/INDEX(lk_legs,11))&lt;(((2*IF(circ_int,0,eq_c2/2))+(PI()*(s_0+10*s_r+IF(circ_int,eq_c1/2,0))/2))+2*IF(circ_int,0,eq_c1/2)),IF(circ_int,0,eq_c2/2)+(s_0+10*s_r+IF(circ_int,eq_c1/2,0)),IF(((23+0.5)*(4*IF(circ_int,0,eq_c1/2)+4*IF(circ_int,0,eq_c2/2)+2*PI()*(s_0+10*s_r+IF(circ_int,eq_c1/2,0)))/INDEX(lk_legs,11))&lt;((((2*IF(circ_int,0,eq_c2/2))+(PI()*(s_0+10*s_r+IF(circ_int,eq_c1/2,0))/2))+2*IF(circ_int,0,eq_c1/2))+(PI()*(s_0+10*s_r+IF(circ_int,eq_c1/2,0))/2)),IF(circ_int,0,eq_c2/2)+(s_0+10*s_r+IF(circ_int,eq_c1/2,0))*SIN(PI()/2+(((23+0.5)*(4*IF(circ_int,0,eq_c1/2)+4*IF(circ_int,0,eq_c2/2)+2*PI()*(s_0+10*s_r+IF(circ_int,eq_c1/2,0)))/INDEX(lk_legs,11))-(((2*IF(circ_int,0,eq_c2/2))+(PI()*(s_0+10*s_r+IF(circ_int,eq_c1/2,0))/2))+2*IF(circ_int,0,eq_c1/2)))/(s_0+10*s_r+IF(circ_int,eq_c1/2,0))),IF(((23+0.5)*(4*IF(circ_int,0,eq_c1/2)+4*IF(circ_int,0,eq_c2/2)+2*PI()*(s_0+10*s_r+IF(circ_int,eq_c1/2,0)))/INDEX(lk_legs,11))&lt;(((((2*IF(circ_int,0,eq_c2/2))+(PI()*(s_0+10*s_r+IF(circ_int,eq_c1/2,0))/2))+2*IF(circ_int,0,eq_c1/2))+(PI()*(s_0+10*s_r+IF(circ_int,eq_c1/2,0))/2))+2*IF(circ_int,0,eq_c2/2)),IF(circ_int,0,eq_c2/2)-(((23+0.5)*(4*IF(circ_int,0,eq_c1/2)+4*IF(circ_int,0,eq_c2/2)+2*PI()*(s_0+10*s_r+IF(circ_int,eq_c1/2,0)))/INDEX(lk_legs,11))-((((2*IF(circ_int,0,eq_c2/2))+(PI()*(s_0+10*s_r+IF(circ_int,eq_c1/2,0))/2))+2*IF(circ_int,0,eq_c1/2))+(PI()*(s_0+10*s_r+IF(circ_int,eq_c1/2,0))/2))),IF(((23+0.5)*(4*IF(circ_int,0,eq_c1/2)+4*IF(circ_int,0,eq_c2/2)+2*PI()*(s_0+10*s_r+IF(circ_int,eq_c1/2,0)))/INDEX(lk_legs,11))&lt;((((((2*IF(circ_int,0,eq_c2/2))+(PI()*(s_0+10*s_r+IF(circ_int,eq_c1/2,0))/2))+2*IF(circ_int,0,eq_c1/2))+(PI()*(s_0+10*s_r+IF(circ_int,eq_c1/2,0))/2))+2*IF(circ_int,0,eq_c2/2))+(PI()*(s_0+10*s_r+IF(circ_int,eq_c1/2,0))/2)),-IF(circ_int,0,eq_c2/2)+(s_0+10*s_r+IF(circ_int,eq_c1/2,0))*SIN(PI()+(((23+0.5)*(4*IF(circ_int,0,eq_c1/2)+4*IF(circ_int,0,eq_c2/2)+2*PI()*(s_0+10*s_r+IF(circ_int,eq_c1/2,0)))/INDEX(lk_legs,11))-(((((2*IF(circ_int,0,eq_c2/2))+(PI()*(s_0+10*s_r+IF(circ_int,eq_c1/2,0))/2))+2*IF(circ_int,0,eq_c1/2))+(PI()*(s_0+10*s_r+IF(circ_int,eq_c1/2,0))/2))+2*IF(circ_int,0,eq_c2/2)))/(s_0+10*s_r+IF(circ_int,eq_c1/2,0))),IF(((23+0.5)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(23+0.5)*(4*IF(circ_int,0,eq_c1/2)+4*IF(circ_int,0,eq_c2/2)+2*PI()*(s_0+10*s_r+IF(circ_int,eq_c1/2,0)))/INDEX(lk_legs,11))-(((((((2*IF(circ_int,0,eq_c2/2))+(PI()*(s_0+10*s_r+IF(circ_int,eq_c1/2,0))/2))+2*IF(circ_int,0,eq_c1/2))+(PI()*(s_0+10*s_r+IF(circ_int,eq_c1/2,0))/2))+2*IF(circ_int,0,eq_c2/2))+(PI()*(s_0+10*s_r+IF(circ_int,eq_c1/2,0))/2))+2*IF(circ_int,0,eq_c1/2)))/(s_0+10*s_r+IF(circ_int,eq_c1/2,0)))))))))),NA())</f>
        <v/>
      </c>
      <c r="DK26">
        <f>IF(AND(links_on,12&lt;=n_per),IF(circ_int,(g_ox)+(c_1/2+(s_0+11*s_r))*-0.935016,CHOOSE(INDEX(lk_kind,12),(g_ox-eq_c1/2)+((s_0+11*s_r))*-0.965926,(eq_a1+eq_c1)+((s_0+11*s_r))*0.382683,eq_a1+eq_c1+(s_0+11*s_r),(eq_a1+eq_c1)+((s_0+11*s_r))*0.923880)),NA())</f>
        <v/>
      </c>
      <c r="DL26">
        <f>IF(AND(links_on,12&lt;=n_per),IF(circ_int,(g_oy)+(c_1/2+(s_0+11*s_r))*0.354605,CHOOSE(INDEX(lk_kind,12),(g_oy+eq_c2/2)+((s_0+11*s_r))*0.258819,(g_oy-eq_c2/2)+((s_0+11*s_r))*-0.923880,0,(eq_a2+eq_c2)+((s_0+11*s_r))*0.382683)),NA())</f>
        <v/>
      </c>
      <c r="DN26">
        <f>IF(AND(AND(links_on,12&lt;=n_per),INDEX(lk_kind,12)=1,23&lt;INDEX(lk_legs,12)),g_ox+IF(((23+0.5)*(4*IF(circ_int,0,eq_c1/2)+4*IF(circ_int,0,eq_c2/2)+2*PI()*(s_0+11*s_r+IF(circ_int,eq_c1/2,0)))/INDEX(lk_legs,12))&lt;(2*IF(circ_int,0,eq_c2/2)),IF(circ_int,0,eq_c1/2)+(s_0+11*s_r+IF(circ_int,eq_c1/2,0)),IF(((23+0.5)*(4*IF(circ_int,0,eq_c1/2)+4*IF(circ_int,0,eq_c2/2)+2*PI()*(s_0+11*s_r+IF(circ_int,eq_c1/2,0)))/INDEX(lk_legs,12))&lt;((2*IF(circ_int,0,eq_c2/2))+(PI()*(s_0+11*s_r+IF(circ_int,eq_c1/2,0))/2)),IF(circ_int,0,eq_c1/2)+(s_0+11*s_r+IF(circ_int,eq_c1/2,0))*COS((((23+0.5)*(4*IF(circ_int,0,eq_c1/2)+4*IF(circ_int,0,eq_c2/2)+2*PI()*(s_0+11*s_r+IF(circ_int,eq_c1/2,0)))/INDEX(lk_legs,12))-(2*IF(circ_int,0,eq_c2/2)))/(s_0+11*s_r+IF(circ_int,eq_c1/2,0))),IF(((23+0.5)*(4*IF(circ_int,0,eq_c1/2)+4*IF(circ_int,0,eq_c2/2)+2*PI()*(s_0+11*s_r+IF(circ_int,eq_c1/2,0)))/INDEX(lk_legs,12))&lt;(((2*IF(circ_int,0,eq_c2/2))+(PI()*(s_0+11*s_r+IF(circ_int,eq_c1/2,0))/2))+2*IF(circ_int,0,eq_c1/2)),IF(circ_int,0,eq_c1/2)-(((23+0.5)*(4*IF(circ_int,0,eq_c1/2)+4*IF(circ_int,0,eq_c2/2)+2*PI()*(s_0+11*s_r+IF(circ_int,eq_c1/2,0)))/INDEX(lk_legs,12))-((2*IF(circ_int,0,eq_c2/2))+(PI()*(s_0+11*s_r+IF(circ_int,eq_c1/2,0))/2))),IF(((23+0.5)*(4*IF(circ_int,0,eq_c1/2)+4*IF(circ_int,0,eq_c2/2)+2*PI()*(s_0+11*s_r+IF(circ_int,eq_c1/2,0)))/INDEX(lk_legs,12))&lt;((((2*IF(circ_int,0,eq_c2/2))+(PI()*(s_0+11*s_r+IF(circ_int,eq_c1/2,0))/2))+2*IF(circ_int,0,eq_c1/2))+(PI()*(s_0+11*s_r+IF(circ_int,eq_c1/2,0))/2)),-IF(circ_int,0,eq_c1/2)+(s_0+11*s_r+IF(circ_int,eq_c1/2,0))*COS(PI()/2+(((23+0.5)*(4*IF(circ_int,0,eq_c1/2)+4*IF(circ_int,0,eq_c2/2)+2*PI()*(s_0+11*s_r+IF(circ_int,eq_c1/2,0)))/INDEX(lk_legs,12))-(((2*IF(circ_int,0,eq_c2/2))+(PI()*(s_0+11*s_r+IF(circ_int,eq_c1/2,0))/2))+2*IF(circ_int,0,eq_c1/2)))/(s_0+11*s_r+IF(circ_int,eq_c1/2,0))),IF(((23+0.5)*(4*IF(circ_int,0,eq_c1/2)+4*IF(circ_int,0,eq_c2/2)+2*PI()*(s_0+11*s_r+IF(circ_int,eq_c1/2,0)))/INDEX(lk_legs,12))&lt;(((((2*IF(circ_int,0,eq_c2/2))+(PI()*(s_0+11*s_r+IF(circ_int,eq_c1/2,0))/2))+2*IF(circ_int,0,eq_c1/2))+(PI()*(s_0+11*s_r+IF(circ_int,eq_c1/2,0))/2))+2*IF(circ_int,0,eq_c2/2)),-IF(circ_int,0,eq_c1/2)-(s_0+11*s_r+IF(circ_int,eq_c1/2,0)),IF(((23+0.5)*(4*IF(circ_int,0,eq_c1/2)+4*IF(circ_int,0,eq_c2/2)+2*PI()*(s_0+11*s_r+IF(circ_int,eq_c1/2,0)))/INDEX(lk_legs,12))&lt;((((((2*IF(circ_int,0,eq_c2/2))+(PI()*(s_0+11*s_r+IF(circ_int,eq_c1/2,0))/2))+2*IF(circ_int,0,eq_c1/2))+(PI()*(s_0+11*s_r+IF(circ_int,eq_c1/2,0))/2))+2*IF(circ_int,0,eq_c2/2))+(PI()*(s_0+11*s_r+IF(circ_int,eq_c1/2,0))/2)),-IF(circ_int,0,eq_c1/2)+(s_0+11*s_r+IF(circ_int,eq_c1/2,0))*COS(PI()+(((23+0.5)*(4*IF(circ_int,0,eq_c1/2)+4*IF(circ_int,0,eq_c2/2)+2*PI()*(s_0+11*s_r+IF(circ_int,eq_c1/2,0)))/INDEX(lk_legs,12))-(((((2*IF(circ_int,0,eq_c2/2))+(PI()*(s_0+11*s_r+IF(circ_int,eq_c1/2,0))/2))+2*IF(circ_int,0,eq_c1/2))+(PI()*(s_0+11*s_r+IF(circ_int,eq_c1/2,0))/2))+2*IF(circ_int,0,eq_c2/2)))/(s_0+11*s_r+IF(circ_int,eq_c1/2,0))),IF(((23+0.5)*(4*IF(circ_int,0,eq_c1/2)+4*IF(circ_int,0,eq_c2/2)+2*PI()*(s_0+11*s_r+IF(circ_int,eq_c1/2,0)))/INDEX(lk_legs,12))&lt;(((((((2*IF(circ_int,0,eq_c2/2))+(PI()*(s_0+11*s_r+IF(circ_int,eq_c1/2,0))/2))+2*IF(circ_int,0,eq_c1/2))+(PI()*(s_0+11*s_r+IF(circ_int,eq_c1/2,0))/2))+2*IF(circ_int,0,eq_c2/2))+(PI()*(s_0+11*s_r+IF(circ_int,eq_c1/2,0))/2))+2*IF(circ_int,0,eq_c1/2)),-IF(circ_int,0,eq_c1/2)+(((23+0.5)*(4*IF(circ_int,0,eq_c1/2)+4*IF(circ_int,0,eq_c2/2)+2*PI()*(s_0+11*s_r+IF(circ_int,eq_c1/2,0)))/INDEX(lk_legs,12))-((((((2*IF(circ_int,0,eq_c2/2))+(PI()*(s_0+11*s_r+IF(circ_int,eq_c1/2,0))/2))+2*IF(circ_int,0,eq_c1/2))+(PI()*(s_0+11*s_r+IF(circ_int,eq_c1/2,0))/2))+2*IF(circ_int,0,eq_c2/2))+(PI()*(s_0+11*s_r+IF(circ_int,eq_c1/2,0))/2))),IF(circ_int,0,eq_c1/2)+(s_0+11*s_r+IF(circ_int,eq_c1/2,0))*COS(3*PI()/2+(((23+0.5)*(4*IF(circ_int,0,eq_c1/2)+4*IF(circ_int,0,eq_c2/2)+2*PI()*(s_0+11*s_r+IF(circ_int,eq_c1/2,0)))/INDEX(lk_legs,12))-(((((((2*IF(circ_int,0,eq_c2/2))+(PI()*(s_0+11*s_r+IF(circ_int,eq_c1/2,0))/2))+2*IF(circ_int,0,eq_c1/2))+(PI()*(s_0+11*s_r+IF(circ_int,eq_c1/2,0))/2))+2*IF(circ_int,0,eq_c2/2))+(PI()*(s_0+11*s_r+IF(circ_int,eq_c1/2,0))/2))+2*IF(circ_int,0,eq_c1/2)))/(s_0+11*s_r+IF(circ_int,eq_c1/2,0)))))))))),NA())</f>
        <v/>
      </c>
      <c r="DO26">
        <f>IF(AND(AND(links_on,12&lt;=n_per),INDEX(lk_kind,12)=1,23&lt;INDEX(lk_legs,12)),g_oy+IF(((23+0.5)*(4*IF(circ_int,0,eq_c1/2)+4*IF(circ_int,0,eq_c2/2)+2*PI()*(s_0+11*s_r+IF(circ_int,eq_c1/2,0)))/INDEX(lk_legs,12))&lt;(2*IF(circ_int,0,eq_c2/2)),-IF(circ_int,0,eq_c2/2)+((23+0.5)*(4*IF(circ_int,0,eq_c1/2)+4*IF(circ_int,0,eq_c2/2)+2*PI()*(s_0+11*s_r+IF(circ_int,eq_c1/2,0)))/INDEX(lk_legs,12)),IF(((23+0.5)*(4*IF(circ_int,0,eq_c1/2)+4*IF(circ_int,0,eq_c2/2)+2*PI()*(s_0+11*s_r+IF(circ_int,eq_c1/2,0)))/INDEX(lk_legs,12))&lt;((2*IF(circ_int,0,eq_c2/2))+(PI()*(s_0+11*s_r+IF(circ_int,eq_c1/2,0))/2)),IF(circ_int,0,eq_c2/2)+(s_0+11*s_r+IF(circ_int,eq_c1/2,0))*SIN((((23+0.5)*(4*IF(circ_int,0,eq_c1/2)+4*IF(circ_int,0,eq_c2/2)+2*PI()*(s_0+11*s_r+IF(circ_int,eq_c1/2,0)))/INDEX(lk_legs,12))-(2*IF(circ_int,0,eq_c2/2)))/(s_0+11*s_r+IF(circ_int,eq_c1/2,0))),IF(((23+0.5)*(4*IF(circ_int,0,eq_c1/2)+4*IF(circ_int,0,eq_c2/2)+2*PI()*(s_0+11*s_r+IF(circ_int,eq_c1/2,0)))/INDEX(lk_legs,12))&lt;(((2*IF(circ_int,0,eq_c2/2))+(PI()*(s_0+11*s_r+IF(circ_int,eq_c1/2,0))/2))+2*IF(circ_int,0,eq_c1/2)),IF(circ_int,0,eq_c2/2)+(s_0+11*s_r+IF(circ_int,eq_c1/2,0)),IF(((23+0.5)*(4*IF(circ_int,0,eq_c1/2)+4*IF(circ_int,0,eq_c2/2)+2*PI()*(s_0+11*s_r+IF(circ_int,eq_c1/2,0)))/INDEX(lk_legs,12))&lt;((((2*IF(circ_int,0,eq_c2/2))+(PI()*(s_0+11*s_r+IF(circ_int,eq_c1/2,0))/2))+2*IF(circ_int,0,eq_c1/2))+(PI()*(s_0+11*s_r+IF(circ_int,eq_c1/2,0))/2)),IF(circ_int,0,eq_c2/2)+(s_0+11*s_r+IF(circ_int,eq_c1/2,0))*SIN(PI()/2+(((23+0.5)*(4*IF(circ_int,0,eq_c1/2)+4*IF(circ_int,0,eq_c2/2)+2*PI()*(s_0+11*s_r+IF(circ_int,eq_c1/2,0)))/INDEX(lk_legs,12))-(((2*IF(circ_int,0,eq_c2/2))+(PI()*(s_0+11*s_r+IF(circ_int,eq_c1/2,0))/2))+2*IF(circ_int,0,eq_c1/2)))/(s_0+11*s_r+IF(circ_int,eq_c1/2,0))),IF(((23+0.5)*(4*IF(circ_int,0,eq_c1/2)+4*IF(circ_int,0,eq_c2/2)+2*PI()*(s_0+11*s_r+IF(circ_int,eq_c1/2,0)))/INDEX(lk_legs,12))&lt;(((((2*IF(circ_int,0,eq_c2/2))+(PI()*(s_0+11*s_r+IF(circ_int,eq_c1/2,0))/2))+2*IF(circ_int,0,eq_c1/2))+(PI()*(s_0+11*s_r+IF(circ_int,eq_c1/2,0))/2))+2*IF(circ_int,0,eq_c2/2)),IF(circ_int,0,eq_c2/2)-(((23+0.5)*(4*IF(circ_int,0,eq_c1/2)+4*IF(circ_int,0,eq_c2/2)+2*PI()*(s_0+11*s_r+IF(circ_int,eq_c1/2,0)))/INDEX(lk_legs,12))-((((2*IF(circ_int,0,eq_c2/2))+(PI()*(s_0+11*s_r+IF(circ_int,eq_c1/2,0))/2))+2*IF(circ_int,0,eq_c1/2))+(PI()*(s_0+11*s_r+IF(circ_int,eq_c1/2,0))/2))),IF(((23+0.5)*(4*IF(circ_int,0,eq_c1/2)+4*IF(circ_int,0,eq_c2/2)+2*PI()*(s_0+11*s_r+IF(circ_int,eq_c1/2,0)))/INDEX(lk_legs,12))&lt;((((((2*IF(circ_int,0,eq_c2/2))+(PI()*(s_0+11*s_r+IF(circ_int,eq_c1/2,0))/2))+2*IF(circ_int,0,eq_c1/2))+(PI()*(s_0+11*s_r+IF(circ_int,eq_c1/2,0))/2))+2*IF(circ_int,0,eq_c2/2))+(PI()*(s_0+11*s_r+IF(circ_int,eq_c1/2,0))/2)),-IF(circ_int,0,eq_c2/2)+(s_0+11*s_r+IF(circ_int,eq_c1/2,0))*SIN(PI()+(((23+0.5)*(4*IF(circ_int,0,eq_c1/2)+4*IF(circ_int,0,eq_c2/2)+2*PI()*(s_0+11*s_r+IF(circ_int,eq_c1/2,0)))/INDEX(lk_legs,12))-(((((2*IF(circ_int,0,eq_c2/2))+(PI()*(s_0+11*s_r+IF(circ_int,eq_c1/2,0))/2))+2*IF(circ_int,0,eq_c1/2))+(PI()*(s_0+11*s_r+IF(circ_int,eq_c1/2,0))/2))+2*IF(circ_int,0,eq_c2/2)))/(s_0+11*s_r+IF(circ_int,eq_c1/2,0))),IF(((23+0.5)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(23+0.5)*(4*IF(circ_int,0,eq_c1/2)+4*IF(circ_int,0,eq_c2/2)+2*PI()*(s_0+11*s_r+IF(circ_int,eq_c1/2,0)))/INDEX(lk_legs,12))-(((((((2*IF(circ_int,0,eq_c2/2))+(PI()*(s_0+11*s_r+IF(circ_int,eq_c1/2,0))/2))+2*IF(circ_int,0,eq_c1/2))+(PI()*(s_0+11*s_r+IF(circ_int,eq_c1/2,0))/2))+2*IF(circ_int,0,eq_c2/2))+(PI()*(s_0+11*s_r+IF(circ_int,eq_c1/2,0))/2))+2*IF(circ_int,0,eq_c1/2)))/(s_0+11*s_r+IF(circ_int,eq_c1/2,0)))))))))),NA())</f>
        <v/>
      </c>
    </row>
    <row r="27">
      <c r="A27">
        <f>IF(shape="Circular",(g_ox)+(c_1/2+0)*-0.970942,CHOOSE(1,(g_ox-eq_c1/2)+(0)*-0.991445,(eq_a1+eq_c1)+(0)*0.258819,eq_a1+eq_c1+0,(eq_a1+eq_c1)+(0)*0.965926))</f>
        <v/>
      </c>
      <c r="B27">
        <f>IF(shape="Circular",(g_oy)+(c_1/2+0)*0.239316,CHOOSE(1,(g_oy+eq_c2/2)+(0)*0.130526,(g_oy-eq_c2/2)+(0)*-0.965926,0,(eq_a2+eq_c2)+(0)*0.258819))</f>
        <v/>
      </c>
      <c r="D27">
        <f>IF(circ_int,(g_ox)+(c_1/2+2*d_eff)*-0.970942,CHOOSE(geo_idx,(g_ox-eq_c1/2)+(2*d_eff)*-0.991445,(eq_a1+eq_c1)+(2*d_eff)*0.258819,eq_a1+eq_c1+2*d_eff,(eq_a1+eq_c1)+(2*d_eff)*0.965926))</f>
        <v/>
      </c>
      <c r="E27">
        <f>IF(circ_int,(g_oy)+(c_1/2+2*d_eff)*0.239316,CHOOSE(geo_idx,(g_oy+eq_c2/2)+(2*d_eff)*0.130526,(g_oy-eq_c2/2)+(2*d_eff)*-0.965926,0,(eq_a2+eq_c2)+(2*d_eff)*0.258819))</f>
        <v/>
      </c>
      <c r="G27">
        <f>IF(AND(inputs_ok,punch_ok,A_sw&gt;0),IF(circ_int,(g_ox)+(c_1/2+r_out)*-0.970942,CHOOSE(kind_out,(g_ox-eq_c1/2)+(r_out)*-0.991445,(eq_a1+eq_c1)+(r_out)*0.258819,eq_a1+eq_c1+r_out,(eq_a1+eq_c1)+(r_out)*0.965926)),NA())</f>
        <v/>
      </c>
      <c r="H27">
        <f>IF(AND(inputs_ok,punch_ok,A_sw&gt;0),IF(circ_int,(g_oy)+(c_1/2+r_out)*0.239316,CHOOSE(kind_out,(g_oy+eq_c2/2)+(r_out)*0.130526,(g_oy-eq_c2/2)+(r_out)*-0.965926,0,(eq_a2+eq_c2)+(r_out)*0.258819)),NA())</f>
        <v/>
      </c>
      <c r="AW27">
        <f>IF(AND(links_on,1&lt;=n_per),IF(circ_int,(g_ox)+(c_1/2+(s_0+0*s_r))*-0.970942,CHOOSE(INDEX(lk_kind,1),(g_ox-eq_c1/2)+((s_0+0*s_r))*-0.991445,(eq_a1+eq_c1)+((s_0+0*s_r))*0.258819,eq_a1+eq_c1+(s_0+0*s_r),(eq_a1+eq_c1)+((s_0+0*s_r))*0.965926)),NA())</f>
        <v/>
      </c>
      <c r="AX27">
        <f>IF(AND(links_on,1&lt;=n_per),IF(circ_int,(g_oy)+(c_1/2+(s_0+0*s_r))*0.239316,CHOOSE(INDEX(lk_kind,1),(g_oy+eq_c2/2)+((s_0+0*s_r))*0.130526,(g_oy-eq_c2/2)+((s_0+0*s_r))*-0.965926,0,(eq_a2+eq_c2)+((s_0+0*s_r))*0.258819)),NA())</f>
        <v/>
      </c>
      <c r="AZ27">
        <f>IF(AND(AND(links_on,1&lt;=n_per),INDEX(lk_kind,1)=1,24&lt;INDEX(lk_legs,1)),g_ox+IF(((24+0.5)*(4*IF(circ_int,0,eq_c1/2)+4*IF(circ_int,0,eq_c2/2)+2*PI()*(s_0+0*s_r+IF(circ_int,eq_c1/2,0)))/INDEX(lk_legs,1))&lt;(2*IF(circ_int,0,eq_c2/2)),IF(circ_int,0,eq_c1/2)+(s_0+0*s_r+IF(circ_int,eq_c1/2,0)),IF(((24+0.5)*(4*IF(circ_int,0,eq_c1/2)+4*IF(circ_int,0,eq_c2/2)+2*PI()*(s_0+0*s_r+IF(circ_int,eq_c1/2,0)))/INDEX(lk_legs,1))&lt;((2*IF(circ_int,0,eq_c2/2))+(PI()*(s_0+0*s_r+IF(circ_int,eq_c1/2,0))/2)),IF(circ_int,0,eq_c1/2)+(s_0+0*s_r+IF(circ_int,eq_c1/2,0))*COS((((24+0.5)*(4*IF(circ_int,0,eq_c1/2)+4*IF(circ_int,0,eq_c2/2)+2*PI()*(s_0+0*s_r+IF(circ_int,eq_c1/2,0)))/INDEX(lk_legs,1))-(2*IF(circ_int,0,eq_c2/2)))/(s_0+0*s_r+IF(circ_int,eq_c1/2,0))),IF(((24+0.5)*(4*IF(circ_int,0,eq_c1/2)+4*IF(circ_int,0,eq_c2/2)+2*PI()*(s_0+0*s_r+IF(circ_int,eq_c1/2,0)))/INDEX(lk_legs,1))&lt;(((2*IF(circ_int,0,eq_c2/2))+(PI()*(s_0+0*s_r+IF(circ_int,eq_c1/2,0))/2))+2*IF(circ_int,0,eq_c1/2)),IF(circ_int,0,eq_c1/2)-(((24+0.5)*(4*IF(circ_int,0,eq_c1/2)+4*IF(circ_int,0,eq_c2/2)+2*PI()*(s_0+0*s_r+IF(circ_int,eq_c1/2,0)))/INDEX(lk_legs,1))-((2*IF(circ_int,0,eq_c2/2))+(PI()*(s_0+0*s_r+IF(circ_int,eq_c1/2,0))/2))),IF(((24+0.5)*(4*IF(circ_int,0,eq_c1/2)+4*IF(circ_int,0,eq_c2/2)+2*PI()*(s_0+0*s_r+IF(circ_int,eq_c1/2,0)))/INDEX(lk_legs,1))&lt;((((2*IF(circ_int,0,eq_c2/2))+(PI()*(s_0+0*s_r+IF(circ_int,eq_c1/2,0))/2))+2*IF(circ_int,0,eq_c1/2))+(PI()*(s_0+0*s_r+IF(circ_int,eq_c1/2,0))/2)),-IF(circ_int,0,eq_c1/2)+(s_0+0*s_r+IF(circ_int,eq_c1/2,0))*COS(PI()/2+(((24+0.5)*(4*IF(circ_int,0,eq_c1/2)+4*IF(circ_int,0,eq_c2/2)+2*PI()*(s_0+0*s_r+IF(circ_int,eq_c1/2,0)))/INDEX(lk_legs,1))-(((2*IF(circ_int,0,eq_c2/2))+(PI()*(s_0+0*s_r+IF(circ_int,eq_c1/2,0))/2))+2*IF(circ_int,0,eq_c1/2)))/(s_0+0*s_r+IF(circ_int,eq_c1/2,0))),IF(((24+0.5)*(4*IF(circ_int,0,eq_c1/2)+4*IF(circ_int,0,eq_c2/2)+2*PI()*(s_0+0*s_r+IF(circ_int,eq_c1/2,0)))/INDEX(lk_legs,1))&lt;(((((2*IF(circ_int,0,eq_c2/2))+(PI()*(s_0+0*s_r+IF(circ_int,eq_c1/2,0))/2))+2*IF(circ_int,0,eq_c1/2))+(PI()*(s_0+0*s_r+IF(circ_int,eq_c1/2,0))/2))+2*IF(circ_int,0,eq_c2/2)),-IF(circ_int,0,eq_c1/2)-(s_0+0*s_r+IF(circ_int,eq_c1/2,0)),IF(((24+0.5)*(4*IF(circ_int,0,eq_c1/2)+4*IF(circ_int,0,eq_c2/2)+2*PI()*(s_0+0*s_r+IF(circ_int,eq_c1/2,0)))/INDEX(lk_legs,1))&lt;((((((2*IF(circ_int,0,eq_c2/2))+(PI()*(s_0+0*s_r+IF(circ_int,eq_c1/2,0))/2))+2*IF(circ_int,0,eq_c1/2))+(PI()*(s_0+0*s_r+IF(circ_int,eq_c1/2,0))/2))+2*IF(circ_int,0,eq_c2/2))+(PI()*(s_0+0*s_r+IF(circ_int,eq_c1/2,0))/2)),-IF(circ_int,0,eq_c1/2)+(s_0+0*s_r+IF(circ_int,eq_c1/2,0))*COS(PI()+(((24+0.5)*(4*IF(circ_int,0,eq_c1/2)+4*IF(circ_int,0,eq_c2/2)+2*PI()*(s_0+0*s_r+IF(circ_int,eq_c1/2,0)))/INDEX(lk_legs,1))-(((((2*IF(circ_int,0,eq_c2/2))+(PI()*(s_0+0*s_r+IF(circ_int,eq_c1/2,0))/2))+2*IF(circ_int,0,eq_c1/2))+(PI()*(s_0+0*s_r+IF(circ_int,eq_c1/2,0))/2))+2*IF(circ_int,0,eq_c2/2)))/(s_0+0*s_r+IF(circ_int,eq_c1/2,0))),IF(((24+0.5)*(4*IF(circ_int,0,eq_c1/2)+4*IF(circ_int,0,eq_c2/2)+2*PI()*(s_0+0*s_r+IF(circ_int,eq_c1/2,0)))/INDEX(lk_legs,1))&lt;(((((((2*IF(circ_int,0,eq_c2/2))+(PI()*(s_0+0*s_r+IF(circ_int,eq_c1/2,0))/2))+2*IF(circ_int,0,eq_c1/2))+(PI()*(s_0+0*s_r+IF(circ_int,eq_c1/2,0))/2))+2*IF(circ_int,0,eq_c2/2))+(PI()*(s_0+0*s_r+IF(circ_int,eq_c1/2,0))/2))+2*IF(circ_int,0,eq_c1/2)),-IF(circ_int,0,eq_c1/2)+(((24+0.5)*(4*IF(circ_int,0,eq_c1/2)+4*IF(circ_int,0,eq_c2/2)+2*PI()*(s_0+0*s_r+IF(circ_int,eq_c1/2,0)))/INDEX(lk_legs,1))-((((((2*IF(circ_int,0,eq_c2/2))+(PI()*(s_0+0*s_r+IF(circ_int,eq_c1/2,0))/2))+2*IF(circ_int,0,eq_c1/2))+(PI()*(s_0+0*s_r+IF(circ_int,eq_c1/2,0))/2))+2*IF(circ_int,0,eq_c2/2))+(PI()*(s_0+0*s_r+IF(circ_int,eq_c1/2,0))/2))),IF(circ_int,0,eq_c1/2)+(s_0+0*s_r+IF(circ_int,eq_c1/2,0))*COS(3*PI()/2+(((24+0.5)*(4*IF(circ_int,0,eq_c1/2)+4*IF(circ_int,0,eq_c2/2)+2*PI()*(s_0+0*s_r+IF(circ_int,eq_c1/2,0)))/INDEX(lk_legs,1))-(((((((2*IF(circ_int,0,eq_c2/2))+(PI()*(s_0+0*s_r+IF(circ_int,eq_c1/2,0))/2))+2*IF(circ_int,0,eq_c1/2))+(PI()*(s_0+0*s_r+IF(circ_int,eq_c1/2,0))/2))+2*IF(circ_int,0,eq_c2/2))+(PI()*(s_0+0*s_r+IF(circ_int,eq_c1/2,0))/2))+2*IF(circ_int,0,eq_c1/2)))/(s_0+0*s_r+IF(circ_int,eq_c1/2,0)))))))))),NA())</f>
        <v/>
      </c>
      <c r="BA27">
        <f>IF(AND(AND(links_on,1&lt;=n_per),INDEX(lk_kind,1)=1,24&lt;INDEX(lk_legs,1)),g_oy+IF(((24+0.5)*(4*IF(circ_int,0,eq_c1/2)+4*IF(circ_int,0,eq_c2/2)+2*PI()*(s_0+0*s_r+IF(circ_int,eq_c1/2,0)))/INDEX(lk_legs,1))&lt;(2*IF(circ_int,0,eq_c2/2)),-IF(circ_int,0,eq_c2/2)+((24+0.5)*(4*IF(circ_int,0,eq_c1/2)+4*IF(circ_int,0,eq_c2/2)+2*PI()*(s_0+0*s_r+IF(circ_int,eq_c1/2,0)))/INDEX(lk_legs,1)),IF(((24+0.5)*(4*IF(circ_int,0,eq_c1/2)+4*IF(circ_int,0,eq_c2/2)+2*PI()*(s_0+0*s_r+IF(circ_int,eq_c1/2,0)))/INDEX(lk_legs,1))&lt;((2*IF(circ_int,0,eq_c2/2))+(PI()*(s_0+0*s_r+IF(circ_int,eq_c1/2,0))/2)),IF(circ_int,0,eq_c2/2)+(s_0+0*s_r+IF(circ_int,eq_c1/2,0))*SIN((((24+0.5)*(4*IF(circ_int,0,eq_c1/2)+4*IF(circ_int,0,eq_c2/2)+2*PI()*(s_0+0*s_r+IF(circ_int,eq_c1/2,0)))/INDEX(lk_legs,1))-(2*IF(circ_int,0,eq_c2/2)))/(s_0+0*s_r+IF(circ_int,eq_c1/2,0))),IF(((24+0.5)*(4*IF(circ_int,0,eq_c1/2)+4*IF(circ_int,0,eq_c2/2)+2*PI()*(s_0+0*s_r+IF(circ_int,eq_c1/2,0)))/INDEX(lk_legs,1))&lt;(((2*IF(circ_int,0,eq_c2/2))+(PI()*(s_0+0*s_r+IF(circ_int,eq_c1/2,0))/2))+2*IF(circ_int,0,eq_c1/2)),IF(circ_int,0,eq_c2/2)+(s_0+0*s_r+IF(circ_int,eq_c1/2,0)),IF(((24+0.5)*(4*IF(circ_int,0,eq_c1/2)+4*IF(circ_int,0,eq_c2/2)+2*PI()*(s_0+0*s_r+IF(circ_int,eq_c1/2,0)))/INDEX(lk_legs,1))&lt;((((2*IF(circ_int,0,eq_c2/2))+(PI()*(s_0+0*s_r+IF(circ_int,eq_c1/2,0))/2))+2*IF(circ_int,0,eq_c1/2))+(PI()*(s_0+0*s_r+IF(circ_int,eq_c1/2,0))/2)),IF(circ_int,0,eq_c2/2)+(s_0+0*s_r+IF(circ_int,eq_c1/2,0))*SIN(PI()/2+(((24+0.5)*(4*IF(circ_int,0,eq_c1/2)+4*IF(circ_int,0,eq_c2/2)+2*PI()*(s_0+0*s_r+IF(circ_int,eq_c1/2,0)))/INDEX(lk_legs,1))-(((2*IF(circ_int,0,eq_c2/2))+(PI()*(s_0+0*s_r+IF(circ_int,eq_c1/2,0))/2))+2*IF(circ_int,0,eq_c1/2)))/(s_0+0*s_r+IF(circ_int,eq_c1/2,0))),IF(((24+0.5)*(4*IF(circ_int,0,eq_c1/2)+4*IF(circ_int,0,eq_c2/2)+2*PI()*(s_0+0*s_r+IF(circ_int,eq_c1/2,0)))/INDEX(lk_legs,1))&lt;(((((2*IF(circ_int,0,eq_c2/2))+(PI()*(s_0+0*s_r+IF(circ_int,eq_c1/2,0))/2))+2*IF(circ_int,0,eq_c1/2))+(PI()*(s_0+0*s_r+IF(circ_int,eq_c1/2,0))/2))+2*IF(circ_int,0,eq_c2/2)),IF(circ_int,0,eq_c2/2)-(((24+0.5)*(4*IF(circ_int,0,eq_c1/2)+4*IF(circ_int,0,eq_c2/2)+2*PI()*(s_0+0*s_r+IF(circ_int,eq_c1/2,0)))/INDEX(lk_legs,1))-((((2*IF(circ_int,0,eq_c2/2))+(PI()*(s_0+0*s_r+IF(circ_int,eq_c1/2,0))/2))+2*IF(circ_int,0,eq_c1/2))+(PI()*(s_0+0*s_r+IF(circ_int,eq_c1/2,0))/2))),IF(((24+0.5)*(4*IF(circ_int,0,eq_c1/2)+4*IF(circ_int,0,eq_c2/2)+2*PI()*(s_0+0*s_r+IF(circ_int,eq_c1/2,0)))/INDEX(lk_legs,1))&lt;((((((2*IF(circ_int,0,eq_c2/2))+(PI()*(s_0+0*s_r+IF(circ_int,eq_c1/2,0))/2))+2*IF(circ_int,0,eq_c1/2))+(PI()*(s_0+0*s_r+IF(circ_int,eq_c1/2,0))/2))+2*IF(circ_int,0,eq_c2/2))+(PI()*(s_0+0*s_r+IF(circ_int,eq_c1/2,0))/2)),-IF(circ_int,0,eq_c2/2)+(s_0+0*s_r+IF(circ_int,eq_c1/2,0))*SIN(PI()+(((24+0.5)*(4*IF(circ_int,0,eq_c1/2)+4*IF(circ_int,0,eq_c2/2)+2*PI()*(s_0+0*s_r+IF(circ_int,eq_c1/2,0)))/INDEX(lk_legs,1))-(((((2*IF(circ_int,0,eq_c2/2))+(PI()*(s_0+0*s_r+IF(circ_int,eq_c1/2,0))/2))+2*IF(circ_int,0,eq_c1/2))+(PI()*(s_0+0*s_r+IF(circ_int,eq_c1/2,0))/2))+2*IF(circ_int,0,eq_c2/2)))/(s_0+0*s_r+IF(circ_int,eq_c1/2,0))),IF(((24+0.5)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(24+0.5)*(4*IF(circ_int,0,eq_c1/2)+4*IF(circ_int,0,eq_c2/2)+2*PI()*(s_0+0*s_r+IF(circ_int,eq_c1/2,0)))/INDEX(lk_legs,1))-(((((((2*IF(circ_int,0,eq_c2/2))+(PI()*(s_0+0*s_r+IF(circ_int,eq_c1/2,0))/2))+2*IF(circ_int,0,eq_c1/2))+(PI()*(s_0+0*s_r+IF(circ_int,eq_c1/2,0))/2))+2*IF(circ_int,0,eq_c2/2))+(PI()*(s_0+0*s_r+IF(circ_int,eq_c1/2,0))/2))+2*IF(circ_int,0,eq_c1/2)))/(s_0+0*s_r+IF(circ_int,eq_c1/2,0)))))))))),NA())</f>
        <v/>
      </c>
      <c r="BC27">
        <f>IF(AND(links_on,2&lt;=n_per),IF(circ_int,(g_ox)+(c_1/2+(s_0+1*s_r))*-0.970942,CHOOSE(INDEX(lk_kind,2),(g_ox-eq_c1/2)+((s_0+1*s_r))*-0.991445,(eq_a1+eq_c1)+((s_0+1*s_r))*0.258819,eq_a1+eq_c1+(s_0+1*s_r),(eq_a1+eq_c1)+((s_0+1*s_r))*0.965926)),NA())</f>
        <v/>
      </c>
      <c r="BD27">
        <f>IF(AND(links_on,2&lt;=n_per),IF(circ_int,(g_oy)+(c_1/2+(s_0+1*s_r))*0.239316,CHOOSE(INDEX(lk_kind,2),(g_oy+eq_c2/2)+((s_0+1*s_r))*0.130526,(g_oy-eq_c2/2)+((s_0+1*s_r))*-0.965926,0,(eq_a2+eq_c2)+((s_0+1*s_r))*0.258819)),NA())</f>
        <v/>
      </c>
      <c r="BF27">
        <f>IF(AND(AND(links_on,2&lt;=n_per),INDEX(lk_kind,2)=1,24&lt;INDEX(lk_legs,2)),g_ox+IF(((24+0.5)*(4*IF(circ_int,0,eq_c1/2)+4*IF(circ_int,0,eq_c2/2)+2*PI()*(s_0+1*s_r+IF(circ_int,eq_c1/2,0)))/INDEX(lk_legs,2))&lt;(2*IF(circ_int,0,eq_c2/2)),IF(circ_int,0,eq_c1/2)+(s_0+1*s_r+IF(circ_int,eq_c1/2,0)),IF(((24+0.5)*(4*IF(circ_int,0,eq_c1/2)+4*IF(circ_int,0,eq_c2/2)+2*PI()*(s_0+1*s_r+IF(circ_int,eq_c1/2,0)))/INDEX(lk_legs,2))&lt;((2*IF(circ_int,0,eq_c2/2))+(PI()*(s_0+1*s_r+IF(circ_int,eq_c1/2,0))/2)),IF(circ_int,0,eq_c1/2)+(s_0+1*s_r+IF(circ_int,eq_c1/2,0))*COS((((24+0.5)*(4*IF(circ_int,0,eq_c1/2)+4*IF(circ_int,0,eq_c2/2)+2*PI()*(s_0+1*s_r+IF(circ_int,eq_c1/2,0)))/INDEX(lk_legs,2))-(2*IF(circ_int,0,eq_c2/2)))/(s_0+1*s_r+IF(circ_int,eq_c1/2,0))),IF(((24+0.5)*(4*IF(circ_int,0,eq_c1/2)+4*IF(circ_int,0,eq_c2/2)+2*PI()*(s_0+1*s_r+IF(circ_int,eq_c1/2,0)))/INDEX(lk_legs,2))&lt;(((2*IF(circ_int,0,eq_c2/2))+(PI()*(s_0+1*s_r+IF(circ_int,eq_c1/2,0))/2))+2*IF(circ_int,0,eq_c1/2)),IF(circ_int,0,eq_c1/2)-(((24+0.5)*(4*IF(circ_int,0,eq_c1/2)+4*IF(circ_int,0,eq_c2/2)+2*PI()*(s_0+1*s_r+IF(circ_int,eq_c1/2,0)))/INDEX(lk_legs,2))-((2*IF(circ_int,0,eq_c2/2))+(PI()*(s_0+1*s_r+IF(circ_int,eq_c1/2,0))/2))),IF(((24+0.5)*(4*IF(circ_int,0,eq_c1/2)+4*IF(circ_int,0,eq_c2/2)+2*PI()*(s_0+1*s_r+IF(circ_int,eq_c1/2,0)))/INDEX(lk_legs,2))&lt;((((2*IF(circ_int,0,eq_c2/2))+(PI()*(s_0+1*s_r+IF(circ_int,eq_c1/2,0))/2))+2*IF(circ_int,0,eq_c1/2))+(PI()*(s_0+1*s_r+IF(circ_int,eq_c1/2,0))/2)),-IF(circ_int,0,eq_c1/2)+(s_0+1*s_r+IF(circ_int,eq_c1/2,0))*COS(PI()/2+(((24+0.5)*(4*IF(circ_int,0,eq_c1/2)+4*IF(circ_int,0,eq_c2/2)+2*PI()*(s_0+1*s_r+IF(circ_int,eq_c1/2,0)))/INDEX(lk_legs,2))-(((2*IF(circ_int,0,eq_c2/2))+(PI()*(s_0+1*s_r+IF(circ_int,eq_c1/2,0))/2))+2*IF(circ_int,0,eq_c1/2)))/(s_0+1*s_r+IF(circ_int,eq_c1/2,0))),IF(((24+0.5)*(4*IF(circ_int,0,eq_c1/2)+4*IF(circ_int,0,eq_c2/2)+2*PI()*(s_0+1*s_r+IF(circ_int,eq_c1/2,0)))/INDEX(lk_legs,2))&lt;(((((2*IF(circ_int,0,eq_c2/2))+(PI()*(s_0+1*s_r+IF(circ_int,eq_c1/2,0))/2))+2*IF(circ_int,0,eq_c1/2))+(PI()*(s_0+1*s_r+IF(circ_int,eq_c1/2,0))/2))+2*IF(circ_int,0,eq_c2/2)),-IF(circ_int,0,eq_c1/2)-(s_0+1*s_r+IF(circ_int,eq_c1/2,0)),IF(((24+0.5)*(4*IF(circ_int,0,eq_c1/2)+4*IF(circ_int,0,eq_c2/2)+2*PI()*(s_0+1*s_r+IF(circ_int,eq_c1/2,0)))/INDEX(lk_legs,2))&lt;((((((2*IF(circ_int,0,eq_c2/2))+(PI()*(s_0+1*s_r+IF(circ_int,eq_c1/2,0))/2))+2*IF(circ_int,0,eq_c1/2))+(PI()*(s_0+1*s_r+IF(circ_int,eq_c1/2,0))/2))+2*IF(circ_int,0,eq_c2/2))+(PI()*(s_0+1*s_r+IF(circ_int,eq_c1/2,0))/2)),-IF(circ_int,0,eq_c1/2)+(s_0+1*s_r+IF(circ_int,eq_c1/2,0))*COS(PI()+(((24+0.5)*(4*IF(circ_int,0,eq_c1/2)+4*IF(circ_int,0,eq_c2/2)+2*PI()*(s_0+1*s_r+IF(circ_int,eq_c1/2,0)))/INDEX(lk_legs,2))-(((((2*IF(circ_int,0,eq_c2/2))+(PI()*(s_0+1*s_r+IF(circ_int,eq_c1/2,0))/2))+2*IF(circ_int,0,eq_c1/2))+(PI()*(s_0+1*s_r+IF(circ_int,eq_c1/2,0))/2))+2*IF(circ_int,0,eq_c2/2)))/(s_0+1*s_r+IF(circ_int,eq_c1/2,0))),IF(((24+0.5)*(4*IF(circ_int,0,eq_c1/2)+4*IF(circ_int,0,eq_c2/2)+2*PI()*(s_0+1*s_r+IF(circ_int,eq_c1/2,0)))/INDEX(lk_legs,2))&lt;(((((((2*IF(circ_int,0,eq_c2/2))+(PI()*(s_0+1*s_r+IF(circ_int,eq_c1/2,0))/2))+2*IF(circ_int,0,eq_c1/2))+(PI()*(s_0+1*s_r+IF(circ_int,eq_c1/2,0))/2))+2*IF(circ_int,0,eq_c2/2))+(PI()*(s_0+1*s_r+IF(circ_int,eq_c1/2,0))/2))+2*IF(circ_int,0,eq_c1/2)),-IF(circ_int,0,eq_c1/2)+(((24+0.5)*(4*IF(circ_int,0,eq_c1/2)+4*IF(circ_int,0,eq_c2/2)+2*PI()*(s_0+1*s_r+IF(circ_int,eq_c1/2,0)))/INDEX(lk_legs,2))-((((((2*IF(circ_int,0,eq_c2/2))+(PI()*(s_0+1*s_r+IF(circ_int,eq_c1/2,0))/2))+2*IF(circ_int,0,eq_c1/2))+(PI()*(s_0+1*s_r+IF(circ_int,eq_c1/2,0))/2))+2*IF(circ_int,0,eq_c2/2))+(PI()*(s_0+1*s_r+IF(circ_int,eq_c1/2,0))/2))),IF(circ_int,0,eq_c1/2)+(s_0+1*s_r+IF(circ_int,eq_c1/2,0))*COS(3*PI()/2+(((24+0.5)*(4*IF(circ_int,0,eq_c1/2)+4*IF(circ_int,0,eq_c2/2)+2*PI()*(s_0+1*s_r+IF(circ_int,eq_c1/2,0)))/INDEX(lk_legs,2))-(((((((2*IF(circ_int,0,eq_c2/2))+(PI()*(s_0+1*s_r+IF(circ_int,eq_c1/2,0))/2))+2*IF(circ_int,0,eq_c1/2))+(PI()*(s_0+1*s_r+IF(circ_int,eq_c1/2,0))/2))+2*IF(circ_int,0,eq_c2/2))+(PI()*(s_0+1*s_r+IF(circ_int,eq_c1/2,0))/2))+2*IF(circ_int,0,eq_c1/2)))/(s_0+1*s_r+IF(circ_int,eq_c1/2,0)))))))))),NA())</f>
        <v/>
      </c>
      <c r="BG27">
        <f>IF(AND(AND(links_on,2&lt;=n_per),INDEX(lk_kind,2)=1,24&lt;INDEX(lk_legs,2)),g_oy+IF(((24+0.5)*(4*IF(circ_int,0,eq_c1/2)+4*IF(circ_int,0,eq_c2/2)+2*PI()*(s_0+1*s_r+IF(circ_int,eq_c1/2,0)))/INDEX(lk_legs,2))&lt;(2*IF(circ_int,0,eq_c2/2)),-IF(circ_int,0,eq_c2/2)+((24+0.5)*(4*IF(circ_int,0,eq_c1/2)+4*IF(circ_int,0,eq_c2/2)+2*PI()*(s_0+1*s_r+IF(circ_int,eq_c1/2,0)))/INDEX(lk_legs,2)),IF(((24+0.5)*(4*IF(circ_int,0,eq_c1/2)+4*IF(circ_int,0,eq_c2/2)+2*PI()*(s_0+1*s_r+IF(circ_int,eq_c1/2,0)))/INDEX(lk_legs,2))&lt;((2*IF(circ_int,0,eq_c2/2))+(PI()*(s_0+1*s_r+IF(circ_int,eq_c1/2,0))/2)),IF(circ_int,0,eq_c2/2)+(s_0+1*s_r+IF(circ_int,eq_c1/2,0))*SIN((((24+0.5)*(4*IF(circ_int,0,eq_c1/2)+4*IF(circ_int,0,eq_c2/2)+2*PI()*(s_0+1*s_r+IF(circ_int,eq_c1/2,0)))/INDEX(lk_legs,2))-(2*IF(circ_int,0,eq_c2/2)))/(s_0+1*s_r+IF(circ_int,eq_c1/2,0))),IF(((24+0.5)*(4*IF(circ_int,0,eq_c1/2)+4*IF(circ_int,0,eq_c2/2)+2*PI()*(s_0+1*s_r+IF(circ_int,eq_c1/2,0)))/INDEX(lk_legs,2))&lt;(((2*IF(circ_int,0,eq_c2/2))+(PI()*(s_0+1*s_r+IF(circ_int,eq_c1/2,0))/2))+2*IF(circ_int,0,eq_c1/2)),IF(circ_int,0,eq_c2/2)+(s_0+1*s_r+IF(circ_int,eq_c1/2,0)),IF(((24+0.5)*(4*IF(circ_int,0,eq_c1/2)+4*IF(circ_int,0,eq_c2/2)+2*PI()*(s_0+1*s_r+IF(circ_int,eq_c1/2,0)))/INDEX(lk_legs,2))&lt;((((2*IF(circ_int,0,eq_c2/2))+(PI()*(s_0+1*s_r+IF(circ_int,eq_c1/2,0))/2))+2*IF(circ_int,0,eq_c1/2))+(PI()*(s_0+1*s_r+IF(circ_int,eq_c1/2,0))/2)),IF(circ_int,0,eq_c2/2)+(s_0+1*s_r+IF(circ_int,eq_c1/2,0))*SIN(PI()/2+(((24+0.5)*(4*IF(circ_int,0,eq_c1/2)+4*IF(circ_int,0,eq_c2/2)+2*PI()*(s_0+1*s_r+IF(circ_int,eq_c1/2,0)))/INDEX(lk_legs,2))-(((2*IF(circ_int,0,eq_c2/2))+(PI()*(s_0+1*s_r+IF(circ_int,eq_c1/2,0))/2))+2*IF(circ_int,0,eq_c1/2)))/(s_0+1*s_r+IF(circ_int,eq_c1/2,0))),IF(((24+0.5)*(4*IF(circ_int,0,eq_c1/2)+4*IF(circ_int,0,eq_c2/2)+2*PI()*(s_0+1*s_r+IF(circ_int,eq_c1/2,0)))/INDEX(lk_legs,2))&lt;(((((2*IF(circ_int,0,eq_c2/2))+(PI()*(s_0+1*s_r+IF(circ_int,eq_c1/2,0))/2))+2*IF(circ_int,0,eq_c1/2))+(PI()*(s_0+1*s_r+IF(circ_int,eq_c1/2,0))/2))+2*IF(circ_int,0,eq_c2/2)),IF(circ_int,0,eq_c2/2)-(((24+0.5)*(4*IF(circ_int,0,eq_c1/2)+4*IF(circ_int,0,eq_c2/2)+2*PI()*(s_0+1*s_r+IF(circ_int,eq_c1/2,0)))/INDEX(lk_legs,2))-((((2*IF(circ_int,0,eq_c2/2))+(PI()*(s_0+1*s_r+IF(circ_int,eq_c1/2,0))/2))+2*IF(circ_int,0,eq_c1/2))+(PI()*(s_0+1*s_r+IF(circ_int,eq_c1/2,0))/2))),IF(((24+0.5)*(4*IF(circ_int,0,eq_c1/2)+4*IF(circ_int,0,eq_c2/2)+2*PI()*(s_0+1*s_r+IF(circ_int,eq_c1/2,0)))/INDEX(lk_legs,2))&lt;((((((2*IF(circ_int,0,eq_c2/2))+(PI()*(s_0+1*s_r+IF(circ_int,eq_c1/2,0))/2))+2*IF(circ_int,0,eq_c1/2))+(PI()*(s_0+1*s_r+IF(circ_int,eq_c1/2,0))/2))+2*IF(circ_int,0,eq_c2/2))+(PI()*(s_0+1*s_r+IF(circ_int,eq_c1/2,0))/2)),-IF(circ_int,0,eq_c2/2)+(s_0+1*s_r+IF(circ_int,eq_c1/2,0))*SIN(PI()+(((24+0.5)*(4*IF(circ_int,0,eq_c1/2)+4*IF(circ_int,0,eq_c2/2)+2*PI()*(s_0+1*s_r+IF(circ_int,eq_c1/2,0)))/INDEX(lk_legs,2))-(((((2*IF(circ_int,0,eq_c2/2))+(PI()*(s_0+1*s_r+IF(circ_int,eq_c1/2,0))/2))+2*IF(circ_int,0,eq_c1/2))+(PI()*(s_0+1*s_r+IF(circ_int,eq_c1/2,0))/2))+2*IF(circ_int,0,eq_c2/2)))/(s_0+1*s_r+IF(circ_int,eq_c1/2,0))),IF(((24+0.5)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(24+0.5)*(4*IF(circ_int,0,eq_c1/2)+4*IF(circ_int,0,eq_c2/2)+2*PI()*(s_0+1*s_r+IF(circ_int,eq_c1/2,0)))/INDEX(lk_legs,2))-(((((((2*IF(circ_int,0,eq_c2/2))+(PI()*(s_0+1*s_r+IF(circ_int,eq_c1/2,0))/2))+2*IF(circ_int,0,eq_c1/2))+(PI()*(s_0+1*s_r+IF(circ_int,eq_c1/2,0))/2))+2*IF(circ_int,0,eq_c2/2))+(PI()*(s_0+1*s_r+IF(circ_int,eq_c1/2,0))/2))+2*IF(circ_int,0,eq_c1/2)))/(s_0+1*s_r+IF(circ_int,eq_c1/2,0)))))))))),NA())</f>
        <v/>
      </c>
      <c r="BI27">
        <f>IF(AND(links_on,3&lt;=n_per),IF(circ_int,(g_ox)+(c_1/2+(s_0+2*s_r))*-0.970942,CHOOSE(INDEX(lk_kind,3),(g_ox-eq_c1/2)+((s_0+2*s_r))*-0.991445,(eq_a1+eq_c1)+((s_0+2*s_r))*0.258819,eq_a1+eq_c1+(s_0+2*s_r),(eq_a1+eq_c1)+((s_0+2*s_r))*0.965926)),NA())</f>
        <v/>
      </c>
      <c r="BJ27">
        <f>IF(AND(links_on,3&lt;=n_per),IF(circ_int,(g_oy)+(c_1/2+(s_0+2*s_r))*0.239316,CHOOSE(INDEX(lk_kind,3),(g_oy+eq_c2/2)+((s_0+2*s_r))*0.130526,(g_oy-eq_c2/2)+((s_0+2*s_r))*-0.965926,0,(eq_a2+eq_c2)+((s_0+2*s_r))*0.258819)),NA())</f>
        <v/>
      </c>
      <c r="BL27">
        <f>IF(AND(AND(links_on,3&lt;=n_per),INDEX(lk_kind,3)=1,24&lt;INDEX(lk_legs,3)),g_ox+IF(((24+0.5)*(4*IF(circ_int,0,eq_c1/2)+4*IF(circ_int,0,eq_c2/2)+2*PI()*(s_0+2*s_r+IF(circ_int,eq_c1/2,0)))/INDEX(lk_legs,3))&lt;(2*IF(circ_int,0,eq_c2/2)),IF(circ_int,0,eq_c1/2)+(s_0+2*s_r+IF(circ_int,eq_c1/2,0)),IF(((24+0.5)*(4*IF(circ_int,0,eq_c1/2)+4*IF(circ_int,0,eq_c2/2)+2*PI()*(s_0+2*s_r+IF(circ_int,eq_c1/2,0)))/INDEX(lk_legs,3))&lt;((2*IF(circ_int,0,eq_c2/2))+(PI()*(s_0+2*s_r+IF(circ_int,eq_c1/2,0))/2)),IF(circ_int,0,eq_c1/2)+(s_0+2*s_r+IF(circ_int,eq_c1/2,0))*COS((((24+0.5)*(4*IF(circ_int,0,eq_c1/2)+4*IF(circ_int,0,eq_c2/2)+2*PI()*(s_0+2*s_r+IF(circ_int,eq_c1/2,0)))/INDEX(lk_legs,3))-(2*IF(circ_int,0,eq_c2/2)))/(s_0+2*s_r+IF(circ_int,eq_c1/2,0))),IF(((24+0.5)*(4*IF(circ_int,0,eq_c1/2)+4*IF(circ_int,0,eq_c2/2)+2*PI()*(s_0+2*s_r+IF(circ_int,eq_c1/2,0)))/INDEX(lk_legs,3))&lt;(((2*IF(circ_int,0,eq_c2/2))+(PI()*(s_0+2*s_r+IF(circ_int,eq_c1/2,0))/2))+2*IF(circ_int,0,eq_c1/2)),IF(circ_int,0,eq_c1/2)-(((24+0.5)*(4*IF(circ_int,0,eq_c1/2)+4*IF(circ_int,0,eq_c2/2)+2*PI()*(s_0+2*s_r+IF(circ_int,eq_c1/2,0)))/INDEX(lk_legs,3))-((2*IF(circ_int,0,eq_c2/2))+(PI()*(s_0+2*s_r+IF(circ_int,eq_c1/2,0))/2))),IF(((24+0.5)*(4*IF(circ_int,0,eq_c1/2)+4*IF(circ_int,0,eq_c2/2)+2*PI()*(s_0+2*s_r+IF(circ_int,eq_c1/2,0)))/INDEX(lk_legs,3))&lt;((((2*IF(circ_int,0,eq_c2/2))+(PI()*(s_0+2*s_r+IF(circ_int,eq_c1/2,0))/2))+2*IF(circ_int,0,eq_c1/2))+(PI()*(s_0+2*s_r+IF(circ_int,eq_c1/2,0))/2)),-IF(circ_int,0,eq_c1/2)+(s_0+2*s_r+IF(circ_int,eq_c1/2,0))*COS(PI()/2+(((24+0.5)*(4*IF(circ_int,0,eq_c1/2)+4*IF(circ_int,0,eq_c2/2)+2*PI()*(s_0+2*s_r+IF(circ_int,eq_c1/2,0)))/INDEX(lk_legs,3))-(((2*IF(circ_int,0,eq_c2/2))+(PI()*(s_0+2*s_r+IF(circ_int,eq_c1/2,0))/2))+2*IF(circ_int,0,eq_c1/2)))/(s_0+2*s_r+IF(circ_int,eq_c1/2,0))),IF(((24+0.5)*(4*IF(circ_int,0,eq_c1/2)+4*IF(circ_int,0,eq_c2/2)+2*PI()*(s_0+2*s_r+IF(circ_int,eq_c1/2,0)))/INDEX(lk_legs,3))&lt;(((((2*IF(circ_int,0,eq_c2/2))+(PI()*(s_0+2*s_r+IF(circ_int,eq_c1/2,0))/2))+2*IF(circ_int,0,eq_c1/2))+(PI()*(s_0+2*s_r+IF(circ_int,eq_c1/2,0))/2))+2*IF(circ_int,0,eq_c2/2)),-IF(circ_int,0,eq_c1/2)-(s_0+2*s_r+IF(circ_int,eq_c1/2,0)),IF(((24+0.5)*(4*IF(circ_int,0,eq_c1/2)+4*IF(circ_int,0,eq_c2/2)+2*PI()*(s_0+2*s_r+IF(circ_int,eq_c1/2,0)))/INDEX(lk_legs,3))&lt;((((((2*IF(circ_int,0,eq_c2/2))+(PI()*(s_0+2*s_r+IF(circ_int,eq_c1/2,0))/2))+2*IF(circ_int,0,eq_c1/2))+(PI()*(s_0+2*s_r+IF(circ_int,eq_c1/2,0))/2))+2*IF(circ_int,0,eq_c2/2))+(PI()*(s_0+2*s_r+IF(circ_int,eq_c1/2,0))/2)),-IF(circ_int,0,eq_c1/2)+(s_0+2*s_r+IF(circ_int,eq_c1/2,0))*COS(PI()+(((24+0.5)*(4*IF(circ_int,0,eq_c1/2)+4*IF(circ_int,0,eq_c2/2)+2*PI()*(s_0+2*s_r+IF(circ_int,eq_c1/2,0)))/INDEX(lk_legs,3))-(((((2*IF(circ_int,0,eq_c2/2))+(PI()*(s_0+2*s_r+IF(circ_int,eq_c1/2,0))/2))+2*IF(circ_int,0,eq_c1/2))+(PI()*(s_0+2*s_r+IF(circ_int,eq_c1/2,0))/2))+2*IF(circ_int,0,eq_c2/2)))/(s_0+2*s_r+IF(circ_int,eq_c1/2,0))),IF(((24+0.5)*(4*IF(circ_int,0,eq_c1/2)+4*IF(circ_int,0,eq_c2/2)+2*PI()*(s_0+2*s_r+IF(circ_int,eq_c1/2,0)))/INDEX(lk_legs,3))&lt;(((((((2*IF(circ_int,0,eq_c2/2))+(PI()*(s_0+2*s_r+IF(circ_int,eq_c1/2,0))/2))+2*IF(circ_int,0,eq_c1/2))+(PI()*(s_0+2*s_r+IF(circ_int,eq_c1/2,0))/2))+2*IF(circ_int,0,eq_c2/2))+(PI()*(s_0+2*s_r+IF(circ_int,eq_c1/2,0))/2))+2*IF(circ_int,0,eq_c1/2)),-IF(circ_int,0,eq_c1/2)+(((24+0.5)*(4*IF(circ_int,0,eq_c1/2)+4*IF(circ_int,0,eq_c2/2)+2*PI()*(s_0+2*s_r+IF(circ_int,eq_c1/2,0)))/INDEX(lk_legs,3))-((((((2*IF(circ_int,0,eq_c2/2))+(PI()*(s_0+2*s_r+IF(circ_int,eq_c1/2,0))/2))+2*IF(circ_int,0,eq_c1/2))+(PI()*(s_0+2*s_r+IF(circ_int,eq_c1/2,0))/2))+2*IF(circ_int,0,eq_c2/2))+(PI()*(s_0+2*s_r+IF(circ_int,eq_c1/2,0))/2))),IF(circ_int,0,eq_c1/2)+(s_0+2*s_r+IF(circ_int,eq_c1/2,0))*COS(3*PI()/2+(((24+0.5)*(4*IF(circ_int,0,eq_c1/2)+4*IF(circ_int,0,eq_c2/2)+2*PI()*(s_0+2*s_r+IF(circ_int,eq_c1/2,0)))/INDEX(lk_legs,3))-(((((((2*IF(circ_int,0,eq_c2/2))+(PI()*(s_0+2*s_r+IF(circ_int,eq_c1/2,0))/2))+2*IF(circ_int,0,eq_c1/2))+(PI()*(s_0+2*s_r+IF(circ_int,eq_c1/2,0))/2))+2*IF(circ_int,0,eq_c2/2))+(PI()*(s_0+2*s_r+IF(circ_int,eq_c1/2,0))/2))+2*IF(circ_int,0,eq_c1/2)))/(s_0+2*s_r+IF(circ_int,eq_c1/2,0)))))))))),NA())</f>
        <v/>
      </c>
      <c r="BM27">
        <f>IF(AND(AND(links_on,3&lt;=n_per),INDEX(lk_kind,3)=1,24&lt;INDEX(lk_legs,3)),g_oy+IF(((24+0.5)*(4*IF(circ_int,0,eq_c1/2)+4*IF(circ_int,0,eq_c2/2)+2*PI()*(s_0+2*s_r+IF(circ_int,eq_c1/2,0)))/INDEX(lk_legs,3))&lt;(2*IF(circ_int,0,eq_c2/2)),-IF(circ_int,0,eq_c2/2)+((24+0.5)*(4*IF(circ_int,0,eq_c1/2)+4*IF(circ_int,0,eq_c2/2)+2*PI()*(s_0+2*s_r+IF(circ_int,eq_c1/2,0)))/INDEX(lk_legs,3)),IF(((24+0.5)*(4*IF(circ_int,0,eq_c1/2)+4*IF(circ_int,0,eq_c2/2)+2*PI()*(s_0+2*s_r+IF(circ_int,eq_c1/2,0)))/INDEX(lk_legs,3))&lt;((2*IF(circ_int,0,eq_c2/2))+(PI()*(s_0+2*s_r+IF(circ_int,eq_c1/2,0))/2)),IF(circ_int,0,eq_c2/2)+(s_0+2*s_r+IF(circ_int,eq_c1/2,0))*SIN((((24+0.5)*(4*IF(circ_int,0,eq_c1/2)+4*IF(circ_int,0,eq_c2/2)+2*PI()*(s_0+2*s_r+IF(circ_int,eq_c1/2,0)))/INDEX(lk_legs,3))-(2*IF(circ_int,0,eq_c2/2)))/(s_0+2*s_r+IF(circ_int,eq_c1/2,0))),IF(((24+0.5)*(4*IF(circ_int,0,eq_c1/2)+4*IF(circ_int,0,eq_c2/2)+2*PI()*(s_0+2*s_r+IF(circ_int,eq_c1/2,0)))/INDEX(lk_legs,3))&lt;(((2*IF(circ_int,0,eq_c2/2))+(PI()*(s_0+2*s_r+IF(circ_int,eq_c1/2,0))/2))+2*IF(circ_int,0,eq_c1/2)),IF(circ_int,0,eq_c2/2)+(s_0+2*s_r+IF(circ_int,eq_c1/2,0)),IF(((24+0.5)*(4*IF(circ_int,0,eq_c1/2)+4*IF(circ_int,0,eq_c2/2)+2*PI()*(s_0+2*s_r+IF(circ_int,eq_c1/2,0)))/INDEX(lk_legs,3))&lt;((((2*IF(circ_int,0,eq_c2/2))+(PI()*(s_0+2*s_r+IF(circ_int,eq_c1/2,0))/2))+2*IF(circ_int,0,eq_c1/2))+(PI()*(s_0+2*s_r+IF(circ_int,eq_c1/2,0))/2)),IF(circ_int,0,eq_c2/2)+(s_0+2*s_r+IF(circ_int,eq_c1/2,0))*SIN(PI()/2+(((24+0.5)*(4*IF(circ_int,0,eq_c1/2)+4*IF(circ_int,0,eq_c2/2)+2*PI()*(s_0+2*s_r+IF(circ_int,eq_c1/2,0)))/INDEX(lk_legs,3))-(((2*IF(circ_int,0,eq_c2/2))+(PI()*(s_0+2*s_r+IF(circ_int,eq_c1/2,0))/2))+2*IF(circ_int,0,eq_c1/2)))/(s_0+2*s_r+IF(circ_int,eq_c1/2,0))),IF(((24+0.5)*(4*IF(circ_int,0,eq_c1/2)+4*IF(circ_int,0,eq_c2/2)+2*PI()*(s_0+2*s_r+IF(circ_int,eq_c1/2,0)))/INDEX(lk_legs,3))&lt;(((((2*IF(circ_int,0,eq_c2/2))+(PI()*(s_0+2*s_r+IF(circ_int,eq_c1/2,0))/2))+2*IF(circ_int,0,eq_c1/2))+(PI()*(s_0+2*s_r+IF(circ_int,eq_c1/2,0))/2))+2*IF(circ_int,0,eq_c2/2)),IF(circ_int,0,eq_c2/2)-(((24+0.5)*(4*IF(circ_int,0,eq_c1/2)+4*IF(circ_int,0,eq_c2/2)+2*PI()*(s_0+2*s_r+IF(circ_int,eq_c1/2,0)))/INDEX(lk_legs,3))-((((2*IF(circ_int,0,eq_c2/2))+(PI()*(s_0+2*s_r+IF(circ_int,eq_c1/2,0))/2))+2*IF(circ_int,0,eq_c1/2))+(PI()*(s_0+2*s_r+IF(circ_int,eq_c1/2,0))/2))),IF(((24+0.5)*(4*IF(circ_int,0,eq_c1/2)+4*IF(circ_int,0,eq_c2/2)+2*PI()*(s_0+2*s_r+IF(circ_int,eq_c1/2,0)))/INDEX(lk_legs,3))&lt;((((((2*IF(circ_int,0,eq_c2/2))+(PI()*(s_0+2*s_r+IF(circ_int,eq_c1/2,0))/2))+2*IF(circ_int,0,eq_c1/2))+(PI()*(s_0+2*s_r+IF(circ_int,eq_c1/2,0))/2))+2*IF(circ_int,0,eq_c2/2))+(PI()*(s_0+2*s_r+IF(circ_int,eq_c1/2,0))/2)),-IF(circ_int,0,eq_c2/2)+(s_0+2*s_r+IF(circ_int,eq_c1/2,0))*SIN(PI()+(((24+0.5)*(4*IF(circ_int,0,eq_c1/2)+4*IF(circ_int,0,eq_c2/2)+2*PI()*(s_0+2*s_r+IF(circ_int,eq_c1/2,0)))/INDEX(lk_legs,3))-(((((2*IF(circ_int,0,eq_c2/2))+(PI()*(s_0+2*s_r+IF(circ_int,eq_c1/2,0))/2))+2*IF(circ_int,0,eq_c1/2))+(PI()*(s_0+2*s_r+IF(circ_int,eq_c1/2,0))/2))+2*IF(circ_int,0,eq_c2/2)))/(s_0+2*s_r+IF(circ_int,eq_c1/2,0))),IF(((24+0.5)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(24+0.5)*(4*IF(circ_int,0,eq_c1/2)+4*IF(circ_int,0,eq_c2/2)+2*PI()*(s_0+2*s_r+IF(circ_int,eq_c1/2,0)))/INDEX(lk_legs,3))-(((((((2*IF(circ_int,0,eq_c2/2))+(PI()*(s_0+2*s_r+IF(circ_int,eq_c1/2,0))/2))+2*IF(circ_int,0,eq_c1/2))+(PI()*(s_0+2*s_r+IF(circ_int,eq_c1/2,0))/2))+2*IF(circ_int,0,eq_c2/2))+(PI()*(s_0+2*s_r+IF(circ_int,eq_c1/2,0))/2))+2*IF(circ_int,0,eq_c1/2)))/(s_0+2*s_r+IF(circ_int,eq_c1/2,0)))))))))),NA())</f>
        <v/>
      </c>
      <c r="BO27">
        <f>IF(AND(links_on,4&lt;=n_per),IF(circ_int,(g_ox)+(c_1/2+(s_0+3*s_r))*-0.970942,CHOOSE(INDEX(lk_kind,4),(g_ox-eq_c1/2)+((s_0+3*s_r))*-0.991445,(eq_a1+eq_c1)+((s_0+3*s_r))*0.258819,eq_a1+eq_c1+(s_0+3*s_r),(eq_a1+eq_c1)+((s_0+3*s_r))*0.965926)),NA())</f>
        <v/>
      </c>
      <c r="BP27">
        <f>IF(AND(links_on,4&lt;=n_per),IF(circ_int,(g_oy)+(c_1/2+(s_0+3*s_r))*0.239316,CHOOSE(INDEX(lk_kind,4),(g_oy+eq_c2/2)+((s_0+3*s_r))*0.130526,(g_oy-eq_c2/2)+((s_0+3*s_r))*-0.965926,0,(eq_a2+eq_c2)+((s_0+3*s_r))*0.258819)),NA())</f>
        <v/>
      </c>
      <c r="BR27">
        <f>IF(AND(AND(links_on,4&lt;=n_per),INDEX(lk_kind,4)=1,24&lt;INDEX(lk_legs,4)),g_ox+IF(((24+0.5)*(4*IF(circ_int,0,eq_c1/2)+4*IF(circ_int,0,eq_c2/2)+2*PI()*(s_0+3*s_r+IF(circ_int,eq_c1/2,0)))/INDEX(lk_legs,4))&lt;(2*IF(circ_int,0,eq_c2/2)),IF(circ_int,0,eq_c1/2)+(s_0+3*s_r+IF(circ_int,eq_c1/2,0)),IF(((24+0.5)*(4*IF(circ_int,0,eq_c1/2)+4*IF(circ_int,0,eq_c2/2)+2*PI()*(s_0+3*s_r+IF(circ_int,eq_c1/2,0)))/INDEX(lk_legs,4))&lt;((2*IF(circ_int,0,eq_c2/2))+(PI()*(s_0+3*s_r+IF(circ_int,eq_c1/2,0))/2)),IF(circ_int,0,eq_c1/2)+(s_0+3*s_r+IF(circ_int,eq_c1/2,0))*COS((((24+0.5)*(4*IF(circ_int,0,eq_c1/2)+4*IF(circ_int,0,eq_c2/2)+2*PI()*(s_0+3*s_r+IF(circ_int,eq_c1/2,0)))/INDEX(lk_legs,4))-(2*IF(circ_int,0,eq_c2/2)))/(s_0+3*s_r+IF(circ_int,eq_c1/2,0))),IF(((24+0.5)*(4*IF(circ_int,0,eq_c1/2)+4*IF(circ_int,0,eq_c2/2)+2*PI()*(s_0+3*s_r+IF(circ_int,eq_c1/2,0)))/INDEX(lk_legs,4))&lt;(((2*IF(circ_int,0,eq_c2/2))+(PI()*(s_0+3*s_r+IF(circ_int,eq_c1/2,0))/2))+2*IF(circ_int,0,eq_c1/2)),IF(circ_int,0,eq_c1/2)-(((24+0.5)*(4*IF(circ_int,0,eq_c1/2)+4*IF(circ_int,0,eq_c2/2)+2*PI()*(s_0+3*s_r+IF(circ_int,eq_c1/2,0)))/INDEX(lk_legs,4))-((2*IF(circ_int,0,eq_c2/2))+(PI()*(s_0+3*s_r+IF(circ_int,eq_c1/2,0))/2))),IF(((24+0.5)*(4*IF(circ_int,0,eq_c1/2)+4*IF(circ_int,0,eq_c2/2)+2*PI()*(s_0+3*s_r+IF(circ_int,eq_c1/2,0)))/INDEX(lk_legs,4))&lt;((((2*IF(circ_int,0,eq_c2/2))+(PI()*(s_0+3*s_r+IF(circ_int,eq_c1/2,0))/2))+2*IF(circ_int,0,eq_c1/2))+(PI()*(s_0+3*s_r+IF(circ_int,eq_c1/2,0))/2)),-IF(circ_int,0,eq_c1/2)+(s_0+3*s_r+IF(circ_int,eq_c1/2,0))*COS(PI()/2+(((24+0.5)*(4*IF(circ_int,0,eq_c1/2)+4*IF(circ_int,0,eq_c2/2)+2*PI()*(s_0+3*s_r+IF(circ_int,eq_c1/2,0)))/INDEX(lk_legs,4))-(((2*IF(circ_int,0,eq_c2/2))+(PI()*(s_0+3*s_r+IF(circ_int,eq_c1/2,0))/2))+2*IF(circ_int,0,eq_c1/2)))/(s_0+3*s_r+IF(circ_int,eq_c1/2,0))),IF(((24+0.5)*(4*IF(circ_int,0,eq_c1/2)+4*IF(circ_int,0,eq_c2/2)+2*PI()*(s_0+3*s_r+IF(circ_int,eq_c1/2,0)))/INDEX(lk_legs,4))&lt;(((((2*IF(circ_int,0,eq_c2/2))+(PI()*(s_0+3*s_r+IF(circ_int,eq_c1/2,0))/2))+2*IF(circ_int,0,eq_c1/2))+(PI()*(s_0+3*s_r+IF(circ_int,eq_c1/2,0))/2))+2*IF(circ_int,0,eq_c2/2)),-IF(circ_int,0,eq_c1/2)-(s_0+3*s_r+IF(circ_int,eq_c1/2,0)),IF(((24+0.5)*(4*IF(circ_int,0,eq_c1/2)+4*IF(circ_int,0,eq_c2/2)+2*PI()*(s_0+3*s_r+IF(circ_int,eq_c1/2,0)))/INDEX(lk_legs,4))&lt;((((((2*IF(circ_int,0,eq_c2/2))+(PI()*(s_0+3*s_r+IF(circ_int,eq_c1/2,0))/2))+2*IF(circ_int,0,eq_c1/2))+(PI()*(s_0+3*s_r+IF(circ_int,eq_c1/2,0))/2))+2*IF(circ_int,0,eq_c2/2))+(PI()*(s_0+3*s_r+IF(circ_int,eq_c1/2,0))/2)),-IF(circ_int,0,eq_c1/2)+(s_0+3*s_r+IF(circ_int,eq_c1/2,0))*COS(PI()+(((24+0.5)*(4*IF(circ_int,0,eq_c1/2)+4*IF(circ_int,0,eq_c2/2)+2*PI()*(s_0+3*s_r+IF(circ_int,eq_c1/2,0)))/INDEX(lk_legs,4))-(((((2*IF(circ_int,0,eq_c2/2))+(PI()*(s_0+3*s_r+IF(circ_int,eq_c1/2,0))/2))+2*IF(circ_int,0,eq_c1/2))+(PI()*(s_0+3*s_r+IF(circ_int,eq_c1/2,0))/2))+2*IF(circ_int,0,eq_c2/2)))/(s_0+3*s_r+IF(circ_int,eq_c1/2,0))),IF(((24+0.5)*(4*IF(circ_int,0,eq_c1/2)+4*IF(circ_int,0,eq_c2/2)+2*PI()*(s_0+3*s_r+IF(circ_int,eq_c1/2,0)))/INDEX(lk_legs,4))&lt;(((((((2*IF(circ_int,0,eq_c2/2))+(PI()*(s_0+3*s_r+IF(circ_int,eq_c1/2,0))/2))+2*IF(circ_int,0,eq_c1/2))+(PI()*(s_0+3*s_r+IF(circ_int,eq_c1/2,0))/2))+2*IF(circ_int,0,eq_c2/2))+(PI()*(s_0+3*s_r+IF(circ_int,eq_c1/2,0))/2))+2*IF(circ_int,0,eq_c1/2)),-IF(circ_int,0,eq_c1/2)+(((24+0.5)*(4*IF(circ_int,0,eq_c1/2)+4*IF(circ_int,0,eq_c2/2)+2*PI()*(s_0+3*s_r+IF(circ_int,eq_c1/2,0)))/INDEX(lk_legs,4))-((((((2*IF(circ_int,0,eq_c2/2))+(PI()*(s_0+3*s_r+IF(circ_int,eq_c1/2,0))/2))+2*IF(circ_int,0,eq_c1/2))+(PI()*(s_0+3*s_r+IF(circ_int,eq_c1/2,0))/2))+2*IF(circ_int,0,eq_c2/2))+(PI()*(s_0+3*s_r+IF(circ_int,eq_c1/2,0))/2))),IF(circ_int,0,eq_c1/2)+(s_0+3*s_r+IF(circ_int,eq_c1/2,0))*COS(3*PI()/2+(((24+0.5)*(4*IF(circ_int,0,eq_c1/2)+4*IF(circ_int,0,eq_c2/2)+2*PI()*(s_0+3*s_r+IF(circ_int,eq_c1/2,0)))/INDEX(lk_legs,4))-(((((((2*IF(circ_int,0,eq_c2/2))+(PI()*(s_0+3*s_r+IF(circ_int,eq_c1/2,0))/2))+2*IF(circ_int,0,eq_c1/2))+(PI()*(s_0+3*s_r+IF(circ_int,eq_c1/2,0))/2))+2*IF(circ_int,0,eq_c2/2))+(PI()*(s_0+3*s_r+IF(circ_int,eq_c1/2,0))/2))+2*IF(circ_int,0,eq_c1/2)))/(s_0+3*s_r+IF(circ_int,eq_c1/2,0)))))))))),NA())</f>
        <v/>
      </c>
      <c r="BS27">
        <f>IF(AND(AND(links_on,4&lt;=n_per),INDEX(lk_kind,4)=1,24&lt;INDEX(lk_legs,4)),g_oy+IF(((24+0.5)*(4*IF(circ_int,0,eq_c1/2)+4*IF(circ_int,0,eq_c2/2)+2*PI()*(s_0+3*s_r+IF(circ_int,eq_c1/2,0)))/INDEX(lk_legs,4))&lt;(2*IF(circ_int,0,eq_c2/2)),-IF(circ_int,0,eq_c2/2)+((24+0.5)*(4*IF(circ_int,0,eq_c1/2)+4*IF(circ_int,0,eq_c2/2)+2*PI()*(s_0+3*s_r+IF(circ_int,eq_c1/2,0)))/INDEX(lk_legs,4)),IF(((24+0.5)*(4*IF(circ_int,0,eq_c1/2)+4*IF(circ_int,0,eq_c2/2)+2*PI()*(s_0+3*s_r+IF(circ_int,eq_c1/2,0)))/INDEX(lk_legs,4))&lt;((2*IF(circ_int,0,eq_c2/2))+(PI()*(s_0+3*s_r+IF(circ_int,eq_c1/2,0))/2)),IF(circ_int,0,eq_c2/2)+(s_0+3*s_r+IF(circ_int,eq_c1/2,0))*SIN((((24+0.5)*(4*IF(circ_int,0,eq_c1/2)+4*IF(circ_int,0,eq_c2/2)+2*PI()*(s_0+3*s_r+IF(circ_int,eq_c1/2,0)))/INDEX(lk_legs,4))-(2*IF(circ_int,0,eq_c2/2)))/(s_0+3*s_r+IF(circ_int,eq_c1/2,0))),IF(((24+0.5)*(4*IF(circ_int,0,eq_c1/2)+4*IF(circ_int,0,eq_c2/2)+2*PI()*(s_0+3*s_r+IF(circ_int,eq_c1/2,0)))/INDEX(lk_legs,4))&lt;(((2*IF(circ_int,0,eq_c2/2))+(PI()*(s_0+3*s_r+IF(circ_int,eq_c1/2,0))/2))+2*IF(circ_int,0,eq_c1/2)),IF(circ_int,0,eq_c2/2)+(s_0+3*s_r+IF(circ_int,eq_c1/2,0)),IF(((24+0.5)*(4*IF(circ_int,0,eq_c1/2)+4*IF(circ_int,0,eq_c2/2)+2*PI()*(s_0+3*s_r+IF(circ_int,eq_c1/2,0)))/INDEX(lk_legs,4))&lt;((((2*IF(circ_int,0,eq_c2/2))+(PI()*(s_0+3*s_r+IF(circ_int,eq_c1/2,0))/2))+2*IF(circ_int,0,eq_c1/2))+(PI()*(s_0+3*s_r+IF(circ_int,eq_c1/2,0))/2)),IF(circ_int,0,eq_c2/2)+(s_0+3*s_r+IF(circ_int,eq_c1/2,0))*SIN(PI()/2+(((24+0.5)*(4*IF(circ_int,0,eq_c1/2)+4*IF(circ_int,0,eq_c2/2)+2*PI()*(s_0+3*s_r+IF(circ_int,eq_c1/2,0)))/INDEX(lk_legs,4))-(((2*IF(circ_int,0,eq_c2/2))+(PI()*(s_0+3*s_r+IF(circ_int,eq_c1/2,0))/2))+2*IF(circ_int,0,eq_c1/2)))/(s_0+3*s_r+IF(circ_int,eq_c1/2,0))),IF(((24+0.5)*(4*IF(circ_int,0,eq_c1/2)+4*IF(circ_int,0,eq_c2/2)+2*PI()*(s_0+3*s_r+IF(circ_int,eq_c1/2,0)))/INDEX(lk_legs,4))&lt;(((((2*IF(circ_int,0,eq_c2/2))+(PI()*(s_0+3*s_r+IF(circ_int,eq_c1/2,0))/2))+2*IF(circ_int,0,eq_c1/2))+(PI()*(s_0+3*s_r+IF(circ_int,eq_c1/2,0))/2))+2*IF(circ_int,0,eq_c2/2)),IF(circ_int,0,eq_c2/2)-(((24+0.5)*(4*IF(circ_int,0,eq_c1/2)+4*IF(circ_int,0,eq_c2/2)+2*PI()*(s_0+3*s_r+IF(circ_int,eq_c1/2,0)))/INDEX(lk_legs,4))-((((2*IF(circ_int,0,eq_c2/2))+(PI()*(s_0+3*s_r+IF(circ_int,eq_c1/2,0))/2))+2*IF(circ_int,0,eq_c1/2))+(PI()*(s_0+3*s_r+IF(circ_int,eq_c1/2,0))/2))),IF(((24+0.5)*(4*IF(circ_int,0,eq_c1/2)+4*IF(circ_int,0,eq_c2/2)+2*PI()*(s_0+3*s_r+IF(circ_int,eq_c1/2,0)))/INDEX(lk_legs,4))&lt;((((((2*IF(circ_int,0,eq_c2/2))+(PI()*(s_0+3*s_r+IF(circ_int,eq_c1/2,0))/2))+2*IF(circ_int,0,eq_c1/2))+(PI()*(s_0+3*s_r+IF(circ_int,eq_c1/2,0))/2))+2*IF(circ_int,0,eq_c2/2))+(PI()*(s_0+3*s_r+IF(circ_int,eq_c1/2,0))/2)),-IF(circ_int,0,eq_c2/2)+(s_0+3*s_r+IF(circ_int,eq_c1/2,0))*SIN(PI()+(((24+0.5)*(4*IF(circ_int,0,eq_c1/2)+4*IF(circ_int,0,eq_c2/2)+2*PI()*(s_0+3*s_r+IF(circ_int,eq_c1/2,0)))/INDEX(lk_legs,4))-(((((2*IF(circ_int,0,eq_c2/2))+(PI()*(s_0+3*s_r+IF(circ_int,eq_c1/2,0))/2))+2*IF(circ_int,0,eq_c1/2))+(PI()*(s_0+3*s_r+IF(circ_int,eq_c1/2,0))/2))+2*IF(circ_int,0,eq_c2/2)))/(s_0+3*s_r+IF(circ_int,eq_c1/2,0))),IF(((24+0.5)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(24+0.5)*(4*IF(circ_int,0,eq_c1/2)+4*IF(circ_int,0,eq_c2/2)+2*PI()*(s_0+3*s_r+IF(circ_int,eq_c1/2,0)))/INDEX(lk_legs,4))-(((((((2*IF(circ_int,0,eq_c2/2))+(PI()*(s_0+3*s_r+IF(circ_int,eq_c1/2,0))/2))+2*IF(circ_int,0,eq_c1/2))+(PI()*(s_0+3*s_r+IF(circ_int,eq_c1/2,0))/2))+2*IF(circ_int,0,eq_c2/2))+(PI()*(s_0+3*s_r+IF(circ_int,eq_c1/2,0))/2))+2*IF(circ_int,0,eq_c1/2)))/(s_0+3*s_r+IF(circ_int,eq_c1/2,0)))))))))),NA())</f>
        <v/>
      </c>
      <c r="BU27">
        <f>IF(AND(links_on,5&lt;=n_per),IF(circ_int,(g_ox)+(c_1/2+(s_0+4*s_r))*-0.970942,CHOOSE(INDEX(lk_kind,5),(g_ox-eq_c1/2)+((s_0+4*s_r))*-0.991445,(eq_a1+eq_c1)+((s_0+4*s_r))*0.258819,eq_a1+eq_c1+(s_0+4*s_r),(eq_a1+eq_c1)+((s_0+4*s_r))*0.965926)),NA())</f>
        <v/>
      </c>
      <c r="BV27">
        <f>IF(AND(links_on,5&lt;=n_per),IF(circ_int,(g_oy)+(c_1/2+(s_0+4*s_r))*0.239316,CHOOSE(INDEX(lk_kind,5),(g_oy+eq_c2/2)+((s_0+4*s_r))*0.130526,(g_oy-eq_c2/2)+((s_0+4*s_r))*-0.965926,0,(eq_a2+eq_c2)+((s_0+4*s_r))*0.258819)),NA())</f>
        <v/>
      </c>
      <c r="BX27">
        <f>IF(AND(AND(links_on,5&lt;=n_per),INDEX(lk_kind,5)=1,24&lt;INDEX(lk_legs,5)),g_ox+IF(((24+0.5)*(4*IF(circ_int,0,eq_c1/2)+4*IF(circ_int,0,eq_c2/2)+2*PI()*(s_0+4*s_r+IF(circ_int,eq_c1/2,0)))/INDEX(lk_legs,5))&lt;(2*IF(circ_int,0,eq_c2/2)),IF(circ_int,0,eq_c1/2)+(s_0+4*s_r+IF(circ_int,eq_c1/2,0)),IF(((24+0.5)*(4*IF(circ_int,0,eq_c1/2)+4*IF(circ_int,0,eq_c2/2)+2*PI()*(s_0+4*s_r+IF(circ_int,eq_c1/2,0)))/INDEX(lk_legs,5))&lt;((2*IF(circ_int,0,eq_c2/2))+(PI()*(s_0+4*s_r+IF(circ_int,eq_c1/2,0))/2)),IF(circ_int,0,eq_c1/2)+(s_0+4*s_r+IF(circ_int,eq_c1/2,0))*COS((((24+0.5)*(4*IF(circ_int,0,eq_c1/2)+4*IF(circ_int,0,eq_c2/2)+2*PI()*(s_0+4*s_r+IF(circ_int,eq_c1/2,0)))/INDEX(lk_legs,5))-(2*IF(circ_int,0,eq_c2/2)))/(s_0+4*s_r+IF(circ_int,eq_c1/2,0))),IF(((24+0.5)*(4*IF(circ_int,0,eq_c1/2)+4*IF(circ_int,0,eq_c2/2)+2*PI()*(s_0+4*s_r+IF(circ_int,eq_c1/2,0)))/INDEX(lk_legs,5))&lt;(((2*IF(circ_int,0,eq_c2/2))+(PI()*(s_0+4*s_r+IF(circ_int,eq_c1/2,0))/2))+2*IF(circ_int,0,eq_c1/2)),IF(circ_int,0,eq_c1/2)-(((24+0.5)*(4*IF(circ_int,0,eq_c1/2)+4*IF(circ_int,0,eq_c2/2)+2*PI()*(s_0+4*s_r+IF(circ_int,eq_c1/2,0)))/INDEX(lk_legs,5))-((2*IF(circ_int,0,eq_c2/2))+(PI()*(s_0+4*s_r+IF(circ_int,eq_c1/2,0))/2))),IF(((24+0.5)*(4*IF(circ_int,0,eq_c1/2)+4*IF(circ_int,0,eq_c2/2)+2*PI()*(s_0+4*s_r+IF(circ_int,eq_c1/2,0)))/INDEX(lk_legs,5))&lt;((((2*IF(circ_int,0,eq_c2/2))+(PI()*(s_0+4*s_r+IF(circ_int,eq_c1/2,0))/2))+2*IF(circ_int,0,eq_c1/2))+(PI()*(s_0+4*s_r+IF(circ_int,eq_c1/2,0))/2)),-IF(circ_int,0,eq_c1/2)+(s_0+4*s_r+IF(circ_int,eq_c1/2,0))*COS(PI()/2+(((24+0.5)*(4*IF(circ_int,0,eq_c1/2)+4*IF(circ_int,0,eq_c2/2)+2*PI()*(s_0+4*s_r+IF(circ_int,eq_c1/2,0)))/INDEX(lk_legs,5))-(((2*IF(circ_int,0,eq_c2/2))+(PI()*(s_0+4*s_r+IF(circ_int,eq_c1/2,0))/2))+2*IF(circ_int,0,eq_c1/2)))/(s_0+4*s_r+IF(circ_int,eq_c1/2,0))),IF(((24+0.5)*(4*IF(circ_int,0,eq_c1/2)+4*IF(circ_int,0,eq_c2/2)+2*PI()*(s_0+4*s_r+IF(circ_int,eq_c1/2,0)))/INDEX(lk_legs,5))&lt;(((((2*IF(circ_int,0,eq_c2/2))+(PI()*(s_0+4*s_r+IF(circ_int,eq_c1/2,0))/2))+2*IF(circ_int,0,eq_c1/2))+(PI()*(s_0+4*s_r+IF(circ_int,eq_c1/2,0))/2))+2*IF(circ_int,0,eq_c2/2)),-IF(circ_int,0,eq_c1/2)-(s_0+4*s_r+IF(circ_int,eq_c1/2,0)),IF(((24+0.5)*(4*IF(circ_int,0,eq_c1/2)+4*IF(circ_int,0,eq_c2/2)+2*PI()*(s_0+4*s_r+IF(circ_int,eq_c1/2,0)))/INDEX(lk_legs,5))&lt;((((((2*IF(circ_int,0,eq_c2/2))+(PI()*(s_0+4*s_r+IF(circ_int,eq_c1/2,0))/2))+2*IF(circ_int,0,eq_c1/2))+(PI()*(s_0+4*s_r+IF(circ_int,eq_c1/2,0))/2))+2*IF(circ_int,0,eq_c2/2))+(PI()*(s_0+4*s_r+IF(circ_int,eq_c1/2,0))/2)),-IF(circ_int,0,eq_c1/2)+(s_0+4*s_r+IF(circ_int,eq_c1/2,0))*COS(PI()+(((24+0.5)*(4*IF(circ_int,0,eq_c1/2)+4*IF(circ_int,0,eq_c2/2)+2*PI()*(s_0+4*s_r+IF(circ_int,eq_c1/2,0)))/INDEX(lk_legs,5))-(((((2*IF(circ_int,0,eq_c2/2))+(PI()*(s_0+4*s_r+IF(circ_int,eq_c1/2,0))/2))+2*IF(circ_int,0,eq_c1/2))+(PI()*(s_0+4*s_r+IF(circ_int,eq_c1/2,0))/2))+2*IF(circ_int,0,eq_c2/2)))/(s_0+4*s_r+IF(circ_int,eq_c1/2,0))),IF(((24+0.5)*(4*IF(circ_int,0,eq_c1/2)+4*IF(circ_int,0,eq_c2/2)+2*PI()*(s_0+4*s_r+IF(circ_int,eq_c1/2,0)))/INDEX(lk_legs,5))&lt;(((((((2*IF(circ_int,0,eq_c2/2))+(PI()*(s_0+4*s_r+IF(circ_int,eq_c1/2,0))/2))+2*IF(circ_int,0,eq_c1/2))+(PI()*(s_0+4*s_r+IF(circ_int,eq_c1/2,0))/2))+2*IF(circ_int,0,eq_c2/2))+(PI()*(s_0+4*s_r+IF(circ_int,eq_c1/2,0))/2))+2*IF(circ_int,0,eq_c1/2)),-IF(circ_int,0,eq_c1/2)+(((24+0.5)*(4*IF(circ_int,0,eq_c1/2)+4*IF(circ_int,0,eq_c2/2)+2*PI()*(s_0+4*s_r+IF(circ_int,eq_c1/2,0)))/INDEX(lk_legs,5))-((((((2*IF(circ_int,0,eq_c2/2))+(PI()*(s_0+4*s_r+IF(circ_int,eq_c1/2,0))/2))+2*IF(circ_int,0,eq_c1/2))+(PI()*(s_0+4*s_r+IF(circ_int,eq_c1/2,0))/2))+2*IF(circ_int,0,eq_c2/2))+(PI()*(s_0+4*s_r+IF(circ_int,eq_c1/2,0))/2))),IF(circ_int,0,eq_c1/2)+(s_0+4*s_r+IF(circ_int,eq_c1/2,0))*COS(3*PI()/2+(((24+0.5)*(4*IF(circ_int,0,eq_c1/2)+4*IF(circ_int,0,eq_c2/2)+2*PI()*(s_0+4*s_r+IF(circ_int,eq_c1/2,0)))/INDEX(lk_legs,5))-(((((((2*IF(circ_int,0,eq_c2/2))+(PI()*(s_0+4*s_r+IF(circ_int,eq_c1/2,0))/2))+2*IF(circ_int,0,eq_c1/2))+(PI()*(s_0+4*s_r+IF(circ_int,eq_c1/2,0))/2))+2*IF(circ_int,0,eq_c2/2))+(PI()*(s_0+4*s_r+IF(circ_int,eq_c1/2,0))/2))+2*IF(circ_int,0,eq_c1/2)))/(s_0+4*s_r+IF(circ_int,eq_c1/2,0)))))))))),NA())</f>
        <v/>
      </c>
      <c r="BY27">
        <f>IF(AND(AND(links_on,5&lt;=n_per),INDEX(lk_kind,5)=1,24&lt;INDEX(lk_legs,5)),g_oy+IF(((24+0.5)*(4*IF(circ_int,0,eq_c1/2)+4*IF(circ_int,0,eq_c2/2)+2*PI()*(s_0+4*s_r+IF(circ_int,eq_c1/2,0)))/INDEX(lk_legs,5))&lt;(2*IF(circ_int,0,eq_c2/2)),-IF(circ_int,0,eq_c2/2)+((24+0.5)*(4*IF(circ_int,0,eq_c1/2)+4*IF(circ_int,0,eq_c2/2)+2*PI()*(s_0+4*s_r+IF(circ_int,eq_c1/2,0)))/INDEX(lk_legs,5)),IF(((24+0.5)*(4*IF(circ_int,0,eq_c1/2)+4*IF(circ_int,0,eq_c2/2)+2*PI()*(s_0+4*s_r+IF(circ_int,eq_c1/2,0)))/INDEX(lk_legs,5))&lt;((2*IF(circ_int,0,eq_c2/2))+(PI()*(s_0+4*s_r+IF(circ_int,eq_c1/2,0))/2)),IF(circ_int,0,eq_c2/2)+(s_0+4*s_r+IF(circ_int,eq_c1/2,0))*SIN((((24+0.5)*(4*IF(circ_int,0,eq_c1/2)+4*IF(circ_int,0,eq_c2/2)+2*PI()*(s_0+4*s_r+IF(circ_int,eq_c1/2,0)))/INDEX(lk_legs,5))-(2*IF(circ_int,0,eq_c2/2)))/(s_0+4*s_r+IF(circ_int,eq_c1/2,0))),IF(((24+0.5)*(4*IF(circ_int,0,eq_c1/2)+4*IF(circ_int,0,eq_c2/2)+2*PI()*(s_0+4*s_r+IF(circ_int,eq_c1/2,0)))/INDEX(lk_legs,5))&lt;(((2*IF(circ_int,0,eq_c2/2))+(PI()*(s_0+4*s_r+IF(circ_int,eq_c1/2,0))/2))+2*IF(circ_int,0,eq_c1/2)),IF(circ_int,0,eq_c2/2)+(s_0+4*s_r+IF(circ_int,eq_c1/2,0)),IF(((24+0.5)*(4*IF(circ_int,0,eq_c1/2)+4*IF(circ_int,0,eq_c2/2)+2*PI()*(s_0+4*s_r+IF(circ_int,eq_c1/2,0)))/INDEX(lk_legs,5))&lt;((((2*IF(circ_int,0,eq_c2/2))+(PI()*(s_0+4*s_r+IF(circ_int,eq_c1/2,0))/2))+2*IF(circ_int,0,eq_c1/2))+(PI()*(s_0+4*s_r+IF(circ_int,eq_c1/2,0))/2)),IF(circ_int,0,eq_c2/2)+(s_0+4*s_r+IF(circ_int,eq_c1/2,0))*SIN(PI()/2+(((24+0.5)*(4*IF(circ_int,0,eq_c1/2)+4*IF(circ_int,0,eq_c2/2)+2*PI()*(s_0+4*s_r+IF(circ_int,eq_c1/2,0)))/INDEX(lk_legs,5))-(((2*IF(circ_int,0,eq_c2/2))+(PI()*(s_0+4*s_r+IF(circ_int,eq_c1/2,0))/2))+2*IF(circ_int,0,eq_c1/2)))/(s_0+4*s_r+IF(circ_int,eq_c1/2,0))),IF(((24+0.5)*(4*IF(circ_int,0,eq_c1/2)+4*IF(circ_int,0,eq_c2/2)+2*PI()*(s_0+4*s_r+IF(circ_int,eq_c1/2,0)))/INDEX(lk_legs,5))&lt;(((((2*IF(circ_int,0,eq_c2/2))+(PI()*(s_0+4*s_r+IF(circ_int,eq_c1/2,0))/2))+2*IF(circ_int,0,eq_c1/2))+(PI()*(s_0+4*s_r+IF(circ_int,eq_c1/2,0))/2))+2*IF(circ_int,0,eq_c2/2)),IF(circ_int,0,eq_c2/2)-(((24+0.5)*(4*IF(circ_int,0,eq_c1/2)+4*IF(circ_int,0,eq_c2/2)+2*PI()*(s_0+4*s_r+IF(circ_int,eq_c1/2,0)))/INDEX(lk_legs,5))-((((2*IF(circ_int,0,eq_c2/2))+(PI()*(s_0+4*s_r+IF(circ_int,eq_c1/2,0))/2))+2*IF(circ_int,0,eq_c1/2))+(PI()*(s_0+4*s_r+IF(circ_int,eq_c1/2,0))/2))),IF(((24+0.5)*(4*IF(circ_int,0,eq_c1/2)+4*IF(circ_int,0,eq_c2/2)+2*PI()*(s_0+4*s_r+IF(circ_int,eq_c1/2,0)))/INDEX(lk_legs,5))&lt;((((((2*IF(circ_int,0,eq_c2/2))+(PI()*(s_0+4*s_r+IF(circ_int,eq_c1/2,0))/2))+2*IF(circ_int,0,eq_c1/2))+(PI()*(s_0+4*s_r+IF(circ_int,eq_c1/2,0))/2))+2*IF(circ_int,0,eq_c2/2))+(PI()*(s_0+4*s_r+IF(circ_int,eq_c1/2,0))/2)),-IF(circ_int,0,eq_c2/2)+(s_0+4*s_r+IF(circ_int,eq_c1/2,0))*SIN(PI()+(((24+0.5)*(4*IF(circ_int,0,eq_c1/2)+4*IF(circ_int,0,eq_c2/2)+2*PI()*(s_0+4*s_r+IF(circ_int,eq_c1/2,0)))/INDEX(lk_legs,5))-(((((2*IF(circ_int,0,eq_c2/2))+(PI()*(s_0+4*s_r+IF(circ_int,eq_c1/2,0))/2))+2*IF(circ_int,0,eq_c1/2))+(PI()*(s_0+4*s_r+IF(circ_int,eq_c1/2,0))/2))+2*IF(circ_int,0,eq_c2/2)))/(s_0+4*s_r+IF(circ_int,eq_c1/2,0))),IF(((24+0.5)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(24+0.5)*(4*IF(circ_int,0,eq_c1/2)+4*IF(circ_int,0,eq_c2/2)+2*PI()*(s_0+4*s_r+IF(circ_int,eq_c1/2,0)))/INDEX(lk_legs,5))-(((((((2*IF(circ_int,0,eq_c2/2))+(PI()*(s_0+4*s_r+IF(circ_int,eq_c1/2,0))/2))+2*IF(circ_int,0,eq_c1/2))+(PI()*(s_0+4*s_r+IF(circ_int,eq_c1/2,0))/2))+2*IF(circ_int,0,eq_c2/2))+(PI()*(s_0+4*s_r+IF(circ_int,eq_c1/2,0))/2))+2*IF(circ_int,0,eq_c1/2)))/(s_0+4*s_r+IF(circ_int,eq_c1/2,0)))))))))),NA())</f>
        <v/>
      </c>
      <c r="CA27">
        <f>IF(AND(links_on,6&lt;=n_per),IF(circ_int,(g_ox)+(c_1/2+(s_0+5*s_r))*-0.970942,CHOOSE(INDEX(lk_kind,6),(g_ox-eq_c1/2)+((s_0+5*s_r))*-0.991445,(eq_a1+eq_c1)+((s_0+5*s_r))*0.258819,eq_a1+eq_c1+(s_0+5*s_r),(eq_a1+eq_c1)+((s_0+5*s_r))*0.965926)),NA())</f>
        <v/>
      </c>
      <c r="CB27">
        <f>IF(AND(links_on,6&lt;=n_per),IF(circ_int,(g_oy)+(c_1/2+(s_0+5*s_r))*0.239316,CHOOSE(INDEX(lk_kind,6),(g_oy+eq_c2/2)+((s_0+5*s_r))*0.130526,(g_oy-eq_c2/2)+((s_0+5*s_r))*-0.965926,0,(eq_a2+eq_c2)+((s_0+5*s_r))*0.258819)),NA())</f>
        <v/>
      </c>
      <c r="CD27">
        <f>IF(AND(AND(links_on,6&lt;=n_per),INDEX(lk_kind,6)=1,24&lt;INDEX(lk_legs,6)),g_ox+IF(((24+0.5)*(4*IF(circ_int,0,eq_c1/2)+4*IF(circ_int,0,eq_c2/2)+2*PI()*(s_0+5*s_r+IF(circ_int,eq_c1/2,0)))/INDEX(lk_legs,6))&lt;(2*IF(circ_int,0,eq_c2/2)),IF(circ_int,0,eq_c1/2)+(s_0+5*s_r+IF(circ_int,eq_c1/2,0)),IF(((24+0.5)*(4*IF(circ_int,0,eq_c1/2)+4*IF(circ_int,0,eq_c2/2)+2*PI()*(s_0+5*s_r+IF(circ_int,eq_c1/2,0)))/INDEX(lk_legs,6))&lt;((2*IF(circ_int,0,eq_c2/2))+(PI()*(s_0+5*s_r+IF(circ_int,eq_c1/2,0))/2)),IF(circ_int,0,eq_c1/2)+(s_0+5*s_r+IF(circ_int,eq_c1/2,0))*COS((((24+0.5)*(4*IF(circ_int,0,eq_c1/2)+4*IF(circ_int,0,eq_c2/2)+2*PI()*(s_0+5*s_r+IF(circ_int,eq_c1/2,0)))/INDEX(lk_legs,6))-(2*IF(circ_int,0,eq_c2/2)))/(s_0+5*s_r+IF(circ_int,eq_c1/2,0))),IF(((24+0.5)*(4*IF(circ_int,0,eq_c1/2)+4*IF(circ_int,0,eq_c2/2)+2*PI()*(s_0+5*s_r+IF(circ_int,eq_c1/2,0)))/INDEX(lk_legs,6))&lt;(((2*IF(circ_int,0,eq_c2/2))+(PI()*(s_0+5*s_r+IF(circ_int,eq_c1/2,0))/2))+2*IF(circ_int,0,eq_c1/2)),IF(circ_int,0,eq_c1/2)-(((24+0.5)*(4*IF(circ_int,0,eq_c1/2)+4*IF(circ_int,0,eq_c2/2)+2*PI()*(s_0+5*s_r+IF(circ_int,eq_c1/2,0)))/INDEX(lk_legs,6))-((2*IF(circ_int,0,eq_c2/2))+(PI()*(s_0+5*s_r+IF(circ_int,eq_c1/2,0))/2))),IF(((24+0.5)*(4*IF(circ_int,0,eq_c1/2)+4*IF(circ_int,0,eq_c2/2)+2*PI()*(s_0+5*s_r+IF(circ_int,eq_c1/2,0)))/INDEX(lk_legs,6))&lt;((((2*IF(circ_int,0,eq_c2/2))+(PI()*(s_0+5*s_r+IF(circ_int,eq_c1/2,0))/2))+2*IF(circ_int,0,eq_c1/2))+(PI()*(s_0+5*s_r+IF(circ_int,eq_c1/2,0))/2)),-IF(circ_int,0,eq_c1/2)+(s_0+5*s_r+IF(circ_int,eq_c1/2,0))*COS(PI()/2+(((24+0.5)*(4*IF(circ_int,0,eq_c1/2)+4*IF(circ_int,0,eq_c2/2)+2*PI()*(s_0+5*s_r+IF(circ_int,eq_c1/2,0)))/INDEX(lk_legs,6))-(((2*IF(circ_int,0,eq_c2/2))+(PI()*(s_0+5*s_r+IF(circ_int,eq_c1/2,0))/2))+2*IF(circ_int,0,eq_c1/2)))/(s_0+5*s_r+IF(circ_int,eq_c1/2,0))),IF(((24+0.5)*(4*IF(circ_int,0,eq_c1/2)+4*IF(circ_int,0,eq_c2/2)+2*PI()*(s_0+5*s_r+IF(circ_int,eq_c1/2,0)))/INDEX(lk_legs,6))&lt;(((((2*IF(circ_int,0,eq_c2/2))+(PI()*(s_0+5*s_r+IF(circ_int,eq_c1/2,0))/2))+2*IF(circ_int,0,eq_c1/2))+(PI()*(s_0+5*s_r+IF(circ_int,eq_c1/2,0))/2))+2*IF(circ_int,0,eq_c2/2)),-IF(circ_int,0,eq_c1/2)-(s_0+5*s_r+IF(circ_int,eq_c1/2,0)),IF(((24+0.5)*(4*IF(circ_int,0,eq_c1/2)+4*IF(circ_int,0,eq_c2/2)+2*PI()*(s_0+5*s_r+IF(circ_int,eq_c1/2,0)))/INDEX(lk_legs,6))&lt;((((((2*IF(circ_int,0,eq_c2/2))+(PI()*(s_0+5*s_r+IF(circ_int,eq_c1/2,0))/2))+2*IF(circ_int,0,eq_c1/2))+(PI()*(s_0+5*s_r+IF(circ_int,eq_c1/2,0))/2))+2*IF(circ_int,0,eq_c2/2))+(PI()*(s_0+5*s_r+IF(circ_int,eq_c1/2,0))/2)),-IF(circ_int,0,eq_c1/2)+(s_0+5*s_r+IF(circ_int,eq_c1/2,0))*COS(PI()+(((24+0.5)*(4*IF(circ_int,0,eq_c1/2)+4*IF(circ_int,0,eq_c2/2)+2*PI()*(s_0+5*s_r+IF(circ_int,eq_c1/2,0)))/INDEX(lk_legs,6))-(((((2*IF(circ_int,0,eq_c2/2))+(PI()*(s_0+5*s_r+IF(circ_int,eq_c1/2,0))/2))+2*IF(circ_int,0,eq_c1/2))+(PI()*(s_0+5*s_r+IF(circ_int,eq_c1/2,0))/2))+2*IF(circ_int,0,eq_c2/2)))/(s_0+5*s_r+IF(circ_int,eq_c1/2,0))),IF(((24+0.5)*(4*IF(circ_int,0,eq_c1/2)+4*IF(circ_int,0,eq_c2/2)+2*PI()*(s_0+5*s_r+IF(circ_int,eq_c1/2,0)))/INDEX(lk_legs,6))&lt;(((((((2*IF(circ_int,0,eq_c2/2))+(PI()*(s_0+5*s_r+IF(circ_int,eq_c1/2,0))/2))+2*IF(circ_int,0,eq_c1/2))+(PI()*(s_0+5*s_r+IF(circ_int,eq_c1/2,0))/2))+2*IF(circ_int,0,eq_c2/2))+(PI()*(s_0+5*s_r+IF(circ_int,eq_c1/2,0))/2))+2*IF(circ_int,0,eq_c1/2)),-IF(circ_int,0,eq_c1/2)+(((24+0.5)*(4*IF(circ_int,0,eq_c1/2)+4*IF(circ_int,0,eq_c2/2)+2*PI()*(s_0+5*s_r+IF(circ_int,eq_c1/2,0)))/INDEX(lk_legs,6))-((((((2*IF(circ_int,0,eq_c2/2))+(PI()*(s_0+5*s_r+IF(circ_int,eq_c1/2,0))/2))+2*IF(circ_int,0,eq_c1/2))+(PI()*(s_0+5*s_r+IF(circ_int,eq_c1/2,0))/2))+2*IF(circ_int,0,eq_c2/2))+(PI()*(s_0+5*s_r+IF(circ_int,eq_c1/2,0))/2))),IF(circ_int,0,eq_c1/2)+(s_0+5*s_r+IF(circ_int,eq_c1/2,0))*COS(3*PI()/2+(((24+0.5)*(4*IF(circ_int,0,eq_c1/2)+4*IF(circ_int,0,eq_c2/2)+2*PI()*(s_0+5*s_r+IF(circ_int,eq_c1/2,0)))/INDEX(lk_legs,6))-(((((((2*IF(circ_int,0,eq_c2/2))+(PI()*(s_0+5*s_r+IF(circ_int,eq_c1/2,0))/2))+2*IF(circ_int,0,eq_c1/2))+(PI()*(s_0+5*s_r+IF(circ_int,eq_c1/2,0))/2))+2*IF(circ_int,0,eq_c2/2))+(PI()*(s_0+5*s_r+IF(circ_int,eq_c1/2,0))/2))+2*IF(circ_int,0,eq_c1/2)))/(s_0+5*s_r+IF(circ_int,eq_c1/2,0)))))))))),NA())</f>
        <v/>
      </c>
      <c r="CE27">
        <f>IF(AND(AND(links_on,6&lt;=n_per),INDEX(lk_kind,6)=1,24&lt;INDEX(lk_legs,6)),g_oy+IF(((24+0.5)*(4*IF(circ_int,0,eq_c1/2)+4*IF(circ_int,0,eq_c2/2)+2*PI()*(s_0+5*s_r+IF(circ_int,eq_c1/2,0)))/INDEX(lk_legs,6))&lt;(2*IF(circ_int,0,eq_c2/2)),-IF(circ_int,0,eq_c2/2)+((24+0.5)*(4*IF(circ_int,0,eq_c1/2)+4*IF(circ_int,0,eq_c2/2)+2*PI()*(s_0+5*s_r+IF(circ_int,eq_c1/2,0)))/INDEX(lk_legs,6)),IF(((24+0.5)*(4*IF(circ_int,0,eq_c1/2)+4*IF(circ_int,0,eq_c2/2)+2*PI()*(s_0+5*s_r+IF(circ_int,eq_c1/2,0)))/INDEX(lk_legs,6))&lt;((2*IF(circ_int,0,eq_c2/2))+(PI()*(s_0+5*s_r+IF(circ_int,eq_c1/2,0))/2)),IF(circ_int,0,eq_c2/2)+(s_0+5*s_r+IF(circ_int,eq_c1/2,0))*SIN((((24+0.5)*(4*IF(circ_int,0,eq_c1/2)+4*IF(circ_int,0,eq_c2/2)+2*PI()*(s_0+5*s_r+IF(circ_int,eq_c1/2,0)))/INDEX(lk_legs,6))-(2*IF(circ_int,0,eq_c2/2)))/(s_0+5*s_r+IF(circ_int,eq_c1/2,0))),IF(((24+0.5)*(4*IF(circ_int,0,eq_c1/2)+4*IF(circ_int,0,eq_c2/2)+2*PI()*(s_0+5*s_r+IF(circ_int,eq_c1/2,0)))/INDEX(lk_legs,6))&lt;(((2*IF(circ_int,0,eq_c2/2))+(PI()*(s_0+5*s_r+IF(circ_int,eq_c1/2,0))/2))+2*IF(circ_int,0,eq_c1/2)),IF(circ_int,0,eq_c2/2)+(s_0+5*s_r+IF(circ_int,eq_c1/2,0)),IF(((24+0.5)*(4*IF(circ_int,0,eq_c1/2)+4*IF(circ_int,0,eq_c2/2)+2*PI()*(s_0+5*s_r+IF(circ_int,eq_c1/2,0)))/INDEX(lk_legs,6))&lt;((((2*IF(circ_int,0,eq_c2/2))+(PI()*(s_0+5*s_r+IF(circ_int,eq_c1/2,0))/2))+2*IF(circ_int,0,eq_c1/2))+(PI()*(s_0+5*s_r+IF(circ_int,eq_c1/2,0))/2)),IF(circ_int,0,eq_c2/2)+(s_0+5*s_r+IF(circ_int,eq_c1/2,0))*SIN(PI()/2+(((24+0.5)*(4*IF(circ_int,0,eq_c1/2)+4*IF(circ_int,0,eq_c2/2)+2*PI()*(s_0+5*s_r+IF(circ_int,eq_c1/2,0)))/INDEX(lk_legs,6))-(((2*IF(circ_int,0,eq_c2/2))+(PI()*(s_0+5*s_r+IF(circ_int,eq_c1/2,0))/2))+2*IF(circ_int,0,eq_c1/2)))/(s_0+5*s_r+IF(circ_int,eq_c1/2,0))),IF(((24+0.5)*(4*IF(circ_int,0,eq_c1/2)+4*IF(circ_int,0,eq_c2/2)+2*PI()*(s_0+5*s_r+IF(circ_int,eq_c1/2,0)))/INDEX(lk_legs,6))&lt;(((((2*IF(circ_int,0,eq_c2/2))+(PI()*(s_0+5*s_r+IF(circ_int,eq_c1/2,0))/2))+2*IF(circ_int,0,eq_c1/2))+(PI()*(s_0+5*s_r+IF(circ_int,eq_c1/2,0))/2))+2*IF(circ_int,0,eq_c2/2)),IF(circ_int,0,eq_c2/2)-(((24+0.5)*(4*IF(circ_int,0,eq_c1/2)+4*IF(circ_int,0,eq_c2/2)+2*PI()*(s_0+5*s_r+IF(circ_int,eq_c1/2,0)))/INDEX(lk_legs,6))-((((2*IF(circ_int,0,eq_c2/2))+(PI()*(s_0+5*s_r+IF(circ_int,eq_c1/2,0))/2))+2*IF(circ_int,0,eq_c1/2))+(PI()*(s_0+5*s_r+IF(circ_int,eq_c1/2,0))/2))),IF(((24+0.5)*(4*IF(circ_int,0,eq_c1/2)+4*IF(circ_int,0,eq_c2/2)+2*PI()*(s_0+5*s_r+IF(circ_int,eq_c1/2,0)))/INDEX(lk_legs,6))&lt;((((((2*IF(circ_int,0,eq_c2/2))+(PI()*(s_0+5*s_r+IF(circ_int,eq_c1/2,0))/2))+2*IF(circ_int,0,eq_c1/2))+(PI()*(s_0+5*s_r+IF(circ_int,eq_c1/2,0))/2))+2*IF(circ_int,0,eq_c2/2))+(PI()*(s_0+5*s_r+IF(circ_int,eq_c1/2,0))/2)),-IF(circ_int,0,eq_c2/2)+(s_0+5*s_r+IF(circ_int,eq_c1/2,0))*SIN(PI()+(((24+0.5)*(4*IF(circ_int,0,eq_c1/2)+4*IF(circ_int,0,eq_c2/2)+2*PI()*(s_0+5*s_r+IF(circ_int,eq_c1/2,0)))/INDEX(lk_legs,6))-(((((2*IF(circ_int,0,eq_c2/2))+(PI()*(s_0+5*s_r+IF(circ_int,eq_c1/2,0))/2))+2*IF(circ_int,0,eq_c1/2))+(PI()*(s_0+5*s_r+IF(circ_int,eq_c1/2,0))/2))+2*IF(circ_int,0,eq_c2/2)))/(s_0+5*s_r+IF(circ_int,eq_c1/2,0))),IF(((24+0.5)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(24+0.5)*(4*IF(circ_int,0,eq_c1/2)+4*IF(circ_int,0,eq_c2/2)+2*PI()*(s_0+5*s_r+IF(circ_int,eq_c1/2,0)))/INDEX(lk_legs,6))-(((((((2*IF(circ_int,0,eq_c2/2))+(PI()*(s_0+5*s_r+IF(circ_int,eq_c1/2,0))/2))+2*IF(circ_int,0,eq_c1/2))+(PI()*(s_0+5*s_r+IF(circ_int,eq_c1/2,0))/2))+2*IF(circ_int,0,eq_c2/2))+(PI()*(s_0+5*s_r+IF(circ_int,eq_c1/2,0))/2))+2*IF(circ_int,0,eq_c1/2)))/(s_0+5*s_r+IF(circ_int,eq_c1/2,0)))))))))),NA())</f>
        <v/>
      </c>
      <c r="CG27">
        <f>IF(AND(links_on,7&lt;=n_per),IF(circ_int,(g_ox)+(c_1/2+(s_0+6*s_r))*-0.970942,CHOOSE(INDEX(lk_kind,7),(g_ox-eq_c1/2)+((s_0+6*s_r))*-0.991445,(eq_a1+eq_c1)+((s_0+6*s_r))*0.258819,eq_a1+eq_c1+(s_0+6*s_r),(eq_a1+eq_c1)+((s_0+6*s_r))*0.965926)),NA())</f>
        <v/>
      </c>
      <c r="CH27">
        <f>IF(AND(links_on,7&lt;=n_per),IF(circ_int,(g_oy)+(c_1/2+(s_0+6*s_r))*0.239316,CHOOSE(INDEX(lk_kind,7),(g_oy+eq_c2/2)+((s_0+6*s_r))*0.130526,(g_oy-eq_c2/2)+((s_0+6*s_r))*-0.965926,0,(eq_a2+eq_c2)+((s_0+6*s_r))*0.258819)),NA())</f>
        <v/>
      </c>
      <c r="CJ27">
        <f>IF(AND(AND(links_on,7&lt;=n_per),INDEX(lk_kind,7)=1,24&lt;INDEX(lk_legs,7)),g_ox+IF(((24+0.5)*(4*IF(circ_int,0,eq_c1/2)+4*IF(circ_int,0,eq_c2/2)+2*PI()*(s_0+6*s_r+IF(circ_int,eq_c1/2,0)))/INDEX(lk_legs,7))&lt;(2*IF(circ_int,0,eq_c2/2)),IF(circ_int,0,eq_c1/2)+(s_0+6*s_r+IF(circ_int,eq_c1/2,0)),IF(((24+0.5)*(4*IF(circ_int,0,eq_c1/2)+4*IF(circ_int,0,eq_c2/2)+2*PI()*(s_0+6*s_r+IF(circ_int,eq_c1/2,0)))/INDEX(lk_legs,7))&lt;((2*IF(circ_int,0,eq_c2/2))+(PI()*(s_0+6*s_r+IF(circ_int,eq_c1/2,0))/2)),IF(circ_int,0,eq_c1/2)+(s_0+6*s_r+IF(circ_int,eq_c1/2,0))*COS((((24+0.5)*(4*IF(circ_int,0,eq_c1/2)+4*IF(circ_int,0,eq_c2/2)+2*PI()*(s_0+6*s_r+IF(circ_int,eq_c1/2,0)))/INDEX(lk_legs,7))-(2*IF(circ_int,0,eq_c2/2)))/(s_0+6*s_r+IF(circ_int,eq_c1/2,0))),IF(((24+0.5)*(4*IF(circ_int,0,eq_c1/2)+4*IF(circ_int,0,eq_c2/2)+2*PI()*(s_0+6*s_r+IF(circ_int,eq_c1/2,0)))/INDEX(lk_legs,7))&lt;(((2*IF(circ_int,0,eq_c2/2))+(PI()*(s_0+6*s_r+IF(circ_int,eq_c1/2,0))/2))+2*IF(circ_int,0,eq_c1/2)),IF(circ_int,0,eq_c1/2)-(((24+0.5)*(4*IF(circ_int,0,eq_c1/2)+4*IF(circ_int,0,eq_c2/2)+2*PI()*(s_0+6*s_r+IF(circ_int,eq_c1/2,0)))/INDEX(lk_legs,7))-((2*IF(circ_int,0,eq_c2/2))+(PI()*(s_0+6*s_r+IF(circ_int,eq_c1/2,0))/2))),IF(((24+0.5)*(4*IF(circ_int,0,eq_c1/2)+4*IF(circ_int,0,eq_c2/2)+2*PI()*(s_0+6*s_r+IF(circ_int,eq_c1/2,0)))/INDEX(lk_legs,7))&lt;((((2*IF(circ_int,0,eq_c2/2))+(PI()*(s_0+6*s_r+IF(circ_int,eq_c1/2,0))/2))+2*IF(circ_int,0,eq_c1/2))+(PI()*(s_0+6*s_r+IF(circ_int,eq_c1/2,0))/2)),-IF(circ_int,0,eq_c1/2)+(s_0+6*s_r+IF(circ_int,eq_c1/2,0))*COS(PI()/2+(((24+0.5)*(4*IF(circ_int,0,eq_c1/2)+4*IF(circ_int,0,eq_c2/2)+2*PI()*(s_0+6*s_r+IF(circ_int,eq_c1/2,0)))/INDEX(lk_legs,7))-(((2*IF(circ_int,0,eq_c2/2))+(PI()*(s_0+6*s_r+IF(circ_int,eq_c1/2,0))/2))+2*IF(circ_int,0,eq_c1/2)))/(s_0+6*s_r+IF(circ_int,eq_c1/2,0))),IF(((24+0.5)*(4*IF(circ_int,0,eq_c1/2)+4*IF(circ_int,0,eq_c2/2)+2*PI()*(s_0+6*s_r+IF(circ_int,eq_c1/2,0)))/INDEX(lk_legs,7))&lt;(((((2*IF(circ_int,0,eq_c2/2))+(PI()*(s_0+6*s_r+IF(circ_int,eq_c1/2,0))/2))+2*IF(circ_int,0,eq_c1/2))+(PI()*(s_0+6*s_r+IF(circ_int,eq_c1/2,0))/2))+2*IF(circ_int,0,eq_c2/2)),-IF(circ_int,0,eq_c1/2)-(s_0+6*s_r+IF(circ_int,eq_c1/2,0)),IF(((24+0.5)*(4*IF(circ_int,0,eq_c1/2)+4*IF(circ_int,0,eq_c2/2)+2*PI()*(s_0+6*s_r+IF(circ_int,eq_c1/2,0)))/INDEX(lk_legs,7))&lt;((((((2*IF(circ_int,0,eq_c2/2))+(PI()*(s_0+6*s_r+IF(circ_int,eq_c1/2,0))/2))+2*IF(circ_int,0,eq_c1/2))+(PI()*(s_0+6*s_r+IF(circ_int,eq_c1/2,0))/2))+2*IF(circ_int,0,eq_c2/2))+(PI()*(s_0+6*s_r+IF(circ_int,eq_c1/2,0))/2)),-IF(circ_int,0,eq_c1/2)+(s_0+6*s_r+IF(circ_int,eq_c1/2,0))*COS(PI()+(((24+0.5)*(4*IF(circ_int,0,eq_c1/2)+4*IF(circ_int,0,eq_c2/2)+2*PI()*(s_0+6*s_r+IF(circ_int,eq_c1/2,0)))/INDEX(lk_legs,7))-(((((2*IF(circ_int,0,eq_c2/2))+(PI()*(s_0+6*s_r+IF(circ_int,eq_c1/2,0))/2))+2*IF(circ_int,0,eq_c1/2))+(PI()*(s_0+6*s_r+IF(circ_int,eq_c1/2,0))/2))+2*IF(circ_int,0,eq_c2/2)))/(s_0+6*s_r+IF(circ_int,eq_c1/2,0))),IF(((24+0.5)*(4*IF(circ_int,0,eq_c1/2)+4*IF(circ_int,0,eq_c2/2)+2*PI()*(s_0+6*s_r+IF(circ_int,eq_c1/2,0)))/INDEX(lk_legs,7))&lt;(((((((2*IF(circ_int,0,eq_c2/2))+(PI()*(s_0+6*s_r+IF(circ_int,eq_c1/2,0))/2))+2*IF(circ_int,0,eq_c1/2))+(PI()*(s_0+6*s_r+IF(circ_int,eq_c1/2,0))/2))+2*IF(circ_int,0,eq_c2/2))+(PI()*(s_0+6*s_r+IF(circ_int,eq_c1/2,0))/2))+2*IF(circ_int,0,eq_c1/2)),-IF(circ_int,0,eq_c1/2)+(((24+0.5)*(4*IF(circ_int,0,eq_c1/2)+4*IF(circ_int,0,eq_c2/2)+2*PI()*(s_0+6*s_r+IF(circ_int,eq_c1/2,0)))/INDEX(lk_legs,7))-((((((2*IF(circ_int,0,eq_c2/2))+(PI()*(s_0+6*s_r+IF(circ_int,eq_c1/2,0))/2))+2*IF(circ_int,0,eq_c1/2))+(PI()*(s_0+6*s_r+IF(circ_int,eq_c1/2,0))/2))+2*IF(circ_int,0,eq_c2/2))+(PI()*(s_0+6*s_r+IF(circ_int,eq_c1/2,0))/2))),IF(circ_int,0,eq_c1/2)+(s_0+6*s_r+IF(circ_int,eq_c1/2,0))*COS(3*PI()/2+(((24+0.5)*(4*IF(circ_int,0,eq_c1/2)+4*IF(circ_int,0,eq_c2/2)+2*PI()*(s_0+6*s_r+IF(circ_int,eq_c1/2,0)))/INDEX(lk_legs,7))-(((((((2*IF(circ_int,0,eq_c2/2))+(PI()*(s_0+6*s_r+IF(circ_int,eq_c1/2,0))/2))+2*IF(circ_int,0,eq_c1/2))+(PI()*(s_0+6*s_r+IF(circ_int,eq_c1/2,0))/2))+2*IF(circ_int,0,eq_c2/2))+(PI()*(s_0+6*s_r+IF(circ_int,eq_c1/2,0))/2))+2*IF(circ_int,0,eq_c1/2)))/(s_0+6*s_r+IF(circ_int,eq_c1/2,0)))))))))),NA())</f>
        <v/>
      </c>
      <c r="CK27">
        <f>IF(AND(AND(links_on,7&lt;=n_per),INDEX(lk_kind,7)=1,24&lt;INDEX(lk_legs,7)),g_oy+IF(((24+0.5)*(4*IF(circ_int,0,eq_c1/2)+4*IF(circ_int,0,eq_c2/2)+2*PI()*(s_0+6*s_r+IF(circ_int,eq_c1/2,0)))/INDEX(lk_legs,7))&lt;(2*IF(circ_int,0,eq_c2/2)),-IF(circ_int,0,eq_c2/2)+((24+0.5)*(4*IF(circ_int,0,eq_c1/2)+4*IF(circ_int,0,eq_c2/2)+2*PI()*(s_0+6*s_r+IF(circ_int,eq_c1/2,0)))/INDEX(lk_legs,7)),IF(((24+0.5)*(4*IF(circ_int,0,eq_c1/2)+4*IF(circ_int,0,eq_c2/2)+2*PI()*(s_0+6*s_r+IF(circ_int,eq_c1/2,0)))/INDEX(lk_legs,7))&lt;((2*IF(circ_int,0,eq_c2/2))+(PI()*(s_0+6*s_r+IF(circ_int,eq_c1/2,0))/2)),IF(circ_int,0,eq_c2/2)+(s_0+6*s_r+IF(circ_int,eq_c1/2,0))*SIN((((24+0.5)*(4*IF(circ_int,0,eq_c1/2)+4*IF(circ_int,0,eq_c2/2)+2*PI()*(s_0+6*s_r+IF(circ_int,eq_c1/2,0)))/INDEX(lk_legs,7))-(2*IF(circ_int,0,eq_c2/2)))/(s_0+6*s_r+IF(circ_int,eq_c1/2,0))),IF(((24+0.5)*(4*IF(circ_int,0,eq_c1/2)+4*IF(circ_int,0,eq_c2/2)+2*PI()*(s_0+6*s_r+IF(circ_int,eq_c1/2,0)))/INDEX(lk_legs,7))&lt;(((2*IF(circ_int,0,eq_c2/2))+(PI()*(s_0+6*s_r+IF(circ_int,eq_c1/2,0))/2))+2*IF(circ_int,0,eq_c1/2)),IF(circ_int,0,eq_c2/2)+(s_0+6*s_r+IF(circ_int,eq_c1/2,0)),IF(((24+0.5)*(4*IF(circ_int,0,eq_c1/2)+4*IF(circ_int,0,eq_c2/2)+2*PI()*(s_0+6*s_r+IF(circ_int,eq_c1/2,0)))/INDEX(lk_legs,7))&lt;((((2*IF(circ_int,0,eq_c2/2))+(PI()*(s_0+6*s_r+IF(circ_int,eq_c1/2,0))/2))+2*IF(circ_int,0,eq_c1/2))+(PI()*(s_0+6*s_r+IF(circ_int,eq_c1/2,0))/2)),IF(circ_int,0,eq_c2/2)+(s_0+6*s_r+IF(circ_int,eq_c1/2,0))*SIN(PI()/2+(((24+0.5)*(4*IF(circ_int,0,eq_c1/2)+4*IF(circ_int,0,eq_c2/2)+2*PI()*(s_0+6*s_r+IF(circ_int,eq_c1/2,0)))/INDEX(lk_legs,7))-(((2*IF(circ_int,0,eq_c2/2))+(PI()*(s_0+6*s_r+IF(circ_int,eq_c1/2,0))/2))+2*IF(circ_int,0,eq_c1/2)))/(s_0+6*s_r+IF(circ_int,eq_c1/2,0))),IF(((24+0.5)*(4*IF(circ_int,0,eq_c1/2)+4*IF(circ_int,0,eq_c2/2)+2*PI()*(s_0+6*s_r+IF(circ_int,eq_c1/2,0)))/INDEX(lk_legs,7))&lt;(((((2*IF(circ_int,0,eq_c2/2))+(PI()*(s_0+6*s_r+IF(circ_int,eq_c1/2,0))/2))+2*IF(circ_int,0,eq_c1/2))+(PI()*(s_0+6*s_r+IF(circ_int,eq_c1/2,0))/2))+2*IF(circ_int,0,eq_c2/2)),IF(circ_int,0,eq_c2/2)-(((24+0.5)*(4*IF(circ_int,0,eq_c1/2)+4*IF(circ_int,0,eq_c2/2)+2*PI()*(s_0+6*s_r+IF(circ_int,eq_c1/2,0)))/INDEX(lk_legs,7))-((((2*IF(circ_int,0,eq_c2/2))+(PI()*(s_0+6*s_r+IF(circ_int,eq_c1/2,0))/2))+2*IF(circ_int,0,eq_c1/2))+(PI()*(s_0+6*s_r+IF(circ_int,eq_c1/2,0))/2))),IF(((24+0.5)*(4*IF(circ_int,0,eq_c1/2)+4*IF(circ_int,0,eq_c2/2)+2*PI()*(s_0+6*s_r+IF(circ_int,eq_c1/2,0)))/INDEX(lk_legs,7))&lt;((((((2*IF(circ_int,0,eq_c2/2))+(PI()*(s_0+6*s_r+IF(circ_int,eq_c1/2,0))/2))+2*IF(circ_int,0,eq_c1/2))+(PI()*(s_0+6*s_r+IF(circ_int,eq_c1/2,0))/2))+2*IF(circ_int,0,eq_c2/2))+(PI()*(s_0+6*s_r+IF(circ_int,eq_c1/2,0))/2)),-IF(circ_int,0,eq_c2/2)+(s_0+6*s_r+IF(circ_int,eq_c1/2,0))*SIN(PI()+(((24+0.5)*(4*IF(circ_int,0,eq_c1/2)+4*IF(circ_int,0,eq_c2/2)+2*PI()*(s_0+6*s_r+IF(circ_int,eq_c1/2,0)))/INDEX(lk_legs,7))-(((((2*IF(circ_int,0,eq_c2/2))+(PI()*(s_0+6*s_r+IF(circ_int,eq_c1/2,0))/2))+2*IF(circ_int,0,eq_c1/2))+(PI()*(s_0+6*s_r+IF(circ_int,eq_c1/2,0))/2))+2*IF(circ_int,0,eq_c2/2)))/(s_0+6*s_r+IF(circ_int,eq_c1/2,0))),IF(((24+0.5)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(24+0.5)*(4*IF(circ_int,0,eq_c1/2)+4*IF(circ_int,0,eq_c2/2)+2*PI()*(s_0+6*s_r+IF(circ_int,eq_c1/2,0)))/INDEX(lk_legs,7))-(((((((2*IF(circ_int,0,eq_c2/2))+(PI()*(s_0+6*s_r+IF(circ_int,eq_c1/2,0))/2))+2*IF(circ_int,0,eq_c1/2))+(PI()*(s_0+6*s_r+IF(circ_int,eq_c1/2,0))/2))+2*IF(circ_int,0,eq_c2/2))+(PI()*(s_0+6*s_r+IF(circ_int,eq_c1/2,0))/2))+2*IF(circ_int,0,eq_c1/2)))/(s_0+6*s_r+IF(circ_int,eq_c1/2,0)))))))))),NA())</f>
        <v/>
      </c>
      <c r="CM27">
        <f>IF(AND(links_on,8&lt;=n_per),IF(circ_int,(g_ox)+(c_1/2+(s_0+7*s_r))*-0.970942,CHOOSE(INDEX(lk_kind,8),(g_ox-eq_c1/2)+((s_0+7*s_r))*-0.991445,(eq_a1+eq_c1)+((s_0+7*s_r))*0.258819,eq_a1+eq_c1+(s_0+7*s_r),(eq_a1+eq_c1)+((s_0+7*s_r))*0.965926)),NA())</f>
        <v/>
      </c>
      <c r="CN27">
        <f>IF(AND(links_on,8&lt;=n_per),IF(circ_int,(g_oy)+(c_1/2+(s_0+7*s_r))*0.239316,CHOOSE(INDEX(lk_kind,8),(g_oy+eq_c2/2)+((s_0+7*s_r))*0.130526,(g_oy-eq_c2/2)+((s_0+7*s_r))*-0.965926,0,(eq_a2+eq_c2)+((s_0+7*s_r))*0.258819)),NA())</f>
        <v/>
      </c>
      <c r="CP27">
        <f>IF(AND(AND(links_on,8&lt;=n_per),INDEX(lk_kind,8)=1,24&lt;INDEX(lk_legs,8)),g_ox+IF(((24+0.5)*(4*IF(circ_int,0,eq_c1/2)+4*IF(circ_int,0,eq_c2/2)+2*PI()*(s_0+7*s_r+IF(circ_int,eq_c1/2,0)))/INDEX(lk_legs,8))&lt;(2*IF(circ_int,0,eq_c2/2)),IF(circ_int,0,eq_c1/2)+(s_0+7*s_r+IF(circ_int,eq_c1/2,0)),IF(((24+0.5)*(4*IF(circ_int,0,eq_c1/2)+4*IF(circ_int,0,eq_c2/2)+2*PI()*(s_0+7*s_r+IF(circ_int,eq_c1/2,0)))/INDEX(lk_legs,8))&lt;((2*IF(circ_int,0,eq_c2/2))+(PI()*(s_0+7*s_r+IF(circ_int,eq_c1/2,0))/2)),IF(circ_int,0,eq_c1/2)+(s_0+7*s_r+IF(circ_int,eq_c1/2,0))*COS((((24+0.5)*(4*IF(circ_int,0,eq_c1/2)+4*IF(circ_int,0,eq_c2/2)+2*PI()*(s_0+7*s_r+IF(circ_int,eq_c1/2,0)))/INDEX(lk_legs,8))-(2*IF(circ_int,0,eq_c2/2)))/(s_0+7*s_r+IF(circ_int,eq_c1/2,0))),IF(((24+0.5)*(4*IF(circ_int,0,eq_c1/2)+4*IF(circ_int,0,eq_c2/2)+2*PI()*(s_0+7*s_r+IF(circ_int,eq_c1/2,0)))/INDEX(lk_legs,8))&lt;(((2*IF(circ_int,0,eq_c2/2))+(PI()*(s_0+7*s_r+IF(circ_int,eq_c1/2,0))/2))+2*IF(circ_int,0,eq_c1/2)),IF(circ_int,0,eq_c1/2)-(((24+0.5)*(4*IF(circ_int,0,eq_c1/2)+4*IF(circ_int,0,eq_c2/2)+2*PI()*(s_0+7*s_r+IF(circ_int,eq_c1/2,0)))/INDEX(lk_legs,8))-((2*IF(circ_int,0,eq_c2/2))+(PI()*(s_0+7*s_r+IF(circ_int,eq_c1/2,0))/2))),IF(((24+0.5)*(4*IF(circ_int,0,eq_c1/2)+4*IF(circ_int,0,eq_c2/2)+2*PI()*(s_0+7*s_r+IF(circ_int,eq_c1/2,0)))/INDEX(lk_legs,8))&lt;((((2*IF(circ_int,0,eq_c2/2))+(PI()*(s_0+7*s_r+IF(circ_int,eq_c1/2,0))/2))+2*IF(circ_int,0,eq_c1/2))+(PI()*(s_0+7*s_r+IF(circ_int,eq_c1/2,0))/2)),-IF(circ_int,0,eq_c1/2)+(s_0+7*s_r+IF(circ_int,eq_c1/2,0))*COS(PI()/2+(((24+0.5)*(4*IF(circ_int,0,eq_c1/2)+4*IF(circ_int,0,eq_c2/2)+2*PI()*(s_0+7*s_r+IF(circ_int,eq_c1/2,0)))/INDEX(lk_legs,8))-(((2*IF(circ_int,0,eq_c2/2))+(PI()*(s_0+7*s_r+IF(circ_int,eq_c1/2,0))/2))+2*IF(circ_int,0,eq_c1/2)))/(s_0+7*s_r+IF(circ_int,eq_c1/2,0))),IF(((24+0.5)*(4*IF(circ_int,0,eq_c1/2)+4*IF(circ_int,0,eq_c2/2)+2*PI()*(s_0+7*s_r+IF(circ_int,eq_c1/2,0)))/INDEX(lk_legs,8))&lt;(((((2*IF(circ_int,0,eq_c2/2))+(PI()*(s_0+7*s_r+IF(circ_int,eq_c1/2,0))/2))+2*IF(circ_int,0,eq_c1/2))+(PI()*(s_0+7*s_r+IF(circ_int,eq_c1/2,0))/2))+2*IF(circ_int,0,eq_c2/2)),-IF(circ_int,0,eq_c1/2)-(s_0+7*s_r+IF(circ_int,eq_c1/2,0)),IF(((24+0.5)*(4*IF(circ_int,0,eq_c1/2)+4*IF(circ_int,0,eq_c2/2)+2*PI()*(s_0+7*s_r+IF(circ_int,eq_c1/2,0)))/INDEX(lk_legs,8))&lt;((((((2*IF(circ_int,0,eq_c2/2))+(PI()*(s_0+7*s_r+IF(circ_int,eq_c1/2,0))/2))+2*IF(circ_int,0,eq_c1/2))+(PI()*(s_0+7*s_r+IF(circ_int,eq_c1/2,0))/2))+2*IF(circ_int,0,eq_c2/2))+(PI()*(s_0+7*s_r+IF(circ_int,eq_c1/2,0))/2)),-IF(circ_int,0,eq_c1/2)+(s_0+7*s_r+IF(circ_int,eq_c1/2,0))*COS(PI()+(((24+0.5)*(4*IF(circ_int,0,eq_c1/2)+4*IF(circ_int,0,eq_c2/2)+2*PI()*(s_0+7*s_r+IF(circ_int,eq_c1/2,0)))/INDEX(lk_legs,8))-(((((2*IF(circ_int,0,eq_c2/2))+(PI()*(s_0+7*s_r+IF(circ_int,eq_c1/2,0))/2))+2*IF(circ_int,0,eq_c1/2))+(PI()*(s_0+7*s_r+IF(circ_int,eq_c1/2,0))/2))+2*IF(circ_int,0,eq_c2/2)))/(s_0+7*s_r+IF(circ_int,eq_c1/2,0))),IF(((24+0.5)*(4*IF(circ_int,0,eq_c1/2)+4*IF(circ_int,0,eq_c2/2)+2*PI()*(s_0+7*s_r+IF(circ_int,eq_c1/2,0)))/INDEX(lk_legs,8))&lt;(((((((2*IF(circ_int,0,eq_c2/2))+(PI()*(s_0+7*s_r+IF(circ_int,eq_c1/2,0))/2))+2*IF(circ_int,0,eq_c1/2))+(PI()*(s_0+7*s_r+IF(circ_int,eq_c1/2,0))/2))+2*IF(circ_int,0,eq_c2/2))+(PI()*(s_0+7*s_r+IF(circ_int,eq_c1/2,0))/2))+2*IF(circ_int,0,eq_c1/2)),-IF(circ_int,0,eq_c1/2)+(((24+0.5)*(4*IF(circ_int,0,eq_c1/2)+4*IF(circ_int,0,eq_c2/2)+2*PI()*(s_0+7*s_r+IF(circ_int,eq_c1/2,0)))/INDEX(lk_legs,8))-((((((2*IF(circ_int,0,eq_c2/2))+(PI()*(s_0+7*s_r+IF(circ_int,eq_c1/2,0))/2))+2*IF(circ_int,0,eq_c1/2))+(PI()*(s_0+7*s_r+IF(circ_int,eq_c1/2,0))/2))+2*IF(circ_int,0,eq_c2/2))+(PI()*(s_0+7*s_r+IF(circ_int,eq_c1/2,0))/2))),IF(circ_int,0,eq_c1/2)+(s_0+7*s_r+IF(circ_int,eq_c1/2,0))*COS(3*PI()/2+(((24+0.5)*(4*IF(circ_int,0,eq_c1/2)+4*IF(circ_int,0,eq_c2/2)+2*PI()*(s_0+7*s_r+IF(circ_int,eq_c1/2,0)))/INDEX(lk_legs,8))-(((((((2*IF(circ_int,0,eq_c2/2))+(PI()*(s_0+7*s_r+IF(circ_int,eq_c1/2,0))/2))+2*IF(circ_int,0,eq_c1/2))+(PI()*(s_0+7*s_r+IF(circ_int,eq_c1/2,0))/2))+2*IF(circ_int,0,eq_c2/2))+(PI()*(s_0+7*s_r+IF(circ_int,eq_c1/2,0))/2))+2*IF(circ_int,0,eq_c1/2)))/(s_0+7*s_r+IF(circ_int,eq_c1/2,0)))))))))),NA())</f>
        <v/>
      </c>
      <c r="CQ27">
        <f>IF(AND(AND(links_on,8&lt;=n_per),INDEX(lk_kind,8)=1,24&lt;INDEX(lk_legs,8)),g_oy+IF(((24+0.5)*(4*IF(circ_int,0,eq_c1/2)+4*IF(circ_int,0,eq_c2/2)+2*PI()*(s_0+7*s_r+IF(circ_int,eq_c1/2,0)))/INDEX(lk_legs,8))&lt;(2*IF(circ_int,0,eq_c2/2)),-IF(circ_int,0,eq_c2/2)+((24+0.5)*(4*IF(circ_int,0,eq_c1/2)+4*IF(circ_int,0,eq_c2/2)+2*PI()*(s_0+7*s_r+IF(circ_int,eq_c1/2,0)))/INDEX(lk_legs,8)),IF(((24+0.5)*(4*IF(circ_int,0,eq_c1/2)+4*IF(circ_int,0,eq_c2/2)+2*PI()*(s_0+7*s_r+IF(circ_int,eq_c1/2,0)))/INDEX(lk_legs,8))&lt;((2*IF(circ_int,0,eq_c2/2))+(PI()*(s_0+7*s_r+IF(circ_int,eq_c1/2,0))/2)),IF(circ_int,0,eq_c2/2)+(s_0+7*s_r+IF(circ_int,eq_c1/2,0))*SIN((((24+0.5)*(4*IF(circ_int,0,eq_c1/2)+4*IF(circ_int,0,eq_c2/2)+2*PI()*(s_0+7*s_r+IF(circ_int,eq_c1/2,0)))/INDEX(lk_legs,8))-(2*IF(circ_int,0,eq_c2/2)))/(s_0+7*s_r+IF(circ_int,eq_c1/2,0))),IF(((24+0.5)*(4*IF(circ_int,0,eq_c1/2)+4*IF(circ_int,0,eq_c2/2)+2*PI()*(s_0+7*s_r+IF(circ_int,eq_c1/2,0)))/INDEX(lk_legs,8))&lt;(((2*IF(circ_int,0,eq_c2/2))+(PI()*(s_0+7*s_r+IF(circ_int,eq_c1/2,0))/2))+2*IF(circ_int,0,eq_c1/2)),IF(circ_int,0,eq_c2/2)+(s_0+7*s_r+IF(circ_int,eq_c1/2,0)),IF(((24+0.5)*(4*IF(circ_int,0,eq_c1/2)+4*IF(circ_int,0,eq_c2/2)+2*PI()*(s_0+7*s_r+IF(circ_int,eq_c1/2,0)))/INDEX(lk_legs,8))&lt;((((2*IF(circ_int,0,eq_c2/2))+(PI()*(s_0+7*s_r+IF(circ_int,eq_c1/2,0))/2))+2*IF(circ_int,0,eq_c1/2))+(PI()*(s_0+7*s_r+IF(circ_int,eq_c1/2,0))/2)),IF(circ_int,0,eq_c2/2)+(s_0+7*s_r+IF(circ_int,eq_c1/2,0))*SIN(PI()/2+(((24+0.5)*(4*IF(circ_int,0,eq_c1/2)+4*IF(circ_int,0,eq_c2/2)+2*PI()*(s_0+7*s_r+IF(circ_int,eq_c1/2,0)))/INDEX(lk_legs,8))-(((2*IF(circ_int,0,eq_c2/2))+(PI()*(s_0+7*s_r+IF(circ_int,eq_c1/2,0))/2))+2*IF(circ_int,0,eq_c1/2)))/(s_0+7*s_r+IF(circ_int,eq_c1/2,0))),IF(((24+0.5)*(4*IF(circ_int,0,eq_c1/2)+4*IF(circ_int,0,eq_c2/2)+2*PI()*(s_0+7*s_r+IF(circ_int,eq_c1/2,0)))/INDEX(lk_legs,8))&lt;(((((2*IF(circ_int,0,eq_c2/2))+(PI()*(s_0+7*s_r+IF(circ_int,eq_c1/2,0))/2))+2*IF(circ_int,0,eq_c1/2))+(PI()*(s_0+7*s_r+IF(circ_int,eq_c1/2,0))/2))+2*IF(circ_int,0,eq_c2/2)),IF(circ_int,0,eq_c2/2)-(((24+0.5)*(4*IF(circ_int,0,eq_c1/2)+4*IF(circ_int,0,eq_c2/2)+2*PI()*(s_0+7*s_r+IF(circ_int,eq_c1/2,0)))/INDEX(lk_legs,8))-((((2*IF(circ_int,0,eq_c2/2))+(PI()*(s_0+7*s_r+IF(circ_int,eq_c1/2,0))/2))+2*IF(circ_int,0,eq_c1/2))+(PI()*(s_0+7*s_r+IF(circ_int,eq_c1/2,0))/2))),IF(((24+0.5)*(4*IF(circ_int,0,eq_c1/2)+4*IF(circ_int,0,eq_c2/2)+2*PI()*(s_0+7*s_r+IF(circ_int,eq_c1/2,0)))/INDEX(lk_legs,8))&lt;((((((2*IF(circ_int,0,eq_c2/2))+(PI()*(s_0+7*s_r+IF(circ_int,eq_c1/2,0))/2))+2*IF(circ_int,0,eq_c1/2))+(PI()*(s_0+7*s_r+IF(circ_int,eq_c1/2,0))/2))+2*IF(circ_int,0,eq_c2/2))+(PI()*(s_0+7*s_r+IF(circ_int,eq_c1/2,0))/2)),-IF(circ_int,0,eq_c2/2)+(s_0+7*s_r+IF(circ_int,eq_c1/2,0))*SIN(PI()+(((24+0.5)*(4*IF(circ_int,0,eq_c1/2)+4*IF(circ_int,0,eq_c2/2)+2*PI()*(s_0+7*s_r+IF(circ_int,eq_c1/2,0)))/INDEX(lk_legs,8))-(((((2*IF(circ_int,0,eq_c2/2))+(PI()*(s_0+7*s_r+IF(circ_int,eq_c1/2,0))/2))+2*IF(circ_int,0,eq_c1/2))+(PI()*(s_0+7*s_r+IF(circ_int,eq_c1/2,0))/2))+2*IF(circ_int,0,eq_c2/2)))/(s_0+7*s_r+IF(circ_int,eq_c1/2,0))),IF(((24+0.5)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(24+0.5)*(4*IF(circ_int,0,eq_c1/2)+4*IF(circ_int,0,eq_c2/2)+2*PI()*(s_0+7*s_r+IF(circ_int,eq_c1/2,0)))/INDEX(lk_legs,8))-(((((((2*IF(circ_int,0,eq_c2/2))+(PI()*(s_0+7*s_r+IF(circ_int,eq_c1/2,0))/2))+2*IF(circ_int,0,eq_c1/2))+(PI()*(s_0+7*s_r+IF(circ_int,eq_c1/2,0))/2))+2*IF(circ_int,0,eq_c2/2))+(PI()*(s_0+7*s_r+IF(circ_int,eq_c1/2,0))/2))+2*IF(circ_int,0,eq_c1/2)))/(s_0+7*s_r+IF(circ_int,eq_c1/2,0)))))))))),NA())</f>
        <v/>
      </c>
      <c r="CS27">
        <f>IF(AND(links_on,9&lt;=n_per),IF(circ_int,(g_ox)+(c_1/2+(s_0+8*s_r))*-0.970942,CHOOSE(INDEX(lk_kind,9),(g_ox-eq_c1/2)+((s_0+8*s_r))*-0.991445,(eq_a1+eq_c1)+((s_0+8*s_r))*0.258819,eq_a1+eq_c1+(s_0+8*s_r),(eq_a1+eq_c1)+((s_0+8*s_r))*0.965926)),NA())</f>
        <v/>
      </c>
      <c r="CT27">
        <f>IF(AND(links_on,9&lt;=n_per),IF(circ_int,(g_oy)+(c_1/2+(s_0+8*s_r))*0.239316,CHOOSE(INDEX(lk_kind,9),(g_oy+eq_c2/2)+((s_0+8*s_r))*0.130526,(g_oy-eq_c2/2)+((s_0+8*s_r))*-0.965926,0,(eq_a2+eq_c2)+((s_0+8*s_r))*0.258819)),NA())</f>
        <v/>
      </c>
      <c r="CV27">
        <f>IF(AND(AND(links_on,9&lt;=n_per),INDEX(lk_kind,9)=1,24&lt;INDEX(lk_legs,9)),g_ox+IF(((24+0.5)*(4*IF(circ_int,0,eq_c1/2)+4*IF(circ_int,0,eq_c2/2)+2*PI()*(s_0+8*s_r+IF(circ_int,eq_c1/2,0)))/INDEX(lk_legs,9))&lt;(2*IF(circ_int,0,eq_c2/2)),IF(circ_int,0,eq_c1/2)+(s_0+8*s_r+IF(circ_int,eq_c1/2,0)),IF(((24+0.5)*(4*IF(circ_int,0,eq_c1/2)+4*IF(circ_int,0,eq_c2/2)+2*PI()*(s_0+8*s_r+IF(circ_int,eq_c1/2,0)))/INDEX(lk_legs,9))&lt;((2*IF(circ_int,0,eq_c2/2))+(PI()*(s_0+8*s_r+IF(circ_int,eq_c1/2,0))/2)),IF(circ_int,0,eq_c1/2)+(s_0+8*s_r+IF(circ_int,eq_c1/2,0))*COS((((24+0.5)*(4*IF(circ_int,0,eq_c1/2)+4*IF(circ_int,0,eq_c2/2)+2*PI()*(s_0+8*s_r+IF(circ_int,eq_c1/2,0)))/INDEX(lk_legs,9))-(2*IF(circ_int,0,eq_c2/2)))/(s_0+8*s_r+IF(circ_int,eq_c1/2,0))),IF(((24+0.5)*(4*IF(circ_int,0,eq_c1/2)+4*IF(circ_int,0,eq_c2/2)+2*PI()*(s_0+8*s_r+IF(circ_int,eq_c1/2,0)))/INDEX(lk_legs,9))&lt;(((2*IF(circ_int,0,eq_c2/2))+(PI()*(s_0+8*s_r+IF(circ_int,eq_c1/2,0))/2))+2*IF(circ_int,0,eq_c1/2)),IF(circ_int,0,eq_c1/2)-(((24+0.5)*(4*IF(circ_int,0,eq_c1/2)+4*IF(circ_int,0,eq_c2/2)+2*PI()*(s_0+8*s_r+IF(circ_int,eq_c1/2,0)))/INDEX(lk_legs,9))-((2*IF(circ_int,0,eq_c2/2))+(PI()*(s_0+8*s_r+IF(circ_int,eq_c1/2,0))/2))),IF(((24+0.5)*(4*IF(circ_int,0,eq_c1/2)+4*IF(circ_int,0,eq_c2/2)+2*PI()*(s_0+8*s_r+IF(circ_int,eq_c1/2,0)))/INDEX(lk_legs,9))&lt;((((2*IF(circ_int,0,eq_c2/2))+(PI()*(s_0+8*s_r+IF(circ_int,eq_c1/2,0))/2))+2*IF(circ_int,0,eq_c1/2))+(PI()*(s_0+8*s_r+IF(circ_int,eq_c1/2,0))/2)),-IF(circ_int,0,eq_c1/2)+(s_0+8*s_r+IF(circ_int,eq_c1/2,0))*COS(PI()/2+(((24+0.5)*(4*IF(circ_int,0,eq_c1/2)+4*IF(circ_int,0,eq_c2/2)+2*PI()*(s_0+8*s_r+IF(circ_int,eq_c1/2,0)))/INDEX(lk_legs,9))-(((2*IF(circ_int,0,eq_c2/2))+(PI()*(s_0+8*s_r+IF(circ_int,eq_c1/2,0))/2))+2*IF(circ_int,0,eq_c1/2)))/(s_0+8*s_r+IF(circ_int,eq_c1/2,0))),IF(((24+0.5)*(4*IF(circ_int,0,eq_c1/2)+4*IF(circ_int,0,eq_c2/2)+2*PI()*(s_0+8*s_r+IF(circ_int,eq_c1/2,0)))/INDEX(lk_legs,9))&lt;(((((2*IF(circ_int,0,eq_c2/2))+(PI()*(s_0+8*s_r+IF(circ_int,eq_c1/2,0))/2))+2*IF(circ_int,0,eq_c1/2))+(PI()*(s_0+8*s_r+IF(circ_int,eq_c1/2,0))/2))+2*IF(circ_int,0,eq_c2/2)),-IF(circ_int,0,eq_c1/2)-(s_0+8*s_r+IF(circ_int,eq_c1/2,0)),IF(((24+0.5)*(4*IF(circ_int,0,eq_c1/2)+4*IF(circ_int,0,eq_c2/2)+2*PI()*(s_0+8*s_r+IF(circ_int,eq_c1/2,0)))/INDEX(lk_legs,9))&lt;((((((2*IF(circ_int,0,eq_c2/2))+(PI()*(s_0+8*s_r+IF(circ_int,eq_c1/2,0))/2))+2*IF(circ_int,0,eq_c1/2))+(PI()*(s_0+8*s_r+IF(circ_int,eq_c1/2,0))/2))+2*IF(circ_int,0,eq_c2/2))+(PI()*(s_0+8*s_r+IF(circ_int,eq_c1/2,0))/2)),-IF(circ_int,0,eq_c1/2)+(s_0+8*s_r+IF(circ_int,eq_c1/2,0))*COS(PI()+(((24+0.5)*(4*IF(circ_int,0,eq_c1/2)+4*IF(circ_int,0,eq_c2/2)+2*PI()*(s_0+8*s_r+IF(circ_int,eq_c1/2,0)))/INDEX(lk_legs,9))-(((((2*IF(circ_int,0,eq_c2/2))+(PI()*(s_0+8*s_r+IF(circ_int,eq_c1/2,0))/2))+2*IF(circ_int,0,eq_c1/2))+(PI()*(s_0+8*s_r+IF(circ_int,eq_c1/2,0))/2))+2*IF(circ_int,0,eq_c2/2)))/(s_0+8*s_r+IF(circ_int,eq_c1/2,0))),IF(((24+0.5)*(4*IF(circ_int,0,eq_c1/2)+4*IF(circ_int,0,eq_c2/2)+2*PI()*(s_0+8*s_r+IF(circ_int,eq_c1/2,0)))/INDEX(lk_legs,9))&lt;(((((((2*IF(circ_int,0,eq_c2/2))+(PI()*(s_0+8*s_r+IF(circ_int,eq_c1/2,0))/2))+2*IF(circ_int,0,eq_c1/2))+(PI()*(s_0+8*s_r+IF(circ_int,eq_c1/2,0))/2))+2*IF(circ_int,0,eq_c2/2))+(PI()*(s_0+8*s_r+IF(circ_int,eq_c1/2,0))/2))+2*IF(circ_int,0,eq_c1/2)),-IF(circ_int,0,eq_c1/2)+(((24+0.5)*(4*IF(circ_int,0,eq_c1/2)+4*IF(circ_int,0,eq_c2/2)+2*PI()*(s_0+8*s_r+IF(circ_int,eq_c1/2,0)))/INDEX(lk_legs,9))-((((((2*IF(circ_int,0,eq_c2/2))+(PI()*(s_0+8*s_r+IF(circ_int,eq_c1/2,0))/2))+2*IF(circ_int,0,eq_c1/2))+(PI()*(s_0+8*s_r+IF(circ_int,eq_c1/2,0))/2))+2*IF(circ_int,0,eq_c2/2))+(PI()*(s_0+8*s_r+IF(circ_int,eq_c1/2,0))/2))),IF(circ_int,0,eq_c1/2)+(s_0+8*s_r+IF(circ_int,eq_c1/2,0))*COS(3*PI()/2+(((24+0.5)*(4*IF(circ_int,0,eq_c1/2)+4*IF(circ_int,0,eq_c2/2)+2*PI()*(s_0+8*s_r+IF(circ_int,eq_c1/2,0)))/INDEX(lk_legs,9))-(((((((2*IF(circ_int,0,eq_c2/2))+(PI()*(s_0+8*s_r+IF(circ_int,eq_c1/2,0))/2))+2*IF(circ_int,0,eq_c1/2))+(PI()*(s_0+8*s_r+IF(circ_int,eq_c1/2,0))/2))+2*IF(circ_int,0,eq_c2/2))+(PI()*(s_0+8*s_r+IF(circ_int,eq_c1/2,0))/2))+2*IF(circ_int,0,eq_c1/2)))/(s_0+8*s_r+IF(circ_int,eq_c1/2,0)))))))))),NA())</f>
        <v/>
      </c>
      <c r="CW27">
        <f>IF(AND(AND(links_on,9&lt;=n_per),INDEX(lk_kind,9)=1,24&lt;INDEX(lk_legs,9)),g_oy+IF(((24+0.5)*(4*IF(circ_int,0,eq_c1/2)+4*IF(circ_int,0,eq_c2/2)+2*PI()*(s_0+8*s_r+IF(circ_int,eq_c1/2,0)))/INDEX(lk_legs,9))&lt;(2*IF(circ_int,0,eq_c2/2)),-IF(circ_int,0,eq_c2/2)+((24+0.5)*(4*IF(circ_int,0,eq_c1/2)+4*IF(circ_int,0,eq_c2/2)+2*PI()*(s_0+8*s_r+IF(circ_int,eq_c1/2,0)))/INDEX(lk_legs,9)),IF(((24+0.5)*(4*IF(circ_int,0,eq_c1/2)+4*IF(circ_int,0,eq_c2/2)+2*PI()*(s_0+8*s_r+IF(circ_int,eq_c1/2,0)))/INDEX(lk_legs,9))&lt;((2*IF(circ_int,0,eq_c2/2))+(PI()*(s_0+8*s_r+IF(circ_int,eq_c1/2,0))/2)),IF(circ_int,0,eq_c2/2)+(s_0+8*s_r+IF(circ_int,eq_c1/2,0))*SIN((((24+0.5)*(4*IF(circ_int,0,eq_c1/2)+4*IF(circ_int,0,eq_c2/2)+2*PI()*(s_0+8*s_r+IF(circ_int,eq_c1/2,0)))/INDEX(lk_legs,9))-(2*IF(circ_int,0,eq_c2/2)))/(s_0+8*s_r+IF(circ_int,eq_c1/2,0))),IF(((24+0.5)*(4*IF(circ_int,0,eq_c1/2)+4*IF(circ_int,0,eq_c2/2)+2*PI()*(s_0+8*s_r+IF(circ_int,eq_c1/2,0)))/INDEX(lk_legs,9))&lt;(((2*IF(circ_int,0,eq_c2/2))+(PI()*(s_0+8*s_r+IF(circ_int,eq_c1/2,0))/2))+2*IF(circ_int,0,eq_c1/2)),IF(circ_int,0,eq_c2/2)+(s_0+8*s_r+IF(circ_int,eq_c1/2,0)),IF(((24+0.5)*(4*IF(circ_int,0,eq_c1/2)+4*IF(circ_int,0,eq_c2/2)+2*PI()*(s_0+8*s_r+IF(circ_int,eq_c1/2,0)))/INDEX(lk_legs,9))&lt;((((2*IF(circ_int,0,eq_c2/2))+(PI()*(s_0+8*s_r+IF(circ_int,eq_c1/2,0))/2))+2*IF(circ_int,0,eq_c1/2))+(PI()*(s_0+8*s_r+IF(circ_int,eq_c1/2,0))/2)),IF(circ_int,0,eq_c2/2)+(s_0+8*s_r+IF(circ_int,eq_c1/2,0))*SIN(PI()/2+(((24+0.5)*(4*IF(circ_int,0,eq_c1/2)+4*IF(circ_int,0,eq_c2/2)+2*PI()*(s_0+8*s_r+IF(circ_int,eq_c1/2,0)))/INDEX(lk_legs,9))-(((2*IF(circ_int,0,eq_c2/2))+(PI()*(s_0+8*s_r+IF(circ_int,eq_c1/2,0))/2))+2*IF(circ_int,0,eq_c1/2)))/(s_0+8*s_r+IF(circ_int,eq_c1/2,0))),IF(((24+0.5)*(4*IF(circ_int,0,eq_c1/2)+4*IF(circ_int,0,eq_c2/2)+2*PI()*(s_0+8*s_r+IF(circ_int,eq_c1/2,0)))/INDEX(lk_legs,9))&lt;(((((2*IF(circ_int,0,eq_c2/2))+(PI()*(s_0+8*s_r+IF(circ_int,eq_c1/2,0))/2))+2*IF(circ_int,0,eq_c1/2))+(PI()*(s_0+8*s_r+IF(circ_int,eq_c1/2,0))/2))+2*IF(circ_int,0,eq_c2/2)),IF(circ_int,0,eq_c2/2)-(((24+0.5)*(4*IF(circ_int,0,eq_c1/2)+4*IF(circ_int,0,eq_c2/2)+2*PI()*(s_0+8*s_r+IF(circ_int,eq_c1/2,0)))/INDEX(lk_legs,9))-((((2*IF(circ_int,0,eq_c2/2))+(PI()*(s_0+8*s_r+IF(circ_int,eq_c1/2,0))/2))+2*IF(circ_int,0,eq_c1/2))+(PI()*(s_0+8*s_r+IF(circ_int,eq_c1/2,0))/2))),IF(((24+0.5)*(4*IF(circ_int,0,eq_c1/2)+4*IF(circ_int,0,eq_c2/2)+2*PI()*(s_0+8*s_r+IF(circ_int,eq_c1/2,0)))/INDEX(lk_legs,9))&lt;((((((2*IF(circ_int,0,eq_c2/2))+(PI()*(s_0+8*s_r+IF(circ_int,eq_c1/2,0))/2))+2*IF(circ_int,0,eq_c1/2))+(PI()*(s_0+8*s_r+IF(circ_int,eq_c1/2,0))/2))+2*IF(circ_int,0,eq_c2/2))+(PI()*(s_0+8*s_r+IF(circ_int,eq_c1/2,0))/2)),-IF(circ_int,0,eq_c2/2)+(s_0+8*s_r+IF(circ_int,eq_c1/2,0))*SIN(PI()+(((24+0.5)*(4*IF(circ_int,0,eq_c1/2)+4*IF(circ_int,0,eq_c2/2)+2*PI()*(s_0+8*s_r+IF(circ_int,eq_c1/2,0)))/INDEX(lk_legs,9))-(((((2*IF(circ_int,0,eq_c2/2))+(PI()*(s_0+8*s_r+IF(circ_int,eq_c1/2,0))/2))+2*IF(circ_int,0,eq_c1/2))+(PI()*(s_0+8*s_r+IF(circ_int,eq_c1/2,0))/2))+2*IF(circ_int,0,eq_c2/2)))/(s_0+8*s_r+IF(circ_int,eq_c1/2,0))),IF(((24+0.5)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(24+0.5)*(4*IF(circ_int,0,eq_c1/2)+4*IF(circ_int,0,eq_c2/2)+2*PI()*(s_0+8*s_r+IF(circ_int,eq_c1/2,0)))/INDEX(lk_legs,9))-(((((((2*IF(circ_int,0,eq_c2/2))+(PI()*(s_0+8*s_r+IF(circ_int,eq_c1/2,0))/2))+2*IF(circ_int,0,eq_c1/2))+(PI()*(s_0+8*s_r+IF(circ_int,eq_c1/2,0))/2))+2*IF(circ_int,0,eq_c2/2))+(PI()*(s_0+8*s_r+IF(circ_int,eq_c1/2,0))/2))+2*IF(circ_int,0,eq_c1/2)))/(s_0+8*s_r+IF(circ_int,eq_c1/2,0)))))))))),NA())</f>
        <v/>
      </c>
      <c r="CY27">
        <f>IF(AND(links_on,10&lt;=n_per),IF(circ_int,(g_ox)+(c_1/2+(s_0+9*s_r))*-0.970942,CHOOSE(INDEX(lk_kind,10),(g_ox-eq_c1/2)+((s_0+9*s_r))*-0.991445,(eq_a1+eq_c1)+((s_0+9*s_r))*0.258819,eq_a1+eq_c1+(s_0+9*s_r),(eq_a1+eq_c1)+((s_0+9*s_r))*0.965926)),NA())</f>
        <v/>
      </c>
      <c r="CZ27">
        <f>IF(AND(links_on,10&lt;=n_per),IF(circ_int,(g_oy)+(c_1/2+(s_0+9*s_r))*0.239316,CHOOSE(INDEX(lk_kind,10),(g_oy+eq_c2/2)+((s_0+9*s_r))*0.130526,(g_oy-eq_c2/2)+((s_0+9*s_r))*-0.965926,0,(eq_a2+eq_c2)+((s_0+9*s_r))*0.258819)),NA())</f>
        <v/>
      </c>
      <c r="DB27">
        <f>IF(AND(AND(links_on,10&lt;=n_per),INDEX(lk_kind,10)=1,24&lt;INDEX(lk_legs,10)),g_ox+IF(((24+0.5)*(4*IF(circ_int,0,eq_c1/2)+4*IF(circ_int,0,eq_c2/2)+2*PI()*(s_0+9*s_r+IF(circ_int,eq_c1/2,0)))/INDEX(lk_legs,10))&lt;(2*IF(circ_int,0,eq_c2/2)),IF(circ_int,0,eq_c1/2)+(s_0+9*s_r+IF(circ_int,eq_c1/2,0)),IF(((24+0.5)*(4*IF(circ_int,0,eq_c1/2)+4*IF(circ_int,0,eq_c2/2)+2*PI()*(s_0+9*s_r+IF(circ_int,eq_c1/2,0)))/INDEX(lk_legs,10))&lt;((2*IF(circ_int,0,eq_c2/2))+(PI()*(s_0+9*s_r+IF(circ_int,eq_c1/2,0))/2)),IF(circ_int,0,eq_c1/2)+(s_0+9*s_r+IF(circ_int,eq_c1/2,0))*COS((((24+0.5)*(4*IF(circ_int,0,eq_c1/2)+4*IF(circ_int,0,eq_c2/2)+2*PI()*(s_0+9*s_r+IF(circ_int,eq_c1/2,0)))/INDEX(lk_legs,10))-(2*IF(circ_int,0,eq_c2/2)))/(s_0+9*s_r+IF(circ_int,eq_c1/2,0))),IF(((24+0.5)*(4*IF(circ_int,0,eq_c1/2)+4*IF(circ_int,0,eq_c2/2)+2*PI()*(s_0+9*s_r+IF(circ_int,eq_c1/2,0)))/INDEX(lk_legs,10))&lt;(((2*IF(circ_int,0,eq_c2/2))+(PI()*(s_0+9*s_r+IF(circ_int,eq_c1/2,0))/2))+2*IF(circ_int,0,eq_c1/2)),IF(circ_int,0,eq_c1/2)-(((24+0.5)*(4*IF(circ_int,0,eq_c1/2)+4*IF(circ_int,0,eq_c2/2)+2*PI()*(s_0+9*s_r+IF(circ_int,eq_c1/2,0)))/INDEX(lk_legs,10))-((2*IF(circ_int,0,eq_c2/2))+(PI()*(s_0+9*s_r+IF(circ_int,eq_c1/2,0))/2))),IF(((24+0.5)*(4*IF(circ_int,0,eq_c1/2)+4*IF(circ_int,0,eq_c2/2)+2*PI()*(s_0+9*s_r+IF(circ_int,eq_c1/2,0)))/INDEX(lk_legs,10))&lt;((((2*IF(circ_int,0,eq_c2/2))+(PI()*(s_0+9*s_r+IF(circ_int,eq_c1/2,0))/2))+2*IF(circ_int,0,eq_c1/2))+(PI()*(s_0+9*s_r+IF(circ_int,eq_c1/2,0))/2)),-IF(circ_int,0,eq_c1/2)+(s_0+9*s_r+IF(circ_int,eq_c1/2,0))*COS(PI()/2+(((24+0.5)*(4*IF(circ_int,0,eq_c1/2)+4*IF(circ_int,0,eq_c2/2)+2*PI()*(s_0+9*s_r+IF(circ_int,eq_c1/2,0)))/INDEX(lk_legs,10))-(((2*IF(circ_int,0,eq_c2/2))+(PI()*(s_0+9*s_r+IF(circ_int,eq_c1/2,0))/2))+2*IF(circ_int,0,eq_c1/2)))/(s_0+9*s_r+IF(circ_int,eq_c1/2,0))),IF(((24+0.5)*(4*IF(circ_int,0,eq_c1/2)+4*IF(circ_int,0,eq_c2/2)+2*PI()*(s_0+9*s_r+IF(circ_int,eq_c1/2,0)))/INDEX(lk_legs,10))&lt;(((((2*IF(circ_int,0,eq_c2/2))+(PI()*(s_0+9*s_r+IF(circ_int,eq_c1/2,0))/2))+2*IF(circ_int,0,eq_c1/2))+(PI()*(s_0+9*s_r+IF(circ_int,eq_c1/2,0))/2))+2*IF(circ_int,0,eq_c2/2)),-IF(circ_int,0,eq_c1/2)-(s_0+9*s_r+IF(circ_int,eq_c1/2,0)),IF(((24+0.5)*(4*IF(circ_int,0,eq_c1/2)+4*IF(circ_int,0,eq_c2/2)+2*PI()*(s_0+9*s_r+IF(circ_int,eq_c1/2,0)))/INDEX(lk_legs,10))&lt;((((((2*IF(circ_int,0,eq_c2/2))+(PI()*(s_0+9*s_r+IF(circ_int,eq_c1/2,0))/2))+2*IF(circ_int,0,eq_c1/2))+(PI()*(s_0+9*s_r+IF(circ_int,eq_c1/2,0))/2))+2*IF(circ_int,0,eq_c2/2))+(PI()*(s_0+9*s_r+IF(circ_int,eq_c1/2,0))/2)),-IF(circ_int,0,eq_c1/2)+(s_0+9*s_r+IF(circ_int,eq_c1/2,0))*COS(PI()+(((24+0.5)*(4*IF(circ_int,0,eq_c1/2)+4*IF(circ_int,0,eq_c2/2)+2*PI()*(s_0+9*s_r+IF(circ_int,eq_c1/2,0)))/INDEX(lk_legs,10))-(((((2*IF(circ_int,0,eq_c2/2))+(PI()*(s_0+9*s_r+IF(circ_int,eq_c1/2,0))/2))+2*IF(circ_int,0,eq_c1/2))+(PI()*(s_0+9*s_r+IF(circ_int,eq_c1/2,0))/2))+2*IF(circ_int,0,eq_c2/2)))/(s_0+9*s_r+IF(circ_int,eq_c1/2,0))),IF(((24+0.5)*(4*IF(circ_int,0,eq_c1/2)+4*IF(circ_int,0,eq_c2/2)+2*PI()*(s_0+9*s_r+IF(circ_int,eq_c1/2,0)))/INDEX(lk_legs,10))&lt;(((((((2*IF(circ_int,0,eq_c2/2))+(PI()*(s_0+9*s_r+IF(circ_int,eq_c1/2,0))/2))+2*IF(circ_int,0,eq_c1/2))+(PI()*(s_0+9*s_r+IF(circ_int,eq_c1/2,0))/2))+2*IF(circ_int,0,eq_c2/2))+(PI()*(s_0+9*s_r+IF(circ_int,eq_c1/2,0))/2))+2*IF(circ_int,0,eq_c1/2)),-IF(circ_int,0,eq_c1/2)+(((24+0.5)*(4*IF(circ_int,0,eq_c1/2)+4*IF(circ_int,0,eq_c2/2)+2*PI()*(s_0+9*s_r+IF(circ_int,eq_c1/2,0)))/INDEX(lk_legs,10))-((((((2*IF(circ_int,0,eq_c2/2))+(PI()*(s_0+9*s_r+IF(circ_int,eq_c1/2,0))/2))+2*IF(circ_int,0,eq_c1/2))+(PI()*(s_0+9*s_r+IF(circ_int,eq_c1/2,0))/2))+2*IF(circ_int,0,eq_c2/2))+(PI()*(s_0+9*s_r+IF(circ_int,eq_c1/2,0))/2))),IF(circ_int,0,eq_c1/2)+(s_0+9*s_r+IF(circ_int,eq_c1/2,0))*COS(3*PI()/2+(((24+0.5)*(4*IF(circ_int,0,eq_c1/2)+4*IF(circ_int,0,eq_c2/2)+2*PI()*(s_0+9*s_r+IF(circ_int,eq_c1/2,0)))/INDEX(lk_legs,10))-(((((((2*IF(circ_int,0,eq_c2/2))+(PI()*(s_0+9*s_r+IF(circ_int,eq_c1/2,0))/2))+2*IF(circ_int,0,eq_c1/2))+(PI()*(s_0+9*s_r+IF(circ_int,eq_c1/2,0))/2))+2*IF(circ_int,0,eq_c2/2))+(PI()*(s_0+9*s_r+IF(circ_int,eq_c1/2,0))/2))+2*IF(circ_int,0,eq_c1/2)))/(s_0+9*s_r+IF(circ_int,eq_c1/2,0)))))))))),NA())</f>
        <v/>
      </c>
      <c r="DC27">
        <f>IF(AND(AND(links_on,10&lt;=n_per),INDEX(lk_kind,10)=1,24&lt;INDEX(lk_legs,10)),g_oy+IF(((24+0.5)*(4*IF(circ_int,0,eq_c1/2)+4*IF(circ_int,0,eq_c2/2)+2*PI()*(s_0+9*s_r+IF(circ_int,eq_c1/2,0)))/INDEX(lk_legs,10))&lt;(2*IF(circ_int,0,eq_c2/2)),-IF(circ_int,0,eq_c2/2)+((24+0.5)*(4*IF(circ_int,0,eq_c1/2)+4*IF(circ_int,0,eq_c2/2)+2*PI()*(s_0+9*s_r+IF(circ_int,eq_c1/2,0)))/INDEX(lk_legs,10)),IF(((24+0.5)*(4*IF(circ_int,0,eq_c1/2)+4*IF(circ_int,0,eq_c2/2)+2*PI()*(s_0+9*s_r+IF(circ_int,eq_c1/2,0)))/INDEX(lk_legs,10))&lt;((2*IF(circ_int,0,eq_c2/2))+(PI()*(s_0+9*s_r+IF(circ_int,eq_c1/2,0))/2)),IF(circ_int,0,eq_c2/2)+(s_0+9*s_r+IF(circ_int,eq_c1/2,0))*SIN((((24+0.5)*(4*IF(circ_int,0,eq_c1/2)+4*IF(circ_int,0,eq_c2/2)+2*PI()*(s_0+9*s_r+IF(circ_int,eq_c1/2,0)))/INDEX(lk_legs,10))-(2*IF(circ_int,0,eq_c2/2)))/(s_0+9*s_r+IF(circ_int,eq_c1/2,0))),IF(((24+0.5)*(4*IF(circ_int,0,eq_c1/2)+4*IF(circ_int,0,eq_c2/2)+2*PI()*(s_0+9*s_r+IF(circ_int,eq_c1/2,0)))/INDEX(lk_legs,10))&lt;(((2*IF(circ_int,0,eq_c2/2))+(PI()*(s_0+9*s_r+IF(circ_int,eq_c1/2,0))/2))+2*IF(circ_int,0,eq_c1/2)),IF(circ_int,0,eq_c2/2)+(s_0+9*s_r+IF(circ_int,eq_c1/2,0)),IF(((24+0.5)*(4*IF(circ_int,0,eq_c1/2)+4*IF(circ_int,0,eq_c2/2)+2*PI()*(s_0+9*s_r+IF(circ_int,eq_c1/2,0)))/INDEX(lk_legs,10))&lt;((((2*IF(circ_int,0,eq_c2/2))+(PI()*(s_0+9*s_r+IF(circ_int,eq_c1/2,0))/2))+2*IF(circ_int,0,eq_c1/2))+(PI()*(s_0+9*s_r+IF(circ_int,eq_c1/2,0))/2)),IF(circ_int,0,eq_c2/2)+(s_0+9*s_r+IF(circ_int,eq_c1/2,0))*SIN(PI()/2+(((24+0.5)*(4*IF(circ_int,0,eq_c1/2)+4*IF(circ_int,0,eq_c2/2)+2*PI()*(s_0+9*s_r+IF(circ_int,eq_c1/2,0)))/INDEX(lk_legs,10))-(((2*IF(circ_int,0,eq_c2/2))+(PI()*(s_0+9*s_r+IF(circ_int,eq_c1/2,0))/2))+2*IF(circ_int,0,eq_c1/2)))/(s_0+9*s_r+IF(circ_int,eq_c1/2,0))),IF(((24+0.5)*(4*IF(circ_int,0,eq_c1/2)+4*IF(circ_int,0,eq_c2/2)+2*PI()*(s_0+9*s_r+IF(circ_int,eq_c1/2,0)))/INDEX(lk_legs,10))&lt;(((((2*IF(circ_int,0,eq_c2/2))+(PI()*(s_0+9*s_r+IF(circ_int,eq_c1/2,0))/2))+2*IF(circ_int,0,eq_c1/2))+(PI()*(s_0+9*s_r+IF(circ_int,eq_c1/2,0))/2))+2*IF(circ_int,0,eq_c2/2)),IF(circ_int,0,eq_c2/2)-(((24+0.5)*(4*IF(circ_int,0,eq_c1/2)+4*IF(circ_int,0,eq_c2/2)+2*PI()*(s_0+9*s_r+IF(circ_int,eq_c1/2,0)))/INDEX(lk_legs,10))-((((2*IF(circ_int,0,eq_c2/2))+(PI()*(s_0+9*s_r+IF(circ_int,eq_c1/2,0))/2))+2*IF(circ_int,0,eq_c1/2))+(PI()*(s_0+9*s_r+IF(circ_int,eq_c1/2,0))/2))),IF(((24+0.5)*(4*IF(circ_int,0,eq_c1/2)+4*IF(circ_int,0,eq_c2/2)+2*PI()*(s_0+9*s_r+IF(circ_int,eq_c1/2,0)))/INDEX(lk_legs,10))&lt;((((((2*IF(circ_int,0,eq_c2/2))+(PI()*(s_0+9*s_r+IF(circ_int,eq_c1/2,0))/2))+2*IF(circ_int,0,eq_c1/2))+(PI()*(s_0+9*s_r+IF(circ_int,eq_c1/2,0))/2))+2*IF(circ_int,0,eq_c2/2))+(PI()*(s_0+9*s_r+IF(circ_int,eq_c1/2,0))/2)),-IF(circ_int,0,eq_c2/2)+(s_0+9*s_r+IF(circ_int,eq_c1/2,0))*SIN(PI()+(((24+0.5)*(4*IF(circ_int,0,eq_c1/2)+4*IF(circ_int,0,eq_c2/2)+2*PI()*(s_0+9*s_r+IF(circ_int,eq_c1/2,0)))/INDEX(lk_legs,10))-(((((2*IF(circ_int,0,eq_c2/2))+(PI()*(s_0+9*s_r+IF(circ_int,eq_c1/2,0))/2))+2*IF(circ_int,0,eq_c1/2))+(PI()*(s_0+9*s_r+IF(circ_int,eq_c1/2,0))/2))+2*IF(circ_int,0,eq_c2/2)))/(s_0+9*s_r+IF(circ_int,eq_c1/2,0))),IF(((24+0.5)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(24+0.5)*(4*IF(circ_int,0,eq_c1/2)+4*IF(circ_int,0,eq_c2/2)+2*PI()*(s_0+9*s_r+IF(circ_int,eq_c1/2,0)))/INDEX(lk_legs,10))-(((((((2*IF(circ_int,0,eq_c2/2))+(PI()*(s_0+9*s_r+IF(circ_int,eq_c1/2,0))/2))+2*IF(circ_int,0,eq_c1/2))+(PI()*(s_0+9*s_r+IF(circ_int,eq_c1/2,0))/2))+2*IF(circ_int,0,eq_c2/2))+(PI()*(s_0+9*s_r+IF(circ_int,eq_c1/2,0))/2))+2*IF(circ_int,0,eq_c1/2)))/(s_0+9*s_r+IF(circ_int,eq_c1/2,0)))))))))),NA())</f>
        <v/>
      </c>
      <c r="DE27">
        <f>IF(AND(links_on,11&lt;=n_per),IF(circ_int,(g_ox)+(c_1/2+(s_0+10*s_r))*-0.970942,CHOOSE(INDEX(lk_kind,11),(g_ox-eq_c1/2)+((s_0+10*s_r))*-0.991445,(eq_a1+eq_c1)+((s_0+10*s_r))*0.258819,eq_a1+eq_c1+(s_0+10*s_r),(eq_a1+eq_c1)+((s_0+10*s_r))*0.965926)),NA())</f>
        <v/>
      </c>
      <c r="DF27">
        <f>IF(AND(links_on,11&lt;=n_per),IF(circ_int,(g_oy)+(c_1/2+(s_0+10*s_r))*0.239316,CHOOSE(INDEX(lk_kind,11),(g_oy+eq_c2/2)+((s_0+10*s_r))*0.130526,(g_oy-eq_c2/2)+((s_0+10*s_r))*-0.965926,0,(eq_a2+eq_c2)+((s_0+10*s_r))*0.258819)),NA())</f>
        <v/>
      </c>
      <c r="DH27">
        <f>IF(AND(AND(links_on,11&lt;=n_per),INDEX(lk_kind,11)=1,24&lt;INDEX(lk_legs,11)),g_ox+IF(((24+0.5)*(4*IF(circ_int,0,eq_c1/2)+4*IF(circ_int,0,eq_c2/2)+2*PI()*(s_0+10*s_r+IF(circ_int,eq_c1/2,0)))/INDEX(lk_legs,11))&lt;(2*IF(circ_int,0,eq_c2/2)),IF(circ_int,0,eq_c1/2)+(s_0+10*s_r+IF(circ_int,eq_c1/2,0)),IF(((24+0.5)*(4*IF(circ_int,0,eq_c1/2)+4*IF(circ_int,0,eq_c2/2)+2*PI()*(s_0+10*s_r+IF(circ_int,eq_c1/2,0)))/INDEX(lk_legs,11))&lt;((2*IF(circ_int,0,eq_c2/2))+(PI()*(s_0+10*s_r+IF(circ_int,eq_c1/2,0))/2)),IF(circ_int,0,eq_c1/2)+(s_0+10*s_r+IF(circ_int,eq_c1/2,0))*COS((((24+0.5)*(4*IF(circ_int,0,eq_c1/2)+4*IF(circ_int,0,eq_c2/2)+2*PI()*(s_0+10*s_r+IF(circ_int,eq_c1/2,0)))/INDEX(lk_legs,11))-(2*IF(circ_int,0,eq_c2/2)))/(s_0+10*s_r+IF(circ_int,eq_c1/2,0))),IF(((24+0.5)*(4*IF(circ_int,0,eq_c1/2)+4*IF(circ_int,0,eq_c2/2)+2*PI()*(s_0+10*s_r+IF(circ_int,eq_c1/2,0)))/INDEX(lk_legs,11))&lt;(((2*IF(circ_int,0,eq_c2/2))+(PI()*(s_0+10*s_r+IF(circ_int,eq_c1/2,0))/2))+2*IF(circ_int,0,eq_c1/2)),IF(circ_int,0,eq_c1/2)-(((24+0.5)*(4*IF(circ_int,0,eq_c1/2)+4*IF(circ_int,0,eq_c2/2)+2*PI()*(s_0+10*s_r+IF(circ_int,eq_c1/2,0)))/INDEX(lk_legs,11))-((2*IF(circ_int,0,eq_c2/2))+(PI()*(s_0+10*s_r+IF(circ_int,eq_c1/2,0))/2))),IF(((24+0.5)*(4*IF(circ_int,0,eq_c1/2)+4*IF(circ_int,0,eq_c2/2)+2*PI()*(s_0+10*s_r+IF(circ_int,eq_c1/2,0)))/INDEX(lk_legs,11))&lt;((((2*IF(circ_int,0,eq_c2/2))+(PI()*(s_0+10*s_r+IF(circ_int,eq_c1/2,0))/2))+2*IF(circ_int,0,eq_c1/2))+(PI()*(s_0+10*s_r+IF(circ_int,eq_c1/2,0))/2)),-IF(circ_int,0,eq_c1/2)+(s_0+10*s_r+IF(circ_int,eq_c1/2,0))*COS(PI()/2+(((24+0.5)*(4*IF(circ_int,0,eq_c1/2)+4*IF(circ_int,0,eq_c2/2)+2*PI()*(s_0+10*s_r+IF(circ_int,eq_c1/2,0)))/INDEX(lk_legs,11))-(((2*IF(circ_int,0,eq_c2/2))+(PI()*(s_0+10*s_r+IF(circ_int,eq_c1/2,0))/2))+2*IF(circ_int,0,eq_c1/2)))/(s_0+10*s_r+IF(circ_int,eq_c1/2,0))),IF(((24+0.5)*(4*IF(circ_int,0,eq_c1/2)+4*IF(circ_int,0,eq_c2/2)+2*PI()*(s_0+10*s_r+IF(circ_int,eq_c1/2,0)))/INDEX(lk_legs,11))&lt;(((((2*IF(circ_int,0,eq_c2/2))+(PI()*(s_0+10*s_r+IF(circ_int,eq_c1/2,0))/2))+2*IF(circ_int,0,eq_c1/2))+(PI()*(s_0+10*s_r+IF(circ_int,eq_c1/2,0))/2))+2*IF(circ_int,0,eq_c2/2)),-IF(circ_int,0,eq_c1/2)-(s_0+10*s_r+IF(circ_int,eq_c1/2,0)),IF(((24+0.5)*(4*IF(circ_int,0,eq_c1/2)+4*IF(circ_int,0,eq_c2/2)+2*PI()*(s_0+10*s_r+IF(circ_int,eq_c1/2,0)))/INDEX(lk_legs,11))&lt;((((((2*IF(circ_int,0,eq_c2/2))+(PI()*(s_0+10*s_r+IF(circ_int,eq_c1/2,0))/2))+2*IF(circ_int,0,eq_c1/2))+(PI()*(s_0+10*s_r+IF(circ_int,eq_c1/2,0))/2))+2*IF(circ_int,0,eq_c2/2))+(PI()*(s_0+10*s_r+IF(circ_int,eq_c1/2,0))/2)),-IF(circ_int,0,eq_c1/2)+(s_0+10*s_r+IF(circ_int,eq_c1/2,0))*COS(PI()+(((24+0.5)*(4*IF(circ_int,0,eq_c1/2)+4*IF(circ_int,0,eq_c2/2)+2*PI()*(s_0+10*s_r+IF(circ_int,eq_c1/2,0)))/INDEX(lk_legs,11))-(((((2*IF(circ_int,0,eq_c2/2))+(PI()*(s_0+10*s_r+IF(circ_int,eq_c1/2,0))/2))+2*IF(circ_int,0,eq_c1/2))+(PI()*(s_0+10*s_r+IF(circ_int,eq_c1/2,0))/2))+2*IF(circ_int,0,eq_c2/2)))/(s_0+10*s_r+IF(circ_int,eq_c1/2,0))),IF(((24+0.5)*(4*IF(circ_int,0,eq_c1/2)+4*IF(circ_int,0,eq_c2/2)+2*PI()*(s_0+10*s_r+IF(circ_int,eq_c1/2,0)))/INDEX(lk_legs,11))&lt;(((((((2*IF(circ_int,0,eq_c2/2))+(PI()*(s_0+10*s_r+IF(circ_int,eq_c1/2,0))/2))+2*IF(circ_int,0,eq_c1/2))+(PI()*(s_0+10*s_r+IF(circ_int,eq_c1/2,0))/2))+2*IF(circ_int,0,eq_c2/2))+(PI()*(s_0+10*s_r+IF(circ_int,eq_c1/2,0))/2))+2*IF(circ_int,0,eq_c1/2)),-IF(circ_int,0,eq_c1/2)+(((24+0.5)*(4*IF(circ_int,0,eq_c1/2)+4*IF(circ_int,0,eq_c2/2)+2*PI()*(s_0+10*s_r+IF(circ_int,eq_c1/2,0)))/INDEX(lk_legs,11))-((((((2*IF(circ_int,0,eq_c2/2))+(PI()*(s_0+10*s_r+IF(circ_int,eq_c1/2,0))/2))+2*IF(circ_int,0,eq_c1/2))+(PI()*(s_0+10*s_r+IF(circ_int,eq_c1/2,0))/2))+2*IF(circ_int,0,eq_c2/2))+(PI()*(s_0+10*s_r+IF(circ_int,eq_c1/2,0))/2))),IF(circ_int,0,eq_c1/2)+(s_0+10*s_r+IF(circ_int,eq_c1/2,0))*COS(3*PI()/2+(((24+0.5)*(4*IF(circ_int,0,eq_c1/2)+4*IF(circ_int,0,eq_c2/2)+2*PI()*(s_0+10*s_r+IF(circ_int,eq_c1/2,0)))/INDEX(lk_legs,11))-(((((((2*IF(circ_int,0,eq_c2/2))+(PI()*(s_0+10*s_r+IF(circ_int,eq_c1/2,0))/2))+2*IF(circ_int,0,eq_c1/2))+(PI()*(s_0+10*s_r+IF(circ_int,eq_c1/2,0))/2))+2*IF(circ_int,0,eq_c2/2))+(PI()*(s_0+10*s_r+IF(circ_int,eq_c1/2,0))/2))+2*IF(circ_int,0,eq_c1/2)))/(s_0+10*s_r+IF(circ_int,eq_c1/2,0)))))))))),NA())</f>
        <v/>
      </c>
      <c r="DI27">
        <f>IF(AND(AND(links_on,11&lt;=n_per),INDEX(lk_kind,11)=1,24&lt;INDEX(lk_legs,11)),g_oy+IF(((24+0.5)*(4*IF(circ_int,0,eq_c1/2)+4*IF(circ_int,0,eq_c2/2)+2*PI()*(s_0+10*s_r+IF(circ_int,eq_c1/2,0)))/INDEX(lk_legs,11))&lt;(2*IF(circ_int,0,eq_c2/2)),-IF(circ_int,0,eq_c2/2)+((24+0.5)*(4*IF(circ_int,0,eq_c1/2)+4*IF(circ_int,0,eq_c2/2)+2*PI()*(s_0+10*s_r+IF(circ_int,eq_c1/2,0)))/INDEX(lk_legs,11)),IF(((24+0.5)*(4*IF(circ_int,0,eq_c1/2)+4*IF(circ_int,0,eq_c2/2)+2*PI()*(s_0+10*s_r+IF(circ_int,eq_c1/2,0)))/INDEX(lk_legs,11))&lt;((2*IF(circ_int,0,eq_c2/2))+(PI()*(s_0+10*s_r+IF(circ_int,eq_c1/2,0))/2)),IF(circ_int,0,eq_c2/2)+(s_0+10*s_r+IF(circ_int,eq_c1/2,0))*SIN((((24+0.5)*(4*IF(circ_int,0,eq_c1/2)+4*IF(circ_int,0,eq_c2/2)+2*PI()*(s_0+10*s_r+IF(circ_int,eq_c1/2,0)))/INDEX(lk_legs,11))-(2*IF(circ_int,0,eq_c2/2)))/(s_0+10*s_r+IF(circ_int,eq_c1/2,0))),IF(((24+0.5)*(4*IF(circ_int,0,eq_c1/2)+4*IF(circ_int,0,eq_c2/2)+2*PI()*(s_0+10*s_r+IF(circ_int,eq_c1/2,0)))/INDEX(lk_legs,11))&lt;(((2*IF(circ_int,0,eq_c2/2))+(PI()*(s_0+10*s_r+IF(circ_int,eq_c1/2,0))/2))+2*IF(circ_int,0,eq_c1/2)),IF(circ_int,0,eq_c2/2)+(s_0+10*s_r+IF(circ_int,eq_c1/2,0)),IF(((24+0.5)*(4*IF(circ_int,0,eq_c1/2)+4*IF(circ_int,0,eq_c2/2)+2*PI()*(s_0+10*s_r+IF(circ_int,eq_c1/2,0)))/INDEX(lk_legs,11))&lt;((((2*IF(circ_int,0,eq_c2/2))+(PI()*(s_0+10*s_r+IF(circ_int,eq_c1/2,0))/2))+2*IF(circ_int,0,eq_c1/2))+(PI()*(s_0+10*s_r+IF(circ_int,eq_c1/2,0))/2)),IF(circ_int,0,eq_c2/2)+(s_0+10*s_r+IF(circ_int,eq_c1/2,0))*SIN(PI()/2+(((24+0.5)*(4*IF(circ_int,0,eq_c1/2)+4*IF(circ_int,0,eq_c2/2)+2*PI()*(s_0+10*s_r+IF(circ_int,eq_c1/2,0)))/INDEX(lk_legs,11))-(((2*IF(circ_int,0,eq_c2/2))+(PI()*(s_0+10*s_r+IF(circ_int,eq_c1/2,0))/2))+2*IF(circ_int,0,eq_c1/2)))/(s_0+10*s_r+IF(circ_int,eq_c1/2,0))),IF(((24+0.5)*(4*IF(circ_int,0,eq_c1/2)+4*IF(circ_int,0,eq_c2/2)+2*PI()*(s_0+10*s_r+IF(circ_int,eq_c1/2,0)))/INDEX(lk_legs,11))&lt;(((((2*IF(circ_int,0,eq_c2/2))+(PI()*(s_0+10*s_r+IF(circ_int,eq_c1/2,0))/2))+2*IF(circ_int,0,eq_c1/2))+(PI()*(s_0+10*s_r+IF(circ_int,eq_c1/2,0))/2))+2*IF(circ_int,0,eq_c2/2)),IF(circ_int,0,eq_c2/2)-(((24+0.5)*(4*IF(circ_int,0,eq_c1/2)+4*IF(circ_int,0,eq_c2/2)+2*PI()*(s_0+10*s_r+IF(circ_int,eq_c1/2,0)))/INDEX(lk_legs,11))-((((2*IF(circ_int,0,eq_c2/2))+(PI()*(s_0+10*s_r+IF(circ_int,eq_c1/2,0))/2))+2*IF(circ_int,0,eq_c1/2))+(PI()*(s_0+10*s_r+IF(circ_int,eq_c1/2,0))/2))),IF(((24+0.5)*(4*IF(circ_int,0,eq_c1/2)+4*IF(circ_int,0,eq_c2/2)+2*PI()*(s_0+10*s_r+IF(circ_int,eq_c1/2,0)))/INDEX(lk_legs,11))&lt;((((((2*IF(circ_int,0,eq_c2/2))+(PI()*(s_0+10*s_r+IF(circ_int,eq_c1/2,0))/2))+2*IF(circ_int,0,eq_c1/2))+(PI()*(s_0+10*s_r+IF(circ_int,eq_c1/2,0))/2))+2*IF(circ_int,0,eq_c2/2))+(PI()*(s_0+10*s_r+IF(circ_int,eq_c1/2,0))/2)),-IF(circ_int,0,eq_c2/2)+(s_0+10*s_r+IF(circ_int,eq_c1/2,0))*SIN(PI()+(((24+0.5)*(4*IF(circ_int,0,eq_c1/2)+4*IF(circ_int,0,eq_c2/2)+2*PI()*(s_0+10*s_r+IF(circ_int,eq_c1/2,0)))/INDEX(lk_legs,11))-(((((2*IF(circ_int,0,eq_c2/2))+(PI()*(s_0+10*s_r+IF(circ_int,eq_c1/2,0))/2))+2*IF(circ_int,0,eq_c1/2))+(PI()*(s_0+10*s_r+IF(circ_int,eq_c1/2,0))/2))+2*IF(circ_int,0,eq_c2/2)))/(s_0+10*s_r+IF(circ_int,eq_c1/2,0))),IF(((24+0.5)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(24+0.5)*(4*IF(circ_int,0,eq_c1/2)+4*IF(circ_int,0,eq_c2/2)+2*PI()*(s_0+10*s_r+IF(circ_int,eq_c1/2,0)))/INDEX(lk_legs,11))-(((((((2*IF(circ_int,0,eq_c2/2))+(PI()*(s_0+10*s_r+IF(circ_int,eq_c1/2,0))/2))+2*IF(circ_int,0,eq_c1/2))+(PI()*(s_0+10*s_r+IF(circ_int,eq_c1/2,0))/2))+2*IF(circ_int,0,eq_c2/2))+(PI()*(s_0+10*s_r+IF(circ_int,eq_c1/2,0))/2))+2*IF(circ_int,0,eq_c1/2)))/(s_0+10*s_r+IF(circ_int,eq_c1/2,0)))))))))),NA())</f>
        <v/>
      </c>
      <c r="DK27">
        <f>IF(AND(links_on,12&lt;=n_per),IF(circ_int,(g_ox)+(c_1/2+(s_0+11*s_r))*-0.970942,CHOOSE(INDEX(lk_kind,12),(g_ox-eq_c1/2)+((s_0+11*s_r))*-0.991445,(eq_a1+eq_c1)+((s_0+11*s_r))*0.258819,eq_a1+eq_c1+(s_0+11*s_r),(eq_a1+eq_c1)+((s_0+11*s_r))*0.965926)),NA())</f>
        <v/>
      </c>
      <c r="DL27">
        <f>IF(AND(links_on,12&lt;=n_per),IF(circ_int,(g_oy)+(c_1/2+(s_0+11*s_r))*0.239316,CHOOSE(INDEX(lk_kind,12),(g_oy+eq_c2/2)+((s_0+11*s_r))*0.130526,(g_oy-eq_c2/2)+((s_0+11*s_r))*-0.965926,0,(eq_a2+eq_c2)+((s_0+11*s_r))*0.258819)),NA())</f>
        <v/>
      </c>
      <c r="DN27">
        <f>IF(AND(AND(links_on,12&lt;=n_per),INDEX(lk_kind,12)=1,24&lt;INDEX(lk_legs,12)),g_ox+IF(((24+0.5)*(4*IF(circ_int,0,eq_c1/2)+4*IF(circ_int,0,eq_c2/2)+2*PI()*(s_0+11*s_r+IF(circ_int,eq_c1/2,0)))/INDEX(lk_legs,12))&lt;(2*IF(circ_int,0,eq_c2/2)),IF(circ_int,0,eq_c1/2)+(s_0+11*s_r+IF(circ_int,eq_c1/2,0)),IF(((24+0.5)*(4*IF(circ_int,0,eq_c1/2)+4*IF(circ_int,0,eq_c2/2)+2*PI()*(s_0+11*s_r+IF(circ_int,eq_c1/2,0)))/INDEX(lk_legs,12))&lt;((2*IF(circ_int,0,eq_c2/2))+(PI()*(s_0+11*s_r+IF(circ_int,eq_c1/2,0))/2)),IF(circ_int,0,eq_c1/2)+(s_0+11*s_r+IF(circ_int,eq_c1/2,0))*COS((((24+0.5)*(4*IF(circ_int,0,eq_c1/2)+4*IF(circ_int,0,eq_c2/2)+2*PI()*(s_0+11*s_r+IF(circ_int,eq_c1/2,0)))/INDEX(lk_legs,12))-(2*IF(circ_int,0,eq_c2/2)))/(s_0+11*s_r+IF(circ_int,eq_c1/2,0))),IF(((24+0.5)*(4*IF(circ_int,0,eq_c1/2)+4*IF(circ_int,0,eq_c2/2)+2*PI()*(s_0+11*s_r+IF(circ_int,eq_c1/2,0)))/INDEX(lk_legs,12))&lt;(((2*IF(circ_int,0,eq_c2/2))+(PI()*(s_0+11*s_r+IF(circ_int,eq_c1/2,0))/2))+2*IF(circ_int,0,eq_c1/2)),IF(circ_int,0,eq_c1/2)-(((24+0.5)*(4*IF(circ_int,0,eq_c1/2)+4*IF(circ_int,0,eq_c2/2)+2*PI()*(s_0+11*s_r+IF(circ_int,eq_c1/2,0)))/INDEX(lk_legs,12))-((2*IF(circ_int,0,eq_c2/2))+(PI()*(s_0+11*s_r+IF(circ_int,eq_c1/2,0))/2))),IF(((24+0.5)*(4*IF(circ_int,0,eq_c1/2)+4*IF(circ_int,0,eq_c2/2)+2*PI()*(s_0+11*s_r+IF(circ_int,eq_c1/2,0)))/INDEX(lk_legs,12))&lt;((((2*IF(circ_int,0,eq_c2/2))+(PI()*(s_0+11*s_r+IF(circ_int,eq_c1/2,0))/2))+2*IF(circ_int,0,eq_c1/2))+(PI()*(s_0+11*s_r+IF(circ_int,eq_c1/2,0))/2)),-IF(circ_int,0,eq_c1/2)+(s_0+11*s_r+IF(circ_int,eq_c1/2,0))*COS(PI()/2+(((24+0.5)*(4*IF(circ_int,0,eq_c1/2)+4*IF(circ_int,0,eq_c2/2)+2*PI()*(s_0+11*s_r+IF(circ_int,eq_c1/2,0)))/INDEX(lk_legs,12))-(((2*IF(circ_int,0,eq_c2/2))+(PI()*(s_0+11*s_r+IF(circ_int,eq_c1/2,0))/2))+2*IF(circ_int,0,eq_c1/2)))/(s_0+11*s_r+IF(circ_int,eq_c1/2,0))),IF(((24+0.5)*(4*IF(circ_int,0,eq_c1/2)+4*IF(circ_int,0,eq_c2/2)+2*PI()*(s_0+11*s_r+IF(circ_int,eq_c1/2,0)))/INDEX(lk_legs,12))&lt;(((((2*IF(circ_int,0,eq_c2/2))+(PI()*(s_0+11*s_r+IF(circ_int,eq_c1/2,0))/2))+2*IF(circ_int,0,eq_c1/2))+(PI()*(s_0+11*s_r+IF(circ_int,eq_c1/2,0))/2))+2*IF(circ_int,0,eq_c2/2)),-IF(circ_int,0,eq_c1/2)-(s_0+11*s_r+IF(circ_int,eq_c1/2,0)),IF(((24+0.5)*(4*IF(circ_int,0,eq_c1/2)+4*IF(circ_int,0,eq_c2/2)+2*PI()*(s_0+11*s_r+IF(circ_int,eq_c1/2,0)))/INDEX(lk_legs,12))&lt;((((((2*IF(circ_int,0,eq_c2/2))+(PI()*(s_0+11*s_r+IF(circ_int,eq_c1/2,0))/2))+2*IF(circ_int,0,eq_c1/2))+(PI()*(s_0+11*s_r+IF(circ_int,eq_c1/2,0))/2))+2*IF(circ_int,0,eq_c2/2))+(PI()*(s_0+11*s_r+IF(circ_int,eq_c1/2,0))/2)),-IF(circ_int,0,eq_c1/2)+(s_0+11*s_r+IF(circ_int,eq_c1/2,0))*COS(PI()+(((24+0.5)*(4*IF(circ_int,0,eq_c1/2)+4*IF(circ_int,0,eq_c2/2)+2*PI()*(s_0+11*s_r+IF(circ_int,eq_c1/2,0)))/INDEX(lk_legs,12))-(((((2*IF(circ_int,0,eq_c2/2))+(PI()*(s_0+11*s_r+IF(circ_int,eq_c1/2,0))/2))+2*IF(circ_int,0,eq_c1/2))+(PI()*(s_0+11*s_r+IF(circ_int,eq_c1/2,0))/2))+2*IF(circ_int,0,eq_c2/2)))/(s_0+11*s_r+IF(circ_int,eq_c1/2,0))),IF(((24+0.5)*(4*IF(circ_int,0,eq_c1/2)+4*IF(circ_int,0,eq_c2/2)+2*PI()*(s_0+11*s_r+IF(circ_int,eq_c1/2,0)))/INDEX(lk_legs,12))&lt;(((((((2*IF(circ_int,0,eq_c2/2))+(PI()*(s_0+11*s_r+IF(circ_int,eq_c1/2,0))/2))+2*IF(circ_int,0,eq_c1/2))+(PI()*(s_0+11*s_r+IF(circ_int,eq_c1/2,0))/2))+2*IF(circ_int,0,eq_c2/2))+(PI()*(s_0+11*s_r+IF(circ_int,eq_c1/2,0))/2))+2*IF(circ_int,0,eq_c1/2)),-IF(circ_int,0,eq_c1/2)+(((24+0.5)*(4*IF(circ_int,0,eq_c1/2)+4*IF(circ_int,0,eq_c2/2)+2*PI()*(s_0+11*s_r+IF(circ_int,eq_c1/2,0)))/INDEX(lk_legs,12))-((((((2*IF(circ_int,0,eq_c2/2))+(PI()*(s_0+11*s_r+IF(circ_int,eq_c1/2,0))/2))+2*IF(circ_int,0,eq_c1/2))+(PI()*(s_0+11*s_r+IF(circ_int,eq_c1/2,0))/2))+2*IF(circ_int,0,eq_c2/2))+(PI()*(s_0+11*s_r+IF(circ_int,eq_c1/2,0))/2))),IF(circ_int,0,eq_c1/2)+(s_0+11*s_r+IF(circ_int,eq_c1/2,0))*COS(3*PI()/2+(((24+0.5)*(4*IF(circ_int,0,eq_c1/2)+4*IF(circ_int,0,eq_c2/2)+2*PI()*(s_0+11*s_r+IF(circ_int,eq_c1/2,0)))/INDEX(lk_legs,12))-(((((((2*IF(circ_int,0,eq_c2/2))+(PI()*(s_0+11*s_r+IF(circ_int,eq_c1/2,0))/2))+2*IF(circ_int,0,eq_c1/2))+(PI()*(s_0+11*s_r+IF(circ_int,eq_c1/2,0))/2))+2*IF(circ_int,0,eq_c2/2))+(PI()*(s_0+11*s_r+IF(circ_int,eq_c1/2,0))/2))+2*IF(circ_int,0,eq_c1/2)))/(s_0+11*s_r+IF(circ_int,eq_c1/2,0)))))))))),NA())</f>
        <v/>
      </c>
      <c r="DO27">
        <f>IF(AND(AND(links_on,12&lt;=n_per),INDEX(lk_kind,12)=1,24&lt;INDEX(lk_legs,12)),g_oy+IF(((24+0.5)*(4*IF(circ_int,0,eq_c1/2)+4*IF(circ_int,0,eq_c2/2)+2*PI()*(s_0+11*s_r+IF(circ_int,eq_c1/2,0)))/INDEX(lk_legs,12))&lt;(2*IF(circ_int,0,eq_c2/2)),-IF(circ_int,0,eq_c2/2)+((24+0.5)*(4*IF(circ_int,0,eq_c1/2)+4*IF(circ_int,0,eq_c2/2)+2*PI()*(s_0+11*s_r+IF(circ_int,eq_c1/2,0)))/INDEX(lk_legs,12)),IF(((24+0.5)*(4*IF(circ_int,0,eq_c1/2)+4*IF(circ_int,0,eq_c2/2)+2*PI()*(s_0+11*s_r+IF(circ_int,eq_c1/2,0)))/INDEX(lk_legs,12))&lt;((2*IF(circ_int,0,eq_c2/2))+(PI()*(s_0+11*s_r+IF(circ_int,eq_c1/2,0))/2)),IF(circ_int,0,eq_c2/2)+(s_0+11*s_r+IF(circ_int,eq_c1/2,0))*SIN((((24+0.5)*(4*IF(circ_int,0,eq_c1/2)+4*IF(circ_int,0,eq_c2/2)+2*PI()*(s_0+11*s_r+IF(circ_int,eq_c1/2,0)))/INDEX(lk_legs,12))-(2*IF(circ_int,0,eq_c2/2)))/(s_0+11*s_r+IF(circ_int,eq_c1/2,0))),IF(((24+0.5)*(4*IF(circ_int,0,eq_c1/2)+4*IF(circ_int,0,eq_c2/2)+2*PI()*(s_0+11*s_r+IF(circ_int,eq_c1/2,0)))/INDEX(lk_legs,12))&lt;(((2*IF(circ_int,0,eq_c2/2))+(PI()*(s_0+11*s_r+IF(circ_int,eq_c1/2,0))/2))+2*IF(circ_int,0,eq_c1/2)),IF(circ_int,0,eq_c2/2)+(s_0+11*s_r+IF(circ_int,eq_c1/2,0)),IF(((24+0.5)*(4*IF(circ_int,0,eq_c1/2)+4*IF(circ_int,0,eq_c2/2)+2*PI()*(s_0+11*s_r+IF(circ_int,eq_c1/2,0)))/INDEX(lk_legs,12))&lt;((((2*IF(circ_int,0,eq_c2/2))+(PI()*(s_0+11*s_r+IF(circ_int,eq_c1/2,0))/2))+2*IF(circ_int,0,eq_c1/2))+(PI()*(s_0+11*s_r+IF(circ_int,eq_c1/2,0))/2)),IF(circ_int,0,eq_c2/2)+(s_0+11*s_r+IF(circ_int,eq_c1/2,0))*SIN(PI()/2+(((24+0.5)*(4*IF(circ_int,0,eq_c1/2)+4*IF(circ_int,0,eq_c2/2)+2*PI()*(s_0+11*s_r+IF(circ_int,eq_c1/2,0)))/INDEX(lk_legs,12))-(((2*IF(circ_int,0,eq_c2/2))+(PI()*(s_0+11*s_r+IF(circ_int,eq_c1/2,0))/2))+2*IF(circ_int,0,eq_c1/2)))/(s_0+11*s_r+IF(circ_int,eq_c1/2,0))),IF(((24+0.5)*(4*IF(circ_int,0,eq_c1/2)+4*IF(circ_int,0,eq_c2/2)+2*PI()*(s_0+11*s_r+IF(circ_int,eq_c1/2,0)))/INDEX(lk_legs,12))&lt;(((((2*IF(circ_int,0,eq_c2/2))+(PI()*(s_0+11*s_r+IF(circ_int,eq_c1/2,0))/2))+2*IF(circ_int,0,eq_c1/2))+(PI()*(s_0+11*s_r+IF(circ_int,eq_c1/2,0))/2))+2*IF(circ_int,0,eq_c2/2)),IF(circ_int,0,eq_c2/2)-(((24+0.5)*(4*IF(circ_int,0,eq_c1/2)+4*IF(circ_int,0,eq_c2/2)+2*PI()*(s_0+11*s_r+IF(circ_int,eq_c1/2,0)))/INDEX(lk_legs,12))-((((2*IF(circ_int,0,eq_c2/2))+(PI()*(s_0+11*s_r+IF(circ_int,eq_c1/2,0))/2))+2*IF(circ_int,0,eq_c1/2))+(PI()*(s_0+11*s_r+IF(circ_int,eq_c1/2,0))/2))),IF(((24+0.5)*(4*IF(circ_int,0,eq_c1/2)+4*IF(circ_int,0,eq_c2/2)+2*PI()*(s_0+11*s_r+IF(circ_int,eq_c1/2,0)))/INDEX(lk_legs,12))&lt;((((((2*IF(circ_int,0,eq_c2/2))+(PI()*(s_0+11*s_r+IF(circ_int,eq_c1/2,0))/2))+2*IF(circ_int,0,eq_c1/2))+(PI()*(s_0+11*s_r+IF(circ_int,eq_c1/2,0))/2))+2*IF(circ_int,0,eq_c2/2))+(PI()*(s_0+11*s_r+IF(circ_int,eq_c1/2,0))/2)),-IF(circ_int,0,eq_c2/2)+(s_0+11*s_r+IF(circ_int,eq_c1/2,0))*SIN(PI()+(((24+0.5)*(4*IF(circ_int,0,eq_c1/2)+4*IF(circ_int,0,eq_c2/2)+2*PI()*(s_0+11*s_r+IF(circ_int,eq_c1/2,0)))/INDEX(lk_legs,12))-(((((2*IF(circ_int,0,eq_c2/2))+(PI()*(s_0+11*s_r+IF(circ_int,eq_c1/2,0))/2))+2*IF(circ_int,0,eq_c1/2))+(PI()*(s_0+11*s_r+IF(circ_int,eq_c1/2,0))/2))+2*IF(circ_int,0,eq_c2/2)))/(s_0+11*s_r+IF(circ_int,eq_c1/2,0))),IF(((24+0.5)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(24+0.5)*(4*IF(circ_int,0,eq_c1/2)+4*IF(circ_int,0,eq_c2/2)+2*PI()*(s_0+11*s_r+IF(circ_int,eq_c1/2,0)))/INDEX(lk_legs,12))-(((((((2*IF(circ_int,0,eq_c2/2))+(PI()*(s_0+11*s_r+IF(circ_int,eq_c1/2,0))/2))+2*IF(circ_int,0,eq_c1/2))+(PI()*(s_0+11*s_r+IF(circ_int,eq_c1/2,0))/2))+2*IF(circ_int,0,eq_c2/2))+(PI()*(s_0+11*s_r+IF(circ_int,eq_c1/2,0))/2))+2*IF(circ_int,0,eq_c1/2)))/(s_0+11*s_r+IF(circ_int,eq_c1/2,0)))))))))),NA())</f>
        <v/>
      </c>
    </row>
    <row r="28">
      <c r="A28">
        <f>IF(shape="Circular",(g_ox)+(c_1/2+0)*-0.992709,CHOOSE(1,(g_ox-eq_c1/2)+(0)*-1.000000,(eq_a1+eq_c1)+(0)*0.130526,eq_a1+eq_c1+0,(eq_a1+eq_c1)+(0)*0.991445))</f>
        <v/>
      </c>
      <c r="B28">
        <f>IF(shape="Circular",(g_oy)+(c_1/2+0)*0.120537,CHOOSE(1,(g_oy+eq_c2/2)+(0)*0.000000,(g_oy-eq_c2/2)+(0)*-0.991445,0,(eq_a2+eq_c2)+(0)*0.130526))</f>
        <v/>
      </c>
      <c r="D28">
        <f>IF(circ_int,(g_ox)+(c_1/2+2*d_eff)*-0.992709,CHOOSE(geo_idx,(g_ox-eq_c1/2)+(2*d_eff)*-1.000000,(eq_a1+eq_c1)+(2*d_eff)*0.130526,eq_a1+eq_c1+2*d_eff,(eq_a1+eq_c1)+(2*d_eff)*0.991445))</f>
        <v/>
      </c>
      <c r="E28">
        <f>IF(circ_int,(g_oy)+(c_1/2+2*d_eff)*0.120537,CHOOSE(geo_idx,(g_oy+eq_c2/2)+(2*d_eff)*0.000000,(g_oy-eq_c2/2)+(2*d_eff)*-0.991445,0,(eq_a2+eq_c2)+(2*d_eff)*0.130526))</f>
        <v/>
      </c>
      <c r="G28">
        <f>IF(AND(inputs_ok,punch_ok,A_sw&gt;0),IF(circ_int,(g_ox)+(c_1/2+r_out)*-0.992709,CHOOSE(kind_out,(g_ox-eq_c1/2)+(r_out)*-1.000000,(eq_a1+eq_c1)+(r_out)*0.130526,eq_a1+eq_c1+r_out,(eq_a1+eq_c1)+(r_out)*0.991445)),NA())</f>
        <v/>
      </c>
      <c r="H28">
        <f>IF(AND(inputs_ok,punch_ok,A_sw&gt;0),IF(circ_int,(g_oy)+(c_1/2+r_out)*0.120537,CHOOSE(kind_out,(g_oy+eq_c2/2)+(r_out)*0.000000,(g_oy-eq_c2/2)+(r_out)*-0.991445,0,(eq_a2+eq_c2)+(r_out)*0.130526)),NA())</f>
        <v/>
      </c>
      <c r="AW28">
        <f>IF(AND(links_on,1&lt;=n_per),IF(circ_int,(g_ox)+(c_1/2+(s_0+0*s_r))*-0.992709,CHOOSE(INDEX(lk_kind,1),(g_ox-eq_c1/2)+((s_0+0*s_r))*-1.000000,(eq_a1+eq_c1)+((s_0+0*s_r))*0.130526,eq_a1+eq_c1+(s_0+0*s_r),(eq_a1+eq_c1)+((s_0+0*s_r))*0.991445)),NA())</f>
        <v/>
      </c>
      <c r="AX28">
        <f>IF(AND(links_on,1&lt;=n_per),IF(circ_int,(g_oy)+(c_1/2+(s_0+0*s_r))*0.120537,CHOOSE(INDEX(lk_kind,1),(g_oy+eq_c2/2)+((s_0+0*s_r))*0.000000,(g_oy-eq_c2/2)+((s_0+0*s_r))*-0.991445,0,(eq_a2+eq_c2)+((s_0+0*s_r))*0.130526)),NA())</f>
        <v/>
      </c>
      <c r="AZ28">
        <f>IF(AND(AND(links_on,1&lt;=n_per),INDEX(lk_kind,1)=1,25&lt;INDEX(lk_legs,1)),g_ox+IF(((25+0.5)*(4*IF(circ_int,0,eq_c1/2)+4*IF(circ_int,0,eq_c2/2)+2*PI()*(s_0+0*s_r+IF(circ_int,eq_c1/2,0)))/INDEX(lk_legs,1))&lt;(2*IF(circ_int,0,eq_c2/2)),IF(circ_int,0,eq_c1/2)+(s_0+0*s_r+IF(circ_int,eq_c1/2,0)),IF(((25+0.5)*(4*IF(circ_int,0,eq_c1/2)+4*IF(circ_int,0,eq_c2/2)+2*PI()*(s_0+0*s_r+IF(circ_int,eq_c1/2,0)))/INDEX(lk_legs,1))&lt;((2*IF(circ_int,0,eq_c2/2))+(PI()*(s_0+0*s_r+IF(circ_int,eq_c1/2,0))/2)),IF(circ_int,0,eq_c1/2)+(s_0+0*s_r+IF(circ_int,eq_c1/2,0))*COS((((25+0.5)*(4*IF(circ_int,0,eq_c1/2)+4*IF(circ_int,0,eq_c2/2)+2*PI()*(s_0+0*s_r+IF(circ_int,eq_c1/2,0)))/INDEX(lk_legs,1))-(2*IF(circ_int,0,eq_c2/2)))/(s_0+0*s_r+IF(circ_int,eq_c1/2,0))),IF(((25+0.5)*(4*IF(circ_int,0,eq_c1/2)+4*IF(circ_int,0,eq_c2/2)+2*PI()*(s_0+0*s_r+IF(circ_int,eq_c1/2,0)))/INDEX(lk_legs,1))&lt;(((2*IF(circ_int,0,eq_c2/2))+(PI()*(s_0+0*s_r+IF(circ_int,eq_c1/2,0))/2))+2*IF(circ_int,0,eq_c1/2)),IF(circ_int,0,eq_c1/2)-(((25+0.5)*(4*IF(circ_int,0,eq_c1/2)+4*IF(circ_int,0,eq_c2/2)+2*PI()*(s_0+0*s_r+IF(circ_int,eq_c1/2,0)))/INDEX(lk_legs,1))-((2*IF(circ_int,0,eq_c2/2))+(PI()*(s_0+0*s_r+IF(circ_int,eq_c1/2,0))/2))),IF(((25+0.5)*(4*IF(circ_int,0,eq_c1/2)+4*IF(circ_int,0,eq_c2/2)+2*PI()*(s_0+0*s_r+IF(circ_int,eq_c1/2,0)))/INDEX(lk_legs,1))&lt;((((2*IF(circ_int,0,eq_c2/2))+(PI()*(s_0+0*s_r+IF(circ_int,eq_c1/2,0))/2))+2*IF(circ_int,0,eq_c1/2))+(PI()*(s_0+0*s_r+IF(circ_int,eq_c1/2,0))/2)),-IF(circ_int,0,eq_c1/2)+(s_0+0*s_r+IF(circ_int,eq_c1/2,0))*COS(PI()/2+(((25+0.5)*(4*IF(circ_int,0,eq_c1/2)+4*IF(circ_int,0,eq_c2/2)+2*PI()*(s_0+0*s_r+IF(circ_int,eq_c1/2,0)))/INDEX(lk_legs,1))-(((2*IF(circ_int,0,eq_c2/2))+(PI()*(s_0+0*s_r+IF(circ_int,eq_c1/2,0))/2))+2*IF(circ_int,0,eq_c1/2)))/(s_0+0*s_r+IF(circ_int,eq_c1/2,0))),IF(((25+0.5)*(4*IF(circ_int,0,eq_c1/2)+4*IF(circ_int,0,eq_c2/2)+2*PI()*(s_0+0*s_r+IF(circ_int,eq_c1/2,0)))/INDEX(lk_legs,1))&lt;(((((2*IF(circ_int,0,eq_c2/2))+(PI()*(s_0+0*s_r+IF(circ_int,eq_c1/2,0))/2))+2*IF(circ_int,0,eq_c1/2))+(PI()*(s_0+0*s_r+IF(circ_int,eq_c1/2,0))/2))+2*IF(circ_int,0,eq_c2/2)),-IF(circ_int,0,eq_c1/2)-(s_0+0*s_r+IF(circ_int,eq_c1/2,0)),IF(((25+0.5)*(4*IF(circ_int,0,eq_c1/2)+4*IF(circ_int,0,eq_c2/2)+2*PI()*(s_0+0*s_r+IF(circ_int,eq_c1/2,0)))/INDEX(lk_legs,1))&lt;((((((2*IF(circ_int,0,eq_c2/2))+(PI()*(s_0+0*s_r+IF(circ_int,eq_c1/2,0))/2))+2*IF(circ_int,0,eq_c1/2))+(PI()*(s_0+0*s_r+IF(circ_int,eq_c1/2,0))/2))+2*IF(circ_int,0,eq_c2/2))+(PI()*(s_0+0*s_r+IF(circ_int,eq_c1/2,0))/2)),-IF(circ_int,0,eq_c1/2)+(s_0+0*s_r+IF(circ_int,eq_c1/2,0))*COS(PI()+(((25+0.5)*(4*IF(circ_int,0,eq_c1/2)+4*IF(circ_int,0,eq_c2/2)+2*PI()*(s_0+0*s_r+IF(circ_int,eq_c1/2,0)))/INDEX(lk_legs,1))-(((((2*IF(circ_int,0,eq_c2/2))+(PI()*(s_0+0*s_r+IF(circ_int,eq_c1/2,0))/2))+2*IF(circ_int,0,eq_c1/2))+(PI()*(s_0+0*s_r+IF(circ_int,eq_c1/2,0))/2))+2*IF(circ_int,0,eq_c2/2)))/(s_0+0*s_r+IF(circ_int,eq_c1/2,0))),IF(((25+0.5)*(4*IF(circ_int,0,eq_c1/2)+4*IF(circ_int,0,eq_c2/2)+2*PI()*(s_0+0*s_r+IF(circ_int,eq_c1/2,0)))/INDEX(lk_legs,1))&lt;(((((((2*IF(circ_int,0,eq_c2/2))+(PI()*(s_0+0*s_r+IF(circ_int,eq_c1/2,0))/2))+2*IF(circ_int,0,eq_c1/2))+(PI()*(s_0+0*s_r+IF(circ_int,eq_c1/2,0))/2))+2*IF(circ_int,0,eq_c2/2))+(PI()*(s_0+0*s_r+IF(circ_int,eq_c1/2,0))/2))+2*IF(circ_int,0,eq_c1/2)),-IF(circ_int,0,eq_c1/2)+(((25+0.5)*(4*IF(circ_int,0,eq_c1/2)+4*IF(circ_int,0,eq_c2/2)+2*PI()*(s_0+0*s_r+IF(circ_int,eq_c1/2,0)))/INDEX(lk_legs,1))-((((((2*IF(circ_int,0,eq_c2/2))+(PI()*(s_0+0*s_r+IF(circ_int,eq_c1/2,0))/2))+2*IF(circ_int,0,eq_c1/2))+(PI()*(s_0+0*s_r+IF(circ_int,eq_c1/2,0))/2))+2*IF(circ_int,0,eq_c2/2))+(PI()*(s_0+0*s_r+IF(circ_int,eq_c1/2,0))/2))),IF(circ_int,0,eq_c1/2)+(s_0+0*s_r+IF(circ_int,eq_c1/2,0))*COS(3*PI()/2+(((25+0.5)*(4*IF(circ_int,0,eq_c1/2)+4*IF(circ_int,0,eq_c2/2)+2*PI()*(s_0+0*s_r+IF(circ_int,eq_c1/2,0)))/INDEX(lk_legs,1))-(((((((2*IF(circ_int,0,eq_c2/2))+(PI()*(s_0+0*s_r+IF(circ_int,eq_c1/2,0))/2))+2*IF(circ_int,0,eq_c1/2))+(PI()*(s_0+0*s_r+IF(circ_int,eq_c1/2,0))/2))+2*IF(circ_int,0,eq_c2/2))+(PI()*(s_0+0*s_r+IF(circ_int,eq_c1/2,0))/2))+2*IF(circ_int,0,eq_c1/2)))/(s_0+0*s_r+IF(circ_int,eq_c1/2,0)))))))))),NA())</f>
        <v/>
      </c>
      <c r="BA28">
        <f>IF(AND(AND(links_on,1&lt;=n_per),INDEX(lk_kind,1)=1,25&lt;INDEX(lk_legs,1)),g_oy+IF(((25+0.5)*(4*IF(circ_int,0,eq_c1/2)+4*IF(circ_int,0,eq_c2/2)+2*PI()*(s_0+0*s_r+IF(circ_int,eq_c1/2,0)))/INDEX(lk_legs,1))&lt;(2*IF(circ_int,0,eq_c2/2)),-IF(circ_int,0,eq_c2/2)+((25+0.5)*(4*IF(circ_int,0,eq_c1/2)+4*IF(circ_int,0,eq_c2/2)+2*PI()*(s_0+0*s_r+IF(circ_int,eq_c1/2,0)))/INDEX(lk_legs,1)),IF(((25+0.5)*(4*IF(circ_int,0,eq_c1/2)+4*IF(circ_int,0,eq_c2/2)+2*PI()*(s_0+0*s_r+IF(circ_int,eq_c1/2,0)))/INDEX(lk_legs,1))&lt;((2*IF(circ_int,0,eq_c2/2))+(PI()*(s_0+0*s_r+IF(circ_int,eq_c1/2,0))/2)),IF(circ_int,0,eq_c2/2)+(s_0+0*s_r+IF(circ_int,eq_c1/2,0))*SIN((((25+0.5)*(4*IF(circ_int,0,eq_c1/2)+4*IF(circ_int,0,eq_c2/2)+2*PI()*(s_0+0*s_r+IF(circ_int,eq_c1/2,0)))/INDEX(lk_legs,1))-(2*IF(circ_int,0,eq_c2/2)))/(s_0+0*s_r+IF(circ_int,eq_c1/2,0))),IF(((25+0.5)*(4*IF(circ_int,0,eq_c1/2)+4*IF(circ_int,0,eq_c2/2)+2*PI()*(s_0+0*s_r+IF(circ_int,eq_c1/2,0)))/INDEX(lk_legs,1))&lt;(((2*IF(circ_int,0,eq_c2/2))+(PI()*(s_0+0*s_r+IF(circ_int,eq_c1/2,0))/2))+2*IF(circ_int,0,eq_c1/2)),IF(circ_int,0,eq_c2/2)+(s_0+0*s_r+IF(circ_int,eq_c1/2,0)),IF(((25+0.5)*(4*IF(circ_int,0,eq_c1/2)+4*IF(circ_int,0,eq_c2/2)+2*PI()*(s_0+0*s_r+IF(circ_int,eq_c1/2,0)))/INDEX(lk_legs,1))&lt;((((2*IF(circ_int,0,eq_c2/2))+(PI()*(s_0+0*s_r+IF(circ_int,eq_c1/2,0))/2))+2*IF(circ_int,0,eq_c1/2))+(PI()*(s_0+0*s_r+IF(circ_int,eq_c1/2,0))/2)),IF(circ_int,0,eq_c2/2)+(s_0+0*s_r+IF(circ_int,eq_c1/2,0))*SIN(PI()/2+(((25+0.5)*(4*IF(circ_int,0,eq_c1/2)+4*IF(circ_int,0,eq_c2/2)+2*PI()*(s_0+0*s_r+IF(circ_int,eq_c1/2,0)))/INDEX(lk_legs,1))-(((2*IF(circ_int,0,eq_c2/2))+(PI()*(s_0+0*s_r+IF(circ_int,eq_c1/2,0))/2))+2*IF(circ_int,0,eq_c1/2)))/(s_0+0*s_r+IF(circ_int,eq_c1/2,0))),IF(((25+0.5)*(4*IF(circ_int,0,eq_c1/2)+4*IF(circ_int,0,eq_c2/2)+2*PI()*(s_0+0*s_r+IF(circ_int,eq_c1/2,0)))/INDEX(lk_legs,1))&lt;(((((2*IF(circ_int,0,eq_c2/2))+(PI()*(s_0+0*s_r+IF(circ_int,eq_c1/2,0))/2))+2*IF(circ_int,0,eq_c1/2))+(PI()*(s_0+0*s_r+IF(circ_int,eq_c1/2,0))/2))+2*IF(circ_int,0,eq_c2/2)),IF(circ_int,0,eq_c2/2)-(((25+0.5)*(4*IF(circ_int,0,eq_c1/2)+4*IF(circ_int,0,eq_c2/2)+2*PI()*(s_0+0*s_r+IF(circ_int,eq_c1/2,0)))/INDEX(lk_legs,1))-((((2*IF(circ_int,0,eq_c2/2))+(PI()*(s_0+0*s_r+IF(circ_int,eq_c1/2,0))/2))+2*IF(circ_int,0,eq_c1/2))+(PI()*(s_0+0*s_r+IF(circ_int,eq_c1/2,0))/2))),IF(((25+0.5)*(4*IF(circ_int,0,eq_c1/2)+4*IF(circ_int,0,eq_c2/2)+2*PI()*(s_0+0*s_r+IF(circ_int,eq_c1/2,0)))/INDEX(lk_legs,1))&lt;((((((2*IF(circ_int,0,eq_c2/2))+(PI()*(s_0+0*s_r+IF(circ_int,eq_c1/2,0))/2))+2*IF(circ_int,0,eq_c1/2))+(PI()*(s_0+0*s_r+IF(circ_int,eq_c1/2,0))/2))+2*IF(circ_int,0,eq_c2/2))+(PI()*(s_0+0*s_r+IF(circ_int,eq_c1/2,0))/2)),-IF(circ_int,0,eq_c2/2)+(s_0+0*s_r+IF(circ_int,eq_c1/2,0))*SIN(PI()+(((25+0.5)*(4*IF(circ_int,0,eq_c1/2)+4*IF(circ_int,0,eq_c2/2)+2*PI()*(s_0+0*s_r+IF(circ_int,eq_c1/2,0)))/INDEX(lk_legs,1))-(((((2*IF(circ_int,0,eq_c2/2))+(PI()*(s_0+0*s_r+IF(circ_int,eq_c1/2,0))/2))+2*IF(circ_int,0,eq_c1/2))+(PI()*(s_0+0*s_r+IF(circ_int,eq_c1/2,0))/2))+2*IF(circ_int,0,eq_c2/2)))/(s_0+0*s_r+IF(circ_int,eq_c1/2,0))),IF(((25+0.5)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(25+0.5)*(4*IF(circ_int,0,eq_c1/2)+4*IF(circ_int,0,eq_c2/2)+2*PI()*(s_0+0*s_r+IF(circ_int,eq_c1/2,0)))/INDEX(lk_legs,1))-(((((((2*IF(circ_int,0,eq_c2/2))+(PI()*(s_0+0*s_r+IF(circ_int,eq_c1/2,0))/2))+2*IF(circ_int,0,eq_c1/2))+(PI()*(s_0+0*s_r+IF(circ_int,eq_c1/2,0))/2))+2*IF(circ_int,0,eq_c2/2))+(PI()*(s_0+0*s_r+IF(circ_int,eq_c1/2,0))/2))+2*IF(circ_int,0,eq_c1/2)))/(s_0+0*s_r+IF(circ_int,eq_c1/2,0)))))))))),NA())</f>
        <v/>
      </c>
      <c r="BC28">
        <f>IF(AND(links_on,2&lt;=n_per),IF(circ_int,(g_ox)+(c_1/2+(s_0+1*s_r))*-0.992709,CHOOSE(INDEX(lk_kind,2),(g_ox-eq_c1/2)+((s_0+1*s_r))*-1.000000,(eq_a1+eq_c1)+((s_0+1*s_r))*0.130526,eq_a1+eq_c1+(s_0+1*s_r),(eq_a1+eq_c1)+((s_0+1*s_r))*0.991445)),NA())</f>
        <v/>
      </c>
      <c r="BD28">
        <f>IF(AND(links_on,2&lt;=n_per),IF(circ_int,(g_oy)+(c_1/2+(s_0+1*s_r))*0.120537,CHOOSE(INDEX(lk_kind,2),(g_oy+eq_c2/2)+((s_0+1*s_r))*0.000000,(g_oy-eq_c2/2)+((s_0+1*s_r))*-0.991445,0,(eq_a2+eq_c2)+((s_0+1*s_r))*0.130526)),NA())</f>
        <v/>
      </c>
      <c r="BF28">
        <f>IF(AND(AND(links_on,2&lt;=n_per),INDEX(lk_kind,2)=1,25&lt;INDEX(lk_legs,2)),g_ox+IF(((25+0.5)*(4*IF(circ_int,0,eq_c1/2)+4*IF(circ_int,0,eq_c2/2)+2*PI()*(s_0+1*s_r+IF(circ_int,eq_c1/2,0)))/INDEX(lk_legs,2))&lt;(2*IF(circ_int,0,eq_c2/2)),IF(circ_int,0,eq_c1/2)+(s_0+1*s_r+IF(circ_int,eq_c1/2,0)),IF(((25+0.5)*(4*IF(circ_int,0,eq_c1/2)+4*IF(circ_int,0,eq_c2/2)+2*PI()*(s_0+1*s_r+IF(circ_int,eq_c1/2,0)))/INDEX(lk_legs,2))&lt;((2*IF(circ_int,0,eq_c2/2))+(PI()*(s_0+1*s_r+IF(circ_int,eq_c1/2,0))/2)),IF(circ_int,0,eq_c1/2)+(s_0+1*s_r+IF(circ_int,eq_c1/2,0))*COS((((25+0.5)*(4*IF(circ_int,0,eq_c1/2)+4*IF(circ_int,0,eq_c2/2)+2*PI()*(s_0+1*s_r+IF(circ_int,eq_c1/2,0)))/INDEX(lk_legs,2))-(2*IF(circ_int,0,eq_c2/2)))/(s_0+1*s_r+IF(circ_int,eq_c1/2,0))),IF(((25+0.5)*(4*IF(circ_int,0,eq_c1/2)+4*IF(circ_int,0,eq_c2/2)+2*PI()*(s_0+1*s_r+IF(circ_int,eq_c1/2,0)))/INDEX(lk_legs,2))&lt;(((2*IF(circ_int,0,eq_c2/2))+(PI()*(s_0+1*s_r+IF(circ_int,eq_c1/2,0))/2))+2*IF(circ_int,0,eq_c1/2)),IF(circ_int,0,eq_c1/2)-(((25+0.5)*(4*IF(circ_int,0,eq_c1/2)+4*IF(circ_int,0,eq_c2/2)+2*PI()*(s_0+1*s_r+IF(circ_int,eq_c1/2,0)))/INDEX(lk_legs,2))-((2*IF(circ_int,0,eq_c2/2))+(PI()*(s_0+1*s_r+IF(circ_int,eq_c1/2,0))/2))),IF(((25+0.5)*(4*IF(circ_int,0,eq_c1/2)+4*IF(circ_int,0,eq_c2/2)+2*PI()*(s_0+1*s_r+IF(circ_int,eq_c1/2,0)))/INDEX(lk_legs,2))&lt;((((2*IF(circ_int,0,eq_c2/2))+(PI()*(s_0+1*s_r+IF(circ_int,eq_c1/2,0))/2))+2*IF(circ_int,0,eq_c1/2))+(PI()*(s_0+1*s_r+IF(circ_int,eq_c1/2,0))/2)),-IF(circ_int,0,eq_c1/2)+(s_0+1*s_r+IF(circ_int,eq_c1/2,0))*COS(PI()/2+(((25+0.5)*(4*IF(circ_int,0,eq_c1/2)+4*IF(circ_int,0,eq_c2/2)+2*PI()*(s_0+1*s_r+IF(circ_int,eq_c1/2,0)))/INDEX(lk_legs,2))-(((2*IF(circ_int,0,eq_c2/2))+(PI()*(s_0+1*s_r+IF(circ_int,eq_c1/2,0))/2))+2*IF(circ_int,0,eq_c1/2)))/(s_0+1*s_r+IF(circ_int,eq_c1/2,0))),IF(((25+0.5)*(4*IF(circ_int,0,eq_c1/2)+4*IF(circ_int,0,eq_c2/2)+2*PI()*(s_0+1*s_r+IF(circ_int,eq_c1/2,0)))/INDEX(lk_legs,2))&lt;(((((2*IF(circ_int,0,eq_c2/2))+(PI()*(s_0+1*s_r+IF(circ_int,eq_c1/2,0))/2))+2*IF(circ_int,0,eq_c1/2))+(PI()*(s_0+1*s_r+IF(circ_int,eq_c1/2,0))/2))+2*IF(circ_int,0,eq_c2/2)),-IF(circ_int,0,eq_c1/2)-(s_0+1*s_r+IF(circ_int,eq_c1/2,0)),IF(((25+0.5)*(4*IF(circ_int,0,eq_c1/2)+4*IF(circ_int,0,eq_c2/2)+2*PI()*(s_0+1*s_r+IF(circ_int,eq_c1/2,0)))/INDEX(lk_legs,2))&lt;((((((2*IF(circ_int,0,eq_c2/2))+(PI()*(s_0+1*s_r+IF(circ_int,eq_c1/2,0))/2))+2*IF(circ_int,0,eq_c1/2))+(PI()*(s_0+1*s_r+IF(circ_int,eq_c1/2,0))/2))+2*IF(circ_int,0,eq_c2/2))+(PI()*(s_0+1*s_r+IF(circ_int,eq_c1/2,0))/2)),-IF(circ_int,0,eq_c1/2)+(s_0+1*s_r+IF(circ_int,eq_c1/2,0))*COS(PI()+(((25+0.5)*(4*IF(circ_int,0,eq_c1/2)+4*IF(circ_int,0,eq_c2/2)+2*PI()*(s_0+1*s_r+IF(circ_int,eq_c1/2,0)))/INDEX(lk_legs,2))-(((((2*IF(circ_int,0,eq_c2/2))+(PI()*(s_0+1*s_r+IF(circ_int,eq_c1/2,0))/2))+2*IF(circ_int,0,eq_c1/2))+(PI()*(s_0+1*s_r+IF(circ_int,eq_c1/2,0))/2))+2*IF(circ_int,0,eq_c2/2)))/(s_0+1*s_r+IF(circ_int,eq_c1/2,0))),IF(((25+0.5)*(4*IF(circ_int,0,eq_c1/2)+4*IF(circ_int,0,eq_c2/2)+2*PI()*(s_0+1*s_r+IF(circ_int,eq_c1/2,0)))/INDEX(lk_legs,2))&lt;(((((((2*IF(circ_int,0,eq_c2/2))+(PI()*(s_0+1*s_r+IF(circ_int,eq_c1/2,0))/2))+2*IF(circ_int,0,eq_c1/2))+(PI()*(s_0+1*s_r+IF(circ_int,eq_c1/2,0))/2))+2*IF(circ_int,0,eq_c2/2))+(PI()*(s_0+1*s_r+IF(circ_int,eq_c1/2,0))/2))+2*IF(circ_int,0,eq_c1/2)),-IF(circ_int,0,eq_c1/2)+(((25+0.5)*(4*IF(circ_int,0,eq_c1/2)+4*IF(circ_int,0,eq_c2/2)+2*PI()*(s_0+1*s_r+IF(circ_int,eq_c1/2,0)))/INDEX(lk_legs,2))-((((((2*IF(circ_int,0,eq_c2/2))+(PI()*(s_0+1*s_r+IF(circ_int,eq_c1/2,0))/2))+2*IF(circ_int,0,eq_c1/2))+(PI()*(s_0+1*s_r+IF(circ_int,eq_c1/2,0))/2))+2*IF(circ_int,0,eq_c2/2))+(PI()*(s_0+1*s_r+IF(circ_int,eq_c1/2,0))/2))),IF(circ_int,0,eq_c1/2)+(s_0+1*s_r+IF(circ_int,eq_c1/2,0))*COS(3*PI()/2+(((25+0.5)*(4*IF(circ_int,0,eq_c1/2)+4*IF(circ_int,0,eq_c2/2)+2*PI()*(s_0+1*s_r+IF(circ_int,eq_c1/2,0)))/INDEX(lk_legs,2))-(((((((2*IF(circ_int,0,eq_c2/2))+(PI()*(s_0+1*s_r+IF(circ_int,eq_c1/2,0))/2))+2*IF(circ_int,0,eq_c1/2))+(PI()*(s_0+1*s_r+IF(circ_int,eq_c1/2,0))/2))+2*IF(circ_int,0,eq_c2/2))+(PI()*(s_0+1*s_r+IF(circ_int,eq_c1/2,0))/2))+2*IF(circ_int,0,eq_c1/2)))/(s_0+1*s_r+IF(circ_int,eq_c1/2,0)))))))))),NA())</f>
        <v/>
      </c>
      <c r="BG28">
        <f>IF(AND(AND(links_on,2&lt;=n_per),INDEX(lk_kind,2)=1,25&lt;INDEX(lk_legs,2)),g_oy+IF(((25+0.5)*(4*IF(circ_int,0,eq_c1/2)+4*IF(circ_int,0,eq_c2/2)+2*PI()*(s_0+1*s_r+IF(circ_int,eq_c1/2,0)))/INDEX(lk_legs,2))&lt;(2*IF(circ_int,0,eq_c2/2)),-IF(circ_int,0,eq_c2/2)+((25+0.5)*(4*IF(circ_int,0,eq_c1/2)+4*IF(circ_int,0,eq_c2/2)+2*PI()*(s_0+1*s_r+IF(circ_int,eq_c1/2,0)))/INDEX(lk_legs,2)),IF(((25+0.5)*(4*IF(circ_int,0,eq_c1/2)+4*IF(circ_int,0,eq_c2/2)+2*PI()*(s_0+1*s_r+IF(circ_int,eq_c1/2,0)))/INDEX(lk_legs,2))&lt;((2*IF(circ_int,0,eq_c2/2))+(PI()*(s_0+1*s_r+IF(circ_int,eq_c1/2,0))/2)),IF(circ_int,0,eq_c2/2)+(s_0+1*s_r+IF(circ_int,eq_c1/2,0))*SIN((((25+0.5)*(4*IF(circ_int,0,eq_c1/2)+4*IF(circ_int,0,eq_c2/2)+2*PI()*(s_0+1*s_r+IF(circ_int,eq_c1/2,0)))/INDEX(lk_legs,2))-(2*IF(circ_int,0,eq_c2/2)))/(s_0+1*s_r+IF(circ_int,eq_c1/2,0))),IF(((25+0.5)*(4*IF(circ_int,0,eq_c1/2)+4*IF(circ_int,0,eq_c2/2)+2*PI()*(s_0+1*s_r+IF(circ_int,eq_c1/2,0)))/INDEX(lk_legs,2))&lt;(((2*IF(circ_int,0,eq_c2/2))+(PI()*(s_0+1*s_r+IF(circ_int,eq_c1/2,0))/2))+2*IF(circ_int,0,eq_c1/2)),IF(circ_int,0,eq_c2/2)+(s_0+1*s_r+IF(circ_int,eq_c1/2,0)),IF(((25+0.5)*(4*IF(circ_int,0,eq_c1/2)+4*IF(circ_int,0,eq_c2/2)+2*PI()*(s_0+1*s_r+IF(circ_int,eq_c1/2,0)))/INDEX(lk_legs,2))&lt;((((2*IF(circ_int,0,eq_c2/2))+(PI()*(s_0+1*s_r+IF(circ_int,eq_c1/2,0))/2))+2*IF(circ_int,0,eq_c1/2))+(PI()*(s_0+1*s_r+IF(circ_int,eq_c1/2,0))/2)),IF(circ_int,0,eq_c2/2)+(s_0+1*s_r+IF(circ_int,eq_c1/2,0))*SIN(PI()/2+(((25+0.5)*(4*IF(circ_int,0,eq_c1/2)+4*IF(circ_int,0,eq_c2/2)+2*PI()*(s_0+1*s_r+IF(circ_int,eq_c1/2,0)))/INDEX(lk_legs,2))-(((2*IF(circ_int,0,eq_c2/2))+(PI()*(s_0+1*s_r+IF(circ_int,eq_c1/2,0))/2))+2*IF(circ_int,0,eq_c1/2)))/(s_0+1*s_r+IF(circ_int,eq_c1/2,0))),IF(((25+0.5)*(4*IF(circ_int,0,eq_c1/2)+4*IF(circ_int,0,eq_c2/2)+2*PI()*(s_0+1*s_r+IF(circ_int,eq_c1/2,0)))/INDEX(lk_legs,2))&lt;(((((2*IF(circ_int,0,eq_c2/2))+(PI()*(s_0+1*s_r+IF(circ_int,eq_c1/2,0))/2))+2*IF(circ_int,0,eq_c1/2))+(PI()*(s_0+1*s_r+IF(circ_int,eq_c1/2,0))/2))+2*IF(circ_int,0,eq_c2/2)),IF(circ_int,0,eq_c2/2)-(((25+0.5)*(4*IF(circ_int,0,eq_c1/2)+4*IF(circ_int,0,eq_c2/2)+2*PI()*(s_0+1*s_r+IF(circ_int,eq_c1/2,0)))/INDEX(lk_legs,2))-((((2*IF(circ_int,0,eq_c2/2))+(PI()*(s_0+1*s_r+IF(circ_int,eq_c1/2,0))/2))+2*IF(circ_int,0,eq_c1/2))+(PI()*(s_0+1*s_r+IF(circ_int,eq_c1/2,0))/2))),IF(((25+0.5)*(4*IF(circ_int,0,eq_c1/2)+4*IF(circ_int,0,eq_c2/2)+2*PI()*(s_0+1*s_r+IF(circ_int,eq_c1/2,0)))/INDEX(lk_legs,2))&lt;((((((2*IF(circ_int,0,eq_c2/2))+(PI()*(s_0+1*s_r+IF(circ_int,eq_c1/2,0))/2))+2*IF(circ_int,0,eq_c1/2))+(PI()*(s_0+1*s_r+IF(circ_int,eq_c1/2,0))/2))+2*IF(circ_int,0,eq_c2/2))+(PI()*(s_0+1*s_r+IF(circ_int,eq_c1/2,0))/2)),-IF(circ_int,0,eq_c2/2)+(s_0+1*s_r+IF(circ_int,eq_c1/2,0))*SIN(PI()+(((25+0.5)*(4*IF(circ_int,0,eq_c1/2)+4*IF(circ_int,0,eq_c2/2)+2*PI()*(s_0+1*s_r+IF(circ_int,eq_c1/2,0)))/INDEX(lk_legs,2))-(((((2*IF(circ_int,0,eq_c2/2))+(PI()*(s_0+1*s_r+IF(circ_int,eq_c1/2,0))/2))+2*IF(circ_int,0,eq_c1/2))+(PI()*(s_0+1*s_r+IF(circ_int,eq_c1/2,0))/2))+2*IF(circ_int,0,eq_c2/2)))/(s_0+1*s_r+IF(circ_int,eq_c1/2,0))),IF(((25+0.5)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(25+0.5)*(4*IF(circ_int,0,eq_c1/2)+4*IF(circ_int,0,eq_c2/2)+2*PI()*(s_0+1*s_r+IF(circ_int,eq_c1/2,0)))/INDEX(lk_legs,2))-(((((((2*IF(circ_int,0,eq_c2/2))+(PI()*(s_0+1*s_r+IF(circ_int,eq_c1/2,0))/2))+2*IF(circ_int,0,eq_c1/2))+(PI()*(s_0+1*s_r+IF(circ_int,eq_c1/2,0))/2))+2*IF(circ_int,0,eq_c2/2))+(PI()*(s_0+1*s_r+IF(circ_int,eq_c1/2,0))/2))+2*IF(circ_int,0,eq_c1/2)))/(s_0+1*s_r+IF(circ_int,eq_c1/2,0)))))))))),NA())</f>
        <v/>
      </c>
      <c r="BI28">
        <f>IF(AND(links_on,3&lt;=n_per),IF(circ_int,(g_ox)+(c_1/2+(s_0+2*s_r))*-0.992709,CHOOSE(INDEX(lk_kind,3),(g_ox-eq_c1/2)+((s_0+2*s_r))*-1.000000,(eq_a1+eq_c1)+((s_0+2*s_r))*0.130526,eq_a1+eq_c1+(s_0+2*s_r),(eq_a1+eq_c1)+((s_0+2*s_r))*0.991445)),NA())</f>
        <v/>
      </c>
      <c r="BJ28">
        <f>IF(AND(links_on,3&lt;=n_per),IF(circ_int,(g_oy)+(c_1/2+(s_0+2*s_r))*0.120537,CHOOSE(INDEX(lk_kind,3),(g_oy+eq_c2/2)+((s_0+2*s_r))*0.000000,(g_oy-eq_c2/2)+((s_0+2*s_r))*-0.991445,0,(eq_a2+eq_c2)+((s_0+2*s_r))*0.130526)),NA())</f>
        <v/>
      </c>
      <c r="BL28">
        <f>IF(AND(AND(links_on,3&lt;=n_per),INDEX(lk_kind,3)=1,25&lt;INDEX(lk_legs,3)),g_ox+IF(((25+0.5)*(4*IF(circ_int,0,eq_c1/2)+4*IF(circ_int,0,eq_c2/2)+2*PI()*(s_0+2*s_r+IF(circ_int,eq_c1/2,0)))/INDEX(lk_legs,3))&lt;(2*IF(circ_int,0,eq_c2/2)),IF(circ_int,0,eq_c1/2)+(s_0+2*s_r+IF(circ_int,eq_c1/2,0)),IF(((25+0.5)*(4*IF(circ_int,0,eq_c1/2)+4*IF(circ_int,0,eq_c2/2)+2*PI()*(s_0+2*s_r+IF(circ_int,eq_c1/2,0)))/INDEX(lk_legs,3))&lt;((2*IF(circ_int,0,eq_c2/2))+(PI()*(s_0+2*s_r+IF(circ_int,eq_c1/2,0))/2)),IF(circ_int,0,eq_c1/2)+(s_0+2*s_r+IF(circ_int,eq_c1/2,0))*COS((((25+0.5)*(4*IF(circ_int,0,eq_c1/2)+4*IF(circ_int,0,eq_c2/2)+2*PI()*(s_0+2*s_r+IF(circ_int,eq_c1/2,0)))/INDEX(lk_legs,3))-(2*IF(circ_int,0,eq_c2/2)))/(s_0+2*s_r+IF(circ_int,eq_c1/2,0))),IF(((25+0.5)*(4*IF(circ_int,0,eq_c1/2)+4*IF(circ_int,0,eq_c2/2)+2*PI()*(s_0+2*s_r+IF(circ_int,eq_c1/2,0)))/INDEX(lk_legs,3))&lt;(((2*IF(circ_int,0,eq_c2/2))+(PI()*(s_0+2*s_r+IF(circ_int,eq_c1/2,0))/2))+2*IF(circ_int,0,eq_c1/2)),IF(circ_int,0,eq_c1/2)-(((25+0.5)*(4*IF(circ_int,0,eq_c1/2)+4*IF(circ_int,0,eq_c2/2)+2*PI()*(s_0+2*s_r+IF(circ_int,eq_c1/2,0)))/INDEX(lk_legs,3))-((2*IF(circ_int,0,eq_c2/2))+(PI()*(s_0+2*s_r+IF(circ_int,eq_c1/2,0))/2))),IF(((25+0.5)*(4*IF(circ_int,0,eq_c1/2)+4*IF(circ_int,0,eq_c2/2)+2*PI()*(s_0+2*s_r+IF(circ_int,eq_c1/2,0)))/INDEX(lk_legs,3))&lt;((((2*IF(circ_int,0,eq_c2/2))+(PI()*(s_0+2*s_r+IF(circ_int,eq_c1/2,0))/2))+2*IF(circ_int,0,eq_c1/2))+(PI()*(s_0+2*s_r+IF(circ_int,eq_c1/2,0))/2)),-IF(circ_int,0,eq_c1/2)+(s_0+2*s_r+IF(circ_int,eq_c1/2,0))*COS(PI()/2+(((25+0.5)*(4*IF(circ_int,0,eq_c1/2)+4*IF(circ_int,0,eq_c2/2)+2*PI()*(s_0+2*s_r+IF(circ_int,eq_c1/2,0)))/INDEX(lk_legs,3))-(((2*IF(circ_int,0,eq_c2/2))+(PI()*(s_0+2*s_r+IF(circ_int,eq_c1/2,0))/2))+2*IF(circ_int,0,eq_c1/2)))/(s_0+2*s_r+IF(circ_int,eq_c1/2,0))),IF(((25+0.5)*(4*IF(circ_int,0,eq_c1/2)+4*IF(circ_int,0,eq_c2/2)+2*PI()*(s_0+2*s_r+IF(circ_int,eq_c1/2,0)))/INDEX(lk_legs,3))&lt;(((((2*IF(circ_int,0,eq_c2/2))+(PI()*(s_0+2*s_r+IF(circ_int,eq_c1/2,0))/2))+2*IF(circ_int,0,eq_c1/2))+(PI()*(s_0+2*s_r+IF(circ_int,eq_c1/2,0))/2))+2*IF(circ_int,0,eq_c2/2)),-IF(circ_int,0,eq_c1/2)-(s_0+2*s_r+IF(circ_int,eq_c1/2,0)),IF(((25+0.5)*(4*IF(circ_int,0,eq_c1/2)+4*IF(circ_int,0,eq_c2/2)+2*PI()*(s_0+2*s_r+IF(circ_int,eq_c1/2,0)))/INDEX(lk_legs,3))&lt;((((((2*IF(circ_int,0,eq_c2/2))+(PI()*(s_0+2*s_r+IF(circ_int,eq_c1/2,0))/2))+2*IF(circ_int,0,eq_c1/2))+(PI()*(s_0+2*s_r+IF(circ_int,eq_c1/2,0))/2))+2*IF(circ_int,0,eq_c2/2))+(PI()*(s_0+2*s_r+IF(circ_int,eq_c1/2,0))/2)),-IF(circ_int,0,eq_c1/2)+(s_0+2*s_r+IF(circ_int,eq_c1/2,0))*COS(PI()+(((25+0.5)*(4*IF(circ_int,0,eq_c1/2)+4*IF(circ_int,0,eq_c2/2)+2*PI()*(s_0+2*s_r+IF(circ_int,eq_c1/2,0)))/INDEX(lk_legs,3))-(((((2*IF(circ_int,0,eq_c2/2))+(PI()*(s_0+2*s_r+IF(circ_int,eq_c1/2,0))/2))+2*IF(circ_int,0,eq_c1/2))+(PI()*(s_0+2*s_r+IF(circ_int,eq_c1/2,0))/2))+2*IF(circ_int,0,eq_c2/2)))/(s_0+2*s_r+IF(circ_int,eq_c1/2,0))),IF(((25+0.5)*(4*IF(circ_int,0,eq_c1/2)+4*IF(circ_int,0,eq_c2/2)+2*PI()*(s_0+2*s_r+IF(circ_int,eq_c1/2,0)))/INDEX(lk_legs,3))&lt;(((((((2*IF(circ_int,0,eq_c2/2))+(PI()*(s_0+2*s_r+IF(circ_int,eq_c1/2,0))/2))+2*IF(circ_int,0,eq_c1/2))+(PI()*(s_0+2*s_r+IF(circ_int,eq_c1/2,0))/2))+2*IF(circ_int,0,eq_c2/2))+(PI()*(s_0+2*s_r+IF(circ_int,eq_c1/2,0))/2))+2*IF(circ_int,0,eq_c1/2)),-IF(circ_int,0,eq_c1/2)+(((25+0.5)*(4*IF(circ_int,0,eq_c1/2)+4*IF(circ_int,0,eq_c2/2)+2*PI()*(s_0+2*s_r+IF(circ_int,eq_c1/2,0)))/INDEX(lk_legs,3))-((((((2*IF(circ_int,0,eq_c2/2))+(PI()*(s_0+2*s_r+IF(circ_int,eq_c1/2,0))/2))+2*IF(circ_int,0,eq_c1/2))+(PI()*(s_0+2*s_r+IF(circ_int,eq_c1/2,0))/2))+2*IF(circ_int,0,eq_c2/2))+(PI()*(s_0+2*s_r+IF(circ_int,eq_c1/2,0))/2))),IF(circ_int,0,eq_c1/2)+(s_0+2*s_r+IF(circ_int,eq_c1/2,0))*COS(3*PI()/2+(((25+0.5)*(4*IF(circ_int,0,eq_c1/2)+4*IF(circ_int,0,eq_c2/2)+2*PI()*(s_0+2*s_r+IF(circ_int,eq_c1/2,0)))/INDEX(lk_legs,3))-(((((((2*IF(circ_int,0,eq_c2/2))+(PI()*(s_0+2*s_r+IF(circ_int,eq_c1/2,0))/2))+2*IF(circ_int,0,eq_c1/2))+(PI()*(s_0+2*s_r+IF(circ_int,eq_c1/2,0))/2))+2*IF(circ_int,0,eq_c2/2))+(PI()*(s_0+2*s_r+IF(circ_int,eq_c1/2,0))/2))+2*IF(circ_int,0,eq_c1/2)))/(s_0+2*s_r+IF(circ_int,eq_c1/2,0)))))))))),NA())</f>
        <v/>
      </c>
      <c r="BM28">
        <f>IF(AND(AND(links_on,3&lt;=n_per),INDEX(lk_kind,3)=1,25&lt;INDEX(lk_legs,3)),g_oy+IF(((25+0.5)*(4*IF(circ_int,0,eq_c1/2)+4*IF(circ_int,0,eq_c2/2)+2*PI()*(s_0+2*s_r+IF(circ_int,eq_c1/2,0)))/INDEX(lk_legs,3))&lt;(2*IF(circ_int,0,eq_c2/2)),-IF(circ_int,0,eq_c2/2)+((25+0.5)*(4*IF(circ_int,0,eq_c1/2)+4*IF(circ_int,0,eq_c2/2)+2*PI()*(s_0+2*s_r+IF(circ_int,eq_c1/2,0)))/INDEX(lk_legs,3)),IF(((25+0.5)*(4*IF(circ_int,0,eq_c1/2)+4*IF(circ_int,0,eq_c2/2)+2*PI()*(s_0+2*s_r+IF(circ_int,eq_c1/2,0)))/INDEX(lk_legs,3))&lt;((2*IF(circ_int,0,eq_c2/2))+(PI()*(s_0+2*s_r+IF(circ_int,eq_c1/2,0))/2)),IF(circ_int,0,eq_c2/2)+(s_0+2*s_r+IF(circ_int,eq_c1/2,0))*SIN((((25+0.5)*(4*IF(circ_int,0,eq_c1/2)+4*IF(circ_int,0,eq_c2/2)+2*PI()*(s_0+2*s_r+IF(circ_int,eq_c1/2,0)))/INDEX(lk_legs,3))-(2*IF(circ_int,0,eq_c2/2)))/(s_0+2*s_r+IF(circ_int,eq_c1/2,0))),IF(((25+0.5)*(4*IF(circ_int,0,eq_c1/2)+4*IF(circ_int,0,eq_c2/2)+2*PI()*(s_0+2*s_r+IF(circ_int,eq_c1/2,0)))/INDEX(lk_legs,3))&lt;(((2*IF(circ_int,0,eq_c2/2))+(PI()*(s_0+2*s_r+IF(circ_int,eq_c1/2,0))/2))+2*IF(circ_int,0,eq_c1/2)),IF(circ_int,0,eq_c2/2)+(s_0+2*s_r+IF(circ_int,eq_c1/2,0)),IF(((25+0.5)*(4*IF(circ_int,0,eq_c1/2)+4*IF(circ_int,0,eq_c2/2)+2*PI()*(s_0+2*s_r+IF(circ_int,eq_c1/2,0)))/INDEX(lk_legs,3))&lt;((((2*IF(circ_int,0,eq_c2/2))+(PI()*(s_0+2*s_r+IF(circ_int,eq_c1/2,0))/2))+2*IF(circ_int,0,eq_c1/2))+(PI()*(s_0+2*s_r+IF(circ_int,eq_c1/2,0))/2)),IF(circ_int,0,eq_c2/2)+(s_0+2*s_r+IF(circ_int,eq_c1/2,0))*SIN(PI()/2+(((25+0.5)*(4*IF(circ_int,0,eq_c1/2)+4*IF(circ_int,0,eq_c2/2)+2*PI()*(s_0+2*s_r+IF(circ_int,eq_c1/2,0)))/INDEX(lk_legs,3))-(((2*IF(circ_int,0,eq_c2/2))+(PI()*(s_0+2*s_r+IF(circ_int,eq_c1/2,0))/2))+2*IF(circ_int,0,eq_c1/2)))/(s_0+2*s_r+IF(circ_int,eq_c1/2,0))),IF(((25+0.5)*(4*IF(circ_int,0,eq_c1/2)+4*IF(circ_int,0,eq_c2/2)+2*PI()*(s_0+2*s_r+IF(circ_int,eq_c1/2,0)))/INDEX(lk_legs,3))&lt;(((((2*IF(circ_int,0,eq_c2/2))+(PI()*(s_0+2*s_r+IF(circ_int,eq_c1/2,0))/2))+2*IF(circ_int,0,eq_c1/2))+(PI()*(s_0+2*s_r+IF(circ_int,eq_c1/2,0))/2))+2*IF(circ_int,0,eq_c2/2)),IF(circ_int,0,eq_c2/2)-(((25+0.5)*(4*IF(circ_int,0,eq_c1/2)+4*IF(circ_int,0,eq_c2/2)+2*PI()*(s_0+2*s_r+IF(circ_int,eq_c1/2,0)))/INDEX(lk_legs,3))-((((2*IF(circ_int,0,eq_c2/2))+(PI()*(s_0+2*s_r+IF(circ_int,eq_c1/2,0))/2))+2*IF(circ_int,0,eq_c1/2))+(PI()*(s_0+2*s_r+IF(circ_int,eq_c1/2,0))/2))),IF(((25+0.5)*(4*IF(circ_int,0,eq_c1/2)+4*IF(circ_int,0,eq_c2/2)+2*PI()*(s_0+2*s_r+IF(circ_int,eq_c1/2,0)))/INDEX(lk_legs,3))&lt;((((((2*IF(circ_int,0,eq_c2/2))+(PI()*(s_0+2*s_r+IF(circ_int,eq_c1/2,0))/2))+2*IF(circ_int,0,eq_c1/2))+(PI()*(s_0+2*s_r+IF(circ_int,eq_c1/2,0))/2))+2*IF(circ_int,0,eq_c2/2))+(PI()*(s_0+2*s_r+IF(circ_int,eq_c1/2,0))/2)),-IF(circ_int,0,eq_c2/2)+(s_0+2*s_r+IF(circ_int,eq_c1/2,0))*SIN(PI()+(((25+0.5)*(4*IF(circ_int,0,eq_c1/2)+4*IF(circ_int,0,eq_c2/2)+2*PI()*(s_0+2*s_r+IF(circ_int,eq_c1/2,0)))/INDEX(lk_legs,3))-(((((2*IF(circ_int,0,eq_c2/2))+(PI()*(s_0+2*s_r+IF(circ_int,eq_c1/2,0))/2))+2*IF(circ_int,0,eq_c1/2))+(PI()*(s_0+2*s_r+IF(circ_int,eq_c1/2,0))/2))+2*IF(circ_int,0,eq_c2/2)))/(s_0+2*s_r+IF(circ_int,eq_c1/2,0))),IF(((25+0.5)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(25+0.5)*(4*IF(circ_int,0,eq_c1/2)+4*IF(circ_int,0,eq_c2/2)+2*PI()*(s_0+2*s_r+IF(circ_int,eq_c1/2,0)))/INDEX(lk_legs,3))-(((((((2*IF(circ_int,0,eq_c2/2))+(PI()*(s_0+2*s_r+IF(circ_int,eq_c1/2,0))/2))+2*IF(circ_int,0,eq_c1/2))+(PI()*(s_0+2*s_r+IF(circ_int,eq_c1/2,0))/2))+2*IF(circ_int,0,eq_c2/2))+(PI()*(s_0+2*s_r+IF(circ_int,eq_c1/2,0))/2))+2*IF(circ_int,0,eq_c1/2)))/(s_0+2*s_r+IF(circ_int,eq_c1/2,0)))))))))),NA())</f>
        <v/>
      </c>
      <c r="BO28">
        <f>IF(AND(links_on,4&lt;=n_per),IF(circ_int,(g_ox)+(c_1/2+(s_0+3*s_r))*-0.992709,CHOOSE(INDEX(lk_kind,4),(g_ox-eq_c1/2)+((s_0+3*s_r))*-1.000000,(eq_a1+eq_c1)+((s_0+3*s_r))*0.130526,eq_a1+eq_c1+(s_0+3*s_r),(eq_a1+eq_c1)+((s_0+3*s_r))*0.991445)),NA())</f>
        <v/>
      </c>
      <c r="BP28">
        <f>IF(AND(links_on,4&lt;=n_per),IF(circ_int,(g_oy)+(c_1/2+(s_0+3*s_r))*0.120537,CHOOSE(INDEX(lk_kind,4),(g_oy+eq_c2/2)+((s_0+3*s_r))*0.000000,(g_oy-eq_c2/2)+((s_0+3*s_r))*-0.991445,0,(eq_a2+eq_c2)+((s_0+3*s_r))*0.130526)),NA())</f>
        <v/>
      </c>
      <c r="BR28">
        <f>IF(AND(AND(links_on,4&lt;=n_per),INDEX(lk_kind,4)=1,25&lt;INDEX(lk_legs,4)),g_ox+IF(((25+0.5)*(4*IF(circ_int,0,eq_c1/2)+4*IF(circ_int,0,eq_c2/2)+2*PI()*(s_0+3*s_r+IF(circ_int,eq_c1/2,0)))/INDEX(lk_legs,4))&lt;(2*IF(circ_int,0,eq_c2/2)),IF(circ_int,0,eq_c1/2)+(s_0+3*s_r+IF(circ_int,eq_c1/2,0)),IF(((25+0.5)*(4*IF(circ_int,0,eq_c1/2)+4*IF(circ_int,0,eq_c2/2)+2*PI()*(s_0+3*s_r+IF(circ_int,eq_c1/2,0)))/INDEX(lk_legs,4))&lt;((2*IF(circ_int,0,eq_c2/2))+(PI()*(s_0+3*s_r+IF(circ_int,eq_c1/2,0))/2)),IF(circ_int,0,eq_c1/2)+(s_0+3*s_r+IF(circ_int,eq_c1/2,0))*COS((((25+0.5)*(4*IF(circ_int,0,eq_c1/2)+4*IF(circ_int,0,eq_c2/2)+2*PI()*(s_0+3*s_r+IF(circ_int,eq_c1/2,0)))/INDEX(lk_legs,4))-(2*IF(circ_int,0,eq_c2/2)))/(s_0+3*s_r+IF(circ_int,eq_c1/2,0))),IF(((25+0.5)*(4*IF(circ_int,0,eq_c1/2)+4*IF(circ_int,0,eq_c2/2)+2*PI()*(s_0+3*s_r+IF(circ_int,eq_c1/2,0)))/INDEX(lk_legs,4))&lt;(((2*IF(circ_int,0,eq_c2/2))+(PI()*(s_0+3*s_r+IF(circ_int,eq_c1/2,0))/2))+2*IF(circ_int,0,eq_c1/2)),IF(circ_int,0,eq_c1/2)-(((25+0.5)*(4*IF(circ_int,0,eq_c1/2)+4*IF(circ_int,0,eq_c2/2)+2*PI()*(s_0+3*s_r+IF(circ_int,eq_c1/2,0)))/INDEX(lk_legs,4))-((2*IF(circ_int,0,eq_c2/2))+(PI()*(s_0+3*s_r+IF(circ_int,eq_c1/2,0))/2))),IF(((25+0.5)*(4*IF(circ_int,0,eq_c1/2)+4*IF(circ_int,0,eq_c2/2)+2*PI()*(s_0+3*s_r+IF(circ_int,eq_c1/2,0)))/INDEX(lk_legs,4))&lt;((((2*IF(circ_int,0,eq_c2/2))+(PI()*(s_0+3*s_r+IF(circ_int,eq_c1/2,0))/2))+2*IF(circ_int,0,eq_c1/2))+(PI()*(s_0+3*s_r+IF(circ_int,eq_c1/2,0))/2)),-IF(circ_int,0,eq_c1/2)+(s_0+3*s_r+IF(circ_int,eq_c1/2,0))*COS(PI()/2+(((25+0.5)*(4*IF(circ_int,0,eq_c1/2)+4*IF(circ_int,0,eq_c2/2)+2*PI()*(s_0+3*s_r+IF(circ_int,eq_c1/2,0)))/INDEX(lk_legs,4))-(((2*IF(circ_int,0,eq_c2/2))+(PI()*(s_0+3*s_r+IF(circ_int,eq_c1/2,0))/2))+2*IF(circ_int,0,eq_c1/2)))/(s_0+3*s_r+IF(circ_int,eq_c1/2,0))),IF(((25+0.5)*(4*IF(circ_int,0,eq_c1/2)+4*IF(circ_int,0,eq_c2/2)+2*PI()*(s_0+3*s_r+IF(circ_int,eq_c1/2,0)))/INDEX(lk_legs,4))&lt;(((((2*IF(circ_int,0,eq_c2/2))+(PI()*(s_0+3*s_r+IF(circ_int,eq_c1/2,0))/2))+2*IF(circ_int,0,eq_c1/2))+(PI()*(s_0+3*s_r+IF(circ_int,eq_c1/2,0))/2))+2*IF(circ_int,0,eq_c2/2)),-IF(circ_int,0,eq_c1/2)-(s_0+3*s_r+IF(circ_int,eq_c1/2,0)),IF(((25+0.5)*(4*IF(circ_int,0,eq_c1/2)+4*IF(circ_int,0,eq_c2/2)+2*PI()*(s_0+3*s_r+IF(circ_int,eq_c1/2,0)))/INDEX(lk_legs,4))&lt;((((((2*IF(circ_int,0,eq_c2/2))+(PI()*(s_0+3*s_r+IF(circ_int,eq_c1/2,0))/2))+2*IF(circ_int,0,eq_c1/2))+(PI()*(s_0+3*s_r+IF(circ_int,eq_c1/2,0))/2))+2*IF(circ_int,0,eq_c2/2))+(PI()*(s_0+3*s_r+IF(circ_int,eq_c1/2,0))/2)),-IF(circ_int,0,eq_c1/2)+(s_0+3*s_r+IF(circ_int,eq_c1/2,0))*COS(PI()+(((25+0.5)*(4*IF(circ_int,0,eq_c1/2)+4*IF(circ_int,0,eq_c2/2)+2*PI()*(s_0+3*s_r+IF(circ_int,eq_c1/2,0)))/INDEX(lk_legs,4))-(((((2*IF(circ_int,0,eq_c2/2))+(PI()*(s_0+3*s_r+IF(circ_int,eq_c1/2,0))/2))+2*IF(circ_int,0,eq_c1/2))+(PI()*(s_0+3*s_r+IF(circ_int,eq_c1/2,0))/2))+2*IF(circ_int,0,eq_c2/2)))/(s_0+3*s_r+IF(circ_int,eq_c1/2,0))),IF(((25+0.5)*(4*IF(circ_int,0,eq_c1/2)+4*IF(circ_int,0,eq_c2/2)+2*PI()*(s_0+3*s_r+IF(circ_int,eq_c1/2,0)))/INDEX(lk_legs,4))&lt;(((((((2*IF(circ_int,0,eq_c2/2))+(PI()*(s_0+3*s_r+IF(circ_int,eq_c1/2,0))/2))+2*IF(circ_int,0,eq_c1/2))+(PI()*(s_0+3*s_r+IF(circ_int,eq_c1/2,0))/2))+2*IF(circ_int,0,eq_c2/2))+(PI()*(s_0+3*s_r+IF(circ_int,eq_c1/2,0))/2))+2*IF(circ_int,0,eq_c1/2)),-IF(circ_int,0,eq_c1/2)+(((25+0.5)*(4*IF(circ_int,0,eq_c1/2)+4*IF(circ_int,0,eq_c2/2)+2*PI()*(s_0+3*s_r+IF(circ_int,eq_c1/2,0)))/INDEX(lk_legs,4))-((((((2*IF(circ_int,0,eq_c2/2))+(PI()*(s_0+3*s_r+IF(circ_int,eq_c1/2,0))/2))+2*IF(circ_int,0,eq_c1/2))+(PI()*(s_0+3*s_r+IF(circ_int,eq_c1/2,0))/2))+2*IF(circ_int,0,eq_c2/2))+(PI()*(s_0+3*s_r+IF(circ_int,eq_c1/2,0))/2))),IF(circ_int,0,eq_c1/2)+(s_0+3*s_r+IF(circ_int,eq_c1/2,0))*COS(3*PI()/2+(((25+0.5)*(4*IF(circ_int,0,eq_c1/2)+4*IF(circ_int,0,eq_c2/2)+2*PI()*(s_0+3*s_r+IF(circ_int,eq_c1/2,0)))/INDEX(lk_legs,4))-(((((((2*IF(circ_int,0,eq_c2/2))+(PI()*(s_0+3*s_r+IF(circ_int,eq_c1/2,0))/2))+2*IF(circ_int,0,eq_c1/2))+(PI()*(s_0+3*s_r+IF(circ_int,eq_c1/2,0))/2))+2*IF(circ_int,0,eq_c2/2))+(PI()*(s_0+3*s_r+IF(circ_int,eq_c1/2,0))/2))+2*IF(circ_int,0,eq_c1/2)))/(s_0+3*s_r+IF(circ_int,eq_c1/2,0)))))))))),NA())</f>
        <v/>
      </c>
      <c r="BS28">
        <f>IF(AND(AND(links_on,4&lt;=n_per),INDEX(lk_kind,4)=1,25&lt;INDEX(lk_legs,4)),g_oy+IF(((25+0.5)*(4*IF(circ_int,0,eq_c1/2)+4*IF(circ_int,0,eq_c2/2)+2*PI()*(s_0+3*s_r+IF(circ_int,eq_c1/2,0)))/INDEX(lk_legs,4))&lt;(2*IF(circ_int,0,eq_c2/2)),-IF(circ_int,0,eq_c2/2)+((25+0.5)*(4*IF(circ_int,0,eq_c1/2)+4*IF(circ_int,0,eq_c2/2)+2*PI()*(s_0+3*s_r+IF(circ_int,eq_c1/2,0)))/INDEX(lk_legs,4)),IF(((25+0.5)*(4*IF(circ_int,0,eq_c1/2)+4*IF(circ_int,0,eq_c2/2)+2*PI()*(s_0+3*s_r+IF(circ_int,eq_c1/2,0)))/INDEX(lk_legs,4))&lt;((2*IF(circ_int,0,eq_c2/2))+(PI()*(s_0+3*s_r+IF(circ_int,eq_c1/2,0))/2)),IF(circ_int,0,eq_c2/2)+(s_0+3*s_r+IF(circ_int,eq_c1/2,0))*SIN((((25+0.5)*(4*IF(circ_int,0,eq_c1/2)+4*IF(circ_int,0,eq_c2/2)+2*PI()*(s_0+3*s_r+IF(circ_int,eq_c1/2,0)))/INDEX(lk_legs,4))-(2*IF(circ_int,0,eq_c2/2)))/(s_0+3*s_r+IF(circ_int,eq_c1/2,0))),IF(((25+0.5)*(4*IF(circ_int,0,eq_c1/2)+4*IF(circ_int,0,eq_c2/2)+2*PI()*(s_0+3*s_r+IF(circ_int,eq_c1/2,0)))/INDEX(lk_legs,4))&lt;(((2*IF(circ_int,0,eq_c2/2))+(PI()*(s_0+3*s_r+IF(circ_int,eq_c1/2,0))/2))+2*IF(circ_int,0,eq_c1/2)),IF(circ_int,0,eq_c2/2)+(s_0+3*s_r+IF(circ_int,eq_c1/2,0)),IF(((25+0.5)*(4*IF(circ_int,0,eq_c1/2)+4*IF(circ_int,0,eq_c2/2)+2*PI()*(s_0+3*s_r+IF(circ_int,eq_c1/2,0)))/INDEX(lk_legs,4))&lt;((((2*IF(circ_int,0,eq_c2/2))+(PI()*(s_0+3*s_r+IF(circ_int,eq_c1/2,0))/2))+2*IF(circ_int,0,eq_c1/2))+(PI()*(s_0+3*s_r+IF(circ_int,eq_c1/2,0))/2)),IF(circ_int,0,eq_c2/2)+(s_0+3*s_r+IF(circ_int,eq_c1/2,0))*SIN(PI()/2+(((25+0.5)*(4*IF(circ_int,0,eq_c1/2)+4*IF(circ_int,0,eq_c2/2)+2*PI()*(s_0+3*s_r+IF(circ_int,eq_c1/2,0)))/INDEX(lk_legs,4))-(((2*IF(circ_int,0,eq_c2/2))+(PI()*(s_0+3*s_r+IF(circ_int,eq_c1/2,0))/2))+2*IF(circ_int,0,eq_c1/2)))/(s_0+3*s_r+IF(circ_int,eq_c1/2,0))),IF(((25+0.5)*(4*IF(circ_int,0,eq_c1/2)+4*IF(circ_int,0,eq_c2/2)+2*PI()*(s_0+3*s_r+IF(circ_int,eq_c1/2,0)))/INDEX(lk_legs,4))&lt;(((((2*IF(circ_int,0,eq_c2/2))+(PI()*(s_0+3*s_r+IF(circ_int,eq_c1/2,0))/2))+2*IF(circ_int,0,eq_c1/2))+(PI()*(s_0+3*s_r+IF(circ_int,eq_c1/2,0))/2))+2*IF(circ_int,0,eq_c2/2)),IF(circ_int,0,eq_c2/2)-(((25+0.5)*(4*IF(circ_int,0,eq_c1/2)+4*IF(circ_int,0,eq_c2/2)+2*PI()*(s_0+3*s_r+IF(circ_int,eq_c1/2,0)))/INDEX(lk_legs,4))-((((2*IF(circ_int,0,eq_c2/2))+(PI()*(s_0+3*s_r+IF(circ_int,eq_c1/2,0))/2))+2*IF(circ_int,0,eq_c1/2))+(PI()*(s_0+3*s_r+IF(circ_int,eq_c1/2,0))/2))),IF(((25+0.5)*(4*IF(circ_int,0,eq_c1/2)+4*IF(circ_int,0,eq_c2/2)+2*PI()*(s_0+3*s_r+IF(circ_int,eq_c1/2,0)))/INDEX(lk_legs,4))&lt;((((((2*IF(circ_int,0,eq_c2/2))+(PI()*(s_0+3*s_r+IF(circ_int,eq_c1/2,0))/2))+2*IF(circ_int,0,eq_c1/2))+(PI()*(s_0+3*s_r+IF(circ_int,eq_c1/2,0))/2))+2*IF(circ_int,0,eq_c2/2))+(PI()*(s_0+3*s_r+IF(circ_int,eq_c1/2,0))/2)),-IF(circ_int,0,eq_c2/2)+(s_0+3*s_r+IF(circ_int,eq_c1/2,0))*SIN(PI()+(((25+0.5)*(4*IF(circ_int,0,eq_c1/2)+4*IF(circ_int,0,eq_c2/2)+2*PI()*(s_0+3*s_r+IF(circ_int,eq_c1/2,0)))/INDEX(lk_legs,4))-(((((2*IF(circ_int,0,eq_c2/2))+(PI()*(s_0+3*s_r+IF(circ_int,eq_c1/2,0))/2))+2*IF(circ_int,0,eq_c1/2))+(PI()*(s_0+3*s_r+IF(circ_int,eq_c1/2,0))/2))+2*IF(circ_int,0,eq_c2/2)))/(s_0+3*s_r+IF(circ_int,eq_c1/2,0))),IF(((25+0.5)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(25+0.5)*(4*IF(circ_int,0,eq_c1/2)+4*IF(circ_int,0,eq_c2/2)+2*PI()*(s_0+3*s_r+IF(circ_int,eq_c1/2,0)))/INDEX(lk_legs,4))-(((((((2*IF(circ_int,0,eq_c2/2))+(PI()*(s_0+3*s_r+IF(circ_int,eq_c1/2,0))/2))+2*IF(circ_int,0,eq_c1/2))+(PI()*(s_0+3*s_r+IF(circ_int,eq_c1/2,0))/2))+2*IF(circ_int,0,eq_c2/2))+(PI()*(s_0+3*s_r+IF(circ_int,eq_c1/2,0))/2))+2*IF(circ_int,0,eq_c1/2)))/(s_0+3*s_r+IF(circ_int,eq_c1/2,0)))))))))),NA())</f>
        <v/>
      </c>
      <c r="BU28">
        <f>IF(AND(links_on,5&lt;=n_per),IF(circ_int,(g_ox)+(c_1/2+(s_0+4*s_r))*-0.992709,CHOOSE(INDEX(lk_kind,5),(g_ox-eq_c1/2)+((s_0+4*s_r))*-1.000000,(eq_a1+eq_c1)+((s_0+4*s_r))*0.130526,eq_a1+eq_c1+(s_0+4*s_r),(eq_a1+eq_c1)+((s_0+4*s_r))*0.991445)),NA())</f>
        <v/>
      </c>
      <c r="BV28">
        <f>IF(AND(links_on,5&lt;=n_per),IF(circ_int,(g_oy)+(c_1/2+(s_0+4*s_r))*0.120537,CHOOSE(INDEX(lk_kind,5),(g_oy+eq_c2/2)+((s_0+4*s_r))*0.000000,(g_oy-eq_c2/2)+((s_0+4*s_r))*-0.991445,0,(eq_a2+eq_c2)+((s_0+4*s_r))*0.130526)),NA())</f>
        <v/>
      </c>
      <c r="BX28">
        <f>IF(AND(AND(links_on,5&lt;=n_per),INDEX(lk_kind,5)=1,25&lt;INDEX(lk_legs,5)),g_ox+IF(((25+0.5)*(4*IF(circ_int,0,eq_c1/2)+4*IF(circ_int,0,eq_c2/2)+2*PI()*(s_0+4*s_r+IF(circ_int,eq_c1/2,0)))/INDEX(lk_legs,5))&lt;(2*IF(circ_int,0,eq_c2/2)),IF(circ_int,0,eq_c1/2)+(s_0+4*s_r+IF(circ_int,eq_c1/2,0)),IF(((25+0.5)*(4*IF(circ_int,0,eq_c1/2)+4*IF(circ_int,0,eq_c2/2)+2*PI()*(s_0+4*s_r+IF(circ_int,eq_c1/2,0)))/INDEX(lk_legs,5))&lt;((2*IF(circ_int,0,eq_c2/2))+(PI()*(s_0+4*s_r+IF(circ_int,eq_c1/2,0))/2)),IF(circ_int,0,eq_c1/2)+(s_0+4*s_r+IF(circ_int,eq_c1/2,0))*COS((((25+0.5)*(4*IF(circ_int,0,eq_c1/2)+4*IF(circ_int,0,eq_c2/2)+2*PI()*(s_0+4*s_r+IF(circ_int,eq_c1/2,0)))/INDEX(lk_legs,5))-(2*IF(circ_int,0,eq_c2/2)))/(s_0+4*s_r+IF(circ_int,eq_c1/2,0))),IF(((25+0.5)*(4*IF(circ_int,0,eq_c1/2)+4*IF(circ_int,0,eq_c2/2)+2*PI()*(s_0+4*s_r+IF(circ_int,eq_c1/2,0)))/INDEX(lk_legs,5))&lt;(((2*IF(circ_int,0,eq_c2/2))+(PI()*(s_0+4*s_r+IF(circ_int,eq_c1/2,0))/2))+2*IF(circ_int,0,eq_c1/2)),IF(circ_int,0,eq_c1/2)-(((25+0.5)*(4*IF(circ_int,0,eq_c1/2)+4*IF(circ_int,0,eq_c2/2)+2*PI()*(s_0+4*s_r+IF(circ_int,eq_c1/2,0)))/INDEX(lk_legs,5))-((2*IF(circ_int,0,eq_c2/2))+(PI()*(s_0+4*s_r+IF(circ_int,eq_c1/2,0))/2))),IF(((25+0.5)*(4*IF(circ_int,0,eq_c1/2)+4*IF(circ_int,0,eq_c2/2)+2*PI()*(s_0+4*s_r+IF(circ_int,eq_c1/2,0)))/INDEX(lk_legs,5))&lt;((((2*IF(circ_int,0,eq_c2/2))+(PI()*(s_0+4*s_r+IF(circ_int,eq_c1/2,0))/2))+2*IF(circ_int,0,eq_c1/2))+(PI()*(s_0+4*s_r+IF(circ_int,eq_c1/2,0))/2)),-IF(circ_int,0,eq_c1/2)+(s_0+4*s_r+IF(circ_int,eq_c1/2,0))*COS(PI()/2+(((25+0.5)*(4*IF(circ_int,0,eq_c1/2)+4*IF(circ_int,0,eq_c2/2)+2*PI()*(s_0+4*s_r+IF(circ_int,eq_c1/2,0)))/INDEX(lk_legs,5))-(((2*IF(circ_int,0,eq_c2/2))+(PI()*(s_0+4*s_r+IF(circ_int,eq_c1/2,0))/2))+2*IF(circ_int,0,eq_c1/2)))/(s_0+4*s_r+IF(circ_int,eq_c1/2,0))),IF(((25+0.5)*(4*IF(circ_int,0,eq_c1/2)+4*IF(circ_int,0,eq_c2/2)+2*PI()*(s_0+4*s_r+IF(circ_int,eq_c1/2,0)))/INDEX(lk_legs,5))&lt;(((((2*IF(circ_int,0,eq_c2/2))+(PI()*(s_0+4*s_r+IF(circ_int,eq_c1/2,0))/2))+2*IF(circ_int,0,eq_c1/2))+(PI()*(s_0+4*s_r+IF(circ_int,eq_c1/2,0))/2))+2*IF(circ_int,0,eq_c2/2)),-IF(circ_int,0,eq_c1/2)-(s_0+4*s_r+IF(circ_int,eq_c1/2,0)),IF(((25+0.5)*(4*IF(circ_int,0,eq_c1/2)+4*IF(circ_int,0,eq_c2/2)+2*PI()*(s_0+4*s_r+IF(circ_int,eq_c1/2,0)))/INDEX(lk_legs,5))&lt;((((((2*IF(circ_int,0,eq_c2/2))+(PI()*(s_0+4*s_r+IF(circ_int,eq_c1/2,0))/2))+2*IF(circ_int,0,eq_c1/2))+(PI()*(s_0+4*s_r+IF(circ_int,eq_c1/2,0))/2))+2*IF(circ_int,0,eq_c2/2))+(PI()*(s_0+4*s_r+IF(circ_int,eq_c1/2,0))/2)),-IF(circ_int,0,eq_c1/2)+(s_0+4*s_r+IF(circ_int,eq_c1/2,0))*COS(PI()+(((25+0.5)*(4*IF(circ_int,0,eq_c1/2)+4*IF(circ_int,0,eq_c2/2)+2*PI()*(s_0+4*s_r+IF(circ_int,eq_c1/2,0)))/INDEX(lk_legs,5))-(((((2*IF(circ_int,0,eq_c2/2))+(PI()*(s_0+4*s_r+IF(circ_int,eq_c1/2,0))/2))+2*IF(circ_int,0,eq_c1/2))+(PI()*(s_0+4*s_r+IF(circ_int,eq_c1/2,0))/2))+2*IF(circ_int,0,eq_c2/2)))/(s_0+4*s_r+IF(circ_int,eq_c1/2,0))),IF(((25+0.5)*(4*IF(circ_int,0,eq_c1/2)+4*IF(circ_int,0,eq_c2/2)+2*PI()*(s_0+4*s_r+IF(circ_int,eq_c1/2,0)))/INDEX(lk_legs,5))&lt;(((((((2*IF(circ_int,0,eq_c2/2))+(PI()*(s_0+4*s_r+IF(circ_int,eq_c1/2,0))/2))+2*IF(circ_int,0,eq_c1/2))+(PI()*(s_0+4*s_r+IF(circ_int,eq_c1/2,0))/2))+2*IF(circ_int,0,eq_c2/2))+(PI()*(s_0+4*s_r+IF(circ_int,eq_c1/2,0))/2))+2*IF(circ_int,0,eq_c1/2)),-IF(circ_int,0,eq_c1/2)+(((25+0.5)*(4*IF(circ_int,0,eq_c1/2)+4*IF(circ_int,0,eq_c2/2)+2*PI()*(s_0+4*s_r+IF(circ_int,eq_c1/2,0)))/INDEX(lk_legs,5))-((((((2*IF(circ_int,0,eq_c2/2))+(PI()*(s_0+4*s_r+IF(circ_int,eq_c1/2,0))/2))+2*IF(circ_int,0,eq_c1/2))+(PI()*(s_0+4*s_r+IF(circ_int,eq_c1/2,0))/2))+2*IF(circ_int,0,eq_c2/2))+(PI()*(s_0+4*s_r+IF(circ_int,eq_c1/2,0))/2))),IF(circ_int,0,eq_c1/2)+(s_0+4*s_r+IF(circ_int,eq_c1/2,0))*COS(3*PI()/2+(((25+0.5)*(4*IF(circ_int,0,eq_c1/2)+4*IF(circ_int,0,eq_c2/2)+2*PI()*(s_0+4*s_r+IF(circ_int,eq_c1/2,0)))/INDEX(lk_legs,5))-(((((((2*IF(circ_int,0,eq_c2/2))+(PI()*(s_0+4*s_r+IF(circ_int,eq_c1/2,0))/2))+2*IF(circ_int,0,eq_c1/2))+(PI()*(s_0+4*s_r+IF(circ_int,eq_c1/2,0))/2))+2*IF(circ_int,0,eq_c2/2))+(PI()*(s_0+4*s_r+IF(circ_int,eq_c1/2,0))/2))+2*IF(circ_int,0,eq_c1/2)))/(s_0+4*s_r+IF(circ_int,eq_c1/2,0)))))))))),NA())</f>
        <v/>
      </c>
      <c r="BY28">
        <f>IF(AND(AND(links_on,5&lt;=n_per),INDEX(lk_kind,5)=1,25&lt;INDEX(lk_legs,5)),g_oy+IF(((25+0.5)*(4*IF(circ_int,0,eq_c1/2)+4*IF(circ_int,0,eq_c2/2)+2*PI()*(s_0+4*s_r+IF(circ_int,eq_c1/2,0)))/INDEX(lk_legs,5))&lt;(2*IF(circ_int,0,eq_c2/2)),-IF(circ_int,0,eq_c2/2)+((25+0.5)*(4*IF(circ_int,0,eq_c1/2)+4*IF(circ_int,0,eq_c2/2)+2*PI()*(s_0+4*s_r+IF(circ_int,eq_c1/2,0)))/INDEX(lk_legs,5)),IF(((25+0.5)*(4*IF(circ_int,0,eq_c1/2)+4*IF(circ_int,0,eq_c2/2)+2*PI()*(s_0+4*s_r+IF(circ_int,eq_c1/2,0)))/INDEX(lk_legs,5))&lt;((2*IF(circ_int,0,eq_c2/2))+(PI()*(s_0+4*s_r+IF(circ_int,eq_c1/2,0))/2)),IF(circ_int,0,eq_c2/2)+(s_0+4*s_r+IF(circ_int,eq_c1/2,0))*SIN((((25+0.5)*(4*IF(circ_int,0,eq_c1/2)+4*IF(circ_int,0,eq_c2/2)+2*PI()*(s_0+4*s_r+IF(circ_int,eq_c1/2,0)))/INDEX(lk_legs,5))-(2*IF(circ_int,0,eq_c2/2)))/(s_0+4*s_r+IF(circ_int,eq_c1/2,0))),IF(((25+0.5)*(4*IF(circ_int,0,eq_c1/2)+4*IF(circ_int,0,eq_c2/2)+2*PI()*(s_0+4*s_r+IF(circ_int,eq_c1/2,0)))/INDEX(lk_legs,5))&lt;(((2*IF(circ_int,0,eq_c2/2))+(PI()*(s_0+4*s_r+IF(circ_int,eq_c1/2,0))/2))+2*IF(circ_int,0,eq_c1/2)),IF(circ_int,0,eq_c2/2)+(s_0+4*s_r+IF(circ_int,eq_c1/2,0)),IF(((25+0.5)*(4*IF(circ_int,0,eq_c1/2)+4*IF(circ_int,0,eq_c2/2)+2*PI()*(s_0+4*s_r+IF(circ_int,eq_c1/2,0)))/INDEX(lk_legs,5))&lt;((((2*IF(circ_int,0,eq_c2/2))+(PI()*(s_0+4*s_r+IF(circ_int,eq_c1/2,0))/2))+2*IF(circ_int,0,eq_c1/2))+(PI()*(s_0+4*s_r+IF(circ_int,eq_c1/2,0))/2)),IF(circ_int,0,eq_c2/2)+(s_0+4*s_r+IF(circ_int,eq_c1/2,0))*SIN(PI()/2+(((25+0.5)*(4*IF(circ_int,0,eq_c1/2)+4*IF(circ_int,0,eq_c2/2)+2*PI()*(s_0+4*s_r+IF(circ_int,eq_c1/2,0)))/INDEX(lk_legs,5))-(((2*IF(circ_int,0,eq_c2/2))+(PI()*(s_0+4*s_r+IF(circ_int,eq_c1/2,0))/2))+2*IF(circ_int,0,eq_c1/2)))/(s_0+4*s_r+IF(circ_int,eq_c1/2,0))),IF(((25+0.5)*(4*IF(circ_int,0,eq_c1/2)+4*IF(circ_int,0,eq_c2/2)+2*PI()*(s_0+4*s_r+IF(circ_int,eq_c1/2,0)))/INDEX(lk_legs,5))&lt;(((((2*IF(circ_int,0,eq_c2/2))+(PI()*(s_0+4*s_r+IF(circ_int,eq_c1/2,0))/2))+2*IF(circ_int,0,eq_c1/2))+(PI()*(s_0+4*s_r+IF(circ_int,eq_c1/2,0))/2))+2*IF(circ_int,0,eq_c2/2)),IF(circ_int,0,eq_c2/2)-(((25+0.5)*(4*IF(circ_int,0,eq_c1/2)+4*IF(circ_int,0,eq_c2/2)+2*PI()*(s_0+4*s_r+IF(circ_int,eq_c1/2,0)))/INDEX(lk_legs,5))-((((2*IF(circ_int,0,eq_c2/2))+(PI()*(s_0+4*s_r+IF(circ_int,eq_c1/2,0))/2))+2*IF(circ_int,0,eq_c1/2))+(PI()*(s_0+4*s_r+IF(circ_int,eq_c1/2,0))/2))),IF(((25+0.5)*(4*IF(circ_int,0,eq_c1/2)+4*IF(circ_int,0,eq_c2/2)+2*PI()*(s_0+4*s_r+IF(circ_int,eq_c1/2,0)))/INDEX(lk_legs,5))&lt;((((((2*IF(circ_int,0,eq_c2/2))+(PI()*(s_0+4*s_r+IF(circ_int,eq_c1/2,0))/2))+2*IF(circ_int,0,eq_c1/2))+(PI()*(s_0+4*s_r+IF(circ_int,eq_c1/2,0))/2))+2*IF(circ_int,0,eq_c2/2))+(PI()*(s_0+4*s_r+IF(circ_int,eq_c1/2,0))/2)),-IF(circ_int,0,eq_c2/2)+(s_0+4*s_r+IF(circ_int,eq_c1/2,0))*SIN(PI()+(((25+0.5)*(4*IF(circ_int,0,eq_c1/2)+4*IF(circ_int,0,eq_c2/2)+2*PI()*(s_0+4*s_r+IF(circ_int,eq_c1/2,0)))/INDEX(lk_legs,5))-(((((2*IF(circ_int,0,eq_c2/2))+(PI()*(s_0+4*s_r+IF(circ_int,eq_c1/2,0))/2))+2*IF(circ_int,0,eq_c1/2))+(PI()*(s_0+4*s_r+IF(circ_int,eq_c1/2,0))/2))+2*IF(circ_int,0,eq_c2/2)))/(s_0+4*s_r+IF(circ_int,eq_c1/2,0))),IF(((25+0.5)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(25+0.5)*(4*IF(circ_int,0,eq_c1/2)+4*IF(circ_int,0,eq_c2/2)+2*PI()*(s_0+4*s_r+IF(circ_int,eq_c1/2,0)))/INDEX(lk_legs,5))-(((((((2*IF(circ_int,0,eq_c2/2))+(PI()*(s_0+4*s_r+IF(circ_int,eq_c1/2,0))/2))+2*IF(circ_int,0,eq_c1/2))+(PI()*(s_0+4*s_r+IF(circ_int,eq_c1/2,0))/2))+2*IF(circ_int,0,eq_c2/2))+(PI()*(s_0+4*s_r+IF(circ_int,eq_c1/2,0))/2))+2*IF(circ_int,0,eq_c1/2)))/(s_0+4*s_r+IF(circ_int,eq_c1/2,0)))))))))),NA())</f>
        <v/>
      </c>
      <c r="CA28">
        <f>IF(AND(links_on,6&lt;=n_per),IF(circ_int,(g_ox)+(c_1/2+(s_0+5*s_r))*-0.992709,CHOOSE(INDEX(lk_kind,6),(g_ox-eq_c1/2)+((s_0+5*s_r))*-1.000000,(eq_a1+eq_c1)+((s_0+5*s_r))*0.130526,eq_a1+eq_c1+(s_0+5*s_r),(eq_a1+eq_c1)+((s_0+5*s_r))*0.991445)),NA())</f>
        <v/>
      </c>
      <c r="CB28">
        <f>IF(AND(links_on,6&lt;=n_per),IF(circ_int,(g_oy)+(c_1/2+(s_0+5*s_r))*0.120537,CHOOSE(INDEX(lk_kind,6),(g_oy+eq_c2/2)+((s_0+5*s_r))*0.000000,(g_oy-eq_c2/2)+((s_0+5*s_r))*-0.991445,0,(eq_a2+eq_c2)+((s_0+5*s_r))*0.130526)),NA())</f>
        <v/>
      </c>
      <c r="CD28">
        <f>IF(AND(AND(links_on,6&lt;=n_per),INDEX(lk_kind,6)=1,25&lt;INDEX(lk_legs,6)),g_ox+IF(((25+0.5)*(4*IF(circ_int,0,eq_c1/2)+4*IF(circ_int,0,eq_c2/2)+2*PI()*(s_0+5*s_r+IF(circ_int,eq_c1/2,0)))/INDEX(lk_legs,6))&lt;(2*IF(circ_int,0,eq_c2/2)),IF(circ_int,0,eq_c1/2)+(s_0+5*s_r+IF(circ_int,eq_c1/2,0)),IF(((25+0.5)*(4*IF(circ_int,0,eq_c1/2)+4*IF(circ_int,0,eq_c2/2)+2*PI()*(s_0+5*s_r+IF(circ_int,eq_c1/2,0)))/INDEX(lk_legs,6))&lt;((2*IF(circ_int,0,eq_c2/2))+(PI()*(s_0+5*s_r+IF(circ_int,eq_c1/2,0))/2)),IF(circ_int,0,eq_c1/2)+(s_0+5*s_r+IF(circ_int,eq_c1/2,0))*COS((((25+0.5)*(4*IF(circ_int,0,eq_c1/2)+4*IF(circ_int,0,eq_c2/2)+2*PI()*(s_0+5*s_r+IF(circ_int,eq_c1/2,0)))/INDEX(lk_legs,6))-(2*IF(circ_int,0,eq_c2/2)))/(s_0+5*s_r+IF(circ_int,eq_c1/2,0))),IF(((25+0.5)*(4*IF(circ_int,0,eq_c1/2)+4*IF(circ_int,0,eq_c2/2)+2*PI()*(s_0+5*s_r+IF(circ_int,eq_c1/2,0)))/INDEX(lk_legs,6))&lt;(((2*IF(circ_int,0,eq_c2/2))+(PI()*(s_0+5*s_r+IF(circ_int,eq_c1/2,0))/2))+2*IF(circ_int,0,eq_c1/2)),IF(circ_int,0,eq_c1/2)-(((25+0.5)*(4*IF(circ_int,0,eq_c1/2)+4*IF(circ_int,0,eq_c2/2)+2*PI()*(s_0+5*s_r+IF(circ_int,eq_c1/2,0)))/INDEX(lk_legs,6))-((2*IF(circ_int,0,eq_c2/2))+(PI()*(s_0+5*s_r+IF(circ_int,eq_c1/2,0))/2))),IF(((25+0.5)*(4*IF(circ_int,0,eq_c1/2)+4*IF(circ_int,0,eq_c2/2)+2*PI()*(s_0+5*s_r+IF(circ_int,eq_c1/2,0)))/INDEX(lk_legs,6))&lt;((((2*IF(circ_int,0,eq_c2/2))+(PI()*(s_0+5*s_r+IF(circ_int,eq_c1/2,0))/2))+2*IF(circ_int,0,eq_c1/2))+(PI()*(s_0+5*s_r+IF(circ_int,eq_c1/2,0))/2)),-IF(circ_int,0,eq_c1/2)+(s_0+5*s_r+IF(circ_int,eq_c1/2,0))*COS(PI()/2+(((25+0.5)*(4*IF(circ_int,0,eq_c1/2)+4*IF(circ_int,0,eq_c2/2)+2*PI()*(s_0+5*s_r+IF(circ_int,eq_c1/2,0)))/INDEX(lk_legs,6))-(((2*IF(circ_int,0,eq_c2/2))+(PI()*(s_0+5*s_r+IF(circ_int,eq_c1/2,0))/2))+2*IF(circ_int,0,eq_c1/2)))/(s_0+5*s_r+IF(circ_int,eq_c1/2,0))),IF(((25+0.5)*(4*IF(circ_int,0,eq_c1/2)+4*IF(circ_int,0,eq_c2/2)+2*PI()*(s_0+5*s_r+IF(circ_int,eq_c1/2,0)))/INDEX(lk_legs,6))&lt;(((((2*IF(circ_int,0,eq_c2/2))+(PI()*(s_0+5*s_r+IF(circ_int,eq_c1/2,0))/2))+2*IF(circ_int,0,eq_c1/2))+(PI()*(s_0+5*s_r+IF(circ_int,eq_c1/2,0))/2))+2*IF(circ_int,0,eq_c2/2)),-IF(circ_int,0,eq_c1/2)-(s_0+5*s_r+IF(circ_int,eq_c1/2,0)),IF(((25+0.5)*(4*IF(circ_int,0,eq_c1/2)+4*IF(circ_int,0,eq_c2/2)+2*PI()*(s_0+5*s_r+IF(circ_int,eq_c1/2,0)))/INDEX(lk_legs,6))&lt;((((((2*IF(circ_int,0,eq_c2/2))+(PI()*(s_0+5*s_r+IF(circ_int,eq_c1/2,0))/2))+2*IF(circ_int,0,eq_c1/2))+(PI()*(s_0+5*s_r+IF(circ_int,eq_c1/2,0))/2))+2*IF(circ_int,0,eq_c2/2))+(PI()*(s_0+5*s_r+IF(circ_int,eq_c1/2,0))/2)),-IF(circ_int,0,eq_c1/2)+(s_0+5*s_r+IF(circ_int,eq_c1/2,0))*COS(PI()+(((25+0.5)*(4*IF(circ_int,0,eq_c1/2)+4*IF(circ_int,0,eq_c2/2)+2*PI()*(s_0+5*s_r+IF(circ_int,eq_c1/2,0)))/INDEX(lk_legs,6))-(((((2*IF(circ_int,0,eq_c2/2))+(PI()*(s_0+5*s_r+IF(circ_int,eq_c1/2,0))/2))+2*IF(circ_int,0,eq_c1/2))+(PI()*(s_0+5*s_r+IF(circ_int,eq_c1/2,0))/2))+2*IF(circ_int,0,eq_c2/2)))/(s_0+5*s_r+IF(circ_int,eq_c1/2,0))),IF(((25+0.5)*(4*IF(circ_int,0,eq_c1/2)+4*IF(circ_int,0,eq_c2/2)+2*PI()*(s_0+5*s_r+IF(circ_int,eq_c1/2,0)))/INDEX(lk_legs,6))&lt;(((((((2*IF(circ_int,0,eq_c2/2))+(PI()*(s_0+5*s_r+IF(circ_int,eq_c1/2,0))/2))+2*IF(circ_int,0,eq_c1/2))+(PI()*(s_0+5*s_r+IF(circ_int,eq_c1/2,0))/2))+2*IF(circ_int,0,eq_c2/2))+(PI()*(s_0+5*s_r+IF(circ_int,eq_c1/2,0))/2))+2*IF(circ_int,0,eq_c1/2)),-IF(circ_int,0,eq_c1/2)+(((25+0.5)*(4*IF(circ_int,0,eq_c1/2)+4*IF(circ_int,0,eq_c2/2)+2*PI()*(s_0+5*s_r+IF(circ_int,eq_c1/2,0)))/INDEX(lk_legs,6))-((((((2*IF(circ_int,0,eq_c2/2))+(PI()*(s_0+5*s_r+IF(circ_int,eq_c1/2,0))/2))+2*IF(circ_int,0,eq_c1/2))+(PI()*(s_0+5*s_r+IF(circ_int,eq_c1/2,0))/2))+2*IF(circ_int,0,eq_c2/2))+(PI()*(s_0+5*s_r+IF(circ_int,eq_c1/2,0))/2))),IF(circ_int,0,eq_c1/2)+(s_0+5*s_r+IF(circ_int,eq_c1/2,0))*COS(3*PI()/2+(((25+0.5)*(4*IF(circ_int,0,eq_c1/2)+4*IF(circ_int,0,eq_c2/2)+2*PI()*(s_0+5*s_r+IF(circ_int,eq_c1/2,0)))/INDEX(lk_legs,6))-(((((((2*IF(circ_int,0,eq_c2/2))+(PI()*(s_0+5*s_r+IF(circ_int,eq_c1/2,0))/2))+2*IF(circ_int,0,eq_c1/2))+(PI()*(s_0+5*s_r+IF(circ_int,eq_c1/2,0))/2))+2*IF(circ_int,0,eq_c2/2))+(PI()*(s_0+5*s_r+IF(circ_int,eq_c1/2,0))/2))+2*IF(circ_int,0,eq_c1/2)))/(s_0+5*s_r+IF(circ_int,eq_c1/2,0)))))))))),NA())</f>
        <v/>
      </c>
      <c r="CE28">
        <f>IF(AND(AND(links_on,6&lt;=n_per),INDEX(lk_kind,6)=1,25&lt;INDEX(lk_legs,6)),g_oy+IF(((25+0.5)*(4*IF(circ_int,0,eq_c1/2)+4*IF(circ_int,0,eq_c2/2)+2*PI()*(s_0+5*s_r+IF(circ_int,eq_c1/2,0)))/INDEX(lk_legs,6))&lt;(2*IF(circ_int,0,eq_c2/2)),-IF(circ_int,0,eq_c2/2)+((25+0.5)*(4*IF(circ_int,0,eq_c1/2)+4*IF(circ_int,0,eq_c2/2)+2*PI()*(s_0+5*s_r+IF(circ_int,eq_c1/2,0)))/INDEX(lk_legs,6)),IF(((25+0.5)*(4*IF(circ_int,0,eq_c1/2)+4*IF(circ_int,0,eq_c2/2)+2*PI()*(s_0+5*s_r+IF(circ_int,eq_c1/2,0)))/INDEX(lk_legs,6))&lt;((2*IF(circ_int,0,eq_c2/2))+(PI()*(s_0+5*s_r+IF(circ_int,eq_c1/2,0))/2)),IF(circ_int,0,eq_c2/2)+(s_0+5*s_r+IF(circ_int,eq_c1/2,0))*SIN((((25+0.5)*(4*IF(circ_int,0,eq_c1/2)+4*IF(circ_int,0,eq_c2/2)+2*PI()*(s_0+5*s_r+IF(circ_int,eq_c1/2,0)))/INDEX(lk_legs,6))-(2*IF(circ_int,0,eq_c2/2)))/(s_0+5*s_r+IF(circ_int,eq_c1/2,0))),IF(((25+0.5)*(4*IF(circ_int,0,eq_c1/2)+4*IF(circ_int,0,eq_c2/2)+2*PI()*(s_0+5*s_r+IF(circ_int,eq_c1/2,0)))/INDEX(lk_legs,6))&lt;(((2*IF(circ_int,0,eq_c2/2))+(PI()*(s_0+5*s_r+IF(circ_int,eq_c1/2,0))/2))+2*IF(circ_int,0,eq_c1/2)),IF(circ_int,0,eq_c2/2)+(s_0+5*s_r+IF(circ_int,eq_c1/2,0)),IF(((25+0.5)*(4*IF(circ_int,0,eq_c1/2)+4*IF(circ_int,0,eq_c2/2)+2*PI()*(s_0+5*s_r+IF(circ_int,eq_c1/2,0)))/INDEX(lk_legs,6))&lt;((((2*IF(circ_int,0,eq_c2/2))+(PI()*(s_0+5*s_r+IF(circ_int,eq_c1/2,0))/2))+2*IF(circ_int,0,eq_c1/2))+(PI()*(s_0+5*s_r+IF(circ_int,eq_c1/2,0))/2)),IF(circ_int,0,eq_c2/2)+(s_0+5*s_r+IF(circ_int,eq_c1/2,0))*SIN(PI()/2+(((25+0.5)*(4*IF(circ_int,0,eq_c1/2)+4*IF(circ_int,0,eq_c2/2)+2*PI()*(s_0+5*s_r+IF(circ_int,eq_c1/2,0)))/INDEX(lk_legs,6))-(((2*IF(circ_int,0,eq_c2/2))+(PI()*(s_0+5*s_r+IF(circ_int,eq_c1/2,0))/2))+2*IF(circ_int,0,eq_c1/2)))/(s_0+5*s_r+IF(circ_int,eq_c1/2,0))),IF(((25+0.5)*(4*IF(circ_int,0,eq_c1/2)+4*IF(circ_int,0,eq_c2/2)+2*PI()*(s_0+5*s_r+IF(circ_int,eq_c1/2,0)))/INDEX(lk_legs,6))&lt;(((((2*IF(circ_int,0,eq_c2/2))+(PI()*(s_0+5*s_r+IF(circ_int,eq_c1/2,0))/2))+2*IF(circ_int,0,eq_c1/2))+(PI()*(s_0+5*s_r+IF(circ_int,eq_c1/2,0))/2))+2*IF(circ_int,0,eq_c2/2)),IF(circ_int,0,eq_c2/2)-(((25+0.5)*(4*IF(circ_int,0,eq_c1/2)+4*IF(circ_int,0,eq_c2/2)+2*PI()*(s_0+5*s_r+IF(circ_int,eq_c1/2,0)))/INDEX(lk_legs,6))-((((2*IF(circ_int,0,eq_c2/2))+(PI()*(s_0+5*s_r+IF(circ_int,eq_c1/2,0))/2))+2*IF(circ_int,0,eq_c1/2))+(PI()*(s_0+5*s_r+IF(circ_int,eq_c1/2,0))/2))),IF(((25+0.5)*(4*IF(circ_int,0,eq_c1/2)+4*IF(circ_int,0,eq_c2/2)+2*PI()*(s_0+5*s_r+IF(circ_int,eq_c1/2,0)))/INDEX(lk_legs,6))&lt;((((((2*IF(circ_int,0,eq_c2/2))+(PI()*(s_0+5*s_r+IF(circ_int,eq_c1/2,0))/2))+2*IF(circ_int,0,eq_c1/2))+(PI()*(s_0+5*s_r+IF(circ_int,eq_c1/2,0))/2))+2*IF(circ_int,0,eq_c2/2))+(PI()*(s_0+5*s_r+IF(circ_int,eq_c1/2,0))/2)),-IF(circ_int,0,eq_c2/2)+(s_0+5*s_r+IF(circ_int,eq_c1/2,0))*SIN(PI()+(((25+0.5)*(4*IF(circ_int,0,eq_c1/2)+4*IF(circ_int,0,eq_c2/2)+2*PI()*(s_0+5*s_r+IF(circ_int,eq_c1/2,0)))/INDEX(lk_legs,6))-(((((2*IF(circ_int,0,eq_c2/2))+(PI()*(s_0+5*s_r+IF(circ_int,eq_c1/2,0))/2))+2*IF(circ_int,0,eq_c1/2))+(PI()*(s_0+5*s_r+IF(circ_int,eq_c1/2,0))/2))+2*IF(circ_int,0,eq_c2/2)))/(s_0+5*s_r+IF(circ_int,eq_c1/2,0))),IF(((25+0.5)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(25+0.5)*(4*IF(circ_int,0,eq_c1/2)+4*IF(circ_int,0,eq_c2/2)+2*PI()*(s_0+5*s_r+IF(circ_int,eq_c1/2,0)))/INDEX(lk_legs,6))-(((((((2*IF(circ_int,0,eq_c2/2))+(PI()*(s_0+5*s_r+IF(circ_int,eq_c1/2,0))/2))+2*IF(circ_int,0,eq_c1/2))+(PI()*(s_0+5*s_r+IF(circ_int,eq_c1/2,0))/2))+2*IF(circ_int,0,eq_c2/2))+(PI()*(s_0+5*s_r+IF(circ_int,eq_c1/2,0))/2))+2*IF(circ_int,0,eq_c1/2)))/(s_0+5*s_r+IF(circ_int,eq_c1/2,0)))))))))),NA())</f>
        <v/>
      </c>
      <c r="CG28">
        <f>IF(AND(links_on,7&lt;=n_per),IF(circ_int,(g_ox)+(c_1/2+(s_0+6*s_r))*-0.992709,CHOOSE(INDEX(lk_kind,7),(g_ox-eq_c1/2)+((s_0+6*s_r))*-1.000000,(eq_a1+eq_c1)+((s_0+6*s_r))*0.130526,eq_a1+eq_c1+(s_0+6*s_r),(eq_a1+eq_c1)+((s_0+6*s_r))*0.991445)),NA())</f>
        <v/>
      </c>
      <c r="CH28">
        <f>IF(AND(links_on,7&lt;=n_per),IF(circ_int,(g_oy)+(c_1/2+(s_0+6*s_r))*0.120537,CHOOSE(INDEX(lk_kind,7),(g_oy+eq_c2/2)+((s_0+6*s_r))*0.000000,(g_oy-eq_c2/2)+((s_0+6*s_r))*-0.991445,0,(eq_a2+eq_c2)+((s_0+6*s_r))*0.130526)),NA())</f>
        <v/>
      </c>
      <c r="CJ28">
        <f>IF(AND(AND(links_on,7&lt;=n_per),INDEX(lk_kind,7)=1,25&lt;INDEX(lk_legs,7)),g_ox+IF(((25+0.5)*(4*IF(circ_int,0,eq_c1/2)+4*IF(circ_int,0,eq_c2/2)+2*PI()*(s_0+6*s_r+IF(circ_int,eq_c1/2,0)))/INDEX(lk_legs,7))&lt;(2*IF(circ_int,0,eq_c2/2)),IF(circ_int,0,eq_c1/2)+(s_0+6*s_r+IF(circ_int,eq_c1/2,0)),IF(((25+0.5)*(4*IF(circ_int,0,eq_c1/2)+4*IF(circ_int,0,eq_c2/2)+2*PI()*(s_0+6*s_r+IF(circ_int,eq_c1/2,0)))/INDEX(lk_legs,7))&lt;((2*IF(circ_int,0,eq_c2/2))+(PI()*(s_0+6*s_r+IF(circ_int,eq_c1/2,0))/2)),IF(circ_int,0,eq_c1/2)+(s_0+6*s_r+IF(circ_int,eq_c1/2,0))*COS((((25+0.5)*(4*IF(circ_int,0,eq_c1/2)+4*IF(circ_int,0,eq_c2/2)+2*PI()*(s_0+6*s_r+IF(circ_int,eq_c1/2,0)))/INDEX(lk_legs,7))-(2*IF(circ_int,0,eq_c2/2)))/(s_0+6*s_r+IF(circ_int,eq_c1/2,0))),IF(((25+0.5)*(4*IF(circ_int,0,eq_c1/2)+4*IF(circ_int,0,eq_c2/2)+2*PI()*(s_0+6*s_r+IF(circ_int,eq_c1/2,0)))/INDEX(lk_legs,7))&lt;(((2*IF(circ_int,0,eq_c2/2))+(PI()*(s_0+6*s_r+IF(circ_int,eq_c1/2,0))/2))+2*IF(circ_int,0,eq_c1/2)),IF(circ_int,0,eq_c1/2)-(((25+0.5)*(4*IF(circ_int,0,eq_c1/2)+4*IF(circ_int,0,eq_c2/2)+2*PI()*(s_0+6*s_r+IF(circ_int,eq_c1/2,0)))/INDEX(lk_legs,7))-((2*IF(circ_int,0,eq_c2/2))+(PI()*(s_0+6*s_r+IF(circ_int,eq_c1/2,0))/2))),IF(((25+0.5)*(4*IF(circ_int,0,eq_c1/2)+4*IF(circ_int,0,eq_c2/2)+2*PI()*(s_0+6*s_r+IF(circ_int,eq_c1/2,0)))/INDEX(lk_legs,7))&lt;((((2*IF(circ_int,0,eq_c2/2))+(PI()*(s_0+6*s_r+IF(circ_int,eq_c1/2,0))/2))+2*IF(circ_int,0,eq_c1/2))+(PI()*(s_0+6*s_r+IF(circ_int,eq_c1/2,0))/2)),-IF(circ_int,0,eq_c1/2)+(s_0+6*s_r+IF(circ_int,eq_c1/2,0))*COS(PI()/2+(((25+0.5)*(4*IF(circ_int,0,eq_c1/2)+4*IF(circ_int,0,eq_c2/2)+2*PI()*(s_0+6*s_r+IF(circ_int,eq_c1/2,0)))/INDEX(lk_legs,7))-(((2*IF(circ_int,0,eq_c2/2))+(PI()*(s_0+6*s_r+IF(circ_int,eq_c1/2,0))/2))+2*IF(circ_int,0,eq_c1/2)))/(s_0+6*s_r+IF(circ_int,eq_c1/2,0))),IF(((25+0.5)*(4*IF(circ_int,0,eq_c1/2)+4*IF(circ_int,0,eq_c2/2)+2*PI()*(s_0+6*s_r+IF(circ_int,eq_c1/2,0)))/INDEX(lk_legs,7))&lt;(((((2*IF(circ_int,0,eq_c2/2))+(PI()*(s_0+6*s_r+IF(circ_int,eq_c1/2,0))/2))+2*IF(circ_int,0,eq_c1/2))+(PI()*(s_0+6*s_r+IF(circ_int,eq_c1/2,0))/2))+2*IF(circ_int,0,eq_c2/2)),-IF(circ_int,0,eq_c1/2)-(s_0+6*s_r+IF(circ_int,eq_c1/2,0)),IF(((25+0.5)*(4*IF(circ_int,0,eq_c1/2)+4*IF(circ_int,0,eq_c2/2)+2*PI()*(s_0+6*s_r+IF(circ_int,eq_c1/2,0)))/INDEX(lk_legs,7))&lt;((((((2*IF(circ_int,0,eq_c2/2))+(PI()*(s_0+6*s_r+IF(circ_int,eq_c1/2,0))/2))+2*IF(circ_int,0,eq_c1/2))+(PI()*(s_0+6*s_r+IF(circ_int,eq_c1/2,0))/2))+2*IF(circ_int,0,eq_c2/2))+(PI()*(s_0+6*s_r+IF(circ_int,eq_c1/2,0))/2)),-IF(circ_int,0,eq_c1/2)+(s_0+6*s_r+IF(circ_int,eq_c1/2,0))*COS(PI()+(((25+0.5)*(4*IF(circ_int,0,eq_c1/2)+4*IF(circ_int,0,eq_c2/2)+2*PI()*(s_0+6*s_r+IF(circ_int,eq_c1/2,0)))/INDEX(lk_legs,7))-(((((2*IF(circ_int,0,eq_c2/2))+(PI()*(s_0+6*s_r+IF(circ_int,eq_c1/2,0))/2))+2*IF(circ_int,0,eq_c1/2))+(PI()*(s_0+6*s_r+IF(circ_int,eq_c1/2,0))/2))+2*IF(circ_int,0,eq_c2/2)))/(s_0+6*s_r+IF(circ_int,eq_c1/2,0))),IF(((25+0.5)*(4*IF(circ_int,0,eq_c1/2)+4*IF(circ_int,0,eq_c2/2)+2*PI()*(s_0+6*s_r+IF(circ_int,eq_c1/2,0)))/INDEX(lk_legs,7))&lt;(((((((2*IF(circ_int,0,eq_c2/2))+(PI()*(s_0+6*s_r+IF(circ_int,eq_c1/2,0))/2))+2*IF(circ_int,0,eq_c1/2))+(PI()*(s_0+6*s_r+IF(circ_int,eq_c1/2,0))/2))+2*IF(circ_int,0,eq_c2/2))+(PI()*(s_0+6*s_r+IF(circ_int,eq_c1/2,0))/2))+2*IF(circ_int,0,eq_c1/2)),-IF(circ_int,0,eq_c1/2)+(((25+0.5)*(4*IF(circ_int,0,eq_c1/2)+4*IF(circ_int,0,eq_c2/2)+2*PI()*(s_0+6*s_r+IF(circ_int,eq_c1/2,0)))/INDEX(lk_legs,7))-((((((2*IF(circ_int,0,eq_c2/2))+(PI()*(s_0+6*s_r+IF(circ_int,eq_c1/2,0))/2))+2*IF(circ_int,0,eq_c1/2))+(PI()*(s_0+6*s_r+IF(circ_int,eq_c1/2,0))/2))+2*IF(circ_int,0,eq_c2/2))+(PI()*(s_0+6*s_r+IF(circ_int,eq_c1/2,0))/2))),IF(circ_int,0,eq_c1/2)+(s_0+6*s_r+IF(circ_int,eq_c1/2,0))*COS(3*PI()/2+(((25+0.5)*(4*IF(circ_int,0,eq_c1/2)+4*IF(circ_int,0,eq_c2/2)+2*PI()*(s_0+6*s_r+IF(circ_int,eq_c1/2,0)))/INDEX(lk_legs,7))-(((((((2*IF(circ_int,0,eq_c2/2))+(PI()*(s_0+6*s_r+IF(circ_int,eq_c1/2,0))/2))+2*IF(circ_int,0,eq_c1/2))+(PI()*(s_0+6*s_r+IF(circ_int,eq_c1/2,0))/2))+2*IF(circ_int,0,eq_c2/2))+(PI()*(s_0+6*s_r+IF(circ_int,eq_c1/2,0))/2))+2*IF(circ_int,0,eq_c1/2)))/(s_0+6*s_r+IF(circ_int,eq_c1/2,0)))))))))),NA())</f>
        <v/>
      </c>
      <c r="CK28">
        <f>IF(AND(AND(links_on,7&lt;=n_per),INDEX(lk_kind,7)=1,25&lt;INDEX(lk_legs,7)),g_oy+IF(((25+0.5)*(4*IF(circ_int,0,eq_c1/2)+4*IF(circ_int,0,eq_c2/2)+2*PI()*(s_0+6*s_r+IF(circ_int,eq_c1/2,0)))/INDEX(lk_legs,7))&lt;(2*IF(circ_int,0,eq_c2/2)),-IF(circ_int,0,eq_c2/2)+((25+0.5)*(4*IF(circ_int,0,eq_c1/2)+4*IF(circ_int,0,eq_c2/2)+2*PI()*(s_0+6*s_r+IF(circ_int,eq_c1/2,0)))/INDEX(lk_legs,7)),IF(((25+0.5)*(4*IF(circ_int,0,eq_c1/2)+4*IF(circ_int,0,eq_c2/2)+2*PI()*(s_0+6*s_r+IF(circ_int,eq_c1/2,0)))/INDEX(lk_legs,7))&lt;((2*IF(circ_int,0,eq_c2/2))+(PI()*(s_0+6*s_r+IF(circ_int,eq_c1/2,0))/2)),IF(circ_int,0,eq_c2/2)+(s_0+6*s_r+IF(circ_int,eq_c1/2,0))*SIN((((25+0.5)*(4*IF(circ_int,0,eq_c1/2)+4*IF(circ_int,0,eq_c2/2)+2*PI()*(s_0+6*s_r+IF(circ_int,eq_c1/2,0)))/INDEX(lk_legs,7))-(2*IF(circ_int,0,eq_c2/2)))/(s_0+6*s_r+IF(circ_int,eq_c1/2,0))),IF(((25+0.5)*(4*IF(circ_int,0,eq_c1/2)+4*IF(circ_int,0,eq_c2/2)+2*PI()*(s_0+6*s_r+IF(circ_int,eq_c1/2,0)))/INDEX(lk_legs,7))&lt;(((2*IF(circ_int,0,eq_c2/2))+(PI()*(s_0+6*s_r+IF(circ_int,eq_c1/2,0))/2))+2*IF(circ_int,0,eq_c1/2)),IF(circ_int,0,eq_c2/2)+(s_0+6*s_r+IF(circ_int,eq_c1/2,0)),IF(((25+0.5)*(4*IF(circ_int,0,eq_c1/2)+4*IF(circ_int,0,eq_c2/2)+2*PI()*(s_0+6*s_r+IF(circ_int,eq_c1/2,0)))/INDEX(lk_legs,7))&lt;((((2*IF(circ_int,0,eq_c2/2))+(PI()*(s_0+6*s_r+IF(circ_int,eq_c1/2,0))/2))+2*IF(circ_int,0,eq_c1/2))+(PI()*(s_0+6*s_r+IF(circ_int,eq_c1/2,0))/2)),IF(circ_int,0,eq_c2/2)+(s_0+6*s_r+IF(circ_int,eq_c1/2,0))*SIN(PI()/2+(((25+0.5)*(4*IF(circ_int,0,eq_c1/2)+4*IF(circ_int,0,eq_c2/2)+2*PI()*(s_0+6*s_r+IF(circ_int,eq_c1/2,0)))/INDEX(lk_legs,7))-(((2*IF(circ_int,0,eq_c2/2))+(PI()*(s_0+6*s_r+IF(circ_int,eq_c1/2,0))/2))+2*IF(circ_int,0,eq_c1/2)))/(s_0+6*s_r+IF(circ_int,eq_c1/2,0))),IF(((25+0.5)*(4*IF(circ_int,0,eq_c1/2)+4*IF(circ_int,0,eq_c2/2)+2*PI()*(s_0+6*s_r+IF(circ_int,eq_c1/2,0)))/INDEX(lk_legs,7))&lt;(((((2*IF(circ_int,0,eq_c2/2))+(PI()*(s_0+6*s_r+IF(circ_int,eq_c1/2,0))/2))+2*IF(circ_int,0,eq_c1/2))+(PI()*(s_0+6*s_r+IF(circ_int,eq_c1/2,0))/2))+2*IF(circ_int,0,eq_c2/2)),IF(circ_int,0,eq_c2/2)-(((25+0.5)*(4*IF(circ_int,0,eq_c1/2)+4*IF(circ_int,0,eq_c2/2)+2*PI()*(s_0+6*s_r+IF(circ_int,eq_c1/2,0)))/INDEX(lk_legs,7))-((((2*IF(circ_int,0,eq_c2/2))+(PI()*(s_0+6*s_r+IF(circ_int,eq_c1/2,0))/2))+2*IF(circ_int,0,eq_c1/2))+(PI()*(s_0+6*s_r+IF(circ_int,eq_c1/2,0))/2))),IF(((25+0.5)*(4*IF(circ_int,0,eq_c1/2)+4*IF(circ_int,0,eq_c2/2)+2*PI()*(s_0+6*s_r+IF(circ_int,eq_c1/2,0)))/INDEX(lk_legs,7))&lt;((((((2*IF(circ_int,0,eq_c2/2))+(PI()*(s_0+6*s_r+IF(circ_int,eq_c1/2,0))/2))+2*IF(circ_int,0,eq_c1/2))+(PI()*(s_0+6*s_r+IF(circ_int,eq_c1/2,0))/2))+2*IF(circ_int,0,eq_c2/2))+(PI()*(s_0+6*s_r+IF(circ_int,eq_c1/2,0))/2)),-IF(circ_int,0,eq_c2/2)+(s_0+6*s_r+IF(circ_int,eq_c1/2,0))*SIN(PI()+(((25+0.5)*(4*IF(circ_int,0,eq_c1/2)+4*IF(circ_int,0,eq_c2/2)+2*PI()*(s_0+6*s_r+IF(circ_int,eq_c1/2,0)))/INDEX(lk_legs,7))-(((((2*IF(circ_int,0,eq_c2/2))+(PI()*(s_0+6*s_r+IF(circ_int,eq_c1/2,0))/2))+2*IF(circ_int,0,eq_c1/2))+(PI()*(s_0+6*s_r+IF(circ_int,eq_c1/2,0))/2))+2*IF(circ_int,0,eq_c2/2)))/(s_0+6*s_r+IF(circ_int,eq_c1/2,0))),IF(((25+0.5)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(25+0.5)*(4*IF(circ_int,0,eq_c1/2)+4*IF(circ_int,0,eq_c2/2)+2*PI()*(s_0+6*s_r+IF(circ_int,eq_c1/2,0)))/INDEX(lk_legs,7))-(((((((2*IF(circ_int,0,eq_c2/2))+(PI()*(s_0+6*s_r+IF(circ_int,eq_c1/2,0))/2))+2*IF(circ_int,0,eq_c1/2))+(PI()*(s_0+6*s_r+IF(circ_int,eq_c1/2,0))/2))+2*IF(circ_int,0,eq_c2/2))+(PI()*(s_0+6*s_r+IF(circ_int,eq_c1/2,0))/2))+2*IF(circ_int,0,eq_c1/2)))/(s_0+6*s_r+IF(circ_int,eq_c1/2,0)))))))))),NA())</f>
        <v/>
      </c>
      <c r="CM28">
        <f>IF(AND(links_on,8&lt;=n_per),IF(circ_int,(g_ox)+(c_1/2+(s_0+7*s_r))*-0.992709,CHOOSE(INDEX(lk_kind,8),(g_ox-eq_c1/2)+((s_0+7*s_r))*-1.000000,(eq_a1+eq_c1)+((s_0+7*s_r))*0.130526,eq_a1+eq_c1+(s_0+7*s_r),(eq_a1+eq_c1)+((s_0+7*s_r))*0.991445)),NA())</f>
        <v/>
      </c>
      <c r="CN28">
        <f>IF(AND(links_on,8&lt;=n_per),IF(circ_int,(g_oy)+(c_1/2+(s_0+7*s_r))*0.120537,CHOOSE(INDEX(lk_kind,8),(g_oy+eq_c2/2)+((s_0+7*s_r))*0.000000,(g_oy-eq_c2/2)+((s_0+7*s_r))*-0.991445,0,(eq_a2+eq_c2)+((s_0+7*s_r))*0.130526)),NA())</f>
        <v/>
      </c>
      <c r="CP28">
        <f>IF(AND(AND(links_on,8&lt;=n_per),INDEX(lk_kind,8)=1,25&lt;INDEX(lk_legs,8)),g_ox+IF(((25+0.5)*(4*IF(circ_int,0,eq_c1/2)+4*IF(circ_int,0,eq_c2/2)+2*PI()*(s_0+7*s_r+IF(circ_int,eq_c1/2,0)))/INDEX(lk_legs,8))&lt;(2*IF(circ_int,0,eq_c2/2)),IF(circ_int,0,eq_c1/2)+(s_0+7*s_r+IF(circ_int,eq_c1/2,0)),IF(((25+0.5)*(4*IF(circ_int,0,eq_c1/2)+4*IF(circ_int,0,eq_c2/2)+2*PI()*(s_0+7*s_r+IF(circ_int,eq_c1/2,0)))/INDEX(lk_legs,8))&lt;((2*IF(circ_int,0,eq_c2/2))+(PI()*(s_0+7*s_r+IF(circ_int,eq_c1/2,0))/2)),IF(circ_int,0,eq_c1/2)+(s_0+7*s_r+IF(circ_int,eq_c1/2,0))*COS((((25+0.5)*(4*IF(circ_int,0,eq_c1/2)+4*IF(circ_int,0,eq_c2/2)+2*PI()*(s_0+7*s_r+IF(circ_int,eq_c1/2,0)))/INDEX(lk_legs,8))-(2*IF(circ_int,0,eq_c2/2)))/(s_0+7*s_r+IF(circ_int,eq_c1/2,0))),IF(((25+0.5)*(4*IF(circ_int,0,eq_c1/2)+4*IF(circ_int,0,eq_c2/2)+2*PI()*(s_0+7*s_r+IF(circ_int,eq_c1/2,0)))/INDEX(lk_legs,8))&lt;(((2*IF(circ_int,0,eq_c2/2))+(PI()*(s_0+7*s_r+IF(circ_int,eq_c1/2,0))/2))+2*IF(circ_int,0,eq_c1/2)),IF(circ_int,0,eq_c1/2)-(((25+0.5)*(4*IF(circ_int,0,eq_c1/2)+4*IF(circ_int,0,eq_c2/2)+2*PI()*(s_0+7*s_r+IF(circ_int,eq_c1/2,0)))/INDEX(lk_legs,8))-((2*IF(circ_int,0,eq_c2/2))+(PI()*(s_0+7*s_r+IF(circ_int,eq_c1/2,0))/2))),IF(((25+0.5)*(4*IF(circ_int,0,eq_c1/2)+4*IF(circ_int,0,eq_c2/2)+2*PI()*(s_0+7*s_r+IF(circ_int,eq_c1/2,0)))/INDEX(lk_legs,8))&lt;((((2*IF(circ_int,0,eq_c2/2))+(PI()*(s_0+7*s_r+IF(circ_int,eq_c1/2,0))/2))+2*IF(circ_int,0,eq_c1/2))+(PI()*(s_0+7*s_r+IF(circ_int,eq_c1/2,0))/2)),-IF(circ_int,0,eq_c1/2)+(s_0+7*s_r+IF(circ_int,eq_c1/2,0))*COS(PI()/2+(((25+0.5)*(4*IF(circ_int,0,eq_c1/2)+4*IF(circ_int,0,eq_c2/2)+2*PI()*(s_0+7*s_r+IF(circ_int,eq_c1/2,0)))/INDEX(lk_legs,8))-(((2*IF(circ_int,0,eq_c2/2))+(PI()*(s_0+7*s_r+IF(circ_int,eq_c1/2,0))/2))+2*IF(circ_int,0,eq_c1/2)))/(s_0+7*s_r+IF(circ_int,eq_c1/2,0))),IF(((25+0.5)*(4*IF(circ_int,0,eq_c1/2)+4*IF(circ_int,0,eq_c2/2)+2*PI()*(s_0+7*s_r+IF(circ_int,eq_c1/2,0)))/INDEX(lk_legs,8))&lt;(((((2*IF(circ_int,0,eq_c2/2))+(PI()*(s_0+7*s_r+IF(circ_int,eq_c1/2,0))/2))+2*IF(circ_int,0,eq_c1/2))+(PI()*(s_0+7*s_r+IF(circ_int,eq_c1/2,0))/2))+2*IF(circ_int,0,eq_c2/2)),-IF(circ_int,0,eq_c1/2)-(s_0+7*s_r+IF(circ_int,eq_c1/2,0)),IF(((25+0.5)*(4*IF(circ_int,0,eq_c1/2)+4*IF(circ_int,0,eq_c2/2)+2*PI()*(s_0+7*s_r+IF(circ_int,eq_c1/2,0)))/INDEX(lk_legs,8))&lt;((((((2*IF(circ_int,0,eq_c2/2))+(PI()*(s_0+7*s_r+IF(circ_int,eq_c1/2,0))/2))+2*IF(circ_int,0,eq_c1/2))+(PI()*(s_0+7*s_r+IF(circ_int,eq_c1/2,0))/2))+2*IF(circ_int,0,eq_c2/2))+(PI()*(s_0+7*s_r+IF(circ_int,eq_c1/2,0))/2)),-IF(circ_int,0,eq_c1/2)+(s_0+7*s_r+IF(circ_int,eq_c1/2,0))*COS(PI()+(((25+0.5)*(4*IF(circ_int,0,eq_c1/2)+4*IF(circ_int,0,eq_c2/2)+2*PI()*(s_0+7*s_r+IF(circ_int,eq_c1/2,0)))/INDEX(lk_legs,8))-(((((2*IF(circ_int,0,eq_c2/2))+(PI()*(s_0+7*s_r+IF(circ_int,eq_c1/2,0))/2))+2*IF(circ_int,0,eq_c1/2))+(PI()*(s_0+7*s_r+IF(circ_int,eq_c1/2,0))/2))+2*IF(circ_int,0,eq_c2/2)))/(s_0+7*s_r+IF(circ_int,eq_c1/2,0))),IF(((25+0.5)*(4*IF(circ_int,0,eq_c1/2)+4*IF(circ_int,0,eq_c2/2)+2*PI()*(s_0+7*s_r+IF(circ_int,eq_c1/2,0)))/INDEX(lk_legs,8))&lt;(((((((2*IF(circ_int,0,eq_c2/2))+(PI()*(s_0+7*s_r+IF(circ_int,eq_c1/2,0))/2))+2*IF(circ_int,0,eq_c1/2))+(PI()*(s_0+7*s_r+IF(circ_int,eq_c1/2,0))/2))+2*IF(circ_int,0,eq_c2/2))+(PI()*(s_0+7*s_r+IF(circ_int,eq_c1/2,0))/2))+2*IF(circ_int,0,eq_c1/2)),-IF(circ_int,0,eq_c1/2)+(((25+0.5)*(4*IF(circ_int,0,eq_c1/2)+4*IF(circ_int,0,eq_c2/2)+2*PI()*(s_0+7*s_r+IF(circ_int,eq_c1/2,0)))/INDEX(lk_legs,8))-((((((2*IF(circ_int,0,eq_c2/2))+(PI()*(s_0+7*s_r+IF(circ_int,eq_c1/2,0))/2))+2*IF(circ_int,0,eq_c1/2))+(PI()*(s_0+7*s_r+IF(circ_int,eq_c1/2,0))/2))+2*IF(circ_int,0,eq_c2/2))+(PI()*(s_0+7*s_r+IF(circ_int,eq_c1/2,0))/2))),IF(circ_int,0,eq_c1/2)+(s_0+7*s_r+IF(circ_int,eq_c1/2,0))*COS(3*PI()/2+(((25+0.5)*(4*IF(circ_int,0,eq_c1/2)+4*IF(circ_int,0,eq_c2/2)+2*PI()*(s_0+7*s_r+IF(circ_int,eq_c1/2,0)))/INDEX(lk_legs,8))-(((((((2*IF(circ_int,0,eq_c2/2))+(PI()*(s_0+7*s_r+IF(circ_int,eq_c1/2,0))/2))+2*IF(circ_int,0,eq_c1/2))+(PI()*(s_0+7*s_r+IF(circ_int,eq_c1/2,0))/2))+2*IF(circ_int,0,eq_c2/2))+(PI()*(s_0+7*s_r+IF(circ_int,eq_c1/2,0))/2))+2*IF(circ_int,0,eq_c1/2)))/(s_0+7*s_r+IF(circ_int,eq_c1/2,0)))))))))),NA())</f>
        <v/>
      </c>
      <c r="CQ28">
        <f>IF(AND(AND(links_on,8&lt;=n_per),INDEX(lk_kind,8)=1,25&lt;INDEX(lk_legs,8)),g_oy+IF(((25+0.5)*(4*IF(circ_int,0,eq_c1/2)+4*IF(circ_int,0,eq_c2/2)+2*PI()*(s_0+7*s_r+IF(circ_int,eq_c1/2,0)))/INDEX(lk_legs,8))&lt;(2*IF(circ_int,0,eq_c2/2)),-IF(circ_int,0,eq_c2/2)+((25+0.5)*(4*IF(circ_int,0,eq_c1/2)+4*IF(circ_int,0,eq_c2/2)+2*PI()*(s_0+7*s_r+IF(circ_int,eq_c1/2,0)))/INDEX(lk_legs,8)),IF(((25+0.5)*(4*IF(circ_int,0,eq_c1/2)+4*IF(circ_int,0,eq_c2/2)+2*PI()*(s_0+7*s_r+IF(circ_int,eq_c1/2,0)))/INDEX(lk_legs,8))&lt;((2*IF(circ_int,0,eq_c2/2))+(PI()*(s_0+7*s_r+IF(circ_int,eq_c1/2,0))/2)),IF(circ_int,0,eq_c2/2)+(s_0+7*s_r+IF(circ_int,eq_c1/2,0))*SIN((((25+0.5)*(4*IF(circ_int,0,eq_c1/2)+4*IF(circ_int,0,eq_c2/2)+2*PI()*(s_0+7*s_r+IF(circ_int,eq_c1/2,0)))/INDEX(lk_legs,8))-(2*IF(circ_int,0,eq_c2/2)))/(s_0+7*s_r+IF(circ_int,eq_c1/2,0))),IF(((25+0.5)*(4*IF(circ_int,0,eq_c1/2)+4*IF(circ_int,0,eq_c2/2)+2*PI()*(s_0+7*s_r+IF(circ_int,eq_c1/2,0)))/INDEX(lk_legs,8))&lt;(((2*IF(circ_int,0,eq_c2/2))+(PI()*(s_0+7*s_r+IF(circ_int,eq_c1/2,0))/2))+2*IF(circ_int,0,eq_c1/2)),IF(circ_int,0,eq_c2/2)+(s_0+7*s_r+IF(circ_int,eq_c1/2,0)),IF(((25+0.5)*(4*IF(circ_int,0,eq_c1/2)+4*IF(circ_int,0,eq_c2/2)+2*PI()*(s_0+7*s_r+IF(circ_int,eq_c1/2,0)))/INDEX(lk_legs,8))&lt;((((2*IF(circ_int,0,eq_c2/2))+(PI()*(s_0+7*s_r+IF(circ_int,eq_c1/2,0))/2))+2*IF(circ_int,0,eq_c1/2))+(PI()*(s_0+7*s_r+IF(circ_int,eq_c1/2,0))/2)),IF(circ_int,0,eq_c2/2)+(s_0+7*s_r+IF(circ_int,eq_c1/2,0))*SIN(PI()/2+(((25+0.5)*(4*IF(circ_int,0,eq_c1/2)+4*IF(circ_int,0,eq_c2/2)+2*PI()*(s_0+7*s_r+IF(circ_int,eq_c1/2,0)))/INDEX(lk_legs,8))-(((2*IF(circ_int,0,eq_c2/2))+(PI()*(s_0+7*s_r+IF(circ_int,eq_c1/2,0))/2))+2*IF(circ_int,0,eq_c1/2)))/(s_0+7*s_r+IF(circ_int,eq_c1/2,0))),IF(((25+0.5)*(4*IF(circ_int,0,eq_c1/2)+4*IF(circ_int,0,eq_c2/2)+2*PI()*(s_0+7*s_r+IF(circ_int,eq_c1/2,0)))/INDEX(lk_legs,8))&lt;(((((2*IF(circ_int,0,eq_c2/2))+(PI()*(s_0+7*s_r+IF(circ_int,eq_c1/2,0))/2))+2*IF(circ_int,0,eq_c1/2))+(PI()*(s_0+7*s_r+IF(circ_int,eq_c1/2,0))/2))+2*IF(circ_int,0,eq_c2/2)),IF(circ_int,0,eq_c2/2)-(((25+0.5)*(4*IF(circ_int,0,eq_c1/2)+4*IF(circ_int,0,eq_c2/2)+2*PI()*(s_0+7*s_r+IF(circ_int,eq_c1/2,0)))/INDEX(lk_legs,8))-((((2*IF(circ_int,0,eq_c2/2))+(PI()*(s_0+7*s_r+IF(circ_int,eq_c1/2,0))/2))+2*IF(circ_int,0,eq_c1/2))+(PI()*(s_0+7*s_r+IF(circ_int,eq_c1/2,0))/2))),IF(((25+0.5)*(4*IF(circ_int,0,eq_c1/2)+4*IF(circ_int,0,eq_c2/2)+2*PI()*(s_0+7*s_r+IF(circ_int,eq_c1/2,0)))/INDEX(lk_legs,8))&lt;((((((2*IF(circ_int,0,eq_c2/2))+(PI()*(s_0+7*s_r+IF(circ_int,eq_c1/2,0))/2))+2*IF(circ_int,0,eq_c1/2))+(PI()*(s_0+7*s_r+IF(circ_int,eq_c1/2,0))/2))+2*IF(circ_int,0,eq_c2/2))+(PI()*(s_0+7*s_r+IF(circ_int,eq_c1/2,0))/2)),-IF(circ_int,0,eq_c2/2)+(s_0+7*s_r+IF(circ_int,eq_c1/2,0))*SIN(PI()+(((25+0.5)*(4*IF(circ_int,0,eq_c1/2)+4*IF(circ_int,0,eq_c2/2)+2*PI()*(s_0+7*s_r+IF(circ_int,eq_c1/2,0)))/INDEX(lk_legs,8))-(((((2*IF(circ_int,0,eq_c2/2))+(PI()*(s_0+7*s_r+IF(circ_int,eq_c1/2,0))/2))+2*IF(circ_int,0,eq_c1/2))+(PI()*(s_0+7*s_r+IF(circ_int,eq_c1/2,0))/2))+2*IF(circ_int,0,eq_c2/2)))/(s_0+7*s_r+IF(circ_int,eq_c1/2,0))),IF(((25+0.5)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(25+0.5)*(4*IF(circ_int,0,eq_c1/2)+4*IF(circ_int,0,eq_c2/2)+2*PI()*(s_0+7*s_r+IF(circ_int,eq_c1/2,0)))/INDEX(lk_legs,8))-(((((((2*IF(circ_int,0,eq_c2/2))+(PI()*(s_0+7*s_r+IF(circ_int,eq_c1/2,0))/2))+2*IF(circ_int,0,eq_c1/2))+(PI()*(s_0+7*s_r+IF(circ_int,eq_c1/2,0))/2))+2*IF(circ_int,0,eq_c2/2))+(PI()*(s_0+7*s_r+IF(circ_int,eq_c1/2,0))/2))+2*IF(circ_int,0,eq_c1/2)))/(s_0+7*s_r+IF(circ_int,eq_c1/2,0)))))))))),NA())</f>
        <v/>
      </c>
      <c r="CS28">
        <f>IF(AND(links_on,9&lt;=n_per),IF(circ_int,(g_ox)+(c_1/2+(s_0+8*s_r))*-0.992709,CHOOSE(INDEX(lk_kind,9),(g_ox-eq_c1/2)+((s_0+8*s_r))*-1.000000,(eq_a1+eq_c1)+((s_0+8*s_r))*0.130526,eq_a1+eq_c1+(s_0+8*s_r),(eq_a1+eq_c1)+((s_0+8*s_r))*0.991445)),NA())</f>
        <v/>
      </c>
      <c r="CT28">
        <f>IF(AND(links_on,9&lt;=n_per),IF(circ_int,(g_oy)+(c_1/2+(s_0+8*s_r))*0.120537,CHOOSE(INDEX(lk_kind,9),(g_oy+eq_c2/2)+((s_0+8*s_r))*0.000000,(g_oy-eq_c2/2)+((s_0+8*s_r))*-0.991445,0,(eq_a2+eq_c2)+((s_0+8*s_r))*0.130526)),NA())</f>
        <v/>
      </c>
      <c r="CV28">
        <f>IF(AND(AND(links_on,9&lt;=n_per),INDEX(lk_kind,9)=1,25&lt;INDEX(lk_legs,9)),g_ox+IF(((25+0.5)*(4*IF(circ_int,0,eq_c1/2)+4*IF(circ_int,0,eq_c2/2)+2*PI()*(s_0+8*s_r+IF(circ_int,eq_c1/2,0)))/INDEX(lk_legs,9))&lt;(2*IF(circ_int,0,eq_c2/2)),IF(circ_int,0,eq_c1/2)+(s_0+8*s_r+IF(circ_int,eq_c1/2,0)),IF(((25+0.5)*(4*IF(circ_int,0,eq_c1/2)+4*IF(circ_int,0,eq_c2/2)+2*PI()*(s_0+8*s_r+IF(circ_int,eq_c1/2,0)))/INDEX(lk_legs,9))&lt;((2*IF(circ_int,0,eq_c2/2))+(PI()*(s_0+8*s_r+IF(circ_int,eq_c1/2,0))/2)),IF(circ_int,0,eq_c1/2)+(s_0+8*s_r+IF(circ_int,eq_c1/2,0))*COS((((25+0.5)*(4*IF(circ_int,0,eq_c1/2)+4*IF(circ_int,0,eq_c2/2)+2*PI()*(s_0+8*s_r+IF(circ_int,eq_c1/2,0)))/INDEX(lk_legs,9))-(2*IF(circ_int,0,eq_c2/2)))/(s_0+8*s_r+IF(circ_int,eq_c1/2,0))),IF(((25+0.5)*(4*IF(circ_int,0,eq_c1/2)+4*IF(circ_int,0,eq_c2/2)+2*PI()*(s_0+8*s_r+IF(circ_int,eq_c1/2,0)))/INDEX(lk_legs,9))&lt;(((2*IF(circ_int,0,eq_c2/2))+(PI()*(s_0+8*s_r+IF(circ_int,eq_c1/2,0))/2))+2*IF(circ_int,0,eq_c1/2)),IF(circ_int,0,eq_c1/2)-(((25+0.5)*(4*IF(circ_int,0,eq_c1/2)+4*IF(circ_int,0,eq_c2/2)+2*PI()*(s_0+8*s_r+IF(circ_int,eq_c1/2,0)))/INDEX(lk_legs,9))-((2*IF(circ_int,0,eq_c2/2))+(PI()*(s_0+8*s_r+IF(circ_int,eq_c1/2,0))/2))),IF(((25+0.5)*(4*IF(circ_int,0,eq_c1/2)+4*IF(circ_int,0,eq_c2/2)+2*PI()*(s_0+8*s_r+IF(circ_int,eq_c1/2,0)))/INDEX(lk_legs,9))&lt;((((2*IF(circ_int,0,eq_c2/2))+(PI()*(s_0+8*s_r+IF(circ_int,eq_c1/2,0))/2))+2*IF(circ_int,0,eq_c1/2))+(PI()*(s_0+8*s_r+IF(circ_int,eq_c1/2,0))/2)),-IF(circ_int,0,eq_c1/2)+(s_0+8*s_r+IF(circ_int,eq_c1/2,0))*COS(PI()/2+(((25+0.5)*(4*IF(circ_int,0,eq_c1/2)+4*IF(circ_int,0,eq_c2/2)+2*PI()*(s_0+8*s_r+IF(circ_int,eq_c1/2,0)))/INDEX(lk_legs,9))-(((2*IF(circ_int,0,eq_c2/2))+(PI()*(s_0+8*s_r+IF(circ_int,eq_c1/2,0))/2))+2*IF(circ_int,0,eq_c1/2)))/(s_0+8*s_r+IF(circ_int,eq_c1/2,0))),IF(((25+0.5)*(4*IF(circ_int,0,eq_c1/2)+4*IF(circ_int,0,eq_c2/2)+2*PI()*(s_0+8*s_r+IF(circ_int,eq_c1/2,0)))/INDEX(lk_legs,9))&lt;(((((2*IF(circ_int,0,eq_c2/2))+(PI()*(s_0+8*s_r+IF(circ_int,eq_c1/2,0))/2))+2*IF(circ_int,0,eq_c1/2))+(PI()*(s_0+8*s_r+IF(circ_int,eq_c1/2,0))/2))+2*IF(circ_int,0,eq_c2/2)),-IF(circ_int,0,eq_c1/2)-(s_0+8*s_r+IF(circ_int,eq_c1/2,0)),IF(((25+0.5)*(4*IF(circ_int,0,eq_c1/2)+4*IF(circ_int,0,eq_c2/2)+2*PI()*(s_0+8*s_r+IF(circ_int,eq_c1/2,0)))/INDEX(lk_legs,9))&lt;((((((2*IF(circ_int,0,eq_c2/2))+(PI()*(s_0+8*s_r+IF(circ_int,eq_c1/2,0))/2))+2*IF(circ_int,0,eq_c1/2))+(PI()*(s_0+8*s_r+IF(circ_int,eq_c1/2,0))/2))+2*IF(circ_int,0,eq_c2/2))+(PI()*(s_0+8*s_r+IF(circ_int,eq_c1/2,0))/2)),-IF(circ_int,0,eq_c1/2)+(s_0+8*s_r+IF(circ_int,eq_c1/2,0))*COS(PI()+(((25+0.5)*(4*IF(circ_int,0,eq_c1/2)+4*IF(circ_int,0,eq_c2/2)+2*PI()*(s_0+8*s_r+IF(circ_int,eq_c1/2,0)))/INDEX(lk_legs,9))-(((((2*IF(circ_int,0,eq_c2/2))+(PI()*(s_0+8*s_r+IF(circ_int,eq_c1/2,0))/2))+2*IF(circ_int,0,eq_c1/2))+(PI()*(s_0+8*s_r+IF(circ_int,eq_c1/2,0))/2))+2*IF(circ_int,0,eq_c2/2)))/(s_0+8*s_r+IF(circ_int,eq_c1/2,0))),IF(((25+0.5)*(4*IF(circ_int,0,eq_c1/2)+4*IF(circ_int,0,eq_c2/2)+2*PI()*(s_0+8*s_r+IF(circ_int,eq_c1/2,0)))/INDEX(lk_legs,9))&lt;(((((((2*IF(circ_int,0,eq_c2/2))+(PI()*(s_0+8*s_r+IF(circ_int,eq_c1/2,0))/2))+2*IF(circ_int,0,eq_c1/2))+(PI()*(s_0+8*s_r+IF(circ_int,eq_c1/2,0))/2))+2*IF(circ_int,0,eq_c2/2))+(PI()*(s_0+8*s_r+IF(circ_int,eq_c1/2,0))/2))+2*IF(circ_int,0,eq_c1/2)),-IF(circ_int,0,eq_c1/2)+(((25+0.5)*(4*IF(circ_int,0,eq_c1/2)+4*IF(circ_int,0,eq_c2/2)+2*PI()*(s_0+8*s_r+IF(circ_int,eq_c1/2,0)))/INDEX(lk_legs,9))-((((((2*IF(circ_int,0,eq_c2/2))+(PI()*(s_0+8*s_r+IF(circ_int,eq_c1/2,0))/2))+2*IF(circ_int,0,eq_c1/2))+(PI()*(s_0+8*s_r+IF(circ_int,eq_c1/2,0))/2))+2*IF(circ_int,0,eq_c2/2))+(PI()*(s_0+8*s_r+IF(circ_int,eq_c1/2,0))/2))),IF(circ_int,0,eq_c1/2)+(s_0+8*s_r+IF(circ_int,eq_c1/2,0))*COS(3*PI()/2+(((25+0.5)*(4*IF(circ_int,0,eq_c1/2)+4*IF(circ_int,0,eq_c2/2)+2*PI()*(s_0+8*s_r+IF(circ_int,eq_c1/2,0)))/INDEX(lk_legs,9))-(((((((2*IF(circ_int,0,eq_c2/2))+(PI()*(s_0+8*s_r+IF(circ_int,eq_c1/2,0))/2))+2*IF(circ_int,0,eq_c1/2))+(PI()*(s_0+8*s_r+IF(circ_int,eq_c1/2,0))/2))+2*IF(circ_int,0,eq_c2/2))+(PI()*(s_0+8*s_r+IF(circ_int,eq_c1/2,0))/2))+2*IF(circ_int,0,eq_c1/2)))/(s_0+8*s_r+IF(circ_int,eq_c1/2,0)))))))))),NA())</f>
        <v/>
      </c>
      <c r="CW28">
        <f>IF(AND(AND(links_on,9&lt;=n_per),INDEX(lk_kind,9)=1,25&lt;INDEX(lk_legs,9)),g_oy+IF(((25+0.5)*(4*IF(circ_int,0,eq_c1/2)+4*IF(circ_int,0,eq_c2/2)+2*PI()*(s_0+8*s_r+IF(circ_int,eq_c1/2,0)))/INDEX(lk_legs,9))&lt;(2*IF(circ_int,0,eq_c2/2)),-IF(circ_int,0,eq_c2/2)+((25+0.5)*(4*IF(circ_int,0,eq_c1/2)+4*IF(circ_int,0,eq_c2/2)+2*PI()*(s_0+8*s_r+IF(circ_int,eq_c1/2,0)))/INDEX(lk_legs,9)),IF(((25+0.5)*(4*IF(circ_int,0,eq_c1/2)+4*IF(circ_int,0,eq_c2/2)+2*PI()*(s_0+8*s_r+IF(circ_int,eq_c1/2,0)))/INDEX(lk_legs,9))&lt;((2*IF(circ_int,0,eq_c2/2))+(PI()*(s_0+8*s_r+IF(circ_int,eq_c1/2,0))/2)),IF(circ_int,0,eq_c2/2)+(s_0+8*s_r+IF(circ_int,eq_c1/2,0))*SIN((((25+0.5)*(4*IF(circ_int,0,eq_c1/2)+4*IF(circ_int,0,eq_c2/2)+2*PI()*(s_0+8*s_r+IF(circ_int,eq_c1/2,0)))/INDEX(lk_legs,9))-(2*IF(circ_int,0,eq_c2/2)))/(s_0+8*s_r+IF(circ_int,eq_c1/2,0))),IF(((25+0.5)*(4*IF(circ_int,0,eq_c1/2)+4*IF(circ_int,0,eq_c2/2)+2*PI()*(s_0+8*s_r+IF(circ_int,eq_c1/2,0)))/INDEX(lk_legs,9))&lt;(((2*IF(circ_int,0,eq_c2/2))+(PI()*(s_0+8*s_r+IF(circ_int,eq_c1/2,0))/2))+2*IF(circ_int,0,eq_c1/2)),IF(circ_int,0,eq_c2/2)+(s_0+8*s_r+IF(circ_int,eq_c1/2,0)),IF(((25+0.5)*(4*IF(circ_int,0,eq_c1/2)+4*IF(circ_int,0,eq_c2/2)+2*PI()*(s_0+8*s_r+IF(circ_int,eq_c1/2,0)))/INDEX(lk_legs,9))&lt;((((2*IF(circ_int,0,eq_c2/2))+(PI()*(s_0+8*s_r+IF(circ_int,eq_c1/2,0))/2))+2*IF(circ_int,0,eq_c1/2))+(PI()*(s_0+8*s_r+IF(circ_int,eq_c1/2,0))/2)),IF(circ_int,0,eq_c2/2)+(s_0+8*s_r+IF(circ_int,eq_c1/2,0))*SIN(PI()/2+(((25+0.5)*(4*IF(circ_int,0,eq_c1/2)+4*IF(circ_int,0,eq_c2/2)+2*PI()*(s_0+8*s_r+IF(circ_int,eq_c1/2,0)))/INDEX(lk_legs,9))-(((2*IF(circ_int,0,eq_c2/2))+(PI()*(s_0+8*s_r+IF(circ_int,eq_c1/2,0))/2))+2*IF(circ_int,0,eq_c1/2)))/(s_0+8*s_r+IF(circ_int,eq_c1/2,0))),IF(((25+0.5)*(4*IF(circ_int,0,eq_c1/2)+4*IF(circ_int,0,eq_c2/2)+2*PI()*(s_0+8*s_r+IF(circ_int,eq_c1/2,0)))/INDEX(lk_legs,9))&lt;(((((2*IF(circ_int,0,eq_c2/2))+(PI()*(s_0+8*s_r+IF(circ_int,eq_c1/2,0))/2))+2*IF(circ_int,0,eq_c1/2))+(PI()*(s_0+8*s_r+IF(circ_int,eq_c1/2,0))/2))+2*IF(circ_int,0,eq_c2/2)),IF(circ_int,0,eq_c2/2)-(((25+0.5)*(4*IF(circ_int,0,eq_c1/2)+4*IF(circ_int,0,eq_c2/2)+2*PI()*(s_0+8*s_r+IF(circ_int,eq_c1/2,0)))/INDEX(lk_legs,9))-((((2*IF(circ_int,0,eq_c2/2))+(PI()*(s_0+8*s_r+IF(circ_int,eq_c1/2,0))/2))+2*IF(circ_int,0,eq_c1/2))+(PI()*(s_0+8*s_r+IF(circ_int,eq_c1/2,0))/2))),IF(((25+0.5)*(4*IF(circ_int,0,eq_c1/2)+4*IF(circ_int,0,eq_c2/2)+2*PI()*(s_0+8*s_r+IF(circ_int,eq_c1/2,0)))/INDEX(lk_legs,9))&lt;((((((2*IF(circ_int,0,eq_c2/2))+(PI()*(s_0+8*s_r+IF(circ_int,eq_c1/2,0))/2))+2*IF(circ_int,0,eq_c1/2))+(PI()*(s_0+8*s_r+IF(circ_int,eq_c1/2,0))/2))+2*IF(circ_int,0,eq_c2/2))+(PI()*(s_0+8*s_r+IF(circ_int,eq_c1/2,0))/2)),-IF(circ_int,0,eq_c2/2)+(s_0+8*s_r+IF(circ_int,eq_c1/2,0))*SIN(PI()+(((25+0.5)*(4*IF(circ_int,0,eq_c1/2)+4*IF(circ_int,0,eq_c2/2)+2*PI()*(s_0+8*s_r+IF(circ_int,eq_c1/2,0)))/INDEX(lk_legs,9))-(((((2*IF(circ_int,0,eq_c2/2))+(PI()*(s_0+8*s_r+IF(circ_int,eq_c1/2,0))/2))+2*IF(circ_int,0,eq_c1/2))+(PI()*(s_0+8*s_r+IF(circ_int,eq_c1/2,0))/2))+2*IF(circ_int,0,eq_c2/2)))/(s_0+8*s_r+IF(circ_int,eq_c1/2,0))),IF(((25+0.5)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(25+0.5)*(4*IF(circ_int,0,eq_c1/2)+4*IF(circ_int,0,eq_c2/2)+2*PI()*(s_0+8*s_r+IF(circ_int,eq_c1/2,0)))/INDEX(lk_legs,9))-(((((((2*IF(circ_int,0,eq_c2/2))+(PI()*(s_0+8*s_r+IF(circ_int,eq_c1/2,0))/2))+2*IF(circ_int,0,eq_c1/2))+(PI()*(s_0+8*s_r+IF(circ_int,eq_c1/2,0))/2))+2*IF(circ_int,0,eq_c2/2))+(PI()*(s_0+8*s_r+IF(circ_int,eq_c1/2,0))/2))+2*IF(circ_int,0,eq_c1/2)))/(s_0+8*s_r+IF(circ_int,eq_c1/2,0)))))))))),NA())</f>
        <v/>
      </c>
      <c r="CY28">
        <f>IF(AND(links_on,10&lt;=n_per),IF(circ_int,(g_ox)+(c_1/2+(s_0+9*s_r))*-0.992709,CHOOSE(INDEX(lk_kind,10),(g_ox-eq_c1/2)+((s_0+9*s_r))*-1.000000,(eq_a1+eq_c1)+((s_0+9*s_r))*0.130526,eq_a1+eq_c1+(s_0+9*s_r),(eq_a1+eq_c1)+((s_0+9*s_r))*0.991445)),NA())</f>
        <v/>
      </c>
      <c r="CZ28">
        <f>IF(AND(links_on,10&lt;=n_per),IF(circ_int,(g_oy)+(c_1/2+(s_0+9*s_r))*0.120537,CHOOSE(INDEX(lk_kind,10),(g_oy+eq_c2/2)+((s_0+9*s_r))*0.000000,(g_oy-eq_c2/2)+((s_0+9*s_r))*-0.991445,0,(eq_a2+eq_c2)+((s_0+9*s_r))*0.130526)),NA())</f>
        <v/>
      </c>
      <c r="DB28">
        <f>IF(AND(AND(links_on,10&lt;=n_per),INDEX(lk_kind,10)=1,25&lt;INDEX(lk_legs,10)),g_ox+IF(((25+0.5)*(4*IF(circ_int,0,eq_c1/2)+4*IF(circ_int,0,eq_c2/2)+2*PI()*(s_0+9*s_r+IF(circ_int,eq_c1/2,0)))/INDEX(lk_legs,10))&lt;(2*IF(circ_int,0,eq_c2/2)),IF(circ_int,0,eq_c1/2)+(s_0+9*s_r+IF(circ_int,eq_c1/2,0)),IF(((25+0.5)*(4*IF(circ_int,0,eq_c1/2)+4*IF(circ_int,0,eq_c2/2)+2*PI()*(s_0+9*s_r+IF(circ_int,eq_c1/2,0)))/INDEX(lk_legs,10))&lt;((2*IF(circ_int,0,eq_c2/2))+(PI()*(s_0+9*s_r+IF(circ_int,eq_c1/2,0))/2)),IF(circ_int,0,eq_c1/2)+(s_0+9*s_r+IF(circ_int,eq_c1/2,0))*COS((((25+0.5)*(4*IF(circ_int,0,eq_c1/2)+4*IF(circ_int,0,eq_c2/2)+2*PI()*(s_0+9*s_r+IF(circ_int,eq_c1/2,0)))/INDEX(lk_legs,10))-(2*IF(circ_int,0,eq_c2/2)))/(s_0+9*s_r+IF(circ_int,eq_c1/2,0))),IF(((25+0.5)*(4*IF(circ_int,0,eq_c1/2)+4*IF(circ_int,0,eq_c2/2)+2*PI()*(s_0+9*s_r+IF(circ_int,eq_c1/2,0)))/INDEX(lk_legs,10))&lt;(((2*IF(circ_int,0,eq_c2/2))+(PI()*(s_0+9*s_r+IF(circ_int,eq_c1/2,0))/2))+2*IF(circ_int,0,eq_c1/2)),IF(circ_int,0,eq_c1/2)-(((25+0.5)*(4*IF(circ_int,0,eq_c1/2)+4*IF(circ_int,0,eq_c2/2)+2*PI()*(s_0+9*s_r+IF(circ_int,eq_c1/2,0)))/INDEX(lk_legs,10))-((2*IF(circ_int,0,eq_c2/2))+(PI()*(s_0+9*s_r+IF(circ_int,eq_c1/2,0))/2))),IF(((25+0.5)*(4*IF(circ_int,0,eq_c1/2)+4*IF(circ_int,0,eq_c2/2)+2*PI()*(s_0+9*s_r+IF(circ_int,eq_c1/2,0)))/INDEX(lk_legs,10))&lt;((((2*IF(circ_int,0,eq_c2/2))+(PI()*(s_0+9*s_r+IF(circ_int,eq_c1/2,0))/2))+2*IF(circ_int,0,eq_c1/2))+(PI()*(s_0+9*s_r+IF(circ_int,eq_c1/2,0))/2)),-IF(circ_int,0,eq_c1/2)+(s_0+9*s_r+IF(circ_int,eq_c1/2,0))*COS(PI()/2+(((25+0.5)*(4*IF(circ_int,0,eq_c1/2)+4*IF(circ_int,0,eq_c2/2)+2*PI()*(s_0+9*s_r+IF(circ_int,eq_c1/2,0)))/INDEX(lk_legs,10))-(((2*IF(circ_int,0,eq_c2/2))+(PI()*(s_0+9*s_r+IF(circ_int,eq_c1/2,0))/2))+2*IF(circ_int,0,eq_c1/2)))/(s_0+9*s_r+IF(circ_int,eq_c1/2,0))),IF(((25+0.5)*(4*IF(circ_int,0,eq_c1/2)+4*IF(circ_int,0,eq_c2/2)+2*PI()*(s_0+9*s_r+IF(circ_int,eq_c1/2,0)))/INDEX(lk_legs,10))&lt;(((((2*IF(circ_int,0,eq_c2/2))+(PI()*(s_0+9*s_r+IF(circ_int,eq_c1/2,0))/2))+2*IF(circ_int,0,eq_c1/2))+(PI()*(s_0+9*s_r+IF(circ_int,eq_c1/2,0))/2))+2*IF(circ_int,0,eq_c2/2)),-IF(circ_int,0,eq_c1/2)-(s_0+9*s_r+IF(circ_int,eq_c1/2,0)),IF(((25+0.5)*(4*IF(circ_int,0,eq_c1/2)+4*IF(circ_int,0,eq_c2/2)+2*PI()*(s_0+9*s_r+IF(circ_int,eq_c1/2,0)))/INDEX(lk_legs,10))&lt;((((((2*IF(circ_int,0,eq_c2/2))+(PI()*(s_0+9*s_r+IF(circ_int,eq_c1/2,0))/2))+2*IF(circ_int,0,eq_c1/2))+(PI()*(s_0+9*s_r+IF(circ_int,eq_c1/2,0))/2))+2*IF(circ_int,0,eq_c2/2))+(PI()*(s_0+9*s_r+IF(circ_int,eq_c1/2,0))/2)),-IF(circ_int,0,eq_c1/2)+(s_0+9*s_r+IF(circ_int,eq_c1/2,0))*COS(PI()+(((25+0.5)*(4*IF(circ_int,0,eq_c1/2)+4*IF(circ_int,0,eq_c2/2)+2*PI()*(s_0+9*s_r+IF(circ_int,eq_c1/2,0)))/INDEX(lk_legs,10))-(((((2*IF(circ_int,0,eq_c2/2))+(PI()*(s_0+9*s_r+IF(circ_int,eq_c1/2,0))/2))+2*IF(circ_int,0,eq_c1/2))+(PI()*(s_0+9*s_r+IF(circ_int,eq_c1/2,0))/2))+2*IF(circ_int,0,eq_c2/2)))/(s_0+9*s_r+IF(circ_int,eq_c1/2,0))),IF(((25+0.5)*(4*IF(circ_int,0,eq_c1/2)+4*IF(circ_int,0,eq_c2/2)+2*PI()*(s_0+9*s_r+IF(circ_int,eq_c1/2,0)))/INDEX(lk_legs,10))&lt;(((((((2*IF(circ_int,0,eq_c2/2))+(PI()*(s_0+9*s_r+IF(circ_int,eq_c1/2,0))/2))+2*IF(circ_int,0,eq_c1/2))+(PI()*(s_0+9*s_r+IF(circ_int,eq_c1/2,0))/2))+2*IF(circ_int,0,eq_c2/2))+(PI()*(s_0+9*s_r+IF(circ_int,eq_c1/2,0))/2))+2*IF(circ_int,0,eq_c1/2)),-IF(circ_int,0,eq_c1/2)+(((25+0.5)*(4*IF(circ_int,0,eq_c1/2)+4*IF(circ_int,0,eq_c2/2)+2*PI()*(s_0+9*s_r+IF(circ_int,eq_c1/2,0)))/INDEX(lk_legs,10))-((((((2*IF(circ_int,0,eq_c2/2))+(PI()*(s_0+9*s_r+IF(circ_int,eq_c1/2,0))/2))+2*IF(circ_int,0,eq_c1/2))+(PI()*(s_0+9*s_r+IF(circ_int,eq_c1/2,0))/2))+2*IF(circ_int,0,eq_c2/2))+(PI()*(s_0+9*s_r+IF(circ_int,eq_c1/2,0))/2))),IF(circ_int,0,eq_c1/2)+(s_0+9*s_r+IF(circ_int,eq_c1/2,0))*COS(3*PI()/2+(((25+0.5)*(4*IF(circ_int,0,eq_c1/2)+4*IF(circ_int,0,eq_c2/2)+2*PI()*(s_0+9*s_r+IF(circ_int,eq_c1/2,0)))/INDEX(lk_legs,10))-(((((((2*IF(circ_int,0,eq_c2/2))+(PI()*(s_0+9*s_r+IF(circ_int,eq_c1/2,0))/2))+2*IF(circ_int,0,eq_c1/2))+(PI()*(s_0+9*s_r+IF(circ_int,eq_c1/2,0))/2))+2*IF(circ_int,0,eq_c2/2))+(PI()*(s_0+9*s_r+IF(circ_int,eq_c1/2,0))/2))+2*IF(circ_int,0,eq_c1/2)))/(s_0+9*s_r+IF(circ_int,eq_c1/2,0)))))))))),NA())</f>
        <v/>
      </c>
      <c r="DC28">
        <f>IF(AND(AND(links_on,10&lt;=n_per),INDEX(lk_kind,10)=1,25&lt;INDEX(lk_legs,10)),g_oy+IF(((25+0.5)*(4*IF(circ_int,0,eq_c1/2)+4*IF(circ_int,0,eq_c2/2)+2*PI()*(s_0+9*s_r+IF(circ_int,eq_c1/2,0)))/INDEX(lk_legs,10))&lt;(2*IF(circ_int,0,eq_c2/2)),-IF(circ_int,0,eq_c2/2)+((25+0.5)*(4*IF(circ_int,0,eq_c1/2)+4*IF(circ_int,0,eq_c2/2)+2*PI()*(s_0+9*s_r+IF(circ_int,eq_c1/2,0)))/INDEX(lk_legs,10)),IF(((25+0.5)*(4*IF(circ_int,0,eq_c1/2)+4*IF(circ_int,0,eq_c2/2)+2*PI()*(s_0+9*s_r+IF(circ_int,eq_c1/2,0)))/INDEX(lk_legs,10))&lt;((2*IF(circ_int,0,eq_c2/2))+(PI()*(s_0+9*s_r+IF(circ_int,eq_c1/2,0))/2)),IF(circ_int,0,eq_c2/2)+(s_0+9*s_r+IF(circ_int,eq_c1/2,0))*SIN((((25+0.5)*(4*IF(circ_int,0,eq_c1/2)+4*IF(circ_int,0,eq_c2/2)+2*PI()*(s_0+9*s_r+IF(circ_int,eq_c1/2,0)))/INDEX(lk_legs,10))-(2*IF(circ_int,0,eq_c2/2)))/(s_0+9*s_r+IF(circ_int,eq_c1/2,0))),IF(((25+0.5)*(4*IF(circ_int,0,eq_c1/2)+4*IF(circ_int,0,eq_c2/2)+2*PI()*(s_0+9*s_r+IF(circ_int,eq_c1/2,0)))/INDEX(lk_legs,10))&lt;(((2*IF(circ_int,0,eq_c2/2))+(PI()*(s_0+9*s_r+IF(circ_int,eq_c1/2,0))/2))+2*IF(circ_int,0,eq_c1/2)),IF(circ_int,0,eq_c2/2)+(s_0+9*s_r+IF(circ_int,eq_c1/2,0)),IF(((25+0.5)*(4*IF(circ_int,0,eq_c1/2)+4*IF(circ_int,0,eq_c2/2)+2*PI()*(s_0+9*s_r+IF(circ_int,eq_c1/2,0)))/INDEX(lk_legs,10))&lt;((((2*IF(circ_int,0,eq_c2/2))+(PI()*(s_0+9*s_r+IF(circ_int,eq_c1/2,0))/2))+2*IF(circ_int,0,eq_c1/2))+(PI()*(s_0+9*s_r+IF(circ_int,eq_c1/2,0))/2)),IF(circ_int,0,eq_c2/2)+(s_0+9*s_r+IF(circ_int,eq_c1/2,0))*SIN(PI()/2+(((25+0.5)*(4*IF(circ_int,0,eq_c1/2)+4*IF(circ_int,0,eq_c2/2)+2*PI()*(s_0+9*s_r+IF(circ_int,eq_c1/2,0)))/INDEX(lk_legs,10))-(((2*IF(circ_int,0,eq_c2/2))+(PI()*(s_0+9*s_r+IF(circ_int,eq_c1/2,0))/2))+2*IF(circ_int,0,eq_c1/2)))/(s_0+9*s_r+IF(circ_int,eq_c1/2,0))),IF(((25+0.5)*(4*IF(circ_int,0,eq_c1/2)+4*IF(circ_int,0,eq_c2/2)+2*PI()*(s_0+9*s_r+IF(circ_int,eq_c1/2,0)))/INDEX(lk_legs,10))&lt;(((((2*IF(circ_int,0,eq_c2/2))+(PI()*(s_0+9*s_r+IF(circ_int,eq_c1/2,0))/2))+2*IF(circ_int,0,eq_c1/2))+(PI()*(s_0+9*s_r+IF(circ_int,eq_c1/2,0))/2))+2*IF(circ_int,0,eq_c2/2)),IF(circ_int,0,eq_c2/2)-(((25+0.5)*(4*IF(circ_int,0,eq_c1/2)+4*IF(circ_int,0,eq_c2/2)+2*PI()*(s_0+9*s_r+IF(circ_int,eq_c1/2,0)))/INDEX(lk_legs,10))-((((2*IF(circ_int,0,eq_c2/2))+(PI()*(s_0+9*s_r+IF(circ_int,eq_c1/2,0))/2))+2*IF(circ_int,0,eq_c1/2))+(PI()*(s_0+9*s_r+IF(circ_int,eq_c1/2,0))/2))),IF(((25+0.5)*(4*IF(circ_int,0,eq_c1/2)+4*IF(circ_int,0,eq_c2/2)+2*PI()*(s_0+9*s_r+IF(circ_int,eq_c1/2,0)))/INDEX(lk_legs,10))&lt;((((((2*IF(circ_int,0,eq_c2/2))+(PI()*(s_0+9*s_r+IF(circ_int,eq_c1/2,0))/2))+2*IF(circ_int,0,eq_c1/2))+(PI()*(s_0+9*s_r+IF(circ_int,eq_c1/2,0))/2))+2*IF(circ_int,0,eq_c2/2))+(PI()*(s_0+9*s_r+IF(circ_int,eq_c1/2,0))/2)),-IF(circ_int,0,eq_c2/2)+(s_0+9*s_r+IF(circ_int,eq_c1/2,0))*SIN(PI()+(((25+0.5)*(4*IF(circ_int,0,eq_c1/2)+4*IF(circ_int,0,eq_c2/2)+2*PI()*(s_0+9*s_r+IF(circ_int,eq_c1/2,0)))/INDEX(lk_legs,10))-(((((2*IF(circ_int,0,eq_c2/2))+(PI()*(s_0+9*s_r+IF(circ_int,eq_c1/2,0))/2))+2*IF(circ_int,0,eq_c1/2))+(PI()*(s_0+9*s_r+IF(circ_int,eq_c1/2,0))/2))+2*IF(circ_int,0,eq_c2/2)))/(s_0+9*s_r+IF(circ_int,eq_c1/2,0))),IF(((25+0.5)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(25+0.5)*(4*IF(circ_int,0,eq_c1/2)+4*IF(circ_int,0,eq_c2/2)+2*PI()*(s_0+9*s_r+IF(circ_int,eq_c1/2,0)))/INDEX(lk_legs,10))-(((((((2*IF(circ_int,0,eq_c2/2))+(PI()*(s_0+9*s_r+IF(circ_int,eq_c1/2,0))/2))+2*IF(circ_int,0,eq_c1/2))+(PI()*(s_0+9*s_r+IF(circ_int,eq_c1/2,0))/2))+2*IF(circ_int,0,eq_c2/2))+(PI()*(s_0+9*s_r+IF(circ_int,eq_c1/2,0))/2))+2*IF(circ_int,0,eq_c1/2)))/(s_0+9*s_r+IF(circ_int,eq_c1/2,0)))))))))),NA())</f>
        <v/>
      </c>
      <c r="DE28">
        <f>IF(AND(links_on,11&lt;=n_per),IF(circ_int,(g_ox)+(c_1/2+(s_0+10*s_r))*-0.992709,CHOOSE(INDEX(lk_kind,11),(g_ox-eq_c1/2)+((s_0+10*s_r))*-1.000000,(eq_a1+eq_c1)+((s_0+10*s_r))*0.130526,eq_a1+eq_c1+(s_0+10*s_r),(eq_a1+eq_c1)+((s_0+10*s_r))*0.991445)),NA())</f>
        <v/>
      </c>
      <c r="DF28">
        <f>IF(AND(links_on,11&lt;=n_per),IF(circ_int,(g_oy)+(c_1/2+(s_0+10*s_r))*0.120537,CHOOSE(INDEX(lk_kind,11),(g_oy+eq_c2/2)+((s_0+10*s_r))*0.000000,(g_oy-eq_c2/2)+((s_0+10*s_r))*-0.991445,0,(eq_a2+eq_c2)+((s_0+10*s_r))*0.130526)),NA())</f>
        <v/>
      </c>
      <c r="DH28">
        <f>IF(AND(AND(links_on,11&lt;=n_per),INDEX(lk_kind,11)=1,25&lt;INDEX(lk_legs,11)),g_ox+IF(((25+0.5)*(4*IF(circ_int,0,eq_c1/2)+4*IF(circ_int,0,eq_c2/2)+2*PI()*(s_0+10*s_r+IF(circ_int,eq_c1/2,0)))/INDEX(lk_legs,11))&lt;(2*IF(circ_int,0,eq_c2/2)),IF(circ_int,0,eq_c1/2)+(s_0+10*s_r+IF(circ_int,eq_c1/2,0)),IF(((25+0.5)*(4*IF(circ_int,0,eq_c1/2)+4*IF(circ_int,0,eq_c2/2)+2*PI()*(s_0+10*s_r+IF(circ_int,eq_c1/2,0)))/INDEX(lk_legs,11))&lt;((2*IF(circ_int,0,eq_c2/2))+(PI()*(s_0+10*s_r+IF(circ_int,eq_c1/2,0))/2)),IF(circ_int,0,eq_c1/2)+(s_0+10*s_r+IF(circ_int,eq_c1/2,0))*COS((((25+0.5)*(4*IF(circ_int,0,eq_c1/2)+4*IF(circ_int,0,eq_c2/2)+2*PI()*(s_0+10*s_r+IF(circ_int,eq_c1/2,0)))/INDEX(lk_legs,11))-(2*IF(circ_int,0,eq_c2/2)))/(s_0+10*s_r+IF(circ_int,eq_c1/2,0))),IF(((25+0.5)*(4*IF(circ_int,0,eq_c1/2)+4*IF(circ_int,0,eq_c2/2)+2*PI()*(s_0+10*s_r+IF(circ_int,eq_c1/2,0)))/INDEX(lk_legs,11))&lt;(((2*IF(circ_int,0,eq_c2/2))+(PI()*(s_0+10*s_r+IF(circ_int,eq_c1/2,0))/2))+2*IF(circ_int,0,eq_c1/2)),IF(circ_int,0,eq_c1/2)-(((25+0.5)*(4*IF(circ_int,0,eq_c1/2)+4*IF(circ_int,0,eq_c2/2)+2*PI()*(s_0+10*s_r+IF(circ_int,eq_c1/2,0)))/INDEX(lk_legs,11))-((2*IF(circ_int,0,eq_c2/2))+(PI()*(s_0+10*s_r+IF(circ_int,eq_c1/2,0))/2))),IF(((25+0.5)*(4*IF(circ_int,0,eq_c1/2)+4*IF(circ_int,0,eq_c2/2)+2*PI()*(s_0+10*s_r+IF(circ_int,eq_c1/2,0)))/INDEX(lk_legs,11))&lt;((((2*IF(circ_int,0,eq_c2/2))+(PI()*(s_0+10*s_r+IF(circ_int,eq_c1/2,0))/2))+2*IF(circ_int,0,eq_c1/2))+(PI()*(s_0+10*s_r+IF(circ_int,eq_c1/2,0))/2)),-IF(circ_int,0,eq_c1/2)+(s_0+10*s_r+IF(circ_int,eq_c1/2,0))*COS(PI()/2+(((25+0.5)*(4*IF(circ_int,0,eq_c1/2)+4*IF(circ_int,0,eq_c2/2)+2*PI()*(s_0+10*s_r+IF(circ_int,eq_c1/2,0)))/INDEX(lk_legs,11))-(((2*IF(circ_int,0,eq_c2/2))+(PI()*(s_0+10*s_r+IF(circ_int,eq_c1/2,0))/2))+2*IF(circ_int,0,eq_c1/2)))/(s_0+10*s_r+IF(circ_int,eq_c1/2,0))),IF(((25+0.5)*(4*IF(circ_int,0,eq_c1/2)+4*IF(circ_int,0,eq_c2/2)+2*PI()*(s_0+10*s_r+IF(circ_int,eq_c1/2,0)))/INDEX(lk_legs,11))&lt;(((((2*IF(circ_int,0,eq_c2/2))+(PI()*(s_0+10*s_r+IF(circ_int,eq_c1/2,0))/2))+2*IF(circ_int,0,eq_c1/2))+(PI()*(s_0+10*s_r+IF(circ_int,eq_c1/2,0))/2))+2*IF(circ_int,0,eq_c2/2)),-IF(circ_int,0,eq_c1/2)-(s_0+10*s_r+IF(circ_int,eq_c1/2,0)),IF(((25+0.5)*(4*IF(circ_int,0,eq_c1/2)+4*IF(circ_int,0,eq_c2/2)+2*PI()*(s_0+10*s_r+IF(circ_int,eq_c1/2,0)))/INDEX(lk_legs,11))&lt;((((((2*IF(circ_int,0,eq_c2/2))+(PI()*(s_0+10*s_r+IF(circ_int,eq_c1/2,0))/2))+2*IF(circ_int,0,eq_c1/2))+(PI()*(s_0+10*s_r+IF(circ_int,eq_c1/2,0))/2))+2*IF(circ_int,0,eq_c2/2))+(PI()*(s_0+10*s_r+IF(circ_int,eq_c1/2,0))/2)),-IF(circ_int,0,eq_c1/2)+(s_0+10*s_r+IF(circ_int,eq_c1/2,0))*COS(PI()+(((25+0.5)*(4*IF(circ_int,0,eq_c1/2)+4*IF(circ_int,0,eq_c2/2)+2*PI()*(s_0+10*s_r+IF(circ_int,eq_c1/2,0)))/INDEX(lk_legs,11))-(((((2*IF(circ_int,0,eq_c2/2))+(PI()*(s_0+10*s_r+IF(circ_int,eq_c1/2,0))/2))+2*IF(circ_int,0,eq_c1/2))+(PI()*(s_0+10*s_r+IF(circ_int,eq_c1/2,0))/2))+2*IF(circ_int,0,eq_c2/2)))/(s_0+10*s_r+IF(circ_int,eq_c1/2,0))),IF(((25+0.5)*(4*IF(circ_int,0,eq_c1/2)+4*IF(circ_int,0,eq_c2/2)+2*PI()*(s_0+10*s_r+IF(circ_int,eq_c1/2,0)))/INDEX(lk_legs,11))&lt;(((((((2*IF(circ_int,0,eq_c2/2))+(PI()*(s_0+10*s_r+IF(circ_int,eq_c1/2,0))/2))+2*IF(circ_int,0,eq_c1/2))+(PI()*(s_0+10*s_r+IF(circ_int,eq_c1/2,0))/2))+2*IF(circ_int,0,eq_c2/2))+(PI()*(s_0+10*s_r+IF(circ_int,eq_c1/2,0))/2))+2*IF(circ_int,0,eq_c1/2)),-IF(circ_int,0,eq_c1/2)+(((25+0.5)*(4*IF(circ_int,0,eq_c1/2)+4*IF(circ_int,0,eq_c2/2)+2*PI()*(s_0+10*s_r+IF(circ_int,eq_c1/2,0)))/INDEX(lk_legs,11))-((((((2*IF(circ_int,0,eq_c2/2))+(PI()*(s_0+10*s_r+IF(circ_int,eq_c1/2,0))/2))+2*IF(circ_int,0,eq_c1/2))+(PI()*(s_0+10*s_r+IF(circ_int,eq_c1/2,0))/2))+2*IF(circ_int,0,eq_c2/2))+(PI()*(s_0+10*s_r+IF(circ_int,eq_c1/2,0))/2))),IF(circ_int,0,eq_c1/2)+(s_0+10*s_r+IF(circ_int,eq_c1/2,0))*COS(3*PI()/2+(((25+0.5)*(4*IF(circ_int,0,eq_c1/2)+4*IF(circ_int,0,eq_c2/2)+2*PI()*(s_0+10*s_r+IF(circ_int,eq_c1/2,0)))/INDEX(lk_legs,11))-(((((((2*IF(circ_int,0,eq_c2/2))+(PI()*(s_0+10*s_r+IF(circ_int,eq_c1/2,0))/2))+2*IF(circ_int,0,eq_c1/2))+(PI()*(s_0+10*s_r+IF(circ_int,eq_c1/2,0))/2))+2*IF(circ_int,0,eq_c2/2))+(PI()*(s_0+10*s_r+IF(circ_int,eq_c1/2,0))/2))+2*IF(circ_int,0,eq_c1/2)))/(s_0+10*s_r+IF(circ_int,eq_c1/2,0)))))))))),NA())</f>
        <v/>
      </c>
      <c r="DI28">
        <f>IF(AND(AND(links_on,11&lt;=n_per),INDEX(lk_kind,11)=1,25&lt;INDEX(lk_legs,11)),g_oy+IF(((25+0.5)*(4*IF(circ_int,0,eq_c1/2)+4*IF(circ_int,0,eq_c2/2)+2*PI()*(s_0+10*s_r+IF(circ_int,eq_c1/2,0)))/INDEX(lk_legs,11))&lt;(2*IF(circ_int,0,eq_c2/2)),-IF(circ_int,0,eq_c2/2)+((25+0.5)*(4*IF(circ_int,0,eq_c1/2)+4*IF(circ_int,0,eq_c2/2)+2*PI()*(s_0+10*s_r+IF(circ_int,eq_c1/2,0)))/INDEX(lk_legs,11)),IF(((25+0.5)*(4*IF(circ_int,0,eq_c1/2)+4*IF(circ_int,0,eq_c2/2)+2*PI()*(s_0+10*s_r+IF(circ_int,eq_c1/2,0)))/INDEX(lk_legs,11))&lt;((2*IF(circ_int,0,eq_c2/2))+(PI()*(s_0+10*s_r+IF(circ_int,eq_c1/2,0))/2)),IF(circ_int,0,eq_c2/2)+(s_0+10*s_r+IF(circ_int,eq_c1/2,0))*SIN((((25+0.5)*(4*IF(circ_int,0,eq_c1/2)+4*IF(circ_int,0,eq_c2/2)+2*PI()*(s_0+10*s_r+IF(circ_int,eq_c1/2,0)))/INDEX(lk_legs,11))-(2*IF(circ_int,0,eq_c2/2)))/(s_0+10*s_r+IF(circ_int,eq_c1/2,0))),IF(((25+0.5)*(4*IF(circ_int,0,eq_c1/2)+4*IF(circ_int,0,eq_c2/2)+2*PI()*(s_0+10*s_r+IF(circ_int,eq_c1/2,0)))/INDEX(lk_legs,11))&lt;(((2*IF(circ_int,0,eq_c2/2))+(PI()*(s_0+10*s_r+IF(circ_int,eq_c1/2,0))/2))+2*IF(circ_int,0,eq_c1/2)),IF(circ_int,0,eq_c2/2)+(s_0+10*s_r+IF(circ_int,eq_c1/2,0)),IF(((25+0.5)*(4*IF(circ_int,0,eq_c1/2)+4*IF(circ_int,0,eq_c2/2)+2*PI()*(s_0+10*s_r+IF(circ_int,eq_c1/2,0)))/INDEX(lk_legs,11))&lt;((((2*IF(circ_int,0,eq_c2/2))+(PI()*(s_0+10*s_r+IF(circ_int,eq_c1/2,0))/2))+2*IF(circ_int,0,eq_c1/2))+(PI()*(s_0+10*s_r+IF(circ_int,eq_c1/2,0))/2)),IF(circ_int,0,eq_c2/2)+(s_0+10*s_r+IF(circ_int,eq_c1/2,0))*SIN(PI()/2+(((25+0.5)*(4*IF(circ_int,0,eq_c1/2)+4*IF(circ_int,0,eq_c2/2)+2*PI()*(s_0+10*s_r+IF(circ_int,eq_c1/2,0)))/INDEX(lk_legs,11))-(((2*IF(circ_int,0,eq_c2/2))+(PI()*(s_0+10*s_r+IF(circ_int,eq_c1/2,0))/2))+2*IF(circ_int,0,eq_c1/2)))/(s_0+10*s_r+IF(circ_int,eq_c1/2,0))),IF(((25+0.5)*(4*IF(circ_int,0,eq_c1/2)+4*IF(circ_int,0,eq_c2/2)+2*PI()*(s_0+10*s_r+IF(circ_int,eq_c1/2,0)))/INDEX(lk_legs,11))&lt;(((((2*IF(circ_int,0,eq_c2/2))+(PI()*(s_0+10*s_r+IF(circ_int,eq_c1/2,0))/2))+2*IF(circ_int,0,eq_c1/2))+(PI()*(s_0+10*s_r+IF(circ_int,eq_c1/2,0))/2))+2*IF(circ_int,0,eq_c2/2)),IF(circ_int,0,eq_c2/2)-(((25+0.5)*(4*IF(circ_int,0,eq_c1/2)+4*IF(circ_int,0,eq_c2/2)+2*PI()*(s_0+10*s_r+IF(circ_int,eq_c1/2,0)))/INDEX(lk_legs,11))-((((2*IF(circ_int,0,eq_c2/2))+(PI()*(s_0+10*s_r+IF(circ_int,eq_c1/2,0))/2))+2*IF(circ_int,0,eq_c1/2))+(PI()*(s_0+10*s_r+IF(circ_int,eq_c1/2,0))/2))),IF(((25+0.5)*(4*IF(circ_int,0,eq_c1/2)+4*IF(circ_int,0,eq_c2/2)+2*PI()*(s_0+10*s_r+IF(circ_int,eq_c1/2,0)))/INDEX(lk_legs,11))&lt;((((((2*IF(circ_int,0,eq_c2/2))+(PI()*(s_0+10*s_r+IF(circ_int,eq_c1/2,0))/2))+2*IF(circ_int,0,eq_c1/2))+(PI()*(s_0+10*s_r+IF(circ_int,eq_c1/2,0))/2))+2*IF(circ_int,0,eq_c2/2))+(PI()*(s_0+10*s_r+IF(circ_int,eq_c1/2,0))/2)),-IF(circ_int,0,eq_c2/2)+(s_0+10*s_r+IF(circ_int,eq_c1/2,0))*SIN(PI()+(((25+0.5)*(4*IF(circ_int,0,eq_c1/2)+4*IF(circ_int,0,eq_c2/2)+2*PI()*(s_0+10*s_r+IF(circ_int,eq_c1/2,0)))/INDEX(lk_legs,11))-(((((2*IF(circ_int,0,eq_c2/2))+(PI()*(s_0+10*s_r+IF(circ_int,eq_c1/2,0))/2))+2*IF(circ_int,0,eq_c1/2))+(PI()*(s_0+10*s_r+IF(circ_int,eq_c1/2,0))/2))+2*IF(circ_int,0,eq_c2/2)))/(s_0+10*s_r+IF(circ_int,eq_c1/2,0))),IF(((25+0.5)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(25+0.5)*(4*IF(circ_int,0,eq_c1/2)+4*IF(circ_int,0,eq_c2/2)+2*PI()*(s_0+10*s_r+IF(circ_int,eq_c1/2,0)))/INDEX(lk_legs,11))-(((((((2*IF(circ_int,0,eq_c2/2))+(PI()*(s_0+10*s_r+IF(circ_int,eq_c1/2,0))/2))+2*IF(circ_int,0,eq_c1/2))+(PI()*(s_0+10*s_r+IF(circ_int,eq_c1/2,0))/2))+2*IF(circ_int,0,eq_c2/2))+(PI()*(s_0+10*s_r+IF(circ_int,eq_c1/2,0))/2))+2*IF(circ_int,0,eq_c1/2)))/(s_0+10*s_r+IF(circ_int,eq_c1/2,0)))))))))),NA())</f>
        <v/>
      </c>
      <c r="DK28">
        <f>IF(AND(links_on,12&lt;=n_per),IF(circ_int,(g_ox)+(c_1/2+(s_0+11*s_r))*-0.992709,CHOOSE(INDEX(lk_kind,12),(g_ox-eq_c1/2)+((s_0+11*s_r))*-1.000000,(eq_a1+eq_c1)+((s_0+11*s_r))*0.130526,eq_a1+eq_c1+(s_0+11*s_r),(eq_a1+eq_c1)+((s_0+11*s_r))*0.991445)),NA())</f>
        <v/>
      </c>
      <c r="DL28">
        <f>IF(AND(links_on,12&lt;=n_per),IF(circ_int,(g_oy)+(c_1/2+(s_0+11*s_r))*0.120537,CHOOSE(INDEX(lk_kind,12),(g_oy+eq_c2/2)+((s_0+11*s_r))*0.000000,(g_oy-eq_c2/2)+((s_0+11*s_r))*-0.991445,0,(eq_a2+eq_c2)+((s_0+11*s_r))*0.130526)),NA())</f>
        <v/>
      </c>
      <c r="DN28">
        <f>IF(AND(AND(links_on,12&lt;=n_per),INDEX(lk_kind,12)=1,25&lt;INDEX(lk_legs,12)),g_ox+IF(((25+0.5)*(4*IF(circ_int,0,eq_c1/2)+4*IF(circ_int,0,eq_c2/2)+2*PI()*(s_0+11*s_r+IF(circ_int,eq_c1/2,0)))/INDEX(lk_legs,12))&lt;(2*IF(circ_int,0,eq_c2/2)),IF(circ_int,0,eq_c1/2)+(s_0+11*s_r+IF(circ_int,eq_c1/2,0)),IF(((25+0.5)*(4*IF(circ_int,0,eq_c1/2)+4*IF(circ_int,0,eq_c2/2)+2*PI()*(s_0+11*s_r+IF(circ_int,eq_c1/2,0)))/INDEX(lk_legs,12))&lt;((2*IF(circ_int,0,eq_c2/2))+(PI()*(s_0+11*s_r+IF(circ_int,eq_c1/2,0))/2)),IF(circ_int,0,eq_c1/2)+(s_0+11*s_r+IF(circ_int,eq_c1/2,0))*COS((((25+0.5)*(4*IF(circ_int,0,eq_c1/2)+4*IF(circ_int,0,eq_c2/2)+2*PI()*(s_0+11*s_r+IF(circ_int,eq_c1/2,0)))/INDEX(lk_legs,12))-(2*IF(circ_int,0,eq_c2/2)))/(s_0+11*s_r+IF(circ_int,eq_c1/2,0))),IF(((25+0.5)*(4*IF(circ_int,0,eq_c1/2)+4*IF(circ_int,0,eq_c2/2)+2*PI()*(s_0+11*s_r+IF(circ_int,eq_c1/2,0)))/INDEX(lk_legs,12))&lt;(((2*IF(circ_int,0,eq_c2/2))+(PI()*(s_0+11*s_r+IF(circ_int,eq_c1/2,0))/2))+2*IF(circ_int,0,eq_c1/2)),IF(circ_int,0,eq_c1/2)-(((25+0.5)*(4*IF(circ_int,0,eq_c1/2)+4*IF(circ_int,0,eq_c2/2)+2*PI()*(s_0+11*s_r+IF(circ_int,eq_c1/2,0)))/INDEX(lk_legs,12))-((2*IF(circ_int,0,eq_c2/2))+(PI()*(s_0+11*s_r+IF(circ_int,eq_c1/2,0))/2))),IF(((25+0.5)*(4*IF(circ_int,0,eq_c1/2)+4*IF(circ_int,0,eq_c2/2)+2*PI()*(s_0+11*s_r+IF(circ_int,eq_c1/2,0)))/INDEX(lk_legs,12))&lt;((((2*IF(circ_int,0,eq_c2/2))+(PI()*(s_0+11*s_r+IF(circ_int,eq_c1/2,0))/2))+2*IF(circ_int,0,eq_c1/2))+(PI()*(s_0+11*s_r+IF(circ_int,eq_c1/2,0))/2)),-IF(circ_int,0,eq_c1/2)+(s_0+11*s_r+IF(circ_int,eq_c1/2,0))*COS(PI()/2+(((25+0.5)*(4*IF(circ_int,0,eq_c1/2)+4*IF(circ_int,0,eq_c2/2)+2*PI()*(s_0+11*s_r+IF(circ_int,eq_c1/2,0)))/INDEX(lk_legs,12))-(((2*IF(circ_int,0,eq_c2/2))+(PI()*(s_0+11*s_r+IF(circ_int,eq_c1/2,0))/2))+2*IF(circ_int,0,eq_c1/2)))/(s_0+11*s_r+IF(circ_int,eq_c1/2,0))),IF(((25+0.5)*(4*IF(circ_int,0,eq_c1/2)+4*IF(circ_int,0,eq_c2/2)+2*PI()*(s_0+11*s_r+IF(circ_int,eq_c1/2,0)))/INDEX(lk_legs,12))&lt;(((((2*IF(circ_int,0,eq_c2/2))+(PI()*(s_0+11*s_r+IF(circ_int,eq_c1/2,0))/2))+2*IF(circ_int,0,eq_c1/2))+(PI()*(s_0+11*s_r+IF(circ_int,eq_c1/2,0))/2))+2*IF(circ_int,0,eq_c2/2)),-IF(circ_int,0,eq_c1/2)-(s_0+11*s_r+IF(circ_int,eq_c1/2,0)),IF(((25+0.5)*(4*IF(circ_int,0,eq_c1/2)+4*IF(circ_int,0,eq_c2/2)+2*PI()*(s_0+11*s_r+IF(circ_int,eq_c1/2,0)))/INDEX(lk_legs,12))&lt;((((((2*IF(circ_int,0,eq_c2/2))+(PI()*(s_0+11*s_r+IF(circ_int,eq_c1/2,0))/2))+2*IF(circ_int,0,eq_c1/2))+(PI()*(s_0+11*s_r+IF(circ_int,eq_c1/2,0))/2))+2*IF(circ_int,0,eq_c2/2))+(PI()*(s_0+11*s_r+IF(circ_int,eq_c1/2,0))/2)),-IF(circ_int,0,eq_c1/2)+(s_0+11*s_r+IF(circ_int,eq_c1/2,0))*COS(PI()+(((25+0.5)*(4*IF(circ_int,0,eq_c1/2)+4*IF(circ_int,0,eq_c2/2)+2*PI()*(s_0+11*s_r+IF(circ_int,eq_c1/2,0)))/INDEX(lk_legs,12))-(((((2*IF(circ_int,0,eq_c2/2))+(PI()*(s_0+11*s_r+IF(circ_int,eq_c1/2,0))/2))+2*IF(circ_int,0,eq_c1/2))+(PI()*(s_0+11*s_r+IF(circ_int,eq_c1/2,0))/2))+2*IF(circ_int,0,eq_c2/2)))/(s_0+11*s_r+IF(circ_int,eq_c1/2,0))),IF(((25+0.5)*(4*IF(circ_int,0,eq_c1/2)+4*IF(circ_int,0,eq_c2/2)+2*PI()*(s_0+11*s_r+IF(circ_int,eq_c1/2,0)))/INDEX(lk_legs,12))&lt;(((((((2*IF(circ_int,0,eq_c2/2))+(PI()*(s_0+11*s_r+IF(circ_int,eq_c1/2,0))/2))+2*IF(circ_int,0,eq_c1/2))+(PI()*(s_0+11*s_r+IF(circ_int,eq_c1/2,0))/2))+2*IF(circ_int,0,eq_c2/2))+(PI()*(s_0+11*s_r+IF(circ_int,eq_c1/2,0))/2))+2*IF(circ_int,0,eq_c1/2)),-IF(circ_int,0,eq_c1/2)+(((25+0.5)*(4*IF(circ_int,0,eq_c1/2)+4*IF(circ_int,0,eq_c2/2)+2*PI()*(s_0+11*s_r+IF(circ_int,eq_c1/2,0)))/INDEX(lk_legs,12))-((((((2*IF(circ_int,0,eq_c2/2))+(PI()*(s_0+11*s_r+IF(circ_int,eq_c1/2,0))/2))+2*IF(circ_int,0,eq_c1/2))+(PI()*(s_0+11*s_r+IF(circ_int,eq_c1/2,0))/2))+2*IF(circ_int,0,eq_c2/2))+(PI()*(s_0+11*s_r+IF(circ_int,eq_c1/2,0))/2))),IF(circ_int,0,eq_c1/2)+(s_0+11*s_r+IF(circ_int,eq_c1/2,0))*COS(3*PI()/2+(((25+0.5)*(4*IF(circ_int,0,eq_c1/2)+4*IF(circ_int,0,eq_c2/2)+2*PI()*(s_0+11*s_r+IF(circ_int,eq_c1/2,0)))/INDEX(lk_legs,12))-(((((((2*IF(circ_int,0,eq_c2/2))+(PI()*(s_0+11*s_r+IF(circ_int,eq_c1/2,0))/2))+2*IF(circ_int,0,eq_c1/2))+(PI()*(s_0+11*s_r+IF(circ_int,eq_c1/2,0))/2))+2*IF(circ_int,0,eq_c2/2))+(PI()*(s_0+11*s_r+IF(circ_int,eq_c1/2,0))/2))+2*IF(circ_int,0,eq_c1/2)))/(s_0+11*s_r+IF(circ_int,eq_c1/2,0)))))))))),NA())</f>
        <v/>
      </c>
      <c r="DO28">
        <f>IF(AND(AND(links_on,12&lt;=n_per),INDEX(lk_kind,12)=1,25&lt;INDEX(lk_legs,12)),g_oy+IF(((25+0.5)*(4*IF(circ_int,0,eq_c1/2)+4*IF(circ_int,0,eq_c2/2)+2*PI()*(s_0+11*s_r+IF(circ_int,eq_c1/2,0)))/INDEX(lk_legs,12))&lt;(2*IF(circ_int,0,eq_c2/2)),-IF(circ_int,0,eq_c2/2)+((25+0.5)*(4*IF(circ_int,0,eq_c1/2)+4*IF(circ_int,0,eq_c2/2)+2*PI()*(s_0+11*s_r+IF(circ_int,eq_c1/2,0)))/INDEX(lk_legs,12)),IF(((25+0.5)*(4*IF(circ_int,0,eq_c1/2)+4*IF(circ_int,0,eq_c2/2)+2*PI()*(s_0+11*s_r+IF(circ_int,eq_c1/2,0)))/INDEX(lk_legs,12))&lt;((2*IF(circ_int,0,eq_c2/2))+(PI()*(s_0+11*s_r+IF(circ_int,eq_c1/2,0))/2)),IF(circ_int,0,eq_c2/2)+(s_0+11*s_r+IF(circ_int,eq_c1/2,0))*SIN((((25+0.5)*(4*IF(circ_int,0,eq_c1/2)+4*IF(circ_int,0,eq_c2/2)+2*PI()*(s_0+11*s_r+IF(circ_int,eq_c1/2,0)))/INDEX(lk_legs,12))-(2*IF(circ_int,0,eq_c2/2)))/(s_0+11*s_r+IF(circ_int,eq_c1/2,0))),IF(((25+0.5)*(4*IF(circ_int,0,eq_c1/2)+4*IF(circ_int,0,eq_c2/2)+2*PI()*(s_0+11*s_r+IF(circ_int,eq_c1/2,0)))/INDEX(lk_legs,12))&lt;(((2*IF(circ_int,0,eq_c2/2))+(PI()*(s_0+11*s_r+IF(circ_int,eq_c1/2,0))/2))+2*IF(circ_int,0,eq_c1/2)),IF(circ_int,0,eq_c2/2)+(s_0+11*s_r+IF(circ_int,eq_c1/2,0)),IF(((25+0.5)*(4*IF(circ_int,0,eq_c1/2)+4*IF(circ_int,0,eq_c2/2)+2*PI()*(s_0+11*s_r+IF(circ_int,eq_c1/2,0)))/INDEX(lk_legs,12))&lt;((((2*IF(circ_int,0,eq_c2/2))+(PI()*(s_0+11*s_r+IF(circ_int,eq_c1/2,0))/2))+2*IF(circ_int,0,eq_c1/2))+(PI()*(s_0+11*s_r+IF(circ_int,eq_c1/2,0))/2)),IF(circ_int,0,eq_c2/2)+(s_0+11*s_r+IF(circ_int,eq_c1/2,0))*SIN(PI()/2+(((25+0.5)*(4*IF(circ_int,0,eq_c1/2)+4*IF(circ_int,0,eq_c2/2)+2*PI()*(s_0+11*s_r+IF(circ_int,eq_c1/2,0)))/INDEX(lk_legs,12))-(((2*IF(circ_int,0,eq_c2/2))+(PI()*(s_0+11*s_r+IF(circ_int,eq_c1/2,0))/2))+2*IF(circ_int,0,eq_c1/2)))/(s_0+11*s_r+IF(circ_int,eq_c1/2,0))),IF(((25+0.5)*(4*IF(circ_int,0,eq_c1/2)+4*IF(circ_int,0,eq_c2/2)+2*PI()*(s_0+11*s_r+IF(circ_int,eq_c1/2,0)))/INDEX(lk_legs,12))&lt;(((((2*IF(circ_int,0,eq_c2/2))+(PI()*(s_0+11*s_r+IF(circ_int,eq_c1/2,0))/2))+2*IF(circ_int,0,eq_c1/2))+(PI()*(s_0+11*s_r+IF(circ_int,eq_c1/2,0))/2))+2*IF(circ_int,0,eq_c2/2)),IF(circ_int,0,eq_c2/2)-(((25+0.5)*(4*IF(circ_int,0,eq_c1/2)+4*IF(circ_int,0,eq_c2/2)+2*PI()*(s_0+11*s_r+IF(circ_int,eq_c1/2,0)))/INDEX(lk_legs,12))-((((2*IF(circ_int,0,eq_c2/2))+(PI()*(s_0+11*s_r+IF(circ_int,eq_c1/2,0))/2))+2*IF(circ_int,0,eq_c1/2))+(PI()*(s_0+11*s_r+IF(circ_int,eq_c1/2,0))/2))),IF(((25+0.5)*(4*IF(circ_int,0,eq_c1/2)+4*IF(circ_int,0,eq_c2/2)+2*PI()*(s_0+11*s_r+IF(circ_int,eq_c1/2,0)))/INDEX(lk_legs,12))&lt;((((((2*IF(circ_int,0,eq_c2/2))+(PI()*(s_0+11*s_r+IF(circ_int,eq_c1/2,0))/2))+2*IF(circ_int,0,eq_c1/2))+(PI()*(s_0+11*s_r+IF(circ_int,eq_c1/2,0))/2))+2*IF(circ_int,0,eq_c2/2))+(PI()*(s_0+11*s_r+IF(circ_int,eq_c1/2,0))/2)),-IF(circ_int,0,eq_c2/2)+(s_0+11*s_r+IF(circ_int,eq_c1/2,0))*SIN(PI()+(((25+0.5)*(4*IF(circ_int,0,eq_c1/2)+4*IF(circ_int,0,eq_c2/2)+2*PI()*(s_0+11*s_r+IF(circ_int,eq_c1/2,0)))/INDEX(lk_legs,12))-(((((2*IF(circ_int,0,eq_c2/2))+(PI()*(s_0+11*s_r+IF(circ_int,eq_c1/2,0))/2))+2*IF(circ_int,0,eq_c1/2))+(PI()*(s_0+11*s_r+IF(circ_int,eq_c1/2,0))/2))+2*IF(circ_int,0,eq_c2/2)))/(s_0+11*s_r+IF(circ_int,eq_c1/2,0))),IF(((25+0.5)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(25+0.5)*(4*IF(circ_int,0,eq_c1/2)+4*IF(circ_int,0,eq_c2/2)+2*PI()*(s_0+11*s_r+IF(circ_int,eq_c1/2,0)))/INDEX(lk_legs,12))-(((((((2*IF(circ_int,0,eq_c2/2))+(PI()*(s_0+11*s_r+IF(circ_int,eq_c1/2,0))/2))+2*IF(circ_int,0,eq_c1/2))+(PI()*(s_0+11*s_r+IF(circ_int,eq_c1/2,0))/2))+2*IF(circ_int,0,eq_c2/2))+(PI()*(s_0+11*s_r+IF(circ_int,eq_c1/2,0))/2))+2*IF(circ_int,0,eq_c1/2)))/(s_0+11*s_r+IF(circ_int,eq_c1/2,0)))))))))),NA())</f>
        <v/>
      </c>
    </row>
    <row r="29">
      <c r="A29">
        <f>IF(shape="Circular",(g_ox)+(c_1/2+0)*-1.000000,CHOOSE(1,(g_ox-eq_c1/2)+(0)*-1.000000,(eq_a1+eq_c1)+(0)*0.000000,eq_a1+eq_c1+0,(eq_a1+eq_c1)+(0)*1.000000))</f>
        <v/>
      </c>
      <c r="B29">
        <f>IF(shape="Circular",(g_oy)+(c_1/2+0)*0.000000,CHOOSE(1,(g_oy-eq_c2/2)+(0)*0.000000,(g_oy-eq_c2/2)+(0)*-1.000000,0,(eq_a2+eq_c2)+(0)*0.000000))</f>
        <v/>
      </c>
      <c r="D29">
        <f>IF(circ_int,(g_ox)+(c_1/2+2*d_eff)*-1.000000,CHOOSE(geo_idx,(g_ox-eq_c1/2)+(2*d_eff)*-1.000000,(eq_a1+eq_c1)+(2*d_eff)*0.000000,eq_a1+eq_c1+2*d_eff,(eq_a1+eq_c1)+(2*d_eff)*1.000000))</f>
        <v/>
      </c>
      <c r="E29">
        <f>IF(circ_int,(g_oy)+(c_1/2+2*d_eff)*0.000000,CHOOSE(geo_idx,(g_oy-eq_c2/2)+(2*d_eff)*0.000000,(g_oy-eq_c2/2)+(2*d_eff)*-1.000000,0,(eq_a2+eq_c2)+(2*d_eff)*0.000000))</f>
        <v/>
      </c>
      <c r="G29">
        <f>IF(AND(inputs_ok,punch_ok,A_sw&gt;0),IF(circ_int,(g_ox)+(c_1/2+r_out)*-1.000000,CHOOSE(kind_out,(g_ox-eq_c1/2)+(r_out)*-1.000000,(eq_a1+eq_c1)+(r_out)*0.000000,eq_a1+eq_c1+r_out,(eq_a1+eq_c1)+(r_out)*1.000000)),NA())</f>
        <v/>
      </c>
      <c r="H29">
        <f>IF(AND(inputs_ok,punch_ok,A_sw&gt;0),IF(circ_int,(g_oy)+(c_1/2+r_out)*0.000000,CHOOSE(kind_out,(g_oy-eq_c2/2)+(r_out)*0.000000,(g_oy-eq_c2/2)+(r_out)*-1.000000,0,(eq_a2+eq_c2)+(r_out)*0.000000)),NA())</f>
        <v/>
      </c>
      <c r="AW29">
        <f>IF(AND(links_on,1&lt;=n_per),IF(circ_int,(g_ox)+(c_1/2+(s_0+0*s_r))*-1.000000,CHOOSE(INDEX(lk_kind,1),(g_ox-eq_c1/2)+((s_0+0*s_r))*-1.000000,(eq_a1+eq_c1)+((s_0+0*s_r))*0.000000,eq_a1+eq_c1+(s_0+0*s_r),(eq_a1+eq_c1)+((s_0+0*s_r))*1.000000)),NA())</f>
        <v/>
      </c>
      <c r="AX29">
        <f>IF(AND(links_on,1&lt;=n_per),IF(circ_int,(g_oy)+(c_1/2+(s_0+0*s_r))*0.000000,CHOOSE(INDEX(lk_kind,1),(g_oy-eq_c2/2)+((s_0+0*s_r))*0.000000,(g_oy-eq_c2/2)+((s_0+0*s_r))*-1.000000,0,(eq_a2+eq_c2)+((s_0+0*s_r))*0.000000)),NA())</f>
        <v/>
      </c>
      <c r="AZ29">
        <f>IF(AND(AND(links_on,1&lt;=n_per),INDEX(lk_kind,1)=1,26&lt;INDEX(lk_legs,1)),g_ox+IF(((26+0.5)*(4*IF(circ_int,0,eq_c1/2)+4*IF(circ_int,0,eq_c2/2)+2*PI()*(s_0+0*s_r+IF(circ_int,eq_c1/2,0)))/INDEX(lk_legs,1))&lt;(2*IF(circ_int,0,eq_c2/2)),IF(circ_int,0,eq_c1/2)+(s_0+0*s_r+IF(circ_int,eq_c1/2,0)),IF(((26+0.5)*(4*IF(circ_int,0,eq_c1/2)+4*IF(circ_int,0,eq_c2/2)+2*PI()*(s_0+0*s_r+IF(circ_int,eq_c1/2,0)))/INDEX(lk_legs,1))&lt;((2*IF(circ_int,0,eq_c2/2))+(PI()*(s_0+0*s_r+IF(circ_int,eq_c1/2,0))/2)),IF(circ_int,0,eq_c1/2)+(s_0+0*s_r+IF(circ_int,eq_c1/2,0))*COS((((26+0.5)*(4*IF(circ_int,0,eq_c1/2)+4*IF(circ_int,0,eq_c2/2)+2*PI()*(s_0+0*s_r+IF(circ_int,eq_c1/2,0)))/INDEX(lk_legs,1))-(2*IF(circ_int,0,eq_c2/2)))/(s_0+0*s_r+IF(circ_int,eq_c1/2,0))),IF(((26+0.5)*(4*IF(circ_int,0,eq_c1/2)+4*IF(circ_int,0,eq_c2/2)+2*PI()*(s_0+0*s_r+IF(circ_int,eq_c1/2,0)))/INDEX(lk_legs,1))&lt;(((2*IF(circ_int,0,eq_c2/2))+(PI()*(s_0+0*s_r+IF(circ_int,eq_c1/2,0))/2))+2*IF(circ_int,0,eq_c1/2)),IF(circ_int,0,eq_c1/2)-(((26+0.5)*(4*IF(circ_int,0,eq_c1/2)+4*IF(circ_int,0,eq_c2/2)+2*PI()*(s_0+0*s_r+IF(circ_int,eq_c1/2,0)))/INDEX(lk_legs,1))-((2*IF(circ_int,0,eq_c2/2))+(PI()*(s_0+0*s_r+IF(circ_int,eq_c1/2,0))/2))),IF(((26+0.5)*(4*IF(circ_int,0,eq_c1/2)+4*IF(circ_int,0,eq_c2/2)+2*PI()*(s_0+0*s_r+IF(circ_int,eq_c1/2,0)))/INDEX(lk_legs,1))&lt;((((2*IF(circ_int,0,eq_c2/2))+(PI()*(s_0+0*s_r+IF(circ_int,eq_c1/2,0))/2))+2*IF(circ_int,0,eq_c1/2))+(PI()*(s_0+0*s_r+IF(circ_int,eq_c1/2,0))/2)),-IF(circ_int,0,eq_c1/2)+(s_0+0*s_r+IF(circ_int,eq_c1/2,0))*COS(PI()/2+(((26+0.5)*(4*IF(circ_int,0,eq_c1/2)+4*IF(circ_int,0,eq_c2/2)+2*PI()*(s_0+0*s_r+IF(circ_int,eq_c1/2,0)))/INDEX(lk_legs,1))-(((2*IF(circ_int,0,eq_c2/2))+(PI()*(s_0+0*s_r+IF(circ_int,eq_c1/2,0))/2))+2*IF(circ_int,0,eq_c1/2)))/(s_0+0*s_r+IF(circ_int,eq_c1/2,0))),IF(((26+0.5)*(4*IF(circ_int,0,eq_c1/2)+4*IF(circ_int,0,eq_c2/2)+2*PI()*(s_0+0*s_r+IF(circ_int,eq_c1/2,0)))/INDEX(lk_legs,1))&lt;(((((2*IF(circ_int,0,eq_c2/2))+(PI()*(s_0+0*s_r+IF(circ_int,eq_c1/2,0))/2))+2*IF(circ_int,0,eq_c1/2))+(PI()*(s_0+0*s_r+IF(circ_int,eq_c1/2,0))/2))+2*IF(circ_int,0,eq_c2/2)),-IF(circ_int,0,eq_c1/2)-(s_0+0*s_r+IF(circ_int,eq_c1/2,0)),IF(((26+0.5)*(4*IF(circ_int,0,eq_c1/2)+4*IF(circ_int,0,eq_c2/2)+2*PI()*(s_0+0*s_r+IF(circ_int,eq_c1/2,0)))/INDEX(lk_legs,1))&lt;((((((2*IF(circ_int,0,eq_c2/2))+(PI()*(s_0+0*s_r+IF(circ_int,eq_c1/2,0))/2))+2*IF(circ_int,0,eq_c1/2))+(PI()*(s_0+0*s_r+IF(circ_int,eq_c1/2,0))/2))+2*IF(circ_int,0,eq_c2/2))+(PI()*(s_0+0*s_r+IF(circ_int,eq_c1/2,0))/2)),-IF(circ_int,0,eq_c1/2)+(s_0+0*s_r+IF(circ_int,eq_c1/2,0))*COS(PI()+(((26+0.5)*(4*IF(circ_int,0,eq_c1/2)+4*IF(circ_int,0,eq_c2/2)+2*PI()*(s_0+0*s_r+IF(circ_int,eq_c1/2,0)))/INDEX(lk_legs,1))-(((((2*IF(circ_int,0,eq_c2/2))+(PI()*(s_0+0*s_r+IF(circ_int,eq_c1/2,0))/2))+2*IF(circ_int,0,eq_c1/2))+(PI()*(s_0+0*s_r+IF(circ_int,eq_c1/2,0))/2))+2*IF(circ_int,0,eq_c2/2)))/(s_0+0*s_r+IF(circ_int,eq_c1/2,0))),IF(((26+0.5)*(4*IF(circ_int,0,eq_c1/2)+4*IF(circ_int,0,eq_c2/2)+2*PI()*(s_0+0*s_r+IF(circ_int,eq_c1/2,0)))/INDEX(lk_legs,1))&lt;(((((((2*IF(circ_int,0,eq_c2/2))+(PI()*(s_0+0*s_r+IF(circ_int,eq_c1/2,0))/2))+2*IF(circ_int,0,eq_c1/2))+(PI()*(s_0+0*s_r+IF(circ_int,eq_c1/2,0))/2))+2*IF(circ_int,0,eq_c2/2))+(PI()*(s_0+0*s_r+IF(circ_int,eq_c1/2,0))/2))+2*IF(circ_int,0,eq_c1/2)),-IF(circ_int,0,eq_c1/2)+(((26+0.5)*(4*IF(circ_int,0,eq_c1/2)+4*IF(circ_int,0,eq_c2/2)+2*PI()*(s_0+0*s_r+IF(circ_int,eq_c1/2,0)))/INDEX(lk_legs,1))-((((((2*IF(circ_int,0,eq_c2/2))+(PI()*(s_0+0*s_r+IF(circ_int,eq_c1/2,0))/2))+2*IF(circ_int,0,eq_c1/2))+(PI()*(s_0+0*s_r+IF(circ_int,eq_c1/2,0))/2))+2*IF(circ_int,0,eq_c2/2))+(PI()*(s_0+0*s_r+IF(circ_int,eq_c1/2,0))/2))),IF(circ_int,0,eq_c1/2)+(s_0+0*s_r+IF(circ_int,eq_c1/2,0))*COS(3*PI()/2+(((26+0.5)*(4*IF(circ_int,0,eq_c1/2)+4*IF(circ_int,0,eq_c2/2)+2*PI()*(s_0+0*s_r+IF(circ_int,eq_c1/2,0)))/INDEX(lk_legs,1))-(((((((2*IF(circ_int,0,eq_c2/2))+(PI()*(s_0+0*s_r+IF(circ_int,eq_c1/2,0))/2))+2*IF(circ_int,0,eq_c1/2))+(PI()*(s_0+0*s_r+IF(circ_int,eq_c1/2,0))/2))+2*IF(circ_int,0,eq_c2/2))+(PI()*(s_0+0*s_r+IF(circ_int,eq_c1/2,0))/2))+2*IF(circ_int,0,eq_c1/2)))/(s_0+0*s_r+IF(circ_int,eq_c1/2,0)))))))))),NA())</f>
        <v/>
      </c>
      <c r="BA29">
        <f>IF(AND(AND(links_on,1&lt;=n_per),INDEX(lk_kind,1)=1,26&lt;INDEX(lk_legs,1)),g_oy+IF(((26+0.5)*(4*IF(circ_int,0,eq_c1/2)+4*IF(circ_int,0,eq_c2/2)+2*PI()*(s_0+0*s_r+IF(circ_int,eq_c1/2,0)))/INDEX(lk_legs,1))&lt;(2*IF(circ_int,0,eq_c2/2)),-IF(circ_int,0,eq_c2/2)+((26+0.5)*(4*IF(circ_int,0,eq_c1/2)+4*IF(circ_int,0,eq_c2/2)+2*PI()*(s_0+0*s_r+IF(circ_int,eq_c1/2,0)))/INDEX(lk_legs,1)),IF(((26+0.5)*(4*IF(circ_int,0,eq_c1/2)+4*IF(circ_int,0,eq_c2/2)+2*PI()*(s_0+0*s_r+IF(circ_int,eq_c1/2,0)))/INDEX(lk_legs,1))&lt;((2*IF(circ_int,0,eq_c2/2))+(PI()*(s_0+0*s_r+IF(circ_int,eq_c1/2,0))/2)),IF(circ_int,0,eq_c2/2)+(s_0+0*s_r+IF(circ_int,eq_c1/2,0))*SIN((((26+0.5)*(4*IF(circ_int,0,eq_c1/2)+4*IF(circ_int,0,eq_c2/2)+2*PI()*(s_0+0*s_r+IF(circ_int,eq_c1/2,0)))/INDEX(lk_legs,1))-(2*IF(circ_int,0,eq_c2/2)))/(s_0+0*s_r+IF(circ_int,eq_c1/2,0))),IF(((26+0.5)*(4*IF(circ_int,0,eq_c1/2)+4*IF(circ_int,0,eq_c2/2)+2*PI()*(s_0+0*s_r+IF(circ_int,eq_c1/2,0)))/INDEX(lk_legs,1))&lt;(((2*IF(circ_int,0,eq_c2/2))+(PI()*(s_0+0*s_r+IF(circ_int,eq_c1/2,0))/2))+2*IF(circ_int,0,eq_c1/2)),IF(circ_int,0,eq_c2/2)+(s_0+0*s_r+IF(circ_int,eq_c1/2,0)),IF(((26+0.5)*(4*IF(circ_int,0,eq_c1/2)+4*IF(circ_int,0,eq_c2/2)+2*PI()*(s_0+0*s_r+IF(circ_int,eq_c1/2,0)))/INDEX(lk_legs,1))&lt;((((2*IF(circ_int,0,eq_c2/2))+(PI()*(s_0+0*s_r+IF(circ_int,eq_c1/2,0))/2))+2*IF(circ_int,0,eq_c1/2))+(PI()*(s_0+0*s_r+IF(circ_int,eq_c1/2,0))/2)),IF(circ_int,0,eq_c2/2)+(s_0+0*s_r+IF(circ_int,eq_c1/2,0))*SIN(PI()/2+(((26+0.5)*(4*IF(circ_int,0,eq_c1/2)+4*IF(circ_int,0,eq_c2/2)+2*PI()*(s_0+0*s_r+IF(circ_int,eq_c1/2,0)))/INDEX(lk_legs,1))-(((2*IF(circ_int,0,eq_c2/2))+(PI()*(s_0+0*s_r+IF(circ_int,eq_c1/2,0))/2))+2*IF(circ_int,0,eq_c1/2)))/(s_0+0*s_r+IF(circ_int,eq_c1/2,0))),IF(((26+0.5)*(4*IF(circ_int,0,eq_c1/2)+4*IF(circ_int,0,eq_c2/2)+2*PI()*(s_0+0*s_r+IF(circ_int,eq_c1/2,0)))/INDEX(lk_legs,1))&lt;(((((2*IF(circ_int,0,eq_c2/2))+(PI()*(s_0+0*s_r+IF(circ_int,eq_c1/2,0))/2))+2*IF(circ_int,0,eq_c1/2))+(PI()*(s_0+0*s_r+IF(circ_int,eq_c1/2,0))/2))+2*IF(circ_int,0,eq_c2/2)),IF(circ_int,0,eq_c2/2)-(((26+0.5)*(4*IF(circ_int,0,eq_c1/2)+4*IF(circ_int,0,eq_c2/2)+2*PI()*(s_0+0*s_r+IF(circ_int,eq_c1/2,0)))/INDEX(lk_legs,1))-((((2*IF(circ_int,0,eq_c2/2))+(PI()*(s_0+0*s_r+IF(circ_int,eq_c1/2,0))/2))+2*IF(circ_int,0,eq_c1/2))+(PI()*(s_0+0*s_r+IF(circ_int,eq_c1/2,0))/2))),IF(((26+0.5)*(4*IF(circ_int,0,eq_c1/2)+4*IF(circ_int,0,eq_c2/2)+2*PI()*(s_0+0*s_r+IF(circ_int,eq_c1/2,0)))/INDEX(lk_legs,1))&lt;((((((2*IF(circ_int,0,eq_c2/2))+(PI()*(s_0+0*s_r+IF(circ_int,eq_c1/2,0))/2))+2*IF(circ_int,0,eq_c1/2))+(PI()*(s_0+0*s_r+IF(circ_int,eq_c1/2,0))/2))+2*IF(circ_int,0,eq_c2/2))+(PI()*(s_0+0*s_r+IF(circ_int,eq_c1/2,0))/2)),-IF(circ_int,0,eq_c2/2)+(s_0+0*s_r+IF(circ_int,eq_c1/2,0))*SIN(PI()+(((26+0.5)*(4*IF(circ_int,0,eq_c1/2)+4*IF(circ_int,0,eq_c2/2)+2*PI()*(s_0+0*s_r+IF(circ_int,eq_c1/2,0)))/INDEX(lk_legs,1))-(((((2*IF(circ_int,0,eq_c2/2))+(PI()*(s_0+0*s_r+IF(circ_int,eq_c1/2,0))/2))+2*IF(circ_int,0,eq_c1/2))+(PI()*(s_0+0*s_r+IF(circ_int,eq_c1/2,0))/2))+2*IF(circ_int,0,eq_c2/2)))/(s_0+0*s_r+IF(circ_int,eq_c1/2,0))),IF(((26+0.5)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(26+0.5)*(4*IF(circ_int,0,eq_c1/2)+4*IF(circ_int,0,eq_c2/2)+2*PI()*(s_0+0*s_r+IF(circ_int,eq_c1/2,0)))/INDEX(lk_legs,1))-(((((((2*IF(circ_int,0,eq_c2/2))+(PI()*(s_0+0*s_r+IF(circ_int,eq_c1/2,0))/2))+2*IF(circ_int,0,eq_c1/2))+(PI()*(s_0+0*s_r+IF(circ_int,eq_c1/2,0))/2))+2*IF(circ_int,0,eq_c2/2))+(PI()*(s_0+0*s_r+IF(circ_int,eq_c1/2,0))/2))+2*IF(circ_int,0,eq_c1/2)))/(s_0+0*s_r+IF(circ_int,eq_c1/2,0)))))))))),NA())</f>
        <v/>
      </c>
      <c r="BC29">
        <f>IF(AND(links_on,2&lt;=n_per),IF(circ_int,(g_ox)+(c_1/2+(s_0+1*s_r))*-1.000000,CHOOSE(INDEX(lk_kind,2),(g_ox-eq_c1/2)+((s_0+1*s_r))*-1.000000,(eq_a1+eq_c1)+((s_0+1*s_r))*0.000000,eq_a1+eq_c1+(s_0+1*s_r),(eq_a1+eq_c1)+((s_0+1*s_r))*1.000000)),NA())</f>
        <v/>
      </c>
      <c r="BD29">
        <f>IF(AND(links_on,2&lt;=n_per),IF(circ_int,(g_oy)+(c_1/2+(s_0+1*s_r))*0.000000,CHOOSE(INDEX(lk_kind,2),(g_oy-eq_c2/2)+((s_0+1*s_r))*0.000000,(g_oy-eq_c2/2)+((s_0+1*s_r))*-1.000000,0,(eq_a2+eq_c2)+((s_0+1*s_r))*0.000000)),NA())</f>
        <v/>
      </c>
      <c r="BF29">
        <f>IF(AND(AND(links_on,2&lt;=n_per),INDEX(lk_kind,2)=1,26&lt;INDEX(lk_legs,2)),g_ox+IF(((26+0.5)*(4*IF(circ_int,0,eq_c1/2)+4*IF(circ_int,0,eq_c2/2)+2*PI()*(s_0+1*s_r+IF(circ_int,eq_c1/2,0)))/INDEX(lk_legs,2))&lt;(2*IF(circ_int,0,eq_c2/2)),IF(circ_int,0,eq_c1/2)+(s_0+1*s_r+IF(circ_int,eq_c1/2,0)),IF(((26+0.5)*(4*IF(circ_int,0,eq_c1/2)+4*IF(circ_int,0,eq_c2/2)+2*PI()*(s_0+1*s_r+IF(circ_int,eq_c1/2,0)))/INDEX(lk_legs,2))&lt;((2*IF(circ_int,0,eq_c2/2))+(PI()*(s_0+1*s_r+IF(circ_int,eq_c1/2,0))/2)),IF(circ_int,0,eq_c1/2)+(s_0+1*s_r+IF(circ_int,eq_c1/2,0))*COS((((26+0.5)*(4*IF(circ_int,0,eq_c1/2)+4*IF(circ_int,0,eq_c2/2)+2*PI()*(s_0+1*s_r+IF(circ_int,eq_c1/2,0)))/INDEX(lk_legs,2))-(2*IF(circ_int,0,eq_c2/2)))/(s_0+1*s_r+IF(circ_int,eq_c1/2,0))),IF(((26+0.5)*(4*IF(circ_int,0,eq_c1/2)+4*IF(circ_int,0,eq_c2/2)+2*PI()*(s_0+1*s_r+IF(circ_int,eq_c1/2,0)))/INDEX(lk_legs,2))&lt;(((2*IF(circ_int,0,eq_c2/2))+(PI()*(s_0+1*s_r+IF(circ_int,eq_c1/2,0))/2))+2*IF(circ_int,0,eq_c1/2)),IF(circ_int,0,eq_c1/2)-(((26+0.5)*(4*IF(circ_int,0,eq_c1/2)+4*IF(circ_int,0,eq_c2/2)+2*PI()*(s_0+1*s_r+IF(circ_int,eq_c1/2,0)))/INDEX(lk_legs,2))-((2*IF(circ_int,0,eq_c2/2))+(PI()*(s_0+1*s_r+IF(circ_int,eq_c1/2,0))/2))),IF(((26+0.5)*(4*IF(circ_int,0,eq_c1/2)+4*IF(circ_int,0,eq_c2/2)+2*PI()*(s_0+1*s_r+IF(circ_int,eq_c1/2,0)))/INDEX(lk_legs,2))&lt;((((2*IF(circ_int,0,eq_c2/2))+(PI()*(s_0+1*s_r+IF(circ_int,eq_c1/2,0))/2))+2*IF(circ_int,0,eq_c1/2))+(PI()*(s_0+1*s_r+IF(circ_int,eq_c1/2,0))/2)),-IF(circ_int,0,eq_c1/2)+(s_0+1*s_r+IF(circ_int,eq_c1/2,0))*COS(PI()/2+(((26+0.5)*(4*IF(circ_int,0,eq_c1/2)+4*IF(circ_int,0,eq_c2/2)+2*PI()*(s_0+1*s_r+IF(circ_int,eq_c1/2,0)))/INDEX(lk_legs,2))-(((2*IF(circ_int,0,eq_c2/2))+(PI()*(s_0+1*s_r+IF(circ_int,eq_c1/2,0))/2))+2*IF(circ_int,0,eq_c1/2)))/(s_0+1*s_r+IF(circ_int,eq_c1/2,0))),IF(((26+0.5)*(4*IF(circ_int,0,eq_c1/2)+4*IF(circ_int,0,eq_c2/2)+2*PI()*(s_0+1*s_r+IF(circ_int,eq_c1/2,0)))/INDEX(lk_legs,2))&lt;(((((2*IF(circ_int,0,eq_c2/2))+(PI()*(s_0+1*s_r+IF(circ_int,eq_c1/2,0))/2))+2*IF(circ_int,0,eq_c1/2))+(PI()*(s_0+1*s_r+IF(circ_int,eq_c1/2,0))/2))+2*IF(circ_int,0,eq_c2/2)),-IF(circ_int,0,eq_c1/2)-(s_0+1*s_r+IF(circ_int,eq_c1/2,0)),IF(((26+0.5)*(4*IF(circ_int,0,eq_c1/2)+4*IF(circ_int,0,eq_c2/2)+2*PI()*(s_0+1*s_r+IF(circ_int,eq_c1/2,0)))/INDEX(lk_legs,2))&lt;((((((2*IF(circ_int,0,eq_c2/2))+(PI()*(s_0+1*s_r+IF(circ_int,eq_c1/2,0))/2))+2*IF(circ_int,0,eq_c1/2))+(PI()*(s_0+1*s_r+IF(circ_int,eq_c1/2,0))/2))+2*IF(circ_int,0,eq_c2/2))+(PI()*(s_0+1*s_r+IF(circ_int,eq_c1/2,0))/2)),-IF(circ_int,0,eq_c1/2)+(s_0+1*s_r+IF(circ_int,eq_c1/2,0))*COS(PI()+(((26+0.5)*(4*IF(circ_int,0,eq_c1/2)+4*IF(circ_int,0,eq_c2/2)+2*PI()*(s_0+1*s_r+IF(circ_int,eq_c1/2,0)))/INDEX(lk_legs,2))-(((((2*IF(circ_int,0,eq_c2/2))+(PI()*(s_0+1*s_r+IF(circ_int,eq_c1/2,0))/2))+2*IF(circ_int,0,eq_c1/2))+(PI()*(s_0+1*s_r+IF(circ_int,eq_c1/2,0))/2))+2*IF(circ_int,0,eq_c2/2)))/(s_0+1*s_r+IF(circ_int,eq_c1/2,0))),IF(((26+0.5)*(4*IF(circ_int,0,eq_c1/2)+4*IF(circ_int,0,eq_c2/2)+2*PI()*(s_0+1*s_r+IF(circ_int,eq_c1/2,0)))/INDEX(lk_legs,2))&lt;(((((((2*IF(circ_int,0,eq_c2/2))+(PI()*(s_0+1*s_r+IF(circ_int,eq_c1/2,0))/2))+2*IF(circ_int,0,eq_c1/2))+(PI()*(s_0+1*s_r+IF(circ_int,eq_c1/2,0))/2))+2*IF(circ_int,0,eq_c2/2))+(PI()*(s_0+1*s_r+IF(circ_int,eq_c1/2,0))/2))+2*IF(circ_int,0,eq_c1/2)),-IF(circ_int,0,eq_c1/2)+(((26+0.5)*(4*IF(circ_int,0,eq_c1/2)+4*IF(circ_int,0,eq_c2/2)+2*PI()*(s_0+1*s_r+IF(circ_int,eq_c1/2,0)))/INDEX(lk_legs,2))-((((((2*IF(circ_int,0,eq_c2/2))+(PI()*(s_0+1*s_r+IF(circ_int,eq_c1/2,0))/2))+2*IF(circ_int,0,eq_c1/2))+(PI()*(s_0+1*s_r+IF(circ_int,eq_c1/2,0))/2))+2*IF(circ_int,0,eq_c2/2))+(PI()*(s_0+1*s_r+IF(circ_int,eq_c1/2,0))/2))),IF(circ_int,0,eq_c1/2)+(s_0+1*s_r+IF(circ_int,eq_c1/2,0))*COS(3*PI()/2+(((26+0.5)*(4*IF(circ_int,0,eq_c1/2)+4*IF(circ_int,0,eq_c2/2)+2*PI()*(s_0+1*s_r+IF(circ_int,eq_c1/2,0)))/INDEX(lk_legs,2))-(((((((2*IF(circ_int,0,eq_c2/2))+(PI()*(s_0+1*s_r+IF(circ_int,eq_c1/2,0))/2))+2*IF(circ_int,0,eq_c1/2))+(PI()*(s_0+1*s_r+IF(circ_int,eq_c1/2,0))/2))+2*IF(circ_int,0,eq_c2/2))+(PI()*(s_0+1*s_r+IF(circ_int,eq_c1/2,0))/2))+2*IF(circ_int,0,eq_c1/2)))/(s_0+1*s_r+IF(circ_int,eq_c1/2,0)))))))))),NA())</f>
        <v/>
      </c>
      <c r="BG29">
        <f>IF(AND(AND(links_on,2&lt;=n_per),INDEX(lk_kind,2)=1,26&lt;INDEX(lk_legs,2)),g_oy+IF(((26+0.5)*(4*IF(circ_int,0,eq_c1/2)+4*IF(circ_int,0,eq_c2/2)+2*PI()*(s_0+1*s_r+IF(circ_int,eq_c1/2,0)))/INDEX(lk_legs,2))&lt;(2*IF(circ_int,0,eq_c2/2)),-IF(circ_int,0,eq_c2/2)+((26+0.5)*(4*IF(circ_int,0,eq_c1/2)+4*IF(circ_int,0,eq_c2/2)+2*PI()*(s_0+1*s_r+IF(circ_int,eq_c1/2,0)))/INDEX(lk_legs,2)),IF(((26+0.5)*(4*IF(circ_int,0,eq_c1/2)+4*IF(circ_int,0,eq_c2/2)+2*PI()*(s_0+1*s_r+IF(circ_int,eq_c1/2,0)))/INDEX(lk_legs,2))&lt;((2*IF(circ_int,0,eq_c2/2))+(PI()*(s_0+1*s_r+IF(circ_int,eq_c1/2,0))/2)),IF(circ_int,0,eq_c2/2)+(s_0+1*s_r+IF(circ_int,eq_c1/2,0))*SIN((((26+0.5)*(4*IF(circ_int,0,eq_c1/2)+4*IF(circ_int,0,eq_c2/2)+2*PI()*(s_0+1*s_r+IF(circ_int,eq_c1/2,0)))/INDEX(lk_legs,2))-(2*IF(circ_int,0,eq_c2/2)))/(s_0+1*s_r+IF(circ_int,eq_c1/2,0))),IF(((26+0.5)*(4*IF(circ_int,0,eq_c1/2)+4*IF(circ_int,0,eq_c2/2)+2*PI()*(s_0+1*s_r+IF(circ_int,eq_c1/2,0)))/INDEX(lk_legs,2))&lt;(((2*IF(circ_int,0,eq_c2/2))+(PI()*(s_0+1*s_r+IF(circ_int,eq_c1/2,0))/2))+2*IF(circ_int,0,eq_c1/2)),IF(circ_int,0,eq_c2/2)+(s_0+1*s_r+IF(circ_int,eq_c1/2,0)),IF(((26+0.5)*(4*IF(circ_int,0,eq_c1/2)+4*IF(circ_int,0,eq_c2/2)+2*PI()*(s_0+1*s_r+IF(circ_int,eq_c1/2,0)))/INDEX(lk_legs,2))&lt;((((2*IF(circ_int,0,eq_c2/2))+(PI()*(s_0+1*s_r+IF(circ_int,eq_c1/2,0))/2))+2*IF(circ_int,0,eq_c1/2))+(PI()*(s_0+1*s_r+IF(circ_int,eq_c1/2,0))/2)),IF(circ_int,0,eq_c2/2)+(s_0+1*s_r+IF(circ_int,eq_c1/2,0))*SIN(PI()/2+(((26+0.5)*(4*IF(circ_int,0,eq_c1/2)+4*IF(circ_int,0,eq_c2/2)+2*PI()*(s_0+1*s_r+IF(circ_int,eq_c1/2,0)))/INDEX(lk_legs,2))-(((2*IF(circ_int,0,eq_c2/2))+(PI()*(s_0+1*s_r+IF(circ_int,eq_c1/2,0))/2))+2*IF(circ_int,0,eq_c1/2)))/(s_0+1*s_r+IF(circ_int,eq_c1/2,0))),IF(((26+0.5)*(4*IF(circ_int,0,eq_c1/2)+4*IF(circ_int,0,eq_c2/2)+2*PI()*(s_0+1*s_r+IF(circ_int,eq_c1/2,0)))/INDEX(lk_legs,2))&lt;(((((2*IF(circ_int,0,eq_c2/2))+(PI()*(s_0+1*s_r+IF(circ_int,eq_c1/2,0))/2))+2*IF(circ_int,0,eq_c1/2))+(PI()*(s_0+1*s_r+IF(circ_int,eq_c1/2,0))/2))+2*IF(circ_int,0,eq_c2/2)),IF(circ_int,0,eq_c2/2)-(((26+0.5)*(4*IF(circ_int,0,eq_c1/2)+4*IF(circ_int,0,eq_c2/2)+2*PI()*(s_0+1*s_r+IF(circ_int,eq_c1/2,0)))/INDEX(lk_legs,2))-((((2*IF(circ_int,0,eq_c2/2))+(PI()*(s_0+1*s_r+IF(circ_int,eq_c1/2,0))/2))+2*IF(circ_int,0,eq_c1/2))+(PI()*(s_0+1*s_r+IF(circ_int,eq_c1/2,0))/2))),IF(((26+0.5)*(4*IF(circ_int,0,eq_c1/2)+4*IF(circ_int,0,eq_c2/2)+2*PI()*(s_0+1*s_r+IF(circ_int,eq_c1/2,0)))/INDEX(lk_legs,2))&lt;((((((2*IF(circ_int,0,eq_c2/2))+(PI()*(s_0+1*s_r+IF(circ_int,eq_c1/2,0))/2))+2*IF(circ_int,0,eq_c1/2))+(PI()*(s_0+1*s_r+IF(circ_int,eq_c1/2,0))/2))+2*IF(circ_int,0,eq_c2/2))+(PI()*(s_0+1*s_r+IF(circ_int,eq_c1/2,0))/2)),-IF(circ_int,0,eq_c2/2)+(s_0+1*s_r+IF(circ_int,eq_c1/2,0))*SIN(PI()+(((26+0.5)*(4*IF(circ_int,0,eq_c1/2)+4*IF(circ_int,0,eq_c2/2)+2*PI()*(s_0+1*s_r+IF(circ_int,eq_c1/2,0)))/INDEX(lk_legs,2))-(((((2*IF(circ_int,0,eq_c2/2))+(PI()*(s_0+1*s_r+IF(circ_int,eq_c1/2,0))/2))+2*IF(circ_int,0,eq_c1/2))+(PI()*(s_0+1*s_r+IF(circ_int,eq_c1/2,0))/2))+2*IF(circ_int,0,eq_c2/2)))/(s_0+1*s_r+IF(circ_int,eq_c1/2,0))),IF(((26+0.5)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(26+0.5)*(4*IF(circ_int,0,eq_c1/2)+4*IF(circ_int,0,eq_c2/2)+2*PI()*(s_0+1*s_r+IF(circ_int,eq_c1/2,0)))/INDEX(lk_legs,2))-(((((((2*IF(circ_int,0,eq_c2/2))+(PI()*(s_0+1*s_r+IF(circ_int,eq_c1/2,0))/2))+2*IF(circ_int,0,eq_c1/2))+(PI()*(s_0+1*s_r+IF(circ_int,eq_c1/2,0))/2))+2*IF(circ_int,0,eq_c2/2))+(PI()*(s_0+1*s_r+IF(circ_int,eq_c1/2,0))/2))+2*IF(circ_int,0,eq_c1/2)))/(s_0+1*s_r+IF(circ_int,eq_c1/2,0)))))))))),NA())</f>
        <v/>
      </c>
      <c r="BI29">
        <f>IF(AND(links_on,3&lt;=n_per),IF(circ_int,(g_ox)+(c_1/2+(s_0+2*s_r))*-1.000000,CHOOSE(INDEX(lk_kind,3),(g_ox-eq_c1/2)+((s_0+2*s_r))*-1.000000,(eq_a1+eq_c1)+((s_0+2*s_r))*0.000000,eq_a1+eq_c1+(s_0+2*s_r),(eq_a1+eq_c1)+((s_0+2*s_r))*1.000000)),NA())</f>
        <v/>
      </c>
      <c r="BJ29">
        <f>IF(AND(links_on,3&lt;=n_per),IF(circ_int,(g_oy)+(c_1/2+(s_0+2*s_r))*0.000000,CHOOSE(INDEX(lk_kind,3),(g_oy-eq_c2/2)+((s_0+2*s_r))*0.000000,(g_oy-eq_c2/2)+((s_0+2*s_r))*-1.000000,0,(eq_a2+eq_c2)+((s_0+2*s_r))*0.000000)),NA())</f>
        <v/>
      </c>
      <c r="BL29">
        <f>IF(AND(AND(links_on,3&lt;=n_per),INDEX(lk_kind,3)=1,26&lt;INDEX(lk_legs,3)),g_ox+IF(((26+0.5)*(4*IF(circ_int,0,eq_c1/2)+4*IF(circ_int,0,eq_c2/2)+2*PI()*(s_0+2*s_r+IF(circ_int,eq_c1/2,0)))/INDEX(lk_legs,3))&lt;(2*IF(circ_int,0,eq_c2/2)),IF(circ_int,0,eq_c1/2)+(s_0+2*s_r+IF(circ_int,eq_c1/2,0)),IF(((26+0.5)*(4*IF(circ_int,0,eq_c1/2)+4*IF(circ_int,0,eq_c2/2)+2*PI()*(s_0+2*s_r+IF(circ_int,eq_c1/2,0)))/INDEX(lk_legs,3))&lt;((2*IF(circ_int,0,eq_c2/2))+(PI()*(s_0+2*s_r+IF(circ_int,eq_c1/2,0))/2)),IF(circ_int,0,eq_c1/2)+(s_0+2*s_r+IF(circ_int,eq_c1/2,0))*COS((((26+0.5)*(4*IF(circ_int,0,eq_c1/2)+4*IF(circ_int,0,eq_c2/2)+2*PI()*(s_0+2*s_r+IF(circ_int,eq_c1/2,0)))/INDEX(lk_legs,3))-(2*IF(circ_int,0,eq_c2/2)))/(s_0+2*s_r+IF(circ_int,eq_c1/2,0))),IF(((26+0.5)*(4*IF(circ_int,0,eq_c1/2)+4*IF(circ_int,0,eq_c2/2)+2*PI()*(s_0+2*s_r+IF(circ_int,eq_c1/2,0)))/INDEX(lk_legs,3))&lt;(((2*IF(circ_int,0,eq_c2/2))+(PI()*(s_0+2*s_r+IF(circ_int,eq_c1/2,0))/2))+2*IF(circ_int,0,eq_c1/2)),IF(circ_int,0,eq_c1/2)-(((26+0.5)*(4*IF(circ_int,0,eq_c1/2)+4*IF(circ_int,0,eq_c2/2)+2*PI()*(s_0+2*s_r+IF(circ_int,eq_c1/2,0)))/INDEX(lk_legs,3))-((2*IF(circ_int,0,eq_c2/2))+(PI()*(s_0+2*s_r+IF(circ_int,eq_c1/2,0))/2))),IF(((26+0.5)*(4*IF(circ_int,0,eq_c1/2)+4*IF(circ_int,0,eq_c2/2)+2*PI()*(s_0+2*s_r+IF(circ_int,eq_c1/2,0)))/INDEX(lk_legs,3))&lt;((((2*IF(circ_int,0,eq_c2/2))+(PI()*(s_0+2*s_r+IF(circ_int,eq_c1/2,0))/2))+2*IF(circ_int,0,eq_c1/2))+(PI()*(s_0+2*s_r+IF(circ_int,eq_c1/2,0))/2)),-IF(circ_int,0,eq_c1/2)+(s_0+2*s_r+IF(circ_int,eq_c1/2,0))*COS(PI()/2+(((26+0.5)*(4*IF(circ_int,0,eq_c1/2)+4*IF(circ_int,0,eq_c2/2)+2*PI()*(s_0+2*s_r+IF(circ_int,eq_c1/2,0)))/INDEX(lk_legs,3))-(((2*IF(circ_int,0,eq_c2/2))+(PI()*(s_0+2*s_r+IF(circ_int,eq_c1/2,0))/2))+2*IF(circ_int,0,eq_c1/2)))/(s_0+2*s_r+IF(circ_int,eq_c1/2,0))),IF(((26+0.5)*(4*IF(circ_int,0,eq_c1/2)+4*IF(circ_int,0,eq_c2/2)+2*PI()*(s_0+2*s_r+IF(circ_int,eq_c1/2,0)))/INDEX(lk_legs,3))&lt;(((((2*IF(circ_int,0,eq_c2/2))+(PI()*(s_0+2*s_r+IF(circ_int,eq_c1/2,0))/2))+2*IF(circ_int,0,eq_c1/2))+(PI()*(s_0+2*s_r+IF(circ_int,eq_c1/2,0))/2))+2*IF(circ_int,0,eq_c2/2)),-IF(circ_int,0,eq_c1/2)-(s_0+2*s_r+IF(circ_int,eq_c1/2,0)),IF(((26+0.5)*(4*IF(circ_int,0,eq_c1/2)+4*IF(circ_int,0,eq_c2/2)+2*PI()*(s_0+2*s_r+IF(circ_int,eq_c1/2,0)))/INDEX(lk_legs,3))&lt;((((((2*IF(circ_int,0,eq_c2/2))+(PI()*(s_0+2*s_r+IF(circ_int,eq_c1/2,0))/2))+2*IF(circ_int,0,eq_c1/2))+(PI()*(s_0+2*s_r+IF(circ_int,eq_c1/2,0))/2))+2*IF(circ_int,0,eq_c2/2))+(PI()*(s_0+2*s_r+IF(circ_int,eq_c1/2,0))/2)),-IF(circ_int,0,eq_c1/2)+(s_0+2*s_r+IF(circ_int,eq_c1/2,0))*COS(PI()+(((26+0.5)*(4*IF(circ_int,0,eq_c1/2)+4*IF(circ_int,0,eq_c2/2)+2*PI()*(s_0+2*s_r+IF(circ_int,eq_c1/2,0)))/INDEX(lk_legs,3))-(((((2*IF(circ_int,0,eq_c2/2))+(PI()*(s_0+2*s_r+IF(circ_int,eq_c1/2,0))/2))+2*IF(circ_int,0,eq_c1/2))+(PI()*(s_0+2*s_r+IF(circ_int,eq_c1/2,0))/2))+2*IF(circ_int,0,eq_c2/2)))/(s_0+2*s_r+IF(circ_int,eq_c1/2,0))),IF(((26+0.5)*(4*IF(circ_int,0,eq_c1/2)+4*IF(circ_int,0,eq_c2/2)+2*PI()*(s_0+2*s_r+IF(circ_int,eq_c1/2,0)))/INDEX(lk_legs,3))&lt;(((((((2*IF(circ_int,0,eq_c2/2))+(PI()*(s_0+2*s_r+IF(circ_int,eq_c1/2,0))/2))+2*IF(circ_int,0,eq_c1/2))+(PI()*(s_0+2*s_r+IF(circ_int,eq_c1/2,0))/2))+2*IF(circ_int,0,eq_c2/2))+(PI()*(s_0+2*s_r+IF(circ_int,eq_c1/2,0))/2))+2*IF(circ_int,0,eq_c1/2)),-IF(circ_int,0,eq_c1/2)+(((26+0.5)*(4*IF(circ_int,0,eq_c1/2)+4*IF(circ_int,0,eq_c2/2)+2*PI()*(s_0+2*s_r+IF(circ_int,eq_c1/2,0)))/INDEX(lk_legs,3))-((((((2*IF(circ_int,0,eq_c2/2))+(PI()*(s_0+2*s_r+IF(circ_int,eq_c1/2,0))/2))+2*IF(circ_int,0,eq_c1/2))+(PI()*(s_0+2*s_r+IF(circ_int,eq_c1/2,0))/2))+2*IF(circ_int,0,eq_c2/2))+(PI()*(s_0+2*s_r+IF(circ_int,eq_c1/2,0))/2))),IF(circ_int,0,eq_c1/2)+(s_0+2*s_r+IF(circ_int,eq_c1/2,0))*COS(3*PI()/2+(((26+0.5)*(4*IF(circ_int,0,eq_c1/2)+4*IF(circ_int,0,eq_c2/2)+2*PI()*(s_0+2*s_r+IF(circ_int,eq_c1/2,0)))/INDEX(lk_legs,3))-(((((((2*IF(circ_int,0,eq_c2/2))+(PI()*(s_0+2*s_r+IF(circ_int,eq_c1/2,0))/2))+2*IF(circ_int,0,eq_c1/2))+(PI()*(s_0+2*s_r+IF(circ_int,eq_c1/2,0))/2))+2*IF(circ_int,0,eq_c2/2))+(PI()*(s_0+2*s_r+IF(circ_int,eq_c1/2,0))/2))+2*IF(circ_int,0,eq_c1/2)))/(s_0+2*s_r+IF(circ_int,eq_c1/2,0)))))))))),NA())</f>
        <v/>
      </c>
      <c r="BM29">
        <f>IF(AND(AND(links_on,3&lt;=n_per),INDEX(lk_kind,3)=1,26&lt;INDEX(lk_legs,3)),g_oy+IF(((26+0.5)*(4*IF(circ_int,0,eq_c1/2)+4*IF(circ_int,0,eq_c2/2)+2*PI()*(s_0+2*s_r+IF(circ_int,eq_c1/2,0)))/INDEX(lk_legs,3))&lt;(2*IF(circ_int,0,eq_c2/2)),-IF(circ_int,0,eq_c2/2)+((26+0.5)*(4*IF(circ_int,0,eq_c1/2)+4*IF(circ_int,0,eq_c2/2)+2*PI()*(s_0+2*s_r+IF(circ_int,eq_c1/2,0)))/INDEX(lk_legs,3)),IF(((26+0.5)*(4*IF(circ_int,0,eq_c1/2)+4*IF(circ_int,0,eq_c2/2)+2*PI()*(s_0+2*s_r+IF(circ_int,eq_c1/2,0)))/INDEX(lk_legs,3))&lt;((2*IF(circ_int,0,eq_c2/2))+(PI()*(s_0+2*s_r+IF(circ_int,eq_c1/2,0))/2)),IF(circ_int,0,eq_c2/2)+(s_0+2*s_r+IF(circ_int,eq_c1/2,0))*SIN((((26+0.5)*(4*IF(circ_int,0,eq_c1/2)+4*IF(circ_int,0,eq_c2/2)+2*PI()*(s_0+2*s_r+IF(circ_int,eq_c1/2,0)))/INDEX(lk_legs,3))-(2*IF(circ_int,0,eq_c2/2)))/(s_0+2*s_r+IF(circ_int,eq_c1/2,0))),IF(((26+0.5)*(4*IF(circ_int,0,eq_c1/2)+4*IF(circ_int,0,eq_c2/2)+2*PI()*(s_0+2*s_r+IF(circ_int,eq_c1/2,0)))/INDEX(lk_legs,3))&lt;(((2*IF(circ_int,0,eq_c2/2))+(PI()*(s_0+2*s_r+IF(circ_int,eq_c1/2,0))/2))+2*IF(circ_int,0,eq_c1/2)),IF(circ_int,0,eq_c2/2)+(s_0+2*s_r+IF(circ_int,eq_c1/2,0)),IF(((26+0.5)*(4*IF(circ_int,0,eq_c1/2)+4*IF(circ_int,0,eq_c2/2)+2*PI()*(s_0+2*s_r+IF(circ_int,eq_c1/2,0)))/INDEX(lk_legs,3))&lt;((((2*IF(circ_int,0,eq_c2/2))+(PI()*(s_0+2*s_r+IF(circ_int,eq_c1/2,0))/2))+2*IF(circ_int,0,eq_c1/2))+(PI()*(s_0+2*s_r+IF(circ_int,eq_c1/2,0))/2)),IF(circ_int,0,eq_c2/2)+(s_0+2*s_r+IF(circ_int,eq_c1/2,0))*SIN(PI()/2+(((26+0.5)*(4*IF(circ_int,0,eq_c1/2)+4*IF(circ_int,0,eq_c2/2)+2*PI()*(s_0+2*s_r+IF(circ_int,eq_c1/2,0)))/INDEX(lk_legs,3))-(((2*IF(circ_int,0,eq_c2/2))+(PI()*(s_0+2*s_r+IF(circ_int,eq_c1/2,0))/2))+2*IF(circ_int,0,eq_c1/2)))/(s_0+2*s_r+IF(circ_int,eq_c1/2,0))),IF(((26+0.5)*(4*IF(circ_int,0,eq_c1/2)+4*IF(circ_int,0,eq_c2/2)+2*PI()*(s_0+2*s_r+IF(circ_int,eq_c1/2,0)))/INDEX(lk_legs,3))&lt;(((((2*IF(circ_int,0,eq_c2/2))+(PI()*(s_0+2*s_r+IF(circ_int,eq_c1/2,0))/2))+2*IF(circ_int,0,eq_c1/2))+(PI()*(s_0+2*s_r+IF(circ_int,eq_c1/2,0))/2))+2*IF(circ_int,0,eq_c2/2)),IF(circ_int,0,eq_c2/2)-(((26+0.5)*(4*IF(circ_int,0,eq_c1/2)+4*IF(circ_int,0,eq_c2/2)+2*PI()*(s_0+2*s_r+IF(circ_int,eq_c1/2,0)))/INDEX(lk_legs,3))-((((2*IF(circ_int,0,eq_c2/2))+(PI()*(s_0+2*s_r+IF(circ_int,eq_c1/2,0))/2))+2*IF(circ_int,0,eq_c1/2))+(PI()*(s_0+2*s_r+IF(circ_int,eq_c1/2,0))/2))),IF(((26+0.5)*(4*IF(circ_int,0,eq_c1/2)+4*IF(circ_int,0,eq_c2/2)+2*PI()*(s_0+2*s_r+IF(circ_int,eq_c1/2,0)))/INDEX(lk_legs,3))&lt;((((((2*IF(circ_int,0,eq_c2/2))+(PI()*(s_0+2*s_r+IF(circ_int,eq_c1/2,0))/2))+2*IF(circ_int,0,eq_c1/2))+(PI()*(s_0+2*s_r+IF(circ_int,eq_c1/2,0))/2))+2*IF(circ_int,0,eq_c2/2))+(PI()*(s_0+2*s_r+IF(circ_int,eq_c1/2,0))/2)),-IF(circ_int,0,eq_c2/2)+(s_0+2*s_r+IF(circ_int,eq_c1/2,0))*SIN(PI()+(((26+0.5)*(4*IF(circ_int,0,eq_c1/2)+4*IF(circ_int,0,eq_c2/2)+2*PI()*(s_0+2*s_r+IF(circ_int,eq_c1/2,0)))/INDEX(lk_legs,3))-(((((2*IF(circ_int,0,eq_c2/2))+(PI()*(s_0+2*s_r+IF(circ_int,eq_c1/2,0))/2))+2*IF(circ_int,0,eq_c1/2))+(PI()*(s_0+2*s_r+IF(circ_int,eq_c1/2,0))/2))+2*IF(circ_int,0,eq_c2/2)))/(s_0+2*s_r+IF(circ_int,eq_c1/2,0))),IF(((26+0.5)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(26+0.5)*(4*IF(circ_int,0,eq_c1/2)+4*IF(circ_int,0,eq_c2/2)+2*PI()*(s_0+2*s_r+IF(circ_int,eq_c1/2,0)))/INDEX(lk_legs,3))-(((((((2*IF(circ_int,0,eq_c2/2))+(PI()*(s_0+2*s_r+IF(circ_int,eq_c1/2,0))/2))+2*IF(circ_int,0,eq_c1/2))+(PI()*(s_0+2*s_r+IF(circ_int,eq_c1/2,0))/2))+2*IF(circ_int,0,eq_c2/2))+(PI()*(s_0+2*s_r+IF(circ_int,eq_c1/2,0))/2))+2*IF(circ_int,0,eq_c1/2)))/(s_0+2*s_r+IF(circ_int,eq_c1/2,0)))))))))),NA())</f>
        <v/>
      </c>
      <c r="BO29">
        <f>IF(AND(links_on,4&lt;=n_per),IF(circ_int,(g_ox)+(c_1/2+(s_0+3*s_r))*-1.000000,CHOOSE(INDEX(lk_kind,4),(g_ox-eq_c1/2)+((s_0+3*s_r))*-1.000000,(eq_a1+eq_c1)+((s_0+3*s_r))*0.000000,eq_a1+eq_c1+(s_0+3*s_r),(eq_a1+eq_c1)+((s_0+3*s_r))*1.000000)),NA())</f>
        <v/>
      </c>
      <c r="BP29">
        <f>IF(AND(links_on,4&lt;=n_per),IF(circ_int,(g_oy)+(c_1/2+(s_0+3*s_r))*0.000000,CHOOSE(INDEX(lk_kind,4),(g_oy-eq_c2/2)+((s_0+3*s_r))*0.000000,(g_oy-eq_c2/2)+((s_0+3*s_r))*-1.000000,0,(eq_a2+eq_c2)+((s_0+3*s_r))*0.000000)),NA())</f>
        <v/>
      </c>
      <c r="BR29">
        <f>IF(AND(AND(links_on,4&lt;=n_per),INDEX(lk_kind,4)=1,26&lt;INDEX(lk_legs,4)),g_ox+IF(((26+0.5)*(4*IF(circ_int,0,eq_c1/2)+4*IF(circ_int,0,eq_c2/2)+2*PI()*(s_0+3*s_r+IF(circ_int,eq_c1/2,0)))/INDEX(lk_legs,4))&lt;(2*IF(circ_int,0,eq_c2/2)),IF(circ_int,0,eq_c1/2)+(s_0+3*s_r+IF(circ_int,eq_c1/2,0)),IF(((26+0.5)*(4*IF(circ_int,0,eq_c1/2)+4*IF(circ_int,0,eq_c2/2)+2*PI()*(s_0+3*s_r+IF(circ_int,eq_c1/2,0)))/INDEX(lk_legs,4))&lt;((2*IF(circ_int,0,eq_c2/2))+(PI()*(s_0+3*s_r+IF(circ_int,eq_c1/2,0))/2)),IF(circ_int,0,eq_c1/2)+(s_0+3*s_r+IF(circ_int,eq_c1/2,0))*COS((((26+0.5)*(4*IF(circ_int,0,eq_c1/2)+4*IF(circ_int,0,eq_c2/2)+2*PI()*(s_0+3*s_r+IF(circ_int,eq_c1/2,0)))/INDEX(lk_legs,4))-(2*IF(circ_int,0,eq_c2/2)))/(s_0+3*s_r+IF(circ_int,eq_c1/2,0))),IF(((26+0.5)*(4*IF(circ_int,0,eq_c1/2)+4*IF(circ_int,0,eq_c2/2)+2*PI()*(s_0+3*s_r+IF(circ_int,eq_c1/2,0)))/INDEX(lk_legs,4))&lt;(((2*IF(circ_int,0,eq_c2/2))+(PI()*(s_0+3*s_r+IF(circ_int,eq_c1/2,0))/2))+2*IF(circ_int,0,eq_c1/2)),IF(circ_int,0,eq_c1/2)-(((26+0.5)*(4*IF(circ_int,0,eq_c1/2)+4*IF(circ_int,0,eq_c2/2)+2*PI()*(s_0+3*s_r+IF(circ_int,eq_c1/2,0)))/INDEX(lk_legs,4))-((2*IF(circ_int,0,eq_c2/2))+(PI()*(s_0+3*s_r+IF(circ_int,eq_c1/2,0))/2))),IF(((26+0.5)*(4*IF(circ_int,0,eq_c1/2)+4*IF(circ_int,0,eq_c2/2)+2*PI()*(s_0+3*s_r+IF(circ_int,eq_c1/2,0)))/INDEX(lk_legs,4))&lt;((((2*IF(circ_int,0,eq_c2/2))+(PI()*(s_0+3*s_r+IF(circ_int,eq_c1/2,0))/2))+2*IF(circ_int,0,eq_c1/2))+(PI()*(s_0+3*s_r+IF(circ_int,eq_c1/2,0))/2)),-IF(circ_int,0,eq_c1/2)+(s_0+3*s_r+IF(circ_int,eq_c1/2,0))*COS(PI()/2+(((26+0.5)*(4*IF(circ_int,0,eq_c1/2)+4*IF(circ_int,0,eq_c2/2)+2*PI()*(s_0+3*s_r+IF(circ_int,eq_c1/2,0)))/INDEX(lk_legs,4))-(((2*IF(circ_int,0,eq_c2/2))+(PI()*(s_0+3*s_r+IF(circ_int,eq_c1/2,0))/2))+2*IF(circ_int,0,eq_c1/2)))/(s_0+3*s_r+IF(circ_int,eq_c1/2,0))),IF(((26+0.5)*(4*IF(circ_int,0,eq_c1/2)+4*IF(circ_int,0,eq_c2/2)+2*PI()*(s_0+3*s_r+IF(circ_int,eq_c1/2,0)))/INDEX(lk_legs,4))&lt;(((((2*IF(circ_int,0,eq_c2/2))+(PI()*(s_0+3*s_r+IF(circ_int,eq_c1/2,0))/2))+2*IF(circ_int,0,eq_c1/2))+(PI()*(s_0+3*s_r+IF(circ_int,eq_c1/2,0))/2))+2*IF(circ_int,0,eq_c2/2)),-IF(circ_int,0,eq_c1/2)-(s_0+3*s_r+IF(circ_int,eq_c1/2,0)),IF(((26+0.5)*(4*IF(circ_int,0,eq_c1/2)+4*IF(circ_int,0,eq_c2/2)+2*PI()*(s_0+3*s_r+IF(circ_int,eq_c1/2,0)))/INDEX(lk_legs,4))&lt;((((((2*IF(circ_int,0,eq_c2/2))+(PI()*(s_0+3*s_r+IF(circ_int,eq_c1/2,0))/2))+2*IF(circ_int,0,eq_c1/2))+(PI()*(s_0+3*s_r+IF(circ_int,eq_c1/2,0))/2))+2*IF(circ_int,0,eq_c2/2))+(PI()*(s_0+3*s_r+IF(circ_int,eq_c1/2,0))/2)),-IF(circ_int,0,eq_c1/2)+(s_0+3*s_r+IF(circ_int,eq_c1/2,0))*COS(PI()+(((26+0.5)*(4*IF(circ_int,0,eq_c1/2)+4*IF(circ_int,0,eq_c2/2)+2*PI()*(s_0+3*s_r+IF(circ_int,eq_c1/2,0)))/INDEX(lk_legs,4))-(((((2*IF(circ_int,0,eq_c2/2))+(PI()*(s_0+3*s_r+IF(circ_int,eq_c1/2,0))/2))+2*IF(circ_int,0,eq_c1/2))+(PI()*(s_0+3*s_r+IF(circ_int,eq_c1/2,0))/2))+2*IF(circ_int,0,eq_c2/2)))/(s_0+3*s_r+IF(circ_int,eq_c1/2,0))),IF(((26+0.5)*(4*IF(circ_int,0,eq_c1/2)+4*IF(circ_int,0,eq_c2/2)+2*PI()*(s_0+3*s_r+IF(circ_int,eq_c1/2,0)))/INDEX(lk_legs,4))&lt;(((((((2*IF(circ_int,0,eq_c2/2))+(PI()*(s_0+3*s_r+IF(circ_int,eq_c1/2,0))/2))+2*IF(circ_int,0,eq_c1/2))+(PI()*(s_0+3*s_r+IF(circ_int,eq_c1/2,0))/2))+2*IF(circ_int,0,eq_c2/2))+(PI()*(s_0+3*s_r+IF(circ_int,eq_c1/2,0))/2))+2*IF(circ_int,0,eq_c1/2)),-IF(circ_int,0,eq_c1/2)+(((26+0.5)*(4*IF(circ_int,0,eq_c1/2)+4*IF(circ_int,0,eq_c2/2)+2*PI()*(s_0+3*s_r+IF(circ_int,eq_c1/2,0)))/INDEX(lk_legs,4))-((((((2*IF(circ_int,0,eq_c2/2))+(PI()*(s_0+3*s_r+IF(circ_int,eq_c1/2,0))/2))+2*IF(circ_int,0,eq_c1/2))+(PI()*(s_0+3*s_r+IF(circ_int,eq_c1/2,0))/2))+2*IF(circ_int,0,eq_c2/2))+(PI()*(s_0+3*s_r+IF(circ_int,eq_c1/2,0))/2))),IF(circ_int,0,eq_c1/2)+(s_0+3*s_r+IF(circ_int,eq_c1/2,0))*COS(3*PI()/2+(((26+0.5)*(4*IF(circ_int,0,eq_c1/2)+4*IF(circ_int,0,eq_c2/2)+2*PI()*(s_0+3*s_r+IF(circ_int,eq_c1/2,0)))/INDEX(lk_legs,4))-(((((((2*IF(circ_int,0,eq_c2/2))+(PI()*(s_0+3*s_r+IF(circ_int,eq_c1/2,0))/2))+2*IF(circ_int,0,eq_c1/2))+(PI()*(s_0+3*s_r+IF(circ_int,eq_c1/2,0))/2))+2*IF(circ_int,0,eq_c2/2))+(PI()*(s_0+3*s_r+IF(circ_int,eq_c1/2,0))/2))+2*IF(circ_int,0,eq_c1/2)))/(s_0+3*s_r+IF(circ_int,eq_c1/2,0)))))))))),NA())</f>
        <v/>
      </c>
      <c r="BS29">
        <f>IF(AND(AND(links_on,4&lt;=n_per),INDEX(lk_kind,4)=1,26&lt;INDEX(lk_legs,4)),g_oy+IF(((26+0.5)*(4*IF(circ_int,0,eq_c1/2)+4*IF(circ_int,0,eq_c2/2)+2*PI()*(s_0+3*s_r+IF(circ_int,eq_c1/2,0)))/INDEX(lk_legs,4))&lt;(2*IF(circ_int,0,eq_c2/2)),-IF(circ_int,0,eq_c2/2)+((26+0.5)*(4*IF(circ_int,0,eq_c1/2)+4*IF(circ_int,0,eq_c2/2)+2*PI()*(s_0+3*s_r+IF(circ_int,eq_c1/2,0)))/INDEX(lk_legs,4)),IF(((26+0.5)*(4*IF(circ_int,0,eq_c1/2)+4*IF(circ_int,0,eq_c2/2)+2*PI()*(s_0+3*s_r+IF(circ_int,eq_c1/2,0)))/INDEX(lk_legs,4))&lt;((2*IF(circ_int,0,eq_c2/2))+(PI()*(s_0+3*s_r+IF(circ_int,eq_c1/2,0))/2)),IF(circ_int,0,eq_c2/2)+(s_0+3*s_r+IF(circ_int,eq_c1/2,0))*SIN((((26+0.5)*(4*IF(circ_int,0,eq_c1/2)+4*IF(circ_int,0,eq_c2/2)+2*PI()*(s_0+3*s_r+IF(circ_int,eq_c1/2,0)))/INDEX(lk_legs,4))-(2*IF(circ_int,0,eq_c2/2)))/(s_0+3*s_r+IF(circ_int,eq_c1/2,0))),IF(((26+0.5)*(4*IF(circ_int,0,eq_c1/2)+4*IF(circ_int,0,eq_c2/2)+2*PI()*(s_0+3*s_r+IF(circ_int,eq_c1/2,0)))/INDEX(lk_legs,4))&lt;(((2*IF(circ_int,0,eq_c2/2))+(PI()*(s_0+3*s_r+IF(circ_int,eq_c1/2,0))/2))+2*IF(circ_int,0,eq_c1/2)),IF(circ_int,0,eq_c2/2)+(s_0+3*s_r+IF(circ_int,eq_c1/2,0)),IF(((26+0.5)*(4*IF(circ_int,0,eq_c1/2)+4*IF(circ_int,0,eq_c2/2)+2*PI()*(s_0+3*s_r+IF(circ_int,eq_c1/2,0)))/INDEX(lk_legs,4))&lt;((((2*IF(circ_int,0,eq_c2/2))+(PI()*(s_0+3*s_r+IF(circ_int,eq_c1/2,0))/2))+2*IF(circ_int,0,eq_c1/2))+(PI()*(s_0+3*s_r+IF(circ_int,eq_c1/2,0))/2)),IF(circ_int,0,eq_c2/2)+(s_0+3*s_r+IF(circ_int,eq_c1/2,0))*SIN(PI()/2+(((26+0.5)*(4*IF(circ_int,0,eq_c1/2)+4*IF(circ_int,0,eq_c2/2)+2*PI()*(s_0+3*s_r+IF(circ_int,eq_c1/2,0)))/INDEX(lk_legs,4))-(((2*IF(circ_int,0,eq_c2/2))+(PI()*(s_0+3*s_r+IF(circ_int,eq_c1/2,0))/2))+2*IF(circ_int,0,eq_c1/2)))/(s_0+3*s_r+IF(circ_int,eq_c1/2,0))),IF(((26+0.5)*(4*IF(circ_int,0,eq_c1/2)+4*IF(circ_int,0,eq_c2/2)+2*PI()*(s_0+3*s_r+IF(circ_int,eq_c1/2,0)))/INDEX(lk_legs,4))&lt;(((((2*IF(circ_int,0,eq_c2/2))+(PI()*(s_0+3*s_r+IF(circ_int,eq_c1/2,0))/2))+2*IF(circ_int,0,eq_c1/2))+(PI()*(s_0+3*s_r+IF(circ_int,eq_c1/2,0))/2))+2*IF(circ_int,0,eq_c2/2)),IF(circ_int,0,eq_c2/2)-(((26+0.5)*(4*IF(circ_int,0,eq_c1/2)+4*IF(circ_int,0,eq_c2/2)+2*PI()*(s_0+3*s_r+IF(circ_int,eq_c1/2,0)))/INDEX(lk_legs,4))-((((2*IF(circ_int,0,eq_c2/2))+(PI()*(s_0+3*s_r+IF(circ_int,eq_c1/2,0))/2))+2*IF(circ_int,0,eq_c1/2))+(PI()*(s_0+3*s_r+IF(circ_int,eq_c1/2,0))/2))),IF(((26+0.5)*(4*IF(circ_int,0,eq_c1/2)+4*IF(circ_int,0,eq_c2/2)+2*PI()*(s_0+3*s_r+IF(circ_int,eq_c1/2,0)))/INDEX(lk_legs,4))&lt;((((((2*IF(circ_int,0,eq_c2/2))+(PI()*(s_0+3*s_r+IF(circ_int,eq_c1/2,0))/2))+2*IF(circ_int,0,eq_c1/2))+(PI()*(s_0+3*s_r+IF(circ_int,eq_c1/2,0))/2))+2*IF(circ_int,0,eq_c2/2))+(PI()*(s_0+3*s_r+IF(circ_int,eq_c1/2,0))/2)),-IF(circ_int,0,eq_c2/2)+(s_0+3*s_r+IF(circ_int,eq_c1/2,0))*SIN(PI()+(((26+0.5)*(4*IF(circ_int,0,eq_c1/2)+4*IF(circ_int,0,eq_c2/2)+2*PI()*(s_0+3*s_r+IF(circ_int,eq_c1/2,0)))/INDEX(lk_legs,4))-(((((2*IF(circ_int,0,eq_c2/2))+(PI()*(s_0+3*s_r+IF(circ_int,eq_c1/2,0))/2))+2*IF(circ_int,0,eq_c1/2))+(PI()*(s_0+3*s_r+IF(circ_int,eq_c1/2,0))/2))+2*IF(circ_int,0,eq_c2/2)))/(s_0+3*s_r+IF(circ_int,eq_c1/2,0))),IF(((26+0.5)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(26+0.5)*(4*IF(circ_int,0,eq_c1/2)+4*IF(circ_int,0,eq_c2/2)+2*PI()*(s_0+3*s_r+IF(circ_int,eq_c1/2,0)))/INDEX(lk_legs,4))-(((((((2*IF(circ_int,0,eq_c2/2))+(PI()*(s_0+3*s_r+IF(circ_int,eq_c1/2,0))/2))+2*IF(circ_int,0,eq_c1/2))+(PI()*(s_0+3*s_r+IF(circ_int,eq_c1/2,0))/2))+2*IF(circ_int,0,eq_c2/2))+(PI()*(s_0+3*s_r+IF(circ_int,eq_c1/2,0))/2))+2*IF(circ_int,0,eq_c1/2)))/(s_0+3*s_r+IF(circ_int,eq_c1/2,0)))))))))),NA())</f>
        <v/>
      </c>
      <c r="BU29">
        <f>IF(AND(links_on,5&lt;=n_per),IF(circ_int,(g_ox)+(c_1/2+(s_0+4*s_r))*-1.000000,CHOOSE(INDEX(lk_kind,5),(g_ox-eq_c1/2)+((s_0+4*s_r))*-1.000000,(eq_a1+eq_c1)+((s_0+4*s_r))*0.000000,eq_a1+eq_c1+(s_0+4*s_r),(eq_a1+eq_c1)+((s_0+4*s_r))*1.000000)),NA())</f>
        <v/>
      </c>
      <c r="BV29">
        <f>IF(AND(links_on,5&lt;=n_per),IF(circ_int,(g_oy)+(c_1/2+(s_0+4*s_r))*0.000000,CHOOSE(INDEX(lk_kind,5),(g_oy-eq_c2/2)+((s_0+4*s_r))*0.000000,(g_oy-eq_c2/2)+((s_0+4*s_r))*-1.000000,0,(eq_a2+eq_c2)+((s_0+4*s_r))*0.000000)),NA())</f>
        <v/>
      </c>
      <c r="BX29">
        <f>IF(AND(AND(links_on,5&lt;=n_per),INDEX(lk_kind,5)=1,26&lt;INDEX(lk_legs,5)),g_ox+IF(((26+0.5)*(4*IF(circ_int,0,eq_c1/2)+4*IF(circ_int,0,eq_c2/2)+2*PI()*(s_0+4*s_r+IF(circ_int,eq_c1/2,0)))/INDEX(lk_legs,5))&lt;(2*IF(circ_int,0,eq_c2/2)),IF(circ_int,0,eq_c1/2)+(s_0+4*s_r+IF(circ_int,eq_c1/2,0)),IF(((26+0.5)*(4*IF(circ_int,0,eq_c1/2)+4*IF(circ_int,0,eq_c2/2)+2*PI()*(s_0+4*s_r+IF(circ_int,eq_c1/2,0)))/INDEX(lk_legs,5))&lt;((2*IF(circ_int,0,eq_c2/2))+(PI()*(s_0+4*s_r+IF(circ_int,eq_c1/2,0))/2)),IF(circ_int,0,eq_c1/2)+(s_0+4*s_r+IF(circ_int,eq_c1/2,0))*COS((((26+0.5)*(4*IF(circ_int,0,eq_c1/2)+4*IF(circ_int,0,eq_c2/2)+2*PI()*(s_0+4*s_r+IF(circ_int,eq_c1/2,0)))/INDEX(lk_legs,5))-(2*IF(circ_int,0,eq_c2/2)))/(s_0+4*s_r+IF(circ_int,eq_c1/2,0))),IF(((26+0.5)*(4*IF(circ_int,0,eq_c1/2)+4*IF(circ_int,0,eq_c2/2)+2*PI()*(s_0+4*s_r+IF(circ_int,eq_c1/2,0)))/INDEX(lk_legs,5))&lt;(((2*IF(circ_int,0,eq_c2/2))+(PI()*(s_0+4*s_r+IF(circ_int,eq_c1/2,0))/2))+2*IF(circ_int,0,eq_c1/2)),IF(circ_int,0,eq_c1/2)-(((26+0.5)*(4*IF(circ_int,0,eq_c1/2)+4*IF(circ_int,0,eq_c2/2)+2*PI()*(s_0+4*s_r+IF(circ_int,eq_c1/2,0)))/INDEX(lk_legs,5))-((2*IF(circ_int,0,eq_c2/2))+(PI()*(s_0+4*s_r+IF(circ_int,eq_c1/2,0))/2))),IF(((26+0.5)*(4*IF(circ_int,0,eq_c1/2)+4*IF(circ_int,0,eq_c2/2)+2*PI()*(s_0+4*s_r+IF(circ_int,eq_c1/2,0)))/INDEX(lk_legs,5))&lt;((((2*IF(circ_int,0,eq_c2/2))+(PI()*(s_0+4*s_r+IF(circ_int,eq_c1/2,0))/2))+2*IF(circ_int,0,eq_c1/2))+(PI()*(s_0+4*s_r+IF(circ_int,eq_c1/2,0))/2)),-IF(circ_int,0,eq_c1/2)+(s_0+4*s_r+IF(circ_int,eq_c1/2,0))*COS(PI()/2+(((26+0.5)*(4*IF(circ_int,0,eq_c1/2)+4*IF(circ_int,0,eq_c2/2)+2*PI()*(s_0+4*s_r+IF(circ_int,eq_c1/2,0)))/INDEX(lk_legs,5))-(((2*IF(circ_int,0,eq_c2/2))+(PI()*(s_0+4*s_r+IF(circ_int,eq_c1/2,0))/2))+2*IF(circ_int,0,eq_c1/2)))/(s_0+4*s_r+IF(circ_int,eq_c1/2,0))),IF(((26+0.5)*(4*IF(circ_int,0,eq_c1/2)+4*IF(circ_int,0,eq_c2/2)+2*PI()*(s_0+4*s_r+IF(circ_int,eq_c1/2,0)))/INDEX(lk_legs,5))&lt;(((((2*IF(circ_int,0,eq_c2/2))+(PI()*(s_0+4*s_r+IF(circ_int,eq_c1/2,0))/2))+2*IF(circ_int,0,eq_c1/2))+(PI()*(s_0+4*s_r+IF(circ_int,eq_c1/2,0))/2))+2*IF(circ_int,0,eq_c2/2)),-IF(circ_int,0,eq_c1/2)-(s_0+4*s_r+IF(circ_int,eq_c1/2,0)),IF(((26+0.5)*(4*IF(circ_int,0,eq_c1/2)+4*IF(circ_int,0,eq_c2/2)+2*PI()*(s_0+4*s_r+IF(circ_int,eq_c1/2,0)))/INDEX(lk_legs,5))&lt;((((((2*IF(circ_int,0,eq_c2/2))+(PI()*(s_0+4*s_r+IF(circ_int,eq_c1/2,0))/2))+2*IF(circ_int,0,eq_c1/2))+(PI()*(s_0+4*s_r+IF(circ_int,eq_c1/2,0))/2))+2*IF(circ_int,0,eq_c2/2))+(PI()*(s_0+4*s_r+IF(circ_int,eq_c1/2,0))/2)),-IF(circ_int,0,eq_c1/2)+(s_0+4*s_r+IF(circ_int,eq_c1/2,0))*COS(PI()+(((26+0.5)*(4*IF(circ_int,0,eq_c1/2)+4*IF(circ_int,0,eq_c2/2)+2*PI()*(s_0+4*s_r+IF(circ_int,eq_c1/2,0)))/INDEX(lk_legs,5))-(((((2*IF(circ_int,0,eq_c2/2))+(PI()*(s_0+4*s_r+IF(circ_int,eq_c1/2,0))/2))+2*IF(circ_int,0,eq_c1/2))+(PI()*(s_0+4*s_r+IF(circ_int,eq_c1/2,0))/2))+2*IF(circ_int,0,eq_c2/2)))/(s_0+4*s_r+IF(circ_int,eq_c1/2,0))),IF(((26+0.5)*(4*IF(circ_int,0,eq_c1/2)+4*IF(circ_int,0,eq_c2/2)+2*PI()*(s_0+4*s_r+IF(circ_int,eq_c1/2,0)))/INDEX(lk_legs,5))&lt;(((((((2*IF(circ_int,0,eq_c2/2))+(PI()*(s_0+4*s_r+IF(circ_int,eq_c1/2,0))/2))+2*IF(circ_int,0,eq_c1/2))+(PI()*(s_0+4*s_r+IF(circ_int,eq_c1/2,0))/2))+2*IF(circ_int,0,eq_c2/2))+(PI()*(s_0+4*s_r+IF(circ_int,eq_c1/2,0))/2))+2*IF(circ_int,0,eq_c1/2)),-IF(circ_int,0,eq_c1/2)+(((26+0.5)*(4*IF(circ_int,0,eq_c1/2)+4*IF(circ_int,0,eq_c2/2)+2*PI()*(s_0+4*s_r+IF(circ_int,eq_c1/2,0)))/INDEX(lk_legs,5))-((((((2*IF(circ_int,0,eq_c2/2))+(PI()*(s_0+4*s_r+IF(circ_int,eq_c1/2,0))/2))+2*IF(circ_int,0,eq_c1/2))+(PI()*(s_0+4*s_r+IF(circ_int,eq_c1/2,0))/2))+2*IF(circ_int,0,eq_c2/2))+(PI()*(s_0+4*s_r+IF(circ_int,eq_c1/2,0))/2))),IF(circ_int,0,eq_c1/2)+(s_0+4*s_r+IF(circ_int,eq_c1/2,0))*COS(3*PI()/2+(((26+0.5)*(4*IF(circ_int,0,eq_c1/2)+4*IF(circ_int,0,eq_c2/2)+2*PI()*(s_0+4*s_r+IF(circ_int,eq_c1/2,0)))/INDEX(lk_legs,5))-(((((((2*IF(circ_int,0,eq_c2/2))+(PI()*(s_0+4*s_r+IF(circ_int,eq_c1/2,0))/2))+2*IF(circ_int,0,eq_c1/2))+(PI()*(s_0+4*s_r+IF(circ_int,eq_c1/2,0))/2))+2*IF(circ_int,0,eq_c2/2))+(PI()*(s_0+4*s_r+IF(circ_int,eq_c1/2,0))/2))+2*IF(circ_int,0,eq_c1/2)))/(s_0+4*s_r+IF(circ_int,eq_c1/2,0)))))))))),NA())</f>
        <v/>
      </c>
      <c r="BY29">
        <f>IF(AND(AND(links_on,5&lt;=n_per),INDEX(lk_kind,5)=1,26&lt;INDEX(lk_legs,5)),g_oy+IF(((26+0.5)*(4*IF(circ_int,0,eq_c1/2)+4*IF(circ_int,0,eq_c2/2)+2*PI()*(s_0+4*s_r+IF(circ_int,eq_c1/2,0)))/INDEX(lk_legs,5))&lt;(2*IF(circ_int,0,eq_c2/2)),-IF(circ_int,0,eq_c2/2)+((26+0.5)*(4*IF(circ_int,0,eq_c1/2)+4*IF(circ_int,0,eq_c2/2)+2*PI()*(s_0+4*s_r+IF(circ_int,eq_c1/2,0)))/INDEX(lk_legs,5)),IF(((26+0.5)*(4*IF(circ_int,0,eq_c1/2)+4*IF(circ_int,0,eq_c2/2)+2*PI()*(s_0+4*s_r+IF(circ_int,eq_c1/2,0)))/INDEX(lk_legs,5))&lt;((2*IF(circ_int,0,eq_c2/2))+(PI()*(s_0+4*s_r+IF(circ_int,eq_c1/2,0))/2)),IF(circ_int,0,eq_c2/2)+(s_0+4*s_r+IF(circ_int,eq_c1/2,0))*SIN((((26+0.5)*(4*IF(circ_int,0,eq_c1/2)+4*IF(circ_int,0,eq_c2/2)+2*PI()*(s_0+4*s_r+IF(circ_int,eq_c1/2,0)))/INDEX(lk_legs,5))-(2*IF(circ_int,0,eq_c2/2)))/(s_0+4*s_r+IF(circ_int,eq_c1/2,0))),IF(((26+0.5)*(4*IF(circ_int,0,eq_c1/2)+4*IF(circ_int,0,eq_c2/2)+2*PI()*(s_0+4*s_r+IF(circ_int,eq_c1/2,0)))/INDEX(lk_legs,5))&lt;(((2*IF(circ_int,0,eq_c2/2))+(PI()*(s_0+4*s_r+IF(circ_int,eq_c1/2,0))/2))+2*IF(circ_int,0,eq_c1/2)),IF(circ_int,0,eq_c2/2)+(s_0+4*s_r+IF(circ_int,eq_c1/2,0)),IF(((26+0.5)*(4*IF(circ_int,0,eq_c1/2)+4*IF(circ_int,0,eq_c2/2)+2*PI()*(s_0+4*s_r+IF(circ_int,eq_c1/2,0)))/INDEX(lk_legs,5))&lt;((((2*IF(circ_int,0,eq_c2/2))+(PI()*(s_0+4*s_r+IF(circ_int,eq_c1/2,0))/2))+2*IF(circ_int,0,eq_c1/2))+(PI()*(s_0+4*s_r+IF(circ_int,eq_c1/2,0))/2)),IF(circ_int,0,eq_c2/2)+(s_0+4*s_r+IF(circ_int,eq_c1/2,0))*SIN(PI()/2+(((26+0.5)*(4*IF(circ_int,0,eq_c1/2)+4*IF(circ_int,0,eq_c2/2)+2*PI()*(s_0+4*s_r+IF(circ_int,eq_c1/2,0)))/INDEX(lk_legs,5))-(((2*IF(circ_int,0,eq_c2/2))+(PI()*(s_0+4*s_r+IF(circ_int,eq_c1/2,0))/2))+2*IF(circ_int,0,eq_c1/2)))/(s_0+4*s_r+IF(circ_int,eq_c1/2,0))),IF(((26+0.5)*(4*IF(circ_int,0,eq_c1/2)+4*IF(circ_int,0,eq_c2/2)+2*PI()*(s_0+4*s_r+IF(circ_int,eq_c1/2,0)))/INDEX(lk_legs,5))&lt;(((((2*IF(circ_int,0,eq_c2/2))+(PI()*(s_0+4*s_r+IF(circ_int,eq_c1/2,0))/2))+2*IF(circ_int,0,eq_c1/2))+(PI()*(s_0+4*s_r+IF(circ_int,eq_c1/2,0))/2))+2*IF(circ_int,0,eq_c2/2)),IF(circ_int,0,eq_c2/2)-(((26+0.5)*(4*IF(circ_int,0,eq_c1/2)+4*IF(circ_int,0,eq_c2/2)+2*PI()*(s_0+4*s_r+IF(circ_int,eq_c1/2,0)))/INDEX(lk_legs,5))-((((2*IF(circ_int,0,eq_c2/2))+(PI()*(s_0+4*s_r+IF(circ_int,eq_c1/2,0))/2))+2*IF(circ_int,0,eq_c1/2))+(PI()*(s_0+4*s_r+IF(circ_int,eq_c1/2,0))/2))),IF(((26+0.5)*(4*IF(circ_int,0,eq_c1/2)+4*IF(circ_int,0,eq_c2/2)+2*PI()*(s_0+4*s_r+IF(circ_int,eq_c1/2,0)))/INDEX(lk_legs,5))&lt;((((((2*IF(circ_int,0,eq_c2/2))+(PI()*(s_0+4*s_r+IF(circ_int,eq_c1/2,0))/2))+2*IF(circ_int,0,eq_c1/2))+(PI()*(s_0+4*s_r+IF(circ_int,eq_c1/2,0))/2))+2*IF(circ_int,0,eq_c2/2))+(PI()*(s_0+4*s_r+IF(circ_int,eq_c1/2,0))/2)),-IF(circ_int,0,eq_c2/2)+(s_0+4*s_r+IF(circ_int,eq_c1/2,0))*SIN(PI()+(((26+0.5)*(4*IF(circ_int,0,eq_c1/2)+4*IF(circ_int,0,eq_c2/2)+2*PI()*(s_0+4*s_r+IF(circ_int,eq_c1/2,0)))/INDEX(lk_legs,5))-(((((2*IF(circ_int,0,eq_c2/2))+(PI()*(s_0+4*s_r+IF(circ_int,eq_c1/2,0))/2))+2*IF(circ_int,0,eq_c1/2))+(PI()*(s_0+4*s_r+IF(circ_int,eq_c1/2,0))/2))+2*IF(circ_int,0,eq_c2/2)))/(s_0+4*s_r+IF(circ_int,eq_c1/2,0))),IF(((26+0.5)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(26+0.5)*(4*IF(circ_int,0,eq_c1/2)+4*IF(circ_int,0,eq_c2/2)+2*PI()*(s_0+4*s_r+IF(circ_int,eq_c1/2,0)))/INDEX(lk_legs,5))-(((((((2*IF(circ_int,0,eq_c2/2))+(PI()*(s_0+4*s_r+IF(circ_int,eq_c1/2,0))/2))+2*IF(circ_int,0,eq_c1/2))+(PI()*(s_0+4*s_r+IF(circ_int,eq_c1/2,0))/2))+2*IF(circ_int,0,eq_c2/2))+(PI()*(s_0+4*s_r+IF(circ_int,eq_c1/2,0))/2))+2*IF(circ_int,0,eq_c1/2)))/(s_0+4*s_r+IF(circ_int,eq_c1/2,0)))))))))),NA())</f>
        <v/>
      </c>
      <c r="CA29">
        <f>IF(AND(links_on,6&lt;=n_per),IF(circ_int,(g_ox)+(c_1/2+(s_0+5*s_r))*-1.000000,CHOOSE(INDEX(lk_kind,6),(g_ox-eq_c1/2)+((s_0+5*s_r))*-1.000000,(eq_a1+eq_c1)+((s_0+5*s_r))*0.000000,eq_a1+eq_c1+(s_0+5*s_r),(eq_a1+eq_c1)+((s_0+5*s_r))*1.000000)),NA())</f>
        <v/>
      </c>
      <c r="CB29">
        <f>IF(AND(links_on,6&lt;=n_per),IF(circ_int,(g_oy)+(c_1/2+(s_0+5*s_r))*0.000000,CHOOSE(INDEX(lk_kind,6),(g_oy-eq_c2/2)+((s_0+5*s_r))*0.000000,(g_oy-eq_c2/2)+((s_0+5*s_r))*-1.000000,0,(eq_a2+eq_c2)+((s_0+5*s_r))*0.000000)),NA())</f>
        <v/>
      </c>
      <c r="CD29">
        <f>IF(AND(AND(links_on,6&lt;=n_per),INDEX(lk_kind,6)=1,26&lt;INDEX(lk_legs,6)),g_ox+IF(((26+0.5)*(4*IF(circ_int,0,eq_c1/2)+4*IF(circ_int,0,eq_c2/2)+2*PI()*(s_0+5*s_r+IF(circ_int,eq_c1/2,0)))/INDEX(lk_legs,6))&lt;(2*IF(circ_int,0,eq_c2/2)),IF(circ_int,0,eq_c1/2)+(s_0+5*s_r+IF(circ_int,eq_c1/2,0)),IF(((26+0.5)*(4*IF(circ_int,0,eq_c1/2)+4*IF(circ_int,0,eq_c2/2)+2*PI()*(s_0+5*s_r+IF(circ_int,eq_c1/2,0)))/INDEX(lk_legs,6))&lt;((2*IF(circ_int,0,eq_c2/2))+(PI()*(s_0+5*s_r+IF(circ_int,eq_c1/2,0))/2)),IF(circ_int,0,eq_c1/2)+(s_0+5*s_r+IF(circ_int,eq_c1/2,0))*COS((((26+0.5)*(4*IF(circ_int,0,eq_c1/2)+4*IF(circ_int,0,eq_c2/2)+2*PI()*(s_0+5*s_r+IF(circ_int,eq_c1/2,0)))/INDEX(lk_legs,6))-(2*IF(circ_int,0,eq_c2/2)))/(s_0+5*s_r+IF(circ_int,eq_c1/2,0))),IF(((26+0.5)*(4*IF(circ_int,0,eq_c1/2)+4*IF(circ_int,0,eq_c2/2)+2*PI()*(s_0+5*s_r+IF(circ_int,eq_c1/2,0)))/INDEX(lk_legs,6))&lt;(((2*IF(circ_int,0,eq_c2/2))+(PI()*(s_0+5*s_r+IF(circ_int,eq_c1/2,0))/2))+2*IF(circ_int,0,eq_c1/2)),IF(circ_int,0,eq_c1/2)-(((26+0.5)*(4*IF(circ_int,0,eq_c1/2)+4*IF(circ_int,0,eq_c2/2)+2*PI()*(s_0+5*s_r+IF(circ_int,eq_c1/2,0)))/INDEX(lk_legs,6))-((2*IF(circ_int,0,eq_c2/2))+(PI()*(s_0+5*s_r+IF(circ_int,eq_c1/2,0))/2))),IF(((26+0.5)*(4*IF(circ_int,0,eq_c1/2)+4*IF(circ_int,0,eq_c2/2)+2*PI()*(s_0+5*s_r+IF(circ_int,eq_c1/2,0)))/INDEX(lk_legs,6))&lt;((((2*IF(circ_int,0,eq_c2/2))+(PI()*(s_0+5*s_r+IF(circ_int,eq_c1/2,0))/2))+2*IF(circ_int,0,eq_c1/2))+(PI()*(s_0+5*s_r+IF(circ_int,eq_c1/2,0))/2)),-IF(circ_int,0,eq_c1/2)+(s_0+5*s_r+IF(circ_int,eq_c1/2,0))*COS(PI()/2+(((26+0.5)*(4*IF(circ_int,0,eq_c1/2)+4*IF(circ_int,0,eq_c2/2)+2*PI()*(s_0+5*s_r+IF(circ_int,eq_c1/2,0)))/INDEX(lk_legs,6))-(((2*IF(circ_int,0,eq_c2/2))+(PI()*(s_0+5*s_r+IF(circ_int,eq_c1/2,0))/2))+2*IF(circ_int,0,eq_c1/2)))/(s_0+5*s_r+IF(circ_int,eq_c1/2,0))),IF(((26+0.5)*(4*IF(circ_int,0,eq_c1/2)+4*IF(circ_int,0,eq_c2/2)+2*PI()*(s_0+5*s_r+IF(circ_int,eq_c1/2,0)))/INDEX(lk_legs,6))&lt;(((((2*IF(circ_int,0,eq_c2/2))+(PI()*(s_0+5*s_r+IF(circ_int,eq_c1/2,0))/2))+2*IF(circ_int,0,eq_c1/2))+(PI()*(s_0+5*s_r+IF(circ_int,eq_c1/2,0))/2))+2*IF(circ_int,0,eq_c2/2)),-IF(circ_int,0,eq_c1/2)-(s_0+5*s_r+IF(circ_int,eq_c1/2,0)),IF(((26+0.5)*(4*IF(circ_int,0,eq_c1/2)+4*IF(circ_int,0,eq_c2/2)+2*PI()*(s_0+5*s_r+IF(circ_int,eq_c1/2,0)))/INDEX(lk_legs,6))&lt;((((((2*IF(circ_int,0,eq_c2/2))+(PI()*(s_0+5*s_r+IF(circ_int,eq_c1/2,0))/2))+2*IF(circ_int,0,eq_c1/2))+(PI()*(s_0+5*s_r+IF(circ_int,eq_c1/2,0))/2))+2*IF(circ_int,0,eq_c2/2))+(PI()*(s_0+5*s_r+IF(circ_int,eq_c1/2,0))/2)),-IF(circ_int,0,eq_c1/2)+(s_0+5*s_r+IF(circ_int,eq_c1/2,0))*COS(PI()+(((26+0.5)*(4*IF(circ_int,0,eq_c1/2)+4*IF(circ_int,0,eq_c2/2)+2*PI()*(s_0+5*s_r+IF(circ_int,eq_c1/2,0)))/INDEX(lk_legs,6))-(((((2*IF(circ_int,0,eq_c2/2))+(PI()*(s_0+5*s_r+IF(circ_int,eq_c1/2,0))/2))+2*IF(circ_int,0,eq_c1/2))+(PI()*(s_0+5*s_r+IF(circ_int,eq_c1/2,0))/2))+2*IF(circ_int,0,eq_c2/2)))/(s_0+5*s_r+IF(circ_int,eq_c1/2,0))),IF(((26+0.5)*(4*IF(circ_int,0,eq_c1/2)+4*IF(circ_int,0,eq_c2/2)+2*PI()*(s_0+5*s_r+IF(circ_int,eq_c1/2,0)))/INDEX(lk_legs,6))&lt;(((((((2*IF(circ_int,0,eq_c2/2))+(PI()*(s_0+5*s_r+IF(circ_int,eq_c1/2,0))/2))+2*IF(circ_int,0,eq_c1/2))+(PI()*(s_0+5*s_r+IF(circ_int,eq_c1/2,0))/2))+2*IF(circ_int,0,eq_c2/2))+(PI()*(s_0+5*s_r+IF(circ_int,eq_c1/2,0))/2))+2*IF(circ_int,0,eq_c1/2)),-IF(circ_int,0,eq_c1/2)+(((26+0.5)*(4*IF(circ_int,0,eq_c1/2)+4*IF(circ_int,0,eq_c2/2)+2*PI()*(s_0+5*s_r+IF(circ_int,eq_c1/2,0)))/INDEX(lk_legs,6))-((((((2*IF(circ_int,0,eq_c2/2))+(PI()*(s_0+5*s_r+IF(circ_int,eq_c1/2,0))/2))+2*IF(circ_int,0,eq_c1/2))+(PI()*(s_0+5*s_r+IF(circ_int,eq_c1/2,0))/2))+2*IF(circ_int,0,eq_c2/2))+(PI()*(s_0+5*s_r+IF(circ_int,eq_c1/2,0))/2))),IF(circ_int,0,eq_c1/2)+(s_0+5*s_r+IF(circ_int,eq_c1/2,0))*COS(3*PI()/2+(((26+0.5)*(4*IF(circ_int,0,eq_c1/2)+4*IF(circ_int,0,eq_c2/2)+2*PI()*(s_0+5*s_r+IF(circ_int,eq_c1/2,0)))/INDEX(lk_legs,6))-(((((((2*IF(circ_int,0,eq_c2/2))+(PI()*(s_0+5*s_r+IF(circ_int,eq_c1/2,0))/2))+2*IF(circ_int,0,eq_c1/2))+(PI()*(s_0+5*s_r+IF(circ_int,eq_c1/2,0))/2))+2*IF(circ_int,0,eq_c2/2))+(PI()*(s_0+5*s_r+IF(circ_int,eq_c1/2,0))/2))+2*IF(circ_int,0,eq_c1/2)))/(s_0+5*s_r+IF(circ_int,eq_c1/2,0)))))))))),NA())</f>
        <v/>
      </c>
      <c r="CE29">
        <f>IF(AND(AND(links_on,6&lt;=n_per),INDEX(lk_kind,6)=1,26&lt;INDEX(lk_legs,6)),g_oy+IF(((26+0.5)*(4*IF(circ_int,0,eq_c1/2)+4*IF(circ_int,0,eq_c2/2)+2*PI()*(s_0+5*s_r+IF(circ_int,eq_c1/2,0)))/INDEX(lk_legs,6))&lt;(2*IF(circ_int,0,eq_c2/2)),-IF(circ_int,0,eq_c2/2)+((26+0.5)*(4*IF(circ_int,0,eq_c1/2)+4*IF(circ_int,0,eq_c2/2)+2*PI()*(s_0+5*s_r+IF(circ_int,eq_c1/2,0)))/INDEX(lk_legs,6)),IF(((26+0.5)*(4*IF(circ_int,0,eq_c1/2)+4*IF(circ_int,0,eq_c2/2)+2*PI()*(s_0+5*s_r+IF(circ_int,eq_c1/2,0)))/INDEX(lk_legs,6))&lt;((2*IF(circ_int,0,eq_c2/2))+(PI()*(s_0+5*s_r+IF(circ_int,eq_c1/2,0))/2)),IF(circ_int,0,eq_c2/2)+(s_0+5*s_r+IF(circ_int,eq_c1/2,0))*SIN((((26+0.5)*(4*IF(circ_int,0,eq_c1/2)+4*IF(circ_int,0,eq_c2/2)+2*PI()*(s_0+5*s_r+IF(circ_int,eq_c1/2,0)))/INDEX(lk_legs,6))-(2*IF(circ_int,0,eq_c2/2)))/(s_0+5*s_r+IF(circ_int,eq_c1/2,0))),IF(((26+0.5)*(4*IF(circ_int,0,eq_c1/2)+4*IF(circ_int,0,eq_c2/2)+2*PI()*(s_0+5*s_r+IF(circ_int,eq_c1/2,0)))/INDEX(lk_legs,6))&lt;(((2*IF(circ_int,0,eq_c2/2))+(PI()*(s_0+5*s_r+IF(circ_int,eq_c1/2,0))/2))+2*IF(circ_int,0,eq_c1/2)),IF(circ_int,0,eq_c2/2)+(s_0+5*s_r+IF(circ_int,eq_c1/2,0)),IF(((26+0.5)*(4*IF(circ_int,0,eq_c1/2)+4*IF(circ_int,0,eq_c2/2)+2*PI()*(s_0+5*s_r+IF(circ_int,eq_c1/2,0)))/INDEX(lk_legs,6))&lt;((((2*IF(circ_int,0,eq_c2/2))+(PI()*(s_0+5*s_r+IF(circ_int,eq_c1/2,0))/2))+2*IF(circ_int,0,eq_c1/2))+(PI()*(s_0+5*s_r+IF(circ_int,eq_c1/2,0))/2)),IF(circ_int,0,eq_c2/2)+(s_0+5*s_r+IF(circ_int,eq_c1/2,0))*SIN(PI()/2+(((26+0.5)*(4*IF(circ_int,0,eq_c1/2)+4*IF(circ_int,0,eq_c2/2)+2*PI()*(s_0+5*s_r+IF(circ_int,eq_c1/2,0)))/INDEX(lk_legs,6))-(((2*IF(circ_int,0,eq_c2/2))+(PI()*(s_0+5*s_r+IF(circ_int,eq_c1/2,0))/2))+2*IF(circ_int,0,eq_c1/2)))/(s_0+5*s_r+IF(circ_int,eq_c1/2,0))),IF(((26+0.5)*(4*IF(circ_int,0,eq_c1/2)+4*IF(circ_int,0,eq_c2/2)+2*PI()*(s_0+5*s_r+IF(circ_int,eq_c1/2,0)))/INDEX(lk_legs,6))&lt;(((((2*IF(circ_int,0,eq_c2/2))+(PI()*(s_0+5*s_r+IF(circ_int,eq_c1/2,0))/2))+2*IF(circ_int,0,eq_c1/2))+(PI()*(s_0+5*s_r+IF(circ_int,eq_c1/2,0))/2))+2*IF(circ_int,0,eq_c2/2)),IF(circ_int,0,eq_c2/2)-(((26+0.5)*(4*IF(circ_int,0,eq_c1/2)+4*IF(circ_int,0,eq_c2/2)+2*PI()*(s_0+5*s_r+IF(circ_int,eq_c1/2,0)))/INDEX(lk_legs,6))-((((2*IF(circ_int,0,eq_c2/2))+(PI()*(s_0+5*s_r+IF(circ_int,eq_c1/2,0))/2))+2*IF(circ_int,0,eq_c1/2))+(PI()*(s_0+5*s_r+IF(circ_int,eq_c1/2,0))/2))),IF(((26+0.5)*(4*IF(circ_int,0,eq_c1/2)+4*IF(circ_int,0,eq_c2/2)+2*PI()*(s_0+5*s_r+IF(circ_int,eq_c1/2,0)))/INDEX(lk_legs,6))&lt;((((((2*IF(circ_int,0,eq_c2/2))+(PI()*(s_0+5*s_r+IF(circ_int,eq_c1/2,0))/2))+2*IF(circ_int,0,eq_c1/2))+(PI()*(s_0+5*s_r+IF(circ_int,eq_c1/2,0))/2))+2*IF(circ_int,0,eq_c2/2))+(PI()*(s_0+5*s_r+IF(circ_int,eq_c1/2,0))/2)),-IF(circ_int,0,eq_c2/2)+(s_0+5*s_r+IF(circ_int,eq_c1/2,0))*SIN(PI()+(((26+0.5)*(4*IF(circ_int,0,eq_c1/2)+4*IF(circ_int,0,eq_c2/2)+2*PI()*(s_0+5*s_r+IF(circ_int,eq_c1/2,0)))/INDEX(lk_legs,6))-(((((2*IF(circ_int,0,eq_c2/2))+(PI()*(s_0+5*s_r+IF(circ_int,eq_c1/2,0))/2))+2*IF(circ_int,0,eq_c1/2))+(PI()*(s_0+5*s_r+IF(circ_int,eq_c1/2,0))/2))+2*IF(circ_int,0,eq_c2/2)))/(s_0+5*s_r+IF(circ_int,eq_c1/2,0))),IF(((26+0.5)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(26+0.5)*(4*IF(circ_int,0,eq_c1/2)+4*IF(circ_int,0,eq_c2/2)+2*PI()*(s_0+5*s_r+IF(circ_int,eq_c1/2,0)))/INDEX(lk_legs,6))-(((((((2*IF(circ_int,0,eq_c2/2))+(PI()*(s_0+5*s_r+IF(circ_int,eq_c1/2,0))/2))+2*IF(circ_int,0,eq_c1/2))+(PI()*(s_0+5*s_r+IF(circ_int,eq_c1/2,0))/2))+2*IF(circ_int,0,eq_c2/2))+(PI()*(s_0+5*s_r+IF(circ_int,eq_c1/2,0))/2))+2*IF(circ_int,0,eq_c1/2)))/(s_0+5*s_r+IF(circ_int,eq_c1/2,0)))))))))),NA())</f>
        <v/>
      </c>
      <c r="CG29">
        <f>IF(AND(links_on,7&lt;=n_per),IF(circ_int,(g_ox)+(c_1/2+(s_0+6*s_r))*-1.000000,CHOOSE(INDEX(lk_kind,7),(g_ox-eq_c1/2)+((s_0+6*s_r))*-1.000000,(eq_a1+eq_c1)+((s_0+6*s_r))*0.000000,eq_a1+eq_c1+(s_0+6*s_r),(eq_a1+eq_c1)+((s_0+6*s_r))*1.000000)),NA())</f>
        <v/>
      </c>
      <c r="CH29">
        <f>IF(AND(links_on,7&lt;=n_per),IF(circ_int,(g_oy)+(c_1/2+(s_0+6*s_r))*0.000000,CHOOSE(INDEX(lk_kind,7),(g_oy-eq_c2/2)+((s_0+6*s_r))*0.000000,(g_oy-eq_c2/2)+((s_0+6*s_r))*-1.000000,0,(eq_a2+eq_c2)+((s_0+6*s_r))*0.000000)),NA())</f>
        <v/>
      </c>
      <c r="CJ29">
        <f>IF(AND(AND(links_on,7&lt;=n_per),INDEX(lk_kind,7)=1,26&lt;INDEX(lk_legs,7)),g_ox+IF(((26+0.5)*(4*IF(circ_int,0,eq_c1/2)+4*IF(circ_int,0,eq_c2/2)+2*PI()*(s_0+6*s_r+IF(circ_int,eq_c1/2,0)))/INDEX(lk_legs,7))&lt;(2*IF(circ_int,0,eq_c2/2)),IF(circ_int,0,eq_c1/2)+(s_0+6*s_r+IF(circ_int,eq_c1/2,0)),IF(((26+0.5)*(4*IF(circ_int,0,eq_c1/2)+4*IF(circ_int,0,eq_c2/2)+2*PI()*(s_0+6*s_r+IF(circ_int,eq_c1/2,0)))/INDEX(lk_legs,7))&lt;((2*IF(circ_int,0,eq_c2/2))+(PI()*(s_0+6*s_r+IF(circ_int,eq_c1/2,0))/2)),IF(circ_int,0,eq_c1/2)+(s_0+6*s_r+IF(circ_int,eq_c1/2,0))*COS((((26+0.5)*(4*IF(circ_int,0,eq_c1/2)+4*IF(circ_int,0,eq_c2/2)+2*PI()*(s_0+6*s_r+IF(circ_int,eq_c1/2,0)))/INDEX(lk_legs,7))-(2*IF(circ_int,0,eq_c2/2)))/(s_0+6*s_r+IF(circ_int,eq_c1/2,0))),IF(((26+0.5)*(4*IF(circ_int,0,eq_c1/2)+4*IF(circ_int,0,eq_c2/2)+2*PI()*(s_0+6*s_r+IF(circ_int,eq_c1/2,0)))/INDEX(lk_legs,7))&lt;(((2*IF(circ_int,0,eq_c2/2))+(PI()*(s_0+6*s_r+IF(circ_int,eq_c1/2,0))/2))+2*IF(circ_int,0,eq_c1/2)),IF(circ_int,0,eq_c1/2)-(((26+0.5)*(4*IF(circ_int,0,eq_c1/2)+4*IF(circ_int,0,eq_c2/2)+2*PI()*(s_0+6*s_r+IF(circ_int,eq_c1/2,0)))/INDEX(lk_legs,7))-((2*IF(circ_int,0,eq_c2/2))+(PI()*(s_0+6*s_r+IF(circ_int,eq_c1/2,0))/2))),IF(((26+0.5)*(4*IF(circ_int,0,eq_c1/2)+4*IF(circ_int,0,eq_c2/2)+2*PI()*(s_0+6*s_r+IF(circ_int,eq_c1/2,0)))/INDEX(lk_legs,7))&lt;((((2*IF(circ_int,0,eq_c2/2))+(PI()*(s_0+6*s_r+IF(circ_int,eq_c1/2,0))/2))+2*IF(circ_int,0,eq_c1/2))+(PI()*(s_0+6*s_r+IF(circ_int,eq_c1/2,0))/2)),-IF(circ_int,0,eq_c1/2)+(s_0+6*s_r+IF(circ_int,eq_c1/2,0))*COS(PI()/2+(((26+0.5)*(4*IF(circ_int,0,eq_c1/2)+4*IF(circ_int,0,eq_c2/2)+2*PI()*(s_0+6*s_r+IF(circ_int,eq_c1/2,0)))/INDEX(lk_legs,7))-(((2*IF(circ_int,0,eq_c2/2))+(PI()*(s_0+6*s_r+IF(circ_int,eq_c1/2,0))/2))+2*IF(circ_int,0,eq_c1/2)))/(s_0+6*s_r+IF(circ_int,eq_c1/2,0))),IF(((26+0.5)*(4*IF(circ_int,0,eq_c1/2)+4*IF(circ_int,0,eq_c2/2)+2*PI()*(s_0+6*s_r+IF(circ_int,eq_c1/2,0)))/INDEX(lk_legs,7))&lt;(((((2*IF(circ_int,0,eq_c2/2))+(PI()*(s_0+6*s_r+IF(circ_int,eq_c1/2,0))/2))+2*IF(circ_int,0,eq_c1/2))+(PI()*(s_0+6*s_r+IF(circ_int,eq_c1/2,0))/2))+2*IF(circ_int,0,eq_c2/2)),-IF(circ_int,0,eq_c1/2)-(s_0+6*s_r+IF(circ_int,eq_c1/2,0)),IF(((26+0.5)*(4*IF(circ_int,0,eq_c1/2)+4*IF(circ_int,0,eq_c2/2)+2*PI()*(s_0+6*s_r+IF(circ_int,eq_c1/2,0)))/INDEX(lk_legs,7))&lt;((((((2*IF(circ_int,0,eq_c2/2))+(PI()*(s_0+6*s_r+IF(circ_int,eq_c1/2,0))/2))+2*IF(circ_int,0,eq_c1/2))+(PI()*(s_0+6*s_r+IF(circ_int,eq_c1/2,0))/2))+2*IF(circ_int,0,eq_c2/2))+(PI()*(s_0+6*s_r+IF(circ_int,eq_c1/2,0))/2)),-IF(circ_int,0,eq_c1/2)+(s_0+6*s_r+IF(circ_int,eq_c1/2,0))*COS(PI()+(((26+0.5)*(4*IF(circ_int,0,eq_c1/2)+4*IF(circ_int,0,eq_c2/2)+2*PI()*(s_0+6*s_r+IF(circ_int,eq_c1/2,0)))/INDEX(lk_legs,7))-(((((2*IF(circ_int,0,eq_c2/2))+(PI()*(s_0+6*s_r+IF(circ_int,eq_c1/2,0))/2))+2*IF(circ_int,0,eq_c1/2))+(PI()*(s_0+6*s_r+IF(circ_int,eq_c1/2,0))/2))+2*IF(circ_int,0,eq_c2/2)))/(s_0+6*s_r+IF(circ_int,eq_c1/2,0))),IF(((26+0.5)*(4*IF(circ_int,0,eq_c1/2)+4*IF(circ_int,0,eq_c2/2)+2*PI()*(s_0+6*s_r+IF(circ_int,eq_c1/2,0)))/INDEX(lk_legs,7))&lt;(((((((2*IF(circ_int,0,eq_c2/2))+(PI()*(s_0+6*s_r+IF(circ_int,eq_c1/2,0))/2))+2*IF(circ_int,0,eq_c1/2))+(PI()*(s_0+6*s_r+IF(circ_int,eq_c1/2,0))/2))+2*IF(circ_int,0,eq_c2/2))+(PI()*(s_0+6*s_r+IF(circ_int,eq_c1/2,0))/2))+2*IF(circ_int,0,eq_c1/2)),-IF(circ_int,0,eq_c1/2)+(((26+0.5)*(4*IF(circ_int,0,eq_c1/2)+4*IF(circ_int,0,eq_c2/2)+2*PI()*(s_0+6*s_r+IF(circ_int,eq_c1/2,0)))/INDEX(lk_legs,7))-((((((2*IF(circ_int,0,eq_c2/2))+(PI()*(s_0+6*s_r+IF(circ_int,eq_c1/2,0))/2))+2*IF(circ_int,0,eq_c1/2))+(PI()*(s_0+6*s_r+IF(circ_int,eq_c1/2,0))/2))+2*IF(circ_int,0,eq_c2/2))+(PI()*(s_0+6*s_r+IF(circ_int,eq_c1/2,0))/2))),IF(circ_int,0,eq_c1/2)+(s_0+6*s_r+IF(circ_int,eq_c1/2,0))*COS(3*PI()/2+(((26+0.5)*(4*IF(circ_int,0,eq_c1/2)+4*IF(circ_int,0,eq_c2/2)+2*PI()*(s_0+6*s_r+IF(circ_int,eq_c1/2,0)))/INDEX(lk_legs,7))-(((((((2*IF(circ_int,0,eq_c2/2))+(PI()*(s_0+6*s_r+IF(circ_int,eq_c1/2,0))/2))+2*IF(circ_int,0,eq_c1/2))+(PI()*(s_0+6*s_r+IF(circ_int,eq_c1/2,0))/2))+2*IF(circ_int,0,eq_c2/2))+(PI()*(s_0+6*s_r+IF(circ_int,eq_c1/2,0))/2))+2*IF(circ_int,0,eq_c1/2)))/(s_0+6*s_r+IF(circ_int,eq_c1/2,0)))))))))),NA())</f>
        <v/>
      </c>
      <c r="CK29">
        <f>IF(AND(AND(links_on,7&lt;=n_per),INDEX(lk_kind,7)=1,26&lt;INDEX(lk_legs,7)),g_oy+IF(((26+0.5)*(4*IF(circ_int,0,eq_c1/2)+4*IF(circ_int,0,eq_c2/2)+2*PI()*(s_0+6*s_r+IF(circ_int,eq_c1/2,0)))/INDEX(lk_legs,7))&lt;(2*IF(circ_int,0,eq_c2/2)),-IF(circ_int,0,eq_c2/2)+((26+0.5)*(4*IF(circ_int,0,eq_c1/2)+4*IF(circ_int,0,eq_c2/2)+2*PI()*(s_0+6*s_r+IF(circ_int,eq_c1/2,0)))/INDEX(lk_legs,7)),IF(((26+0.5)*(4*IF(circ_int,0,eq_c1/2)+4*IF(circ_int,0,eq_c2/2)+2*PI()*(s_0+6*s_r+IF(circ_int,eq_c1/2,0)))/INDEX(lk_legs,7))&lt;((2*IF(circ_int,0,eq_c2/2))+(PI()*(s_0+6*s_r+IF(circ_int,eq_c1/2,0))/2)),IF(circ_int,0,eq_c2/2)+(s_0+6*s_r+IF(circ_int,eq_c1/2,0))*SIN((((26+0.5)*(4*IF(circ_int,0,eq_c1/2)+4*IF(circ_int,0,eq_c2/2)+2*PI()*(s_0+6*s_r+IF(circ_int,eq_c1/2,0)))/INDEX(lk_legs,7))-(2*IF(circ_int,0,eq_c2/2)))/(s_0+6*s_r+IF(circ_int,eq_c1/2,0))),IF(((26+0.5)*(4*IF(circ_int,0,eq_c1/2)+4*IF(circ_int,0,eq_c2/2)+2*PI()*(s_0+6*s_r+IF(circ_int,eq_c1/2,0)))/INDEX(lk_legs,7))&lt;(((2*IF(circ_int,0,eq_c2/2))+(PI()*(s_0+6*s_r+IF(circ_int,eq_c1/2,0))/2))+2*IF(circ_int,0,eq_c1/2)),IF(circ_int,0,eq_c2/2)+(s_0+6*s_r+IF(circ_int,eq_c1/2,0)),IF(((26+0.5)*(4*IF(circ_int,0,eq_c1/2)+4*IF(circ_int,0,eq_c2/2)+2*PI()*(s_0+6*s_r+IF(circ_int,eq_c1/2,0)))/INDEX(lk_legs,7))&lt;((((2*IF(circ_int,0,eq_c2/2))+(PI()*(s_0+6*s_r+IF(circ_int,eq_c1/2,0))/2))+2*IF(circ_int,0,eq_c1/2))+(PI()*(s_0+6*s_r+IF(circ_int,eq_c1/2,0))/2)),IF(circ_int,0,eq_c2/2)+(s_0+6*s_r+IF(circ_int,eq_c1/2,0))*SIN(PI()/2+(((26+0.5)*(4*IF(circ_int,0,eq_c1/2)+4*IF(circ_int,0,eq_c2/2)+2*PI()*(s_0+6*s_r+IF(circ_int,eq_c1/2,0)))/INDEX(lk_legs,7))-(((2*IF(circ_int,0,eq_c2/2))+(PI()*(s_0+6*s_r+IF(circ_int,eq_c1/2,0))/2))+2*IF(circ_int,0,eq_c1/2)))/(s_0+6*s_r+IF(circ_int,eq_c1/2,0))),IF(((26+0.5)*(4*IF(circ_int,0,eq_c1/2)+4*IF(circ_int,0,eq_c2/2)+2*PI()*(s_0+6*s_r+IF(circ_int,eq_c1/2,0)))/INDEX(lk_legs,7))&lt;(((((2*IF(circ_int,0,eq_c2/2))+(PI()*(s_0+6*s_r+IF(circ_int,eq_c1/2,0))/2))+2*IF(circ_int,0,eq_c1/2))+(PI()*(s_0+6*s_r+IF(circ_int,eq_c1/2,0))/2))+2*IF(circ_int,0,eq_c2/2)),IF(circ_int,0,eq_c2/2)-(((26+0.5)*(4*IF(circ_int,0,eq_c1/2)+4*IF(circ_int,0,eq_c2/2)+2*PI()*(s_0+6*s_r+IF(circ_int,eq_c1/2,0)))/INDEX(lk_legs,7))-((((2*IF(circ_int,0,eq_c2/2))+(PI()*(s_0+6*s_r+IF(circ_int,eq_c1/2,0))/2))+2*IF(circ_int,0,eq_c1/2))+(PI()*(s_0+6*s_r+IF(circ_int,eq_c1/2,0))/2))),IF(((26+0.5)*(4*IF(circ_int,0,eq_c1/2)+4*IF(circ_int,0,eq_c2/2)+2*PI()*(s_0+6*s_r+IF(circ_int,eq_c1/2,0)))/INDEX(lk_legs,7))&lt;((((((2*IF(circ_int,0,eq_c2/2))+(PI()*(s_0+6*s_r+IF(circ_int,eq_c1/2,0))/2))+2*IF(circ_int,0,eq_c1/2))+(PI()*(s_0+6*s_r+IF(circ_int,eq_c1/2,0))/2))+2*IF(circ_int,0,eq_c2/2))+(PI()*(s_0+6*s_r+IF(circ_int,eq_c1/2,0))/2)),-IF(circ_int,0,eq_c2/2)+(s_0+6*s_r+IF(circ_int,eq_c1/2,0))*SIN(PI()+(((26+0.5)*(4*IF(circ_int,0,eq_c1/2)+4*IF(circ_int,0,eq_c2/2)+2*PI()*(s_0+6*s_r+IF(circ_int,eq_c1/2,0)))/INDEX(lk_legs,7))-(((((2*IF(circ_int,0,eq_c2/2))+(PI()*(s_0+6*s_r+IF(circ_int,eq_c1/2,0))/2))+2*IF(circ_int,0,eq_c1/2))+(PI()*(s_0+6*s_r+IF(circ_int,eq_c1/2,0))/2))+2*IF(circ_int,0,eq_c2/2)))/(s_0+6*s_r+IF(circ_int,eq_c1/2,0))),IF(((26+0.5)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(26+0.5)*(4*IF(circ_int,0,eq_c1/2)+4*IF(circ_int,0,eq_c2/2)+2*PI()*(s_0+6*s_r+IF(circ_int,eq_c1/2,0)))/INDEX(lk_legs,7))-(((((((2*IF(circ_int,0,eq_c2/2))+(PI()*(s_0+6*s_r+IF(circ_int,eq_c1/2,0))/2))+2*IF(circ_int,0,eq_c1/2))+(PI()*(s_0+6*s_r+IF(circ_int,eq_c1/2,0))/2))+2*IF(circ_int,0,eq_c2/2))+(PI()*(s_0+6*s_r+IF(circ_int,eq_c1/2,0))/2))+2*IF(circ_int,0,eq_c1/2)))/(s_0+6*s_r+IF(circ_int,eq_c1/2,0)))))))))),NA())</f>
        <v/>
      </c>
      <c r="CM29">
        <f>IF(AND(links_on,8&lt;=n_per),IF(circ_int,(g_ox)+(c_1/2+(s_0+7*s_r))*-1.000000,CHOOSE(INDEX(lk_kind,8),(g_ox-eq_c1/2)+((s_0+7*s_r))*-1.000000,(eq_a1+eq_c1)+((s_0+7*s_r))*0.000000,eq_a1+eq_c1+(s_0+7*s_r),(eq_a1+eq_c1)+((s_0+7*s_r))*1.000000)),NA())</f>
        <v/>
      </c>
      <c r="CN29">
        <f>IF(AND(links_on,8&lt;=n_per),IF(circ_int,(g_oy)+(c_1/2+(s_0+7*s_r))*0.000000,CHOOSE(INDEX(lk_kind,8),(g_oy-eq_c2/2)+((s_0+7*s_r))*0.000000,(g_oy-eq_c2/2)+((s_0+7*s_r))*-1.000000,0,(eq_a2+eq_c2)+((s_0+7*s_r))*0.000000)),NA())</f>
        <v/>
      </c>
      <c r="CP29">
        <f>IF(AND(AND(links_on,8&lt;=n_per),INDEX(lk_kind,8)=1,26&lt;INDEX(lk_legs,8)),g_ox+IF(((26+0.5)*(4*IF(circ_int,0,eq_c1/2)+4*IF(circ_int,0,eq_c2/2)+2*PI()*(s_0+7*s_r+IF(circ_int,eq_c1/2,0)))/INDEX(lk_legs,8))&lt;(2*IF(circ_int,0,eq_c2/2)),IF(circ_int,0,eq_c1/2)+(s_0+7*s_r+IF(circ_int,eq_c1/2,0)),IF(((26+0.5)*(4*IF(circ_int,0,eq_c1/2)+4*IF(circ_int,0,eq_c2/2)+2*PI()*(s_0+7*s_r+IF(circ_int,eq_c1/2,0)))/INDEX(lk_legs,8))&lt;((2*IF(circ_int,0,eq_c2/2))+(PI()*(s_0+7*s_r+IF(circ_int,eq_c1/2,0))/2)),IF(circ_int,0,eq_c1/2)+(s_0+7*s_r+IF(circ_int,eq_c1/2,0))*COS((((26+0.5)*(4*IF(circ_int,0,eq_c1/2)+4*IF(circ_int,0,eq_c2/2)+2*PI()*(s_0+7*s_r+IF(circ_int,eq_c1/2,0)))/INDEX(lk_legs,8))-(2*IF(circ_int,0,eq_c2/2)))/(s_0+7*s_r+IF(circ_int,eq_c1/2,0))),IF(((26+0.5)*(4*IF(circ_int,0,eq_c1/2)+4*IF(circ_int,0,eq_c2/2)+2*PI()*(s_0+7*s_r+IF(circ_int,eq_c1/2,0)))/INDEX(lk_legs,8))&lt;(((2*IF(circ_int,0,eq_c2/2))+(PI()*(s_0+7*s_r+IF(circ_int,eq_c1/2,0))/2))+2*IF(circ_int,0,eq_c1/2)),IF(circ_int,0,eq_c1/2)-(((26+0.5)*(4*IF(circ_int,0,eq_c1/2)+4*IF(circ_int,0,eq_c2/2)+2*PI()*(s_0+7*s_r+IF(circ_int,eq_c1/2,0)))/INDEX(lk_legs,8))-((2*IF(circ_int,0,eq_c2/2))+(PI()*(s_0+7*s_r+IF(circ_int,eq_c1/2,0))/2))),IF(((26+0.5)*(4*IF(circ_int,0,eq_c1/2)+4*IF(circ_int,0,eq_c2/2)+2*PI()*(s_0+7*s_r+IF(circ_int,eq_c1/2,0)))/INDEX(lk_legs,8))&lt;((((2*IF(circ_int,0,eq_c2/2))+(PI()*(s_0+7*s_r+IF(circ_int,eq_c1/2,0))/2))+2*IF(circ_int,0,eq_c1/2))+(PI()*(s_0+7*s_r+IF(circ_int,eq_c1/2,0))/2)),-IF(circ_int,0,eq_c1/2)+(s_0+7*s_r+IF(circ_int,eq_c1/2,0))*COS(PI()/2+(((26+0.5)*(4*IF(circ_int,0,eq_c1/2)+4*IF(circ_int,0,eq_c2/2)+2*PI()*(s_0+7*s_r+IF(circ_int,eq_c1/2,0)))/INDEX(lk_legs,8))-(((2*IF(circ_int,0,eq_c2/2))+(PI()*(s_0+7*s_r+IF(circ_int,eq_c1/2,0))/2))+2*IF(circ_int,0,eq_c1/2)))/(s_0+7*s_r+IF(circ_int,eq_c1/2,0))),IF(((26+0.5)*(4*IF(circ_int,0,eq_c1/2)+4*IF(circ_int,0,eq_c2/2)+2*PI()*(s_0+7*s_r+IF(circ_int,eq_c1/2,0)))/INDEX(lk_legs,8))&lt;(((((2*IF(circ_int,0,eq_c2/2))+(PI()*(s_0+7*s_r+IF(circ_int,eq_c1/2,0))/2))+2*IF(circ_int,0,eq_c1/2))+(PI()*(s_0+7*s_r+IF(circ_int,eq_c1/2,0))/2))+2*IF(circ_int,0,eq_c2/2)),-IF(circ_int,0,eq_c1/2)-(s_0+7*s_r+IF(circ_int,eq_c1/2,0)),IF(((26+0.5)*(4*IF(circ_int,0,eq_c1/2)+4*IF(circ_int,0,eq_c2/2)+2*PI()*(s_0+7*s_r+IF(circ_int,eq_c1/2,0)))/INDEX(lk_legs,8))&lt;((((((2*IF(circ_int,0,eq_c2/2))+(PI()*(s_0+7*s_r+IF(circ_int,eq_c1/2,0))/2))+2*IF(circ_int,0,eq_c1/2))+(PI()*(s_0+7*s_r+IF(circ_int,eq_c1/2,0))/2))+2*IF(circ_int,0,eq_c2/2))+(PI()*(s_0+7*s_r+IF(circ_int,eq_c1/2,0))/2)),-IF(circ_int,0,eq_c1/2)+(s_0+7*s_r+IF(circ_int,eq_c1/2,0))*COS(PI()+(((26+0.5)*(4*IF(circ_int,0,eq_c1/2)+4*IF(circ_int,0,eq_c2/2)+2*PI()*(s_0+7*s_r+IF(circ_int,eq_c1/2,0)))/INDEX(lk_legs,8))-(((((2*IF(circ_int,0,eq_c2/2))+(PI()*(s_0+7*s_r+IF(circ_int,eq_c1/2,0))/2))+2*IF(circ_int,0,eq_c1/2))+(PI()*(s_0+7*s_r+IF(circ_int,eq_c1/2,0))/2))+2*IF(circ_int,0,eq_c2/2)))/(s_0+7*s_r+IF(circ_int,eq_c1/2,0))),IF(((26+0.5)*(4*IF(circ_int,0,eq_c1/2)+4*IF(circ_int,0,eq_c2/2)+2*PI()*(s_0+7*s_r+IF(circ_int,eq_c1/2,0)))/INDEX(lk_legs,8))&lt;(((((((2*IF(circ_int,0,eq_c2/2))+(PI()*(s_0+7*s_r+IF(circ_int,eq_c1/2,0))/2))+2*IF(circ_int,0,eq_c1/2))+(PI()*(s_0+7*s_r+IF(circ_int,eq_c1/2,0))/2))+2*IF(circ_int,0,eq_c2/2))+(PI()*(s_0+7*s_r+IF(circ_int,eq_c1/2,0))/2))+2*IF(circ_int,0,eq_c1/2)),-IF(circ_int,0,eq_c1/2)+(((26+0.5)*(4*IF(circ_int,0,eq_c1/2)+4*IF(circ_int,0,eq_c2/2)+2*PI()*(s_0+7*s_r+IF(circ_int,eq_c1/2,0)))/INDEX(lk_legs,8))-((((((2*IF(circ_int,0,eq_c2/2))+(PI()*(s_0+7*s_r+IF(circ_int,eq_c1/2,0))/2))+2*IF(circ_int,0,eq_c1/2))+(PI()*(s_0+7*s_r+IF(circ_int,eq_c1/2,0))/2))+2*IF(circ_int,0,eq_c2/2))+(PI()*(s_0+7*s_r+IF(circ_int,eq_c1/2,0))/2))),IF(circ_int,0,eq_c1/2)+(s_0+7*s_r+IF(circ_int,eq_c1/2,0))*COS(3*PI()/2+(((26+0.5)*(4*IF(circ_int,0,eq_c1/2)+4*IF(circ_int,0,eq_c2/2)+2*PI()*(s_0+7*s_r+IF(circ_int,eq_c1/2,0)))/INDEX(lk_legs,8))-(((((((2*IF(circ_int,0,eq_c2/2))+(PI()*(s_0+7*s_r+IF(circ_int,eq_c1/2,0))/2))+2*IF(circ_int,0,eq_c1/2))+(PI()*(s_0+7*s_r+IF(circ_int,eq_c1/2,0))/2))+2*IF(circ_int,0,eq_c2/2))+(PI()*(s_0+7*s_r+IF(circ_int,eq_c1/2,0))/2))+2*IF(circ_int,0,eq_c1/2)))/(s_0+7*s_r+IF(circ_int,eq_c1/2,0)))))))))),NA())</f>
        <v/>
      </c>
      <c r="CQ29">
        <f>IF(AND(AND(links_on,8&lt;=n_per),INDEX(lk_kind,8)=1,26&lt;INDEX(lk_legs,8)),g_oy+IF(((26+0.5)*(4*IF(circ_int,0,eq_c1/2)+4*IF(circ_int,0,eq_c2/2)+2*PI()*(s_0+7*s_r+IF(circ_int,eq_c1/2,0)))/INDEX(lk_legs,8))&lt;(2*IF(circ_int,0,eq_c2/2)),-IF(circ_int,0,eq_c2/2)+((26+0.5)*(4*IF(circ_int,0,eq_c1/2)+4*IF(circ_int,0,eq_c2/2)+2*PI()*(s_0+7*s_r+IF(circ_int,eq_c1/2,0)))/INDEX(lk_legs,8)),IF(((26+0.5)*(4*IF(circ_int,0,eq_c1/2)+4*IF(circ_int,0,eq_c2/2)+2*PI()*(s_0+7*s_r+IF(circ_int,eq_c1/2,0)))/INDEX(lk_legs,8))&lt;((2*IF(circ_int,0,eq_c2/2))+(PI()*(s_0+7*s_r+IF(circ_int,eq_c1/2,0))/2)),IF(circ_int,0,eq_c2/2)+(s_0+7*s_r+IF(circ_int,eq_c1/2,0))*SIN((((26+0.5)*(4*IF(circ_int,0,eq_c1/2)+4*IF(circ_int,0,eq_c2/2)+2*PI()*(s_0+7*s_r+IF(circ_int,eq_c1/2,0)))/INDEX(lk_legs,8))-(2*IF(circ_int,0,eq_c2/2)))/(s_0+7*s_r+IF(circ_int,eq_c1/2,0))),IF(((26+0.5)*(4*IF(circ_int,0,eq_c1/2)+4*IF(circ_int,0,eq_c2/2)+2*PI()*(s_0+7*s_r+IF(circ_int,eq_c1/2,0)))/INDEX(lk_legs,8))&lt;(((2*IF(circ_int,0,eq_c2/2))+(PI()*(s_0+7*s_r+IF(circ_int,eq_c1/2,0))/2))+2*IF(circ_int,0,eq_c1/2)),IF(circ_int,0,eq_c2/2)+(s_0+7*s_r+IF(circ_int,eq_c1/2,0)),IF(((26+0.5)*(4*IF(circ_int,0,eq_c1/2)+4*IF(circ_int,0,eq_c2/2)+2*PI()*(s_0+7*s_r+IF(circ_int,eq_c1/2,0)))/INDEX(lk_legs,8))&lt;((((2*IF(circ_int,0,eq_c2/2))+(PI()*(s_0+7*s_r+IF(circ_int,eq_c1/2,0))/2))+2*IF(circ_int,0,eq_c1/2))+(PI()*(s_0+7*s_r+IF(circ_int,eq_c1/2,0))/2)),IF(circ_int,0,eq_c2/2)+(s_0+7*s_r+IF(circ_int,eq_c1/2,0))*SIN(PI()/2+(((26+0.5)*(4*IF(circ_int,0,eq_c1/2)+4*IF(circ_int,0,eq_c2/2)+2*PI()*(s_0+7*s_r+IF(circ_int,eq_c1/2,0)))/INDEX(lk_legs,8))-(((2*IF(circ_int,0,eq_c2/2))+(PI()*(s_0+7*s_r+IF(circ_int,eq_c1/2,0))/2))+2*IF(circ_int,0,eq_c1/2)))/(s_0+7*s_r+IF(circ_int,eq_c1/2,0))),IF(((26+0.5)*(4*IF(circ_int,0,eq_c1/2)+4*IF(circ_int,0,eq_c2/2)+2*PI()*(s_0+7*s_r+IF(circ_int,eq_c1/2,0)))/INDEX(lk_legs,8))&lt;(((((2*IF(circ_int,0,eq_c2/2))+(PI()*(s_0+7*s_r+IF(circ_int,eq_c1/2,0))/2))+2*IF(circ_int,0,eq_c1/2))+(PI()*(s_0+7*s_r+IF(circ_int,eq_c1/2,0))/2))+2*IF(circ_int,0,eq_c2/2)),IF(circ_int,0,eq_c2/2)-(((26+0.5)*(4*IF(circ_int,0,eq_c1/2)+4*IF(circ_int,0,eq_c2/2)+2*PI()*(s_0+7*s_r+IF(circ_int,eq_c1/2,0)))/INDEX(lk_legs,8))-((((2*IF(circ_int,0,eq_c2/2))+(PI()*(s_0+7*s_r+IF(circ_int,eq_c1/2,0))/2))+2*IF(circ_int,0,eq_c1/2))+(PI()*(s_0+7*s_r+IF(circ_int,eq_c1/2,0))/2))),IF(((26+0.5)*(4*IF(circ_int,0,eq_c1/2)+4*IF(circ_int,0,eq_c2/2)+2*PI()*(s_0+7*s_r+IF(circ_int,eq_c1/2,0)))/INDEX(lk_legs,8))&lt;((((((2*IF(circ_int,0,eq_c2/2))+(PI()*(s_0+7*s_r+IF(circ_int,eq_c1/2,0))/2))+2*IF(circ_int,0,eq_c1/2))+(PI()*(s_0+7*s_r+IF(circ_int,eq_c1/2,0))/2))+2*IF(circ_int,0,eq_c2/2))+(PI()*(s_0+7*s_r+IF(circ_int,eq_c1/2,0))/2)),-IF(circ_int,0,eq_c2/2)+(s_0+7*s_r+IF(circ_int,eq_c1/2,0))*SIN(PI()+(((26+0.5)*(4*IF(circ_int,0,eq_c1/2)+4*IF(circ_int,0,eq_c2/2)+2*PI()*(s_0+7*s_r+IF(circ_int,eq_c1/2,0)))/INDEX(lk_legs,8))-(((((2*IF(circ_int,0,eq_c2/2))+(PI()*(s_0+7*s_r+IF(circ_int,eq_c1/2,0))/2))+2*IF(circ_int,0,eq_c1/2))+(PI()*(s_0+7*s_r+IF(circ_int,eq_c1/2,0))/2))+2*IF(circ_int,0,eq_c2/2)))/(s_0+7*s_r+IF(circ_int,eq_c1/2,0))),IF(((26+0.5)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(26+0.5)*(4*IF(circ_int,0,eq_c1/2)+4*IF(circ_int,0,eq_c2/2)+2*PI()*(s_0+7*s_r+IF(circ_int,eq_c1/2,0)))/INDEX(lk_legs,8))-(((((((2*IF(circ_int,0,eq_c2/2))+(PI()*(s_0+7*s_r+IF(circ_int,eq_c1/2,0))/2))+2*IF(circ_int,0,eq_c1/2))+(PI()*(s_0+7*s_r+IF(circ_int,eq_c1/2,0))/2))+2*IF(circ_int,0,eq_c2/2))+(PI()*(s_0+7*s_r+IF(circ_int,eq_c1/2,0))/2))+2*IF(circ_int,0,eq_c1/2)))/(s_0+7*s_r+IF(circ_int,eq_c1/2,0)))))))))),NA())</f>
        <v/>
      </c>
      <c r="CS29">
        <f>IF(AND(links_on,9&lt;=n_per),IF(circ_int,(g_ox)+(c_1/2+(s_0+8*s_r))*-1.000000,CHOOSE(INDEX(lk_kind,9),(g_ox-eq_c1/2)+((s_0+8*s_r))*-1.000000,(eq_a1+eq_c1)+((s_0+8*s_r))*0.000000,eq_a1+eq_c1+(s_0+8*s_r),(eq_a1+eq_c1)+((s_0+8*s_r))*1.000000)),NA())</f>
        <v/>
      </c>
      <c r="CT29">
        <f>IF(AND(links_on,9&lt;=n_per),IF(circ_int,(g_oy)+(c_1/2+(s_0+8*s_r))*0.000000,CHOOSE(INDEX(lk_kind,9),(g_oy-eq_c2/2)+((s_0+8*s_r))*0.000000,(g_oy-eq_c2/2)+((s_0+8*s_r))*-1.000000,0,(eq_a2+eq_c2)+((s_0+8*s_r))*0.000000)),NA())</f>
        <v/>
      </c>
      <c r="CV29">
        <f>IF(AND(AND(links_on,9&lt;=n_per),INDEX(lk_kind,9)=1,26&lt;INDEX(lk_legs,9)),g_ox+IF(((26+0.5)*(4*IF(circ_int,0,eq_c1/2)+4*IF(circ_int,0,eq_c2/2)+2*PI()*(s_0+8*s_r+IF(circ_int,eq_c1/2,0)))/INDEX(lk_legs,9))&lt;(2*IF(circ_int,0,eq_c2/2)),IF(circ_int,0,eq_c1/2)+(s_0+8*s_r+IF(circ_int,eq_c1/2,0)),IF(((26+0.5)*(4*IF(circ_int,0,eq_c1/2)+4*IF(circ_int,0,eq_c2/2)+2*PI()*(s_0+8*s_r+IF(circ_int,eq_c1/2,0)))/INDEX(lk_legs,9))&lt;((2*IF(circ_int,0,eq_c2/2))+(PI()*(s_0+8*s_r+IF(circ_int,eq_c1/2,0))/2)),IF(circ_int,0,eq_c1/2)+(s_0+8*s_r+IF(circ_int,eq_c1/2,0))*COS((((26+0.5)*(4*IF(circ_int,0,eq_c1/2)+4*IF(circ_int,0,eq_c2/2)+2*PI()*(s_0+8*s_r+IF(circ_int,eq_c1/2,0)))/INDEX(lk_legs,9))-(2*IF(circ_int,0,eq_c2/2)))/(s_0+8*s_r+IF(circ_int,eq_c1/2,0))),IF(((26+0.5)*(4*IF(circ_int,0,eq_c1/2)+4*IF(circ_int,0,eq_c2/2)+2*PI()*(s_0+8*s_r+IF(circ_int,eq_c1/2,0)))/INDEX(lk_legs,9))&lt;(((2*IF(circ_int,0,eq_c2/2))+(PI()*(s_0+8*s_r+IF(circ_int,eq_c1/2,0))/2))+2*IF(circ_int,0,eq_c1/2)),IF(circ_int,0,eq_c1/2)-(((26+0.5)*(4*IF(circ_int,0,eq_c1/2)+4*IF(circ_int,0,eq_c2/2)+2*PI()*(s_0+8*s_r+IF(circ_int,eq_c1/2,0)))/INDEX(lk_legs,9))-((2*IF(circ_int,0,eq_c2/2))+(PI()*(s_0+8*s_r+IF(circ_int,eq_c1/2,0))/2))),IF(((26+0.5)*(4*IF(circ_int,0,eq_c1/2)+4*IF(circ_int,0,eq_c2/2)+2*PI()*(s_0+8*s_r+IF(circ_int,eq_c1/2,0)))/INDEX(lk_legs,9))&lt;((((2*IF(circ_int,0,eq_c2/2))+(PI()*(s_0+8*s_r+IF(circ_int,eq_c1/2,0))/2))+2*IF(circ_int,0,eq_c1/2))+(PI()*(s_0+8*s_r+IF(circ_int,eq_c1/2,0))/2)),-IF(circ_int,0,eq_c1/2)+(s_0+8*s_r+IF(circ_int,eq_c1/2,0))*COS(PI()/2+(((26+0.5)*(4*IF(circ_int,0,eq_c1/2)+4*IF(circ_int,0,eq_c2/2)+2*PI()*(s_0+8*s_r+IF(circ_int,eq_c1/2,0)))/INDEX(lk_legs,9))-(((2*IF(circ_int,0,eq_c2/2))+(PI()*(s_0+8*s_r+IF(circ_int,eq_c1/2,0))/2))+2*IF(circ_int,0,eq_c1/2)))/(s_0+8*s_r+IF(circ_int,eq_c1/2,0))),IF(((26+0.5)*(4*IF(circ_int,0,eq_c1/2)+4*IF(circ_int,0,eq_c2/2)+2*PI()*(s_0+8*s_r+IF(circ_int,eq_c1/2,0)))/INDEX(lk_legs,9))&lt;(((((2*IF(circ_int,0,eq_c2/2))+(PI()*(s_0+8*s_r+IF(circ_int,eq_c1/2,0))/2))+2*IF(circ_int,0,eq_c1/2))+(PI()*(s_0+8*s_r+IF(circ_int,eq_c1/2,0))/2))+2*IF(circ_int,0,eq_c2/2)),-IF(circ_int,0,eq_c1/2)-(s_0+8*s_r+IF(circ_int,eq_c1/2,0)),IF(((26+0.5)*(4*IF(circ_int,0,eq_c1/2)+4*IF(circ_int,0,eq_c2/2)+2*PI()*(s_0+8*s_r+IF(circ_int,eq_c1/2,0)))/INDEX(lk_legs,9))&lt;((((((2*IF(circ_int,0,eq_c2/2))+(PI()*(s_0+8*s_r+IF(circ_int,eq_c1/2,0))/2))+2*IF(circ_int,0,eq_c1/2))+(PI()*(s_0+8*s_r+IF(circ_int,eq_c1/2,0))/2))+2*IF(circ_int,0,eq_c2/2))+(PI()*(s_0+8*s_r+IF(circ_int,eq_c1/2,0))/2)),-IF(circ_int,0,eq_c1/2)+(s_0+8*s_r+IF(circ_int,eq_c1/2,0))*COS(PI()+(((26+0.5)*(4*IF(circ_int,0,eq_c1/2)+4*IF(circ_int,0,eq_c2/2)+2*PI()*(s_0+8*s_r+IF(circ_int,eq_c1/2,0)))/INDEX(lk_legs,9))-(((((2*IF(circ_int,0,eq_c2/2))+(PI()*(s_0+8*s_r+IF(circ_int,eq_c1/2,0))/2))+2*IF(circ_int,0,eq_c1/2))+(PI()*(s_0+8*s_r+IF(circ_int,eq_c1/2,0))/2))+2*IF(circ_int,0,eq_c2/2)))/(s_0+8*s_r+IF(circ_int,eq_c1/2,0))),IF(((26+0.5)*(4*IF(circ_int,0,eq_c1/2)+4*IF(circ_int,0,eq_c2/2)+2*PI()*(s_0+8*s_r+IF(circ_int,eq_c1/2,0)))/INDEX(lk_legs,9))&lt;(((((((2*IF(circ_int,0,eq_c2/2))+(PI()*(s_0+8*s_r+IF(circ_int,eq_c1/2,0))/2))+2*IF(circ_int,0,eq_c1/2))+(PI()*(s_0+8*s_r+IF(circ_int,eq_c1/2,0))/2))+2*IF(circ_int,0,eq_c2/2))+(PI()*(s_0+8*s_r+IF(circ_int,eq_c1/2,0))/2))+2*IF(circ_int,0,eq_c1/2)),-IF(circ_int,0,eq_c1/2)+(((26+0.5)*(4*IF(circ_int,0,eq_c1/2)+4*IF(circ_int,0,eq_c2/2)+2*PI()*(s_0+8*s_r+IF(circ_int,eq_c1/2,0)))/INDEX(lk_legs,9))-((((((2*IF(circ_int,0,eq_c2/2))+(PI()*(s_0+8*s_r+IF(circ_int,eq_c1/2,0))/2))+2*IF(circ_int,0,eq_c1/2))+(PI()*(s_0+8*s_r+IF(circ_int,eq_c1/2,0))/2))+2*IF(circ_int,0,eq_c2/2))+(PI()*(s_0+8*s_r+IF(circ_int,eq_c1/2,0))/2))),IF(circ_int,0,eq_c1/2)+(s_0+8*s_r+IF(circ_int,eq_c1/2,0))*COS(3*PI()/2+(((26+0.5)*(4*IF(circ_int,0,eq_c1/2)+4*IF(circ_int,0,eq_c2/2)+2*PI()*(s_0+8*s_r+IF(circ_int,eq_c1/2,0)))/INDEX(lk_legs,9))-(((((((2*IF(circ_int,0,eq_c2/2))+(PI()*(s_0+8*s_r+IF(circ_int,eq_c1/2,0))/2))+2*IF(circ_int,0,eq_c1/2))+(PI()*(s_0+8*s_r+IF(circ_int,eq_c1/2,0))/2))+2*IF(circ_int,0,eq_c2/2))+(PI()*(s_0+8*s_r+IF(circ_int,eq_c1/2,0))/2))+2*IF(circ_int,0,eq_c1/2)))/(s_0+8*s_r+IF(circ_int,eq_c1/2,0)))))))))),NA())</f>
        <v/>
      </c>
      <c r="CW29">
        <f>IF(AND(AND(links_on,9&lt;=n_per),INDEX(lk_kind,9)=1,26&lt;INDEX(lk_legs,9)),g_oy+IF(((26+0.5)*(4*IF(circ_int,0,eq_c1/2)+4*IF(circ_int,0,eq_c2/2)+2*PI()*(s_0+8*s_r+IF(circ_int,eq_c1/2,0)))/INDEX(lk_legs,9))&lt;(2*IF(circ_int,0,eq_c2/2)),-IF(circ_int,0,eq_c2/2)+((26+0.5)*(4*IF(circ_int,0,eq_c1/2)+4*IF(circ_int,0,eq_c2/2)+2*PI()*(s_0+8*s_r+IF(circ_int,eq_c1/2,0)))/INDEX(lk_legs,9)),IF(((26+0.5)*(4*IF(circ_int,0,eq_c1/2)+4*IF(circ_int,0,eq_c2/2)+2*PI()*(s_0+8*s_r+IF(circ_int,eq_c1/2,0)))/INDEX(lk_legs,9))&lt;((2*IF(circ_int,0,eq_c2/2))+(PI()*(s_0+8*s_r+IF(circ_int,eq_c1/2,0))/2)),IF(circ_int,0,eq_c2/2)+(s_0+8*s_r+IF(circ_int,eq_c1/2,0))*SIN((((26+0.5)*(4*IF(circ_int,0,eq_c1/2)+4*IF(circ_int,0,eq_c2/2)+2*PI()*(s_0+8*s_r+IF(circ_int,eq_c1/2,0)))/INDEX(lk_legs,9))-(2*IF(circ_int,0,eq_c2/2)))/(s_0+8*s_r+IF(circ_int,eq_c1/2,0))),IF(((26+0.5)*(4*IF(circ_int,0,eq_c1/2)+4*IF(circ_int,0,eq_c2/2)+2*PI()*(s_0+8*s_r+IF(circ_int,eq_c1/2,0)))/INDEX(lk_legs,9))&lt;(((2*IF(circ_int,0,eq_c2/2))+(PI()*(s_0+8*s_r+IF(circ_int,eq_c1/2,0))/2))+2*IF(circ_int,0,eq_c1/2)),IF(circ_int,0,eq_c2/2)+(s_0+8*s_r+IF(circ_int,eq_c1/2,0)),IF(((26+0.5)*(4*IF(circ_int,0,eq_c1/2)+4*IF(circ_int,0,eq_c2/2)+2*PI()*(s_0+8*s_r+IF(circ_int,eq_c1/2,0)))/INDEX(lk_legs,9))&lt;((((2*IF(circ_int,0,eq_c2/2))+(PI()*(s_0+8*s_r+IF(circ_int,eq_c1/2,0))/2))+2*IF(circ_int,0,eq_c1/2))+(PI()*(s_0+8*s_r+IF(circ_int,eq_c1/2,0))/2)),IF(circ_int,0,eq_c2/2)+(s_0+8*s_r+IF(circ_int,eq_c1/2,0))*SIN(PI()/2+(((26+0.5)*(4*IF(circ_int,0,eq_c1/2)+4*IF(circ_int,0,eq_c2/2)+2*PI()*(s_0+8*s_r+IF(circ_int,eq_c1/2,0)))/INDEX(lk_legs,9))-(((2*IF(circ_int,0,eq_c2/2))+(PI()*(s_0+8*s_r+IF(circ_int,eq_c1/2,0))/2))+2*IF(circ_int,0,eq_c1/2)))/(s_0+8*s_r+IF(circ_int,eq_c1/2,0))),IF(((26+0.5)*(4*IF(circ_int,0,eq_c1/2)+4*IF(circ_int,0,eq_c2/2)+2*PI()*(s_0+8*s_r+IF(circ_int,eq_c1/2,0)))/INDEX(lk_legs,9))&lt;(((((2*IF(circ_int,0,eq_c2/2))+(PI()*(s_0+8*s_r+IF(circ_int,eq_c1/2,0))/2))+2*IF(circ_int,0,eq_c1/2))+(PI()*(s_0+8*s_r+IF(circ_int,eq_c1/2,0))/2))+2*IF(circ_int,0,eq_c2/2)),IF(circ_int,0,eq_c2/2)-(((26+0.5)*(4*IF(circ_int,0,eq_c1/2)+4*IF(circ_int,0,eq_c2/2)+2*PI()*(s_0+8*s_r+IF(circ_int,eq_c1/2,0)))/INDEX(lk_legs,9))-((((2*IF(circ_int,0,eq_c2/2))+(PI()*(s_0+8*s_r+IF(circ_int,eq_c1/2,0))/2))+2*IF(circ_int,0,eq_c1/2))+(PI()*(s_0+8*s_r+IF(circ_int,eq_c1/2,0))/2))),IF(((26+0.5)*(4*IF(circ_int,0,eq_c1/2)+4*IF(circ_int,0,eq_c2/2)+2*PI()*(s_0+8*s_r+IF(circ_int,eq_c1/2,0)))/INDEX(lk_legs,9))&lt;((((((2*IF(circ_int,0,eq_c2/2))+(PI()*(s_0+8*s_r+IF(circ_int,eq_c1/2,0))/2))+2*IF(circ_int,0,eq_c1/2))+(PI()*(s_0+8*s_r+IF(circ_int,eq_c1/2,0))/2))+2*IF(circ_int,0,eq_c2/2))+(PI()*(s_0+8*s_r+IF(circ_int,eq_c1/2,0))/2)),-IF(circ_int,0,eq_c2/2)+(s_0+8*s_r+IF(circ_int,eq_c1/2,0))*SIN(PI()+(((26+0.5)*(4*IF(circ_int,0,eq_c1/2)+4*IF(circ_int,0,eq_c2/2)+2*PI()*(s_0+8*s_r+IF(circ_int,eq_c1/2,0)))/INDEX(lk_legs,9))-(((((2*IF(circ_int,0,eq_c2/2))+(PI()*(s_0+8*s_r+IF(circ_int,eq_c1/2,0))/2))+2*IF(circ_int,0,eq_c1/2))+(PI()*(s_0+8*s_r+IF(circ_int,eq_c1/2,0))/2))+2*IF(circ_int,0,eq_c2/2)))/(s_0+8*s_r+IF(circ_int,eq_c1/2,0))),IF(((26+0.5)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(26+0.5)*(4*IF(circ_int,0,eq_c1/2)+4*IF(circ_int,0,eq_c2/2)+2*PI()*(s_0+8*s_r+IF(circ_int,eq_c1/2,0)))/INDEX(lk_legs,9))-(((((((2*IF(circ_int,0,eq_c2/2))+(PI()*(s_0+8*s_r+IF(circ_int,eq_c1/2,0))/2))+2*IF(circ_int,0,eq_c1/2))+(PI()*(s_0+8*s_r+IF(circ_int,eq_c1/2,0))/2))+2*IF(circ_int,0,eq_c2/2))+(PI()*(s_0+8*s_r+IF(circ_int,eq_c1/2,0))/2))+2*IF(circ_int,0,eq_c1/2)))/(s_0+8*s_r+IF(circ_int,eq_c1/2,0)))))))))),NA())</f>
        <v/>
      </c>
      <c r="CY29">
        <f>IF(AND(links_on,10&lt;=n_per),IF(circ_int,(g_ox)+(c_1/2+(s_0+9*s_r))*-1.000000,CHOOSE(INDEX(lk_kind,10),(g_ox-eq_c1/2)+((s_0+9*s_r))*-1.000000,(eq_a1+eq_c1)+((s_0+9*s_r))*0.000000,eq_a1+eq_c1+(s_0+9*s_r),(eq_a1+eq_c1)+((s_0+9*s_r))*1.000000)),NA())</f>
        <v/>
      </c>
      <c r="CZ29">
        <f>IF(AND(links_on,10&lt;=n_per),IF(circ_int,(g_oy)+(c_1/2+(s_0+9*s_r))*0.000000,CHOOSE(INDEX(lk_kind,10),(g_oy-eq_c2/2)+((s_0+9*s_r))*0.000000,(g_oy-eq_c2/2)+((s_0+9*s_r))*-1.000000,0,(eq_a2+eq_c2)+((s_0+9*s_r))*0.000000)),NA())</f>
        <v/>
      </c>
      <c r="DB29">
        <f>IF(AND(AND(links_on,10&lt;=n_per),INDEX(lk_kind,10)=1,26&lt;INDEX(lk_legs,10)),g_ox+IF(((26+0.5)*(4*IF(circ_int,0,eq_c1/2)+4*IF(circ_int,0,eq_c2/2)+2*PI()*(s_0+9*s_r+IF(circ_int,eq_c1/2,0)))/INDEX(lk_legs,10))&lt;(2*IF(circ_int,0,eq_c2/2)),IF(circ_int,0,eq_c1/2)+(s_0+9*s_r+IF(circ_int,eq_c1/2,0)),IF(((26+0.5)*(4*IF(circ_int,0,eq_c1/2)+4*IF(circ_int,0,eq_c2/2)+2*PI()*(s_0+9*s_r+IF(circ_int,eq_c1/2,0)))/INDEX(lk_legs,10))&lt;((2*IF(circ_int,0,eq_c2/2))+(PI()*(s_0+9*s_r+IF(circ_int,eq_c1/2,0))/2)),IF(circ_int,0,eq_c1/2)+(s_0+9*s_r+IF(circ_int,eq_c1/2,0))*COS((((26+0.5)*(4*IF(circ_int,0,eq_c1/2)+4*IF(circ_int,0,eq_c2/2)+2*PI()*(s_0+9*s_r+IF(circ_int,eq_c1/2,0)))/INDEX(lk_legs,10))-(2*IF(circ_int,0,eq_c2/2)))/(s_0+9*s_r+IF(circ_int,eq_c1/2,0))),IF(((26+0.5)*(4*IF(circ_int,0,eq_c1/2)+4*IF(circ_int,0,eq_c2/2)+2*PI()*(s_0+9*s_r+IF(circ_int,eq_c1/2,0)))/INDEX(lk_legs,10))&lt;(((2*IF(circ_int,0,eq_c2/2))+(PI()*(s_0+9*s_r+IF(circ_int,eq_c1/2,0))/2))+2*IF(circ_int,0,eq_c1/2)),IF(circ_int,0,eq_c1/2)-(((26+0.5)*(4*IF(circ_int,0,eq_c1/2)+4*IF(circ_int,0,eq_c2/2)+2*PI()*(s_0+9*s_r+IF(circ_int,eq_c1/2,0)))/INDEX(lk_legs,10))-((2*IF(circ_int,0,eq_c2/2))+(PI()*(s_0+9*s_r+IF(circ_int,eq_c1/2,0))/2))),IF(((26+0.5)*(4*IF(circ_int,0,eq_c1/2)+4*IF(circ_int,0,eq_c2/2)+2*PI()*(s_0+9*s_r+IF(circ_int,eq_c1/2,0)))/INDEX(lk_legs,10))&lt;((((2*IF(circ_int,0,eq_c2/2))+(PI()*(s_0+9*s_r+IF(circ_int,eq_c1/2,0))/2))+2*IF(circ_int,0,eq_c1/2))+(PI()*(s_0+9*s_r+IF(circ_int,eq_c1/2,0))/2)),-IF(circ_int,0,eq_c1/2)+(s_0+9*s_r+IF(circ_int,eq_c1/2,0))*COS(PI()/2+(((26+0.5)*(4*IF(circ_int,0,eq_c1/2)+4*IF(circ_int,0,eq_c2/2)+2*PI()*(s_0+9*s_r+IF(circ_int,eq_c1/2,0)))/INDEX(lk_legs,10))-(((2*IF(circ_int,0,eq_c2/2))+(PI()*(s_0+9*s_r+IF(circ_int,eq_c1/2,0))/2))+2*IF(circ_int,0,eq_c1/2)))/(s_0+9*s_r+IF(circ_int,eq_c1/2,0))),IF(((26+0.5)*(4*IF(circ_int,0,eq_c1/2)+4*IF(circ_int,0,eq_c2/2)+2*PI()*(s_0+9*s_r+IF(circ_int,eq_c1/2,0)))/INDEX(lk_legs,10))&lt;(((((2*IF(circ_int,0,eq_c2/2))+(PI()*(s_0+9*s_r+IF(circ_int,eq_c1/2,0))/2))+2*IF(circ_int,0,eq_c1/2))+(PI()*(s_0+9*s_r+IF(circ_int,eq_c1/2,0))/2))+2*IF(circ_int,0,eq_c2/2)),-IF(circ_int,0,eq_c1/2)-(s_0+9*s_r+IF(circ_int,eq_c1/2,0)),IF(((26+0.5)*(4*IF(circ_int,0,eq_c1/2)+4*IF(circ_int,0,eq_c2/2)+2*PI()*(s_0+9*s_r+IF(circ_int,eq_c1/2,0)))/INDEX(lk_legs,10))&lt;((((((2*IF(circ_int,0,eq_c2/2))+(PI()*(s_0+9*s_r+IF(circ_int,eq_c1/2,0))/2))+2*IF(circ_int,0,eq_c1/2))+(PI()*(s_0+9*s_r+IF(circ_int,eq_c1/2,0))/2))+2*IF(circ_int,0,eq_c2/2))+(PI()*(s_0+9*s_r+IF(circ_int,eq_c1/2,0))/2)),-IF(circ_int,0,eq_c1/2)+(s_0+9*s_r+IF(circ_int,eq_c1/2,0))*COS(PI()+(((26+0.5)*(4*IF(circ_int,0,eq_c1/2)+4*IF(circ_int,0,eq_c2/2)+2*PI()*(s_0+9*s_r+IF(circ_int,eq_c1/2,0)))/INDEX(lk_legs,10))-(((((2*IF(circ_int,0,eq_c2/2))+(PI()*(s_0+9*s_r+IF(circ_int,eq_c1/2,0))/2))+2*IF(circ_int,0,eq_c1/2))+(PI()*(s_0+9*s_r+IF(circ_int,eq_c1/2,0))/2))+2*IF(circ_int,0,eq_c2/2)))/(s_0+9*s_r+IF(circ_int,eq_c1/2,0))),IF(((26+0.5)*(4*IF(circ_int,0,eq_c1/2)+4*IF(circ_int,0,eq_c2/2)+2*PI()*(s_0+9*s_r+IF(circ_int,eq_c1/2,0)))/INDEX(lk_legs,10))&lt;(((((((2*IF(circ_int,0,eq_c2/2))+(PI()*(s_0+9*s_r+IF(circ_int,eq_c1/2,0))/2))+2*IF(circ_int,0,eq_c1/2))+(PI()*(s_0+9*s_r+IF(circ_int,eq_c1/2,0))/2))+2*IF(circ_int,0,eq_c2/2))+(PI()*(s_0+9*s_r+IF(circ_int,eq_c1/2,0))/2))+2*IF(circ_int,0,eq_c1/2)),-IF(circ_int,0,eq_c1/2)+(((26+0.5)*(4*IF(circ_int,0,eq_c1/2)+4*IF(circ_int,0,eq_c2/2)+2*PI()*(s_0+9*s_r+IF(circ_int,eq_c1/2,0)))/INDEX(lk_legs,10))-((((((2*IF(circ_int,0,eq_c2/2))+(PI()*(s_0+9*s_r+IF(circ_int,eq_c1/2,0))/2))+2*IF(circ_int,0,eq_c1/2))+(PI()*(s_0+9*s_r+IF(circ_int,eq_c1/2,0))/2))+2*IF(circ_int,0,eq_c2/2))+(PI()*(s_0+9*s_r+IF(circ_int,eq_c1/2,0))/2))),IF(circ_int,0,eq_c1/2)+(s_0+9*s_r+IF(circ_int,eq_c1/2,0))*COS(3*PI()/2+(((26+0.5)*(4*IF(circ_int,0,eq_c1/2)+4*IF(circ_int,0,eq_c2/2)+2*PI()*(s_0+9*s_r+IF(circ_int,eq_c1/2,0)))/INDEX(lk_legs,10))-(((((((2*IF(circ_int,0,eq_c2/2))+(PI()*(s_0+9*s_r+IF(circ_int,eq_c1/2,0))/2))+2*IF(circ_int,0,eq_c1/2))+(PI()*(s_0+9*s_r+IF(circ_int,eq_c1/2,0))/2))+2*IF(circ_int,0,eq_c2/2))+(PI()*(s_0+9*s_r+IF(circ_int,eq_c1/2,0))/2))+2*IF(circ_int,0,eq_c1/2)))/(s_0+9*s_r+IF(circ_int,eq_c1/2,0)))))))))),NA())</f>
        <v/>
      </c>
      <c r="DC29">
        <f>IF(AND(AND(links_on,10&lt;=n_per),INDEX(lk_kind,10)=1,26&lt;INDEX(lk_legs,10)),g_oy+IF(((26+0.5)*(4*IF(circ_int,0,eq_c1/2)+4*IF(circ_int,0,eq_c2/2)+2*PI()*(s_0+9*s_r+IF(circ_int,eq_c1/2,0)))/INDEX(lk_legs,10))&lt;(2*IF(circ_int,0,eq_c2/2)),-IF(circ_int,0,eq_c2/2)+((26+0.5)*(4*IF(circ_int,0,eq_c1/2)+4*IF(circ_int,0,eq_c2/2)+2*PI()*(s_0+9*s_r+IF(circ_int,eq_c1/2,0)))/INDEX(lk_legs,10)),IF(((26+0.5)*(4*IF(circ_int,0,eq_c1/2)+4*IF(circ_int,0,eq_c2/2)+2*PI()*(s_0+9*s_r+IF(circ_int,eq_c1/2,0)))/INDEX(lk_legs,10))&lt;((2*IF(circ_int,0,eq_c2/2))+(PI()*(s_0+9*s_r+IF(circ_int,eq_c1/2,0))/2)),IF(circ_int,0,eq_c2/2)+(s_0+9*s_r+IF(circ_int,eq_c1/2,0))*SIN((((26+0.5)*(4*IF(circ_int,0,eq_c1/2)+4*IF(circ_int,0,eq_c2/2)+2*PI()*(s_0+9*s_r+IF(circ_int,eq_c1/2,0)))/INDEX(lk_legs,10))-(2*IF(circ_int,0,eq_c2/2)))/(s_0+9*s_r+IF(circ_int,eq_c1/2,0))),IF(((26+0.5)*(4*IF(circ_int,0,eq_c1/2)+4*IF(circ_int,0,eq_c2/2)+2*PI()*(s_0+9*s_r+IF(circ_int,eq_c1/2,0)))/INDEX(lk_legs,10))&lt;(((2*IF(circ_int,0,eq_c2/2))+(PI()*(s_0+9*s_r+IF(circ_int,eq_c1/2,0))/2))+2*IF(circ_int,0,eq_c1/2)),IF(circ_int,0,eq_c2/2)+(s_0+9*s_r+IF(circ_int,eq_c1/2,0)),IF(((26+0.5)*(4*IF(circ_int,0,eq_c1/2)+4*IF(circ_int,0,eq_c2/2)+2*PI()*(s_0+9*s_r+IF(circ_int,eq_c1/2,0)))/INDEX(lk_legs,10))&lt;((((2*IF(circ_int,0,eq_c2/2))+(PI()*(s_0+9*s_r+IF(circ_int,eq_c1/2,0))/2))+2*IF(circ_int,0,eq_c1/2))+(PI()*(s_0+9*s_r+IF(circ_int,eq_c1/2,0))/2)),IF(circ_int,0,eq_c2/2)+(s_0+9*s_r+IF(circ_int,eq_c1/2,0))*SIN(PI()/2+(((26+0.5)*(4*IF(circ_int,0,eq_c1/2)+4*IF(circ_int,0,eq_c2/2)+2*PI()*(s_0+9*s_r+IF(circ_int,eq_c1/2,0)))/INDEX(lk_legs,10))-(((2*IF(circ_int,0,eq_c2/2))+(PI()*(s_0+9*s_r+IF(circ_int,eq_c1/2,0))/2))+2*IF(circ_int,0,eq_c1/2)))/(s_0+9*s_r+IF(circ_int,eq_c1/2,0))),IF(((26+0.5)*(4*IF(circ_int,0,eq_c1/2)+4*IF(circ_int,0,eq_c2/2)+2*PI()*(s_0+9*s_r+IF(circ_int,eq_c1/2,0)))/INDEX(lk_legs,10))&lt;(((((2*IF(circ_int,0,eq_c2/2))+(PI()*(s_0+9*s_r+IF(circ_int,eq_c1/2,0))/2))+2*IF(circ_int,0,eq_c1/2))+(PI()*(s_0+9*s_r+IF(circ_int,eq_c1/2,0))/2))+2*IF(circ_int,0,eq_c2/2)),IF(circ_int,0,eq_c2/2)-(((26+0.5)*(4*IF(circ_int,0,eq_c1/2)+4*IF(circ_int,0,eq_c2/2)+2*PI()*(s_0+9*s_r+IF(circ_int,eq_c1/2,0)))/INDEX(lk_legs,10))-((((2*IF(circ_int,0,eq_c2/2))+(PI()*(s_0+9*s_r+IF(circ_int,eq_c1/2,0))/2))+2*IF(circ_int,0,eq_c1/2))+(PI()*(s_0+9*s_r+IF(circ_int,eq_c1/2,0))/2))),IF(((26+0.5)*(4*IF(circ_int,0,eq_c1/2)+4*IF(circ_int,0,eq_c2/2)+2*PI()*(s_0+9*s_r+IF(circ_int,eq_c1/2,0)))/INDEX(lk_legs,10))&lt;((((((2*IF(circ_int,0,eq_c2/2))+(PI()*(s_0+9*s_r+IF(circ_int,eq_c1/2,0))/2))+2*IF(circ_int,0,eq_c1/2))+(PI()*(s_0+9*s_r+IF(circ_int,eq_c1/2,0))/2))+2*IF(circ_int,0,eq_c2/2))+(PI()*(s_0+9*s_r+IF(circ_int,eq_c1/2,0))/2)),-IF(circ_int,0,eq_c2/2)+(s_0+9*s_r+IF(circ_int,eq_c1/2,0))*SIN(PI()+(((26+0.5)*(4*IF(circ_int,0,eq_c1/2)+4*IF(circ_int,0,eq_c2/2)+2*PI()*(s_0+9*s_r+IF(circ_int,eq_c1/2,0)))/INDEX(lk_legs,10))-(((((2*IF(circ_int,0,eq_c2/2))+(PI()*(s_0+9*s_r+IF(circ_int,eq_c1/2,0))/2))+2*IF(circ_int,0,eq_c1/2))+(PI()*(s_0+9*s_r+IF(circ_int,eq_c1/2,0))/2))+2*IF(circ_int,0,eq_c2/2)))/(s_0+9*s_r+IF(circ_int,eq_c1/2,0))),IF(((26+0.5)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(26+0.5)*(4*IF(circ_int,0,eq_c1/2)+4*IF(circ_int,0,eq_c2/2)+2*PI()*(s_0+9*s_r+IF(circ_int,eq_c1/2,0)))/INDEX(lk_legs,10))-(((((((2*IF(circ_int,0,eq_c2/2))+(PI()*(s_0+9*s_r+IF(circ_int,eq_c1/2,0))/2))+2*IF(circ_int,0,eq_c1/2))+(PI()*(s_0+9*s_r+IF(circ_int,eq_c1/2,0))/2))+2*IF(circ_int,0,eq_c2/2))+(PI()*(s_0+9*s_r+IF(circ_int,eq_c1/2,0))/2))+2*IF(circ_int,0,eq_c1/2)))/(s_0+9*s_r+IF(circ_int,eq_c1/2,0)))))))))),NA())</f>
        <v/>
      </c>
      <c r="DE29">
        <f>IF(AND(links_on,11&lt;=n_per),IF(circ_int,(g_ox)+(c_1/2+(s_0+10*s_r))*-1.000000,CHOOSE(INDEX(lk_kind,11),(g_ox-eq_c1/2)+((s_0+10*s_r))*-1.000000,(eq_a1+eq_c1)+((s_0+10*s_r))*0.000000,eq_a1+eq_c1+(s_0+10*s_r),(eq_a1+eq_c1)+((s_0+10*s_r))*1.000000)),NA())</f>
        <v/>
      </c>
      <c r="DF29">
        <f>IF(AND(links_on,11&lt;=n_per),IF(circ_int,(g_oy)+(c_1/2+(s_0+10*s_r))*0.000000,CHOOSE(INDEX(lk_kind,11),(g_oy-eq_c2/2)+((s_0+10*s_r))*0.000000,(g_oy-eq_c2/2)+((s_0+10*s_r))*-1.000000,0,(eq_a2+eq_c2)+((s_0+10*s_r))*0.000000)),NA())</f>
        <v/>
      </c>
      <c r="DH29">
        <f>IF(AND(AND(links_on,11&lt;=n_per),INDEX(lk_kind,11)=1,26&lt;INDEX(lk_legs,11)),g_ox+IF(((26+0.5)*(4*IF(circ_int,0,eq_c1/2)+4*IF(circ_int,0,eq_c2/2)+2*PI()*(s_0+10*s_r+IF(circ_int,eq_c1/2,0)))/INDEX(lk_legs,11))&lt;(2*IF(circ_int,0,eq_c2/2)),IF(circ_int,0,eq_c1/2)+(s_0+10*s_r+IF(circ_int,eq_c1/2,0)),IF(((26+0.5)*(4*IF(circ_int,0,eq_c1/2)+4*IF(circ_int,0,eq_c2/2)+2*PI()*(s_0+10*s_r+IF(circ_int,eq_c1/2,0)))/INDEX(lk_legs,11))&lt;((2*IF(circ_int,0,eq_c2/2))+(PI()*(s_0+10*s_r+IF(circ_int,eq_c1/2,0))/2)),IF(circ_int,0,eq_c1/2)+(s_0+10*s_r+IF(circ_int,eq_c1/2,0))*COS((((26+0.5)*(4*IF(circ_int,0,eq_c1/2)+4*IF(circ_int,0,eq_c2/2)+2*PI()*(s_0+10*s_r+IF(circ_int,eq_c1/2,0)))/INDEX(lk_legs,11))-(2*IF(circ_int,0,eq_c2/2)))/(s_0+10*s_r+IF(circ_int,eq_c1/2,0))),IF(((26+0.5)*(4*IF(circ_int,0,eq_c1/2)+4*IF(circ_int,0,eq_c2/2)+2*PI()*(s_0+10*s_r+IF(circ_int,eq_c1/2,0)))/INDEX(lk_legs,11))&lt;(((2*IF(circ_int,0,eq_c2/2))+(PI()*(s_0+10*s_r+IF(circ_int,eq_c1/2,0))/2))+2*IF(circ_int,0,eq_c1/2)),IF(circ_int,0,eq_c1/2)-(((26+0.5)*(4*IF(circ_int,0,eq_c1/2)+4*IF(circ_int,0,eq_c2/2)+2*PI()*(s_0+10*s_r+IF(circ_int,eq_c1/2,0)))/INDEX(lk_legs,11))-((2*IF(circ_int,0,eq_c2/2))+(PI()*(s_0+10*s_r+IF(circ_int,eq_c1/2,0))/2))),IF(((26+0.5)*(4*IF(circ_int,0,eq_c1/2)+4*IF(circ_int,0,eq_c2/2)+2*PI()*(s_0+10*s_r+IF(circ_int,eq_c1/2,0)))/INDEX(lk_legs,11))&lt;((((2*IF(circ_int,0,eq_c2/2))+(PI()*(s_0+10*s_r+IF(circ_int,eq_c1/2,0))/2))+2*IF(circ_int,0,eq_c1/2))+(PI()*(s_0+10*s_r+IF(circ_int,eq_c1/2,0))/2)),-IF(circ_int,0,eq_c1/2)+(s_0+10*s_r+IF(circ_int,eq_c1/2,0))*COS(PI()/2+(((26+0.5)*(4*IF(circ_int,0,eq_c1/2)+4*IF(circ_int,0,eq_c2/2)+2*PI()*(s_0+10*s_r+IF(circ_int,eq_c1/2,0)))/INDEX(lk_legs,11))-(((2*IF(circ_int,0,eq_c2/2))+(PI()*(s_0+10*s_r+IF(circ_int,eq_c1/2,0))/2))+2*IF(circ_int,0,eq_c1/2)))/(s_0+10*s_r+IF(circ_int,eq_c1/2,0))),IF(((26+0.5)*(4*IF(circ_int,0,eq_c1/2)+4*IF(circ_int,0,eq_c2/2)+2*PI()*(s_0+10*s_r+IF(circ_int,eq_c1/2,0)))/INDEX(lk_legs,11))&lt;(((((2*IF(circ_int,0,eq_c2/2))+(PI()*(s_0+10*s_r+IF(circ_int,eq_c1/2,0))/2))+2*IF(circ_int,0,eq_c1/2))+(PI()*(s_0+10*s_r+IF(circ_int,eq_c1/2,0))/2))+2*IF(circ_int,0,eq_c2/2)),-IF(circ_int,0,eq_c1/2)-(s_0+10*s_r+IF(circ_int,eq_c1/2,0)),IF(((26+0.5)*(4*IF(circ_int,0,eq_c1/2)+4*IF(circ_int,0,eq_c2/2)+2*PI()*(s_0+10*s_r+IF(circ_int,eq_c1/2,0)))/INDEX(lk_legs,11))&lt;((((((2*IF(circ_int,0,eq_c2/2))+(PI()*(s_0+10*s_r+IF(circ_int,eq_c1/2,0))/2))+2*IF(circ_int,0,eq_c1/2))+(PI()*(s_0+10*s_r+IF(circ_int,eq_c1/2,0))/2))+2*IF(circ_int,0,eq_c2/2))+(PI()*(s_0+10*s_r+IF(circ_int,eq_c1/2,0))/2)),-IF(circ_int,0,eq_c1/2)+(s_0+10*s_r+IF(circ_int,eq_c1/2,0))*COS(PI()+(((26+0.5)*(4*IF(circ_int,0,eq_c1/2)+4*IF(circ_int,0,eq_c2/2)+2*PI()*(s_0+10*s_r+IF(circ_int,eq_c1/2,0)))/INDEX(lk_legs,11))-(((((2*IF(circ_int,0,eq_c2/2))+(PI()*(s_0+10*s_r+IF(circ_int,eq_c1/2,0))/2))+2*IF(circ_int,0,eq_c1/2))+(PI()*(s_0+10*s_r+IF(circ_int,eq_c1/2,0))/2))+2*IF(circ_int,0,eq_c2/2)))/(s_0+10*s_r+IF(circ_int,eq_c1/2,0))),IF(((26+0.5)*(4*IF(circ_int,0,eq_c1/2)+4*IF(circ_int,0,eq_c2/2)+2*PI()*(s_0+10*s_r+IF(circ_int,eq_c1/2,0)))/INDEX(lk_legs,11))&lt;(((((((2*IF(circ_int,0,eq_c2/2))+(PI()*(s_0+10*s_r+IF(circ_int,eq_c1/2,0))/2))+2*IF(circ_int,0,eq_c1/2))+(PI()*(s_0+10*s_r+IF(circ_int,eq_c1/2,0))/2))+2*IF(circ_int,0,eq_c2/2))+(PI()*(s_0+10*s_r+IF(circ_int,eq_c1/2,0))/2))+2*IF(circ_int,0,eq_c1/2)),-IF(circ_int,0,eq_c1/2)+(((26+0.5)*(4*IF(circ_int,0,eq_c1/2)+4*IF(circ_int,0,eq_c2/2)+2*PI()*(s_0+10*s_r+IF(circ_int,eq_c1/2,0)))/INDEX(lk_legs,11))-((((((2*IF(circ_int,0,eq_c2/2))+(PI()*(s_0+10*s_r+IF(circ_int,eq_c1/2,0))/2))+2*IF(circ_int,0,eq_c1/2))+(PI()*(s_0+10*s_r+IF(circ_int,eq_c1/2,0))/2))+2*IF(circ_int,0,eq_c2/2))+(PI()*(s_0+10*s_r+IF(circ_int,eq_c1/2,0))/2))),IF(circ_int,0,eq_c1/2)+(s_0+10*s_r+IF(circ_int,eq_c1/2,0))*COS(3*PI()/2+(((26+0.5)*(4*IF(circ_int,0,eq_c1/2)+4*IF(circ_int,0,eq_c2/2)+2*PI()*(s_0+10*s_r+IF(circ_int,eq_c1/2,0)))/INDEX(lk_legs,11))-(((((((2*IF(circ_int,0,eq_c2/2))+(PI()*(s_0+10*s_r+IF(circ_int,eq_c1/2,0))/2))+2*IF(circ_int,0,eq_c1/2))+(PI()*(s_0+10*s_r+IF(circ_int,eq_c1/2,0))/2))+2*IF(circ_int,0,eq_c2/2))+(PI()*(s_0+10*s_r+IF(circ_int,eq_c1/2,0))/2))+2*IF(circ_int,0,eq_c1/2)))/(s_0+10*s_r+IF(circ_int,eq_c1/2,0)))))))))),NA())</f>
        <v/>
      </c>
      <c r="DI29">
        <f>IF(AND(AND(links_on,11&lt;=n_per),INDEX(lk_kind,11)=1,26&lt;INDEX(lk_legs,11)),g_oy+IF(((26+0.5)*(4*IF(circ_int,0,eq_c1/2)+4*IF(circ_int,0,eq_c2/2)+2*PI()*(s_0+10*s_r+IF(circ_int,eq_c1/2,0)))/INDEX(lk_legs,11))&lt;(2*IF(circ_int,0,eq_c2/2)),-IF(circ_int,0,eq_c2/2)+((26+0.5)*(4*IF(circ_int,0,eq_c1/2)+4*IF(circ_int,0,eq_c2/2)+2*PI()*(s_0+10*s_r+IF(circ_int,eq_c1/2,0)))/INDEX(lk_legs,11)),IF(((26+0.5)*(4*IF(circ_int,0,eq_c1/2)+4*IF(circ_int,0,eq_c2/2)+2*PI()*(s_0+10*s_r+IF(circ_int,eq_c1/2,0)))/INDEX(lk_legs,11))&lt;((2*IF(circ_int,0,eq_c2/2))+(PI()*(s_0+10*s_r+IF(circ_int,eq_c1/2,0))/2)),IF(circ_int,0,eq_c2/2)+(s_0+10*s_r+IF(circ_int,eq_c1/2,0))*SIN((((26+0.5)*(4*IF(circ_int,0,eq_c1/2)+4*IF(circ_int,0,eq_c2/2)+2*PI()*(s_0+10*s_r+IF(circ_int,eq_c1/2,0)))/INDEX(lk_legs,11))-(2*IF(circ_int,0,eq_c2/2)))/(s_0+10*s_r+IF(circ_int,eq_c1/2,0))),IF(((26+0.5)*(4*IF(circ_int,0,eq_c1/2)+4*IF(circ_int,0,eq_c2/2)+2*PI()*(s_0+10*s_r+IF(circ_int,eq_c1/2,0)))/INDEX(lk_legs,11))&lt;(((2*IF(circ_int,0,eq_c2/2))+(PI()*(s_0+10*s_r+IF(circ_int,eq_c1/2,0))/2))+2*IF(circ_int,0,eq_c1/2)),IF(circ_int,0,eq_c2/2)+(s_0+10*s_r+IF(circ_int,eq_c1/2,0)),IF(((26+0.5)*(4*IF(circ_int,0,eq_c1/2)+4*IF(circ_int,0,eq_c2/2)+2*PI()*(s_0+10*s_r+IF(circ_int,eq_c1/2,0)))/INDEX(lk_legs,11))&lt;((((2*IF(circ_int,0,eq_c2/2))+(PI()*(s_0+10*s_r+IF(circ_int,eq_c1/2,0))/2))+2*IF(circ_int,0,eq_c1/2))+(PI()*(s_0+10*s_r+IF(circ_int,eq_c1/2,0))/2)),IF(circ_int,0,eq_c2/2)+(s_0+10*s_r+IF(circ_int,eq_c1/2,0))*SIN(PI()/2+(((26+0.5)*(4*IF(circ_int,0,eq_c1/2)+4*IF(circ_int,0,eq_c2/2)+2*PI()*(s_0+10*s_r+IF(circ_int,eq_c1/2,0)))/INDEX(lk_legs,11))-(((2*IF(circ_int,0,eq_c2/2))+(PI()*(s_0+10*s_r+IF(circ_int,eq_c1/2,0))/2))+2*IF(circ_int,0,eq_c1/2)))/(s_0+10*s_r+IF(circ_int,eq_c1/2,0))),IF(((26+0.5)*(4*IF(circ_int,0,eq_c1/2)+4*IF(circ_int,0,eq_c2/2)+2*PI()*(s_0+10*s_r+IF(circ_int,eq_c1/2,0)))/INDEX(lk_legs,11))&lt;(((((2*IF(circ_int,0,eq_c2/2))+(PI()*(s_0+10*s_r+IF(circ_int,eq_c1/2,0))/2))+2*IF(circ_int,0,eq_c1/2))+(PI()*(s_0+10*s_r+IF(circ_int,eq_c1/2,0))/2))+2*IF(circ_int,0,eq_c2/2)),IF(circ_int,0,eq_c2/2)-(((26+0.5)*(4*IF(circ_int,0,eq_c1/2)+4*IF(circ_int,0,eq_c2/2)+2*PI()*(s_0+10*s_r+IF(circ_int,eq_c1/2,0)))/INDEX(lk_legs,11))-((((2*IF(circ_int,0,eq_c2/2))+(PI()*(s_0+10*s_r+IF(circ_int,eq_c1/2,0))/2))+2*IF(circ_int,0,eq_c1/2))+(PI()*(s_0+10*s_r+IF(circ_int,eq_c1/2,0))/2))),IF(((26+0.5)*(4*IF(circ_int,0,eq_c1/2)+4*IF(circ_int,0,eq_c2/2)+2*PI()*(s_0+10*s_r+IF(circ_int,eq_c1/2,0)))/INDEX(lk_legs,11))&lt;((((((2*IF(circ_int,0,eq_c2/2))+(PI()*(s_0+10*s_r+IF(circ_int,eq_c1/2,0))/2))+2*IF(circ_int,0,eq_c1/2))+(PI()*(s_0+10*s_r+IF(circ_int,eq_c1/2,0))/2))+2*IF(circ_int,0,eq_c2/2))+(PI()*(s_0+10*s_r+IF(circ_int,eq_c1/2,0))/2)),-IF(circ_int,0,eq_c2/2)+(s_0+10*s_r+IF(circ_int,eq_c1/2,0))*SIN(PI()+(((26+0.5)*(4*IF(circ_int,0,eq_c1/2)+4*IF(circ_int,0,eq_c2/2)+2*PI()*(s_0+10*s_r+IF(circ_int,eq_c1/2,0)))/INDEX(lk_legs,11))-(((((2*IF(circ_int,0,eq_c2/2))+(PI()*(s_0+10*s_r+IF(circ_int,eq_c1/2,0))/2))+2*IF(circ_int,0,eq_c1/2))+(PI()*(s_0+10*s_r+IF(circ_int,eq_c1/2,0))/2))+2*IF(circ_int,0,eq_c2/2)))/(s_0+10*s_r+IF(circ_int,eq_c1/2,0))),IF(((26+0.5)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(26+0.5)*(4*IF(circ_int,0,eq_c1/2)+4*IF(circ_int,0,eq_c2/2)+2*PI()*(s_0+10*s_r+IF(circ_int,eq_c1/2,0)))/INDEX(lk_legs,11))-(((((((2*IF(circ_int,0,eq_c2/2))+(PI()*(s_0+10*s_r+IF(circ_int,eq_c1/2,0))/2))+2*IF(circ_int,0,eq_c1/2))+(PI()*(s_0+10*s_r+IF(circ_int,eq_c1/2,0))/2))+2*IF(circ_int,0,eq_c2/2))+(PI()*(s_0+10*s_r+IF(circ_int,eq_c1/2,0))/2))+2*IF(circ_int,0,eq_c1/2)))/(s_0+10*s_r+IF(circ_int,eq_c1/2,0)))))))))),NA())</f>
        <v/>
      </c>
      <c r="DK29">
        <f>IF(AND(links_on,12&lt;=n_per),IF(circ_int,(g_ox)+(c_1/2+(s_0+11*s_r))*-1.000000,CHOOSE(INDEX(lk_kind,12),(g_ox-eq_c1/2)+((s_0+11*s_r))*-1.000000,(eq_a1+eq_c1)+((s_0+11*s_r))*0.000000,eq_a1+eq_c1+(s_0+11*s_r),(eq_a1+eq_c1)+((s_0+11*s_r))*1.000000)),NA())</f>
        <v/>
      </c>
      <c r="DL29">
        <f>IF(AND(links_on,12&lt;=n_per),IF(circ_int,(g_oy)+(c_1/2+(s_0+11*s_r))*0.000000,CHOOSE(INDEX(lk_kind,12),(g_oy-eq_c2/2)+((s_0+11*s_r))*0.000000,(g_oy-eq_c2/2)+((s_0+11*s_r))*-1.000000,0,(eq_a2+eq_c2)+((s_0+11*s_r))*0.000000)),NA())</f>
        <v/>
      </c>
      <c r="DN29">
        <f>IF(AND(AND(links_on,12&lt;=n_per),INDEX(lk_kind,12)=1,26&lt;INDEX(lk_legs,12)),g_ox+IF(((26+0.5)*(4*IF(circ_int,0,eq_c1/2)+4*IF(circ_int,0,eq_c2/2)+2*PI()*(s_0+11*s_r+IF(circ_int,eq_c1/2,0)))/INDEX(lk_legs,12))&lt;(2*IF(circ_int,0,eq_c2/2)),IF(circ_int,0,eq_c1/2)+(s_0+11*s_r+IF(circ_int,eq_c1/2,0)),IF(((26+0.5)*(4*IF(circ_int,0,eq_c1/2)+4*IF(circ_int,0,eq_c2/2)+2*PI()*(s_0+11*s_r+IF(circ_int,eq_c1/2,0)))/INDEX(lk_legs,12))&lt;((2*IF(circ_int,0,eq_c2/2))+(PI()*(s_0+11*s_r+IF(circ_int,eq_c1/2,0))/2)),IF(circ_int,0,eq_c1/2)+(s_0+11*s_r+IF(circ_int,eq_c1/2,0))*COS((((26+0.5)*(4*IF(circ_int,0,eq_c1/2)+4*IF(circ_int,0,eq_c2/2)+2*PI()*(s_0+11*s_r+IF(circ_int,eq_c1/2,0)))/INDEX(lk_legs,12))-(2*IF(circ_int,0,eq_c2/2)))/(s_0+11*s_r+IF(circ_int,eq_c1/2,0))),IF(((26+0.5)*(4*IF(circ_int,0,eq_c1/2)+4*IF(circ_int,0,eq_c2/2)+2*PI()*(s_0+11*s_r+IF(circ_int,eq_c1/2,0)))/INDEX(lk_legs,12))&lt;(((2*IF(circ_int,0,eq_c2/2))+(PI()*(s_0+11*s_r+IF(circ_int,eq_c1/2,0))/2))+2*IF(circ_int,0,eq_c1/2)),IF(circ_int,0,eq_c1/2)-(((26+0.5)*(4*IF(circ_int,0,eq_c1/2)+4*IF(circ_int,0,eq_c2/2)+2*PI()*(s_0+11*s_r+IF(circ_int,eq_c1/2,0)))/INDEX(lk_legs,12))-((2*IF(circ_int,0,eq_c2/2))+(PI()*(s_0+11*s_r+IF(circ_int,eq_c1/2,0))/2))),IF(((26+0.5)*(4*IF(circ_int,0,eq_c1/2)+4*IF(circ_int,0,eq_c2/2)+2*PI()*(s_0+11*s_r+IF(circ_int,eq_c1/2,0)))/INDEX(lk_legs,12))&lt;((((2*IF(circ_int,0,eq_c2/2))+(PI()*(s_0+11*s_r+IF(circ_int,eq_c1/2,0))/2))+2*IF(circ_int,0,eq_c1/2))+(PI()*(s_0+11*s_r+IF(circ_int,eq_c1/2,0))/2)),-IF(circ_int,0,eq_c1/2)+(s_0+11*s_r+IF(circ_int,eq_c1/2,0))*COS(PI()/2+(((26+0.5)*(4*IF(circ_int,0,eq_c1/2)+4*IF(circ_int,0,eq_c2/2)+2*PI()*(s_0+11*s_r+IF(circ_int,eq_c1/2,0)))/INDEX(lk_legs,12))-(((2*IF(circ_int,0,eq_c2/2))+(PI()*(s_0+11*s_r+IF(circ_int,eq_c1/2,0))/2))+2*IF(circ_int,0,eq_c1/2)))/(s_0+11*s_r+IF(circ_int,eq_c1/2,0))),IF(((26+0.5)*(4*IF(circ_int,0,eq_c1/2)+4*IF(circ_int,0,eq_c2/2)+2*PI()*(s_0+11*s_r+IF(circ_int,eq_c1/2,0)))/INDEX(lk_legs,12))&lt;(((((2*IF(circ_int,0,eq_c2/2))+(PI()*(s_0+11*s_r+IF(circ_int,eq_c1/2,0))/2))+2*IF(circ_int,0,eq_c1/2))+(PI()*(s_0+11*s_r+IF(circ_int,eq_c1/2,0))/2))+2*IF(circ_int,0,eq_c2/2)),-IF(circ_int,0,eq_c1/2)-(s_0+11*s_r+IF(circ_int,eq_c1/2,0)),IF(((26+0.5)*(4*IF(circ_int,0,eq_c1/2)+4*IF(circ_int,0,eq_c2/2)+2*PI()*(s_0+11*s_r+IF(circ_int,eq_c1/2,0)))/INDEX(lk_legs,12))&lt;((((((2*IF(circ_int,0,eq_c2/2))+(PI()*(s_0+11*s_r+IF(circ_int,eq_c1/2,0))/2))+2*IF(circ_int,0,eq_c1/2))+(PI()*(s_0+11*s_r+IF(circ_int,eq_c1/2,0))/2))+2*IF(circ_int,0,eq_c2/2))+(PI()*(s_0+11*s_r+IF(circ_int,eq_c1/2,0))/2)),-IF(circ_int,0,eq_c1/2)+(s_0+11*s_r+IF(circ_int,eq_c1/2,0))*COS(PI()+(((26+0.5)*(4*IF(circ_int,0,eq_c1/2)+4*IF(circ_int,0,eq_c2/2)+2*PI()*(s_0+11*s_r+IF(circ_int,eq_c1/2,0)))/INDEX(lk_legs,12))-(((((2*IF(circ_int,0,eq_c2/2))+(PI()*(s_0+11*s_r+IF(circ_int,eq_c1/2,0))/2))+2*IF(circ_int,0,eq_c1/2))+(PI()*(s_0+11*s_r+IF(circ_int,eq_c1/2,0))/2))+2*IF(circ_int,0,eq_c2/2)))/(s_0+11*s_r+IF(circ_int,eq_c1/2,0))),IF(((26+0.5)*(4*IF(circ_int,0,eq_c1/2)+4*IF(circ_int,0,eq_c2/2)+2*PI()*(s_0+11*s_r+IF(circ_int,eq_c1/2,0)))/INDEX(lk_legs,12))&lt;(((((((2*IF(circ_int,0,eq_c2/2))+(PI()*(s_0+11*s_r+IF(circ_int,eq_c1/2,0))/2))+2*IF(circ_int,0,eq_c1/2))+(PI()*(s_0+11*s_r+IF(circ_int,eq_c1/2,0))/2))+2*IF(circ_int,0,eq_c2/2))+(PI()*(s_0+11*s_r+IF(circ_int,eq_c1/2,0))/2))+2*IF(circ_int,0,eq_c1/2)),-IF(circ_int,0,eq_c1/2)+(((26+0.5)*(4*IF(circ_int,0,eq_c1/2)+4*IF(circ_int,0,eq_c2/2)+2*PI()*(s_0+11*s_r+IF(circ_int,eq_c1/2,0)))/INDEX(lk_legs,12))-((((((2*IF(circ_int,0,eq_c2/2))+(PI()*(s_0+11*s_r+IF(circ_int,eq_c1/2,0))/2))+2*IF(circ_int,0,eq_c1/2))+(PI()*(s_0+11*s_r+IF(circ_int,eq_c1/2,0))/2))+2*IF(circ_int,0,eq_c2/2))+(PI()*(s_0+11*s_r+IF(circ_int,eq_c1/2,0))/2))),IF(circ_int,0,eq_c1/2)+(s_0+11*s_r+IF(circ_int,eq_c1/2,0))*COS(3*PI()/2+(((26+0.5)*(4*IF(circ_int,0,eq_c1/2)+4*IF(circ_int,0,eq_c2/2)+2*PI()*(s_0+11*s_r+IF(circ_int,eq_c1/2,0)))/INDEX(lk_legs,12))-(((((((2*IF(circ_int,0,eq_c2/2))+(PI()*(s_0+11*s_r+IF(circ_int,eq_c1/2,0))/2))+2*IF(circ_int,0,eq_c1/2))+(PI()*(s_0+11*s_r+IF(circ_int,eq_c1/2,0))/2))+2*IF(circ_int,0,eq_c2/2))+(PI()*(s_0+11*s_r+IF(circ_int,eq_c1/2,0))/2))+2*IF(circ_int,0,eq_c1/2)))/(s_0+11*s_r+IF(circ_int,eq_c1/2,0)))))))))),NA())</f>
        <v/>
      </c>
      <c r="DO29">
        <f>IF(AND(AND(links_on,12&lt;=n_per),INDEX(lk_kind,12)=1,26&lt;INDEX(lk_legs,12)),g_oy+IF(((26+0.5)*(4*IF(circ_int,0,eq_c1/2)+4*IF(circ_int,0,eq_c2/2)+2*PI()*(s_0+11*s_r+IF(circ_int,eq_c1/2,0)))/INDEX(lk_legs,12))&lt;(2*IF(circ_int,0,eq_c2/2)),-IF(circ_int,0,eq_c2/2)+((26+0.5)*(4*IF(circ_int,0,eq_c1/2)+4*IF(circ_int,0,eq_c2/2)+2*PI()*(s_0+11*s_r+IF(circ_int,eq_c1/2,0)))/INDEX(lk_legs,12)),IF(((26+0.5)*(4*IF(circ_int,0,eq_c1/2)+4*IF(circ_int,0,eq_c2/2)+2*PI()*(s_0+11*s_r+IF(circ_int,eq_c1/2,0)))/INDEX(lk_legs,12))&lt;((2*IF(circ_int,0,eq_c2/2))+(PI()*(s_0+11*s_r+IF(circ_int,eq_c1/2,0))/2)),IF(circ_int,0,eq_c2/2)+(s_0+11*s_r+IF(circ_int,eq_c1/2,0))*SIN((((26+0.5)*(4*IF(circ_int,0,eq_c1/2)+4*IF(circ_int,0,eq_c2/2)+2*PI()*(s_0+11*s_r+IF(circ_int,eq_c1/2,0)))/INDEX(lk_legs,12))-(2*IF(circ_int,0,eq_c2/2)))/(s_0+11*s_r+IF(circ_int,eq_c1/2,0))),IF(((26+0.5)*(4*IF(circ_int,0,eq_c1/2)+4*IF(circ_int,0,eq_c2/2)+2*PI()*(s_0+11*s_r+IF(circ_int,eq_c1/2,0)))/INDEX(lk_legs,12))&lt;(((2*IF(circ_int,0,eq_c2/2))+(PI()*(s_0+11*s_r+IF(circ_int,eq_c1/2,0))/2))+2*IF(circ_int,0,eq_c1/2)),IF(circ_int,0,eq_c2/2)+(s_0+11*s_r+IF(circ_int,eq_c1/2,0)),IF(((26+0.5)*(4*IF(circ_int,0,eq_c1/2)+4*IF(circ_int,0,eq_c2/2)+2*PI()*(s_0+11*s_r+IF(circ_int,eq_c1/2,0)))/INDEX(lk_legs,12))&lt;((((2*IF(circ_int,0,eq_c2/2))+(PI()*(s_0+11*s_r+IF(circ_int,eq_c1/2,0))/2))+2*IF(circ_int,0,eq_c1/2))+(PI()*(s_0+11*s_r+IF(circ_int,eq_c1/2,0))/2)),IF(circ_int,0,eq_c2/2)+(s_0+11*s_r+IF(circ_int,eq_c1/2,0))*SIN(PI()/2+(((26+0.5)*(4*IF(circ_int,0,eq_c1/2)+4*IF(circ_int,0,eq_c2/2)+2*PI()*(s_0+11*s_r+IF(circ_int,eq_c1/2,0)))/INDEX(lk_legs,12))-(((2*IF(circ_int,0,eq_c2/2))+(PI()*(s_0+11*s_r+IF(circ_int,eq_c1/2,0))/2))+2*IF(circ_int,0,eq_c1/2)))/(s_0+11*s_r+IF(circ_int,eq_c1/2,0))),IF(((26+0.5)*(4*IF(circ_int,0,eq_c1/2)+4*IF(circ_int,0,eq_c2/2)+2*PI()*(s_0+11*s_r+IF(circ_int,eq_c1/2,0)))/INDEX(lk_legs,12))&lt;(((((2*IF(circ_int,0,eq_c2/2))+(PI()*(s_0+11*s_r+IF(circ_int,eq_c1/2,0))/2))+2*IF(circ_int,0,eq_c1/2))+(PI()*(s_0+11*s_r+IF(circ_int,eq_c1/2,0))/2))+2*IF(circ_int,0,eq_c2/2)),IF(circ_int,0,eq_c2/2)-(((26+0.5)*(4*IF(circ_int,0,eq_c1/2)+4*IF(circ_int,0,eq_c2/2)+2*PI()*(s_0+11*s_r+IF(circ_int,eq_c1/2,0)))/INDEX(lk_legs,12))-((((2*IF(circ_int,0,eq_c2/2))+(PI()*(s_0+11*s_r+IF(circ_int,eq_c1/2,0))/2))+2*IF(circ_int,0,eq_c1/2))+(PI()*(s_0+11*s_r+IF(circ_int,eq_c1/2,0))/2))),IF(((26+0.5)*(4*IF(circ_int,0,eq_c1/2)+4*IF(circ_int,0,eq_c2/2)+2*PI()*(s_0+11*s_r+IF(circ_int,eq_c1/2,0)))/INDEX(lk_legs,12))&lt;((((((2*IF(circ_int,0,eq_c2/2))+(PI()*(s_0+11*s_r+IF(circ_int,eq_c1/2,0))/2))+2*IF(circ_int,0,eq_c1/2))+(PI()*(s_0+11*s_r+IF(circ_int,eq_c1/2,0))/2))+2*IF(circ_int,0,eq_c2/2))+(PI()*(s_0+11*s_r+IF(circ_int,eq_c1/2,0))/2)),-IF(circ_int,0,eq_c2/2)+(s_0+11*s_r+IF(circ_int,eq_c1/2,0))*SIN(PI()+(((26+0.5)*(4*IF(circ_int,0,eq_c1/2)+4*IF(circ_int,0,eq_c2/2)+2*PI()*(s_0+11*s_r+IF(circ_int,eq_c1/2,0)))/INDEX(lk_legs,12))-(((((2*IF(circ_int,0,eq_c2/2))+(PI()*(s_0+11*s_r+IF(circ_int,eq_c1/2,0))/2))+2*IF(circ_int,0,eq_c1/2))+(PI()*(s_0+11*s_r+IF(circ_int,eq_c1/2,0))/2))+2*IF(circ_int,0,eq_c2/2)))/(s_0+11*s_r+IF(circ_int,eq_c1/2,0))),IF(((26+0.5)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(26+0.5)*(4*IF(circ_int,0,eq_c1/2)+4*IF(circ_int,0,eq_c2/2)+2*PI()*(s_0+11*s_r+IF(circ_int,eq_c1/2,0)))/INDEX(lk_legs,12))-(((((((2*IF(circ_int,0,eq_c2/2))+(PI()*(s_0+11*s_r+IF(circ_int,eq_c1/2,0))/2))+2*IF(circ_int,0,eq_c1/2))+(PI()*(s_0+11*s_r+IF(circ_int,eq_c1/2,0))/2))+2*IF(circ_int,0,eq_c2/2))+(PI()*(s_0+11*s_r+IF(circ_int,eq_c1/2,0))/2))+2*IF(circ_int,0,eq_c1/2)))/(s_0+11*s_r+IF(circ_int,eq_c1/2,0)))))))))),NA())</f>
        <v/>
      </c>
    </row>
    <row r="30">
      <c r="A30">
        <f>IF(shape="Circular",(g_ox)+(c_1/2+0)*-0.992709,CHOOSE(1,(g_ox-eq_c1/2)+(0)*-0.991445,0,eq_a1+eq_c1+0,eq_a1+eq_c1+0))</f>
        <v/>
      </c>
      <c r="B30">
        <f>IF(shape="Circular",(g_oy)+(c_1/2+0)*-0.120537,CHOOSE(1,(g_oy-eq_c2/2)+(0)*-0.130526,g_oy-eq_c2/2-0,0,0))</f>
        <v/>
      </c>
      <c r="D30">
        <f>IF(circ_int,(g_ox)+(c_1/2+2*d_eff)*-0.992709,CHOOSE(geo_idx,(g_ox-eq_c1/2)+(2*d_eff)*-0.991445,0,eq_a1+eq_c1+2*d_eff,eq_a1+eq_c1+2*d_eff))</f>
        <v/>
      </c>
      <c r="E30">
        <f>IF(circ_int,(g_oy)+(c_1/2+2*d_eff)*-0.120537,CHOOSE(geo_idx,(g_oy-eq_c2/2)+(2*d_eff)*-0.130526,g_oy-eq_c2/2-2*d_eff,0,0))</f>
        <v/>
      </c>
      <c r="G30">
        <f>IF(AND(inputs_ok,punch_ok,A_sw&gt;0),IF(circ_int,(g_ox)+(c_1/2+r_out)*-0.992709,CHOOSE(kind_out,(g_ox-eq_c1/2)+(r_out)*-0.991445,0,eq_a1+eq_c1+r_out,eq_a1+eq_c1+r_out)),NA())</f>
        <v/>
      </c>
      <c r="H30">
        <f>IF(AND(inputs_ok,punch_ok,A_sw&gt;0),IF(circ_int,(g_oy)+(c_1/2+r_out)*-0.120537,CHOOSE(kind_out,(g_oy-eq_c2/2)+(r_out)*-0.130526,g_oy-eq_c2/2-r_out,0,0)),NA())</f>
        <v/>
      </c>
      <c r="AW30">
        <f>IF(AND(links_on,1&lt;=n_per),IF(circ_int,(g_ox)+(c_1/2+(s_0+0*s_r))*-0.992709,CHOOSE(INDEX(lk_kind,1),(g_ox-eq_c1/2)+((s_0+0*s_r))*-0.991445,0,eq_a1+eq_c1+(s_0+0*s_r),eq_a1+eq_c1+(s_0+0*s_r))),NA())</f>
        <v/>
      </c>
      <c r="AX30">
        <f>IF(AND(links_on,1&lt;=n_per),IF(circ_int,(g_oy)+(c_1/2+(s_0+0*s_r))*-0.120537,CHOOSE(INDEX(lk_kind,1),(g_oy-eq_c2/2)+((s_0+0*s_r))*-0.130526,g_oy-eq_c2/2-(s_0+0*s_r),0,0)),NA())</f>
        <v/>
      </c>
      <c r="AZ30">
        <f>IF(AND(AND(links_on,1&lt;=n_per),INDEX(lk_kind,1)=1,27&lt;INDEX(lk_legs,1)),g_ox+IF(((27+0.5)*(4*IF(circ_int,0,eq_c1/2)+4*IF(circ_int,0,eq_c2/2)+2*PI()*(s_0+0*s_r+IF(circ_int,eq_c1/2,0)))/INDEX(lk_legs,1))&lt;(2*IF(circ_int,0,eq_c2/2)),IF(circ_int,0,eq_c1/2)+(s_0+0*s_r+IF(circ_int,eq_c1/2,0)),IF(((27+0.5)*(4*IF(circ_int,0,eq_c1/2)+4*IF(circ_int,0,eq_c2/2)+2*PI()*(s_0+0*s_r+IF(circ_int,eq_c1/2,0)))/INDEX(lk_legs,1))&lt;((2*IF(circ_int,0,eq_c2/2))+(PI()*(s_0+0*s_r+IF(circ_int,eq_c1/2,0))/2)),IF(circ_int,0,eq_c1/2)+(s_0+0*s_r+IF(circ_int,eq_c1/2,0))*COS((((27+0.5)*(4*IF(circ_int,0,eq_c1/2)+4*IF(circ_int,0,eq_c2/2)+2*PI()*(s_0+0*s_r+IF(circ_int,eq_c1/2,0)))/INDEX(lk_legs,1))-(2*IF(circ_int,0,eq_c2/2)))/(s_0+0*s_r+IF(circ_int,eq_c1/2,0))),IF(((27+0.5)*(4*IF(circ_int,0,eq_c1/2)+4*IF(circ_int,0,eq_c2/2)+2*PI()*(s_0+0*s_r+IF(circ_int,eq_c1/2,0)))/INDEX(lk_legs,1))&lt;(((2*IF(circ_int,0,eq_c2/2))+(PI()*(s_0+0*s_r+IF(circ_int,eq_c1/2,0))/2))+2*IF(circ_int,0,eq_c1/2)),IF(circ_int,0,eq_c1/2)-(((27+0.5)*(4*IF(circ_int,0,eq_c1/2)+4*IF(circ_int,0,eq_c2/2)+2*PI()*(s_0+0*s_r+IF(circ_int,eq_c1/2,0)))/INDEX(lk_legs,1))-((2*IF(circ_int,0,eq_c2/2))+(PI()*(s_0+0*s_r+IF(circ_int,eq_c1/2,0))/2))),IF(((27+0.5)*(4*IF(circ_int,0,eq_c1/2)+4*IF(circ_int,0,eq_c2/2)+2*PI()*(s_0+0*s_r+IF(circ_int,eq_c1/2,0)))/INDEX(lk_legs,1))&lt;((((2*IF(circ_int,0,eq_c2/2))+(PI()*(s_0+0*s_r+IF(circ_int,eq_c1/2,0))/2))+2*IF(circ_int,0,eq_c1/2))+(PI()*(s_0+0*s_r+IF(circ_int,eq_c1/2,0))/2)),-IF(circ_int,0,eq_c1/2)+(s_0+0*s_r+IF(circ_int,eq_c1/2,0))*COS(PI()/2+(((27+0.5)*(4*IF(circ_int,0,eq_c1/2)+4*IF(circ_int,0,eq_c2/2)+2*PI()*(s_0+0*s_r+IF(circ_int,eq_c1/2,0)))/INDEX(lk_legs,1))-(((2*IF(circ_int,0,eq_c2/2))+(PI()*(s_0+0*s_r+IF(circ_int,eq_c1/2,0))/2))+2*IF(circ_int,0,eq_c1/2)))/(s_0+0*s_r+IF(circ_int,eq_c1/2,0))),IF(((27+0.5)*(4*IF(circ_int,0,eq_c1/2)+4*IF(circ_int,0,eq_c2/2)+2*PI()*(s_0+0*s_r+IF(circ_int,eq_c1/2,0)))/INDEX(lk_legs,1))&lt;(((((2*IF(circ_int,0,eq_c2/2))+(PI()*(s_0+0*s_r+IF(circ_int,eq_c1/2,0))/2))+2*IF(circ_int,0,eq_c1/2))+(PI()*(s_0+0*s_r+IF(circ_int,eq_c1/2,0))/2))+2*IF(circ_int,0,eq_c2/2)),-IF(circ_int,0,eq_c1/2)-(s_0+0*s_r+IF(circ_int,eq_c1/2,0)),IF(((27+0.5)*(4*IF(circ_int,0,eq_c1/2)+4*IF(circ_int,0,eq_c2/2)+2*PI()*(s_0+0*s_r+IF(circ_int,eq_c1/2,0)))/INDEX(lk_legs,1))&lt;((((((2*IF(circ_int,0,eq_c2/2))+(PI()*(s_0+0*s_r+IF(circ_int,eq_c1/2,0))/2))+2*IF(circ_int,0,eq_c1/2))+(PI()*(s_0+0*s_r+IF(circ_int,eq_c1/2,0))/2))+2*IF(circ_int,0,eq_c2/2))+(PI()*(s_0+0*s_r+IF(circ_int,eq_c1/2,0))/2)),-IF(circ_int,0,eq_c1/2)+(s_0+0*s_r+IF(circ_int,eq_c1/2,0))*COS(PI()+(((27+0.5)*(4*IF(circ_int,0,eq_c1/2)+4*IF(circ_int,0,eq_c2/2)+2*PI()*(s_0+0*s_r+IF(circ_int,eq_c1/2,0)))/INDEX(lk_legs,1))-(((((2*IF(circ_int,0,eq_c2/2))+(PI()*(s_0+0*s_r+IF(circ_int,eq_c1/2,0))/2))+2*IF(circ_int,0,eq_c1/2))+(PI()*(s_0+0*s_r+IF(circ_int,eq_c1/2,0))/2))+2*IF(circ_int,0,eq_c2/2)))/(s_0+0*s_r+IF(circ_int,eq_c1/2,0))),IF(((27+0.5)*(4*IF(circ_int,0,eq_c1/2)+4*IF(circ_int,0,eq_c2/2)+2*PI()*(s_0+0*s_r+IF(circ_int,eq_c1/2,0)))/INDEX(lk_legs,1))&lt;(((((((2*IF(circ_int,0,eq_c2/2))+(PI()*(s_0+0*s_r+IF(circ_int,eq_c1/2,0))/2))+2*IF(circ_int,0,eq_c1/2))+(PI()*(s_0+0*s_r+IF(circ_int,eq_c1/2,0))/2))+2*IF(circ_int,0,eq_c2/2))+(PI()*(s_0+0*s_r+IF(circ_int,eq_c1/2,0))/2))+2*IF(circ_int,0,eq_c1/2)),-IF(circ_int,0,eq_c1/2)+(((27+0.5)*(4*IF(circ_int,0,eq_c1/2)+4*IF(circ_int,0,eq_c2/2)+2*PI()*(s_0+0*s_r+IF(circ_int,eq_c1/2,0)))/INDEX(lk_legs,1))-((((((2*IF(circ_int,0,eq_c2/2))+(PI()*(s_0+0*s_r+IF(circ_int,eq_c1/2,0))/2))+2*IF(circ_int,0,eq_c1/2))+(PI()*(s_0+0*s_r+IF(circ_int,eq_c1/2,0))/2))+2*IF(circ_int,0,eq_c2/2))+(PI()*(s_0+0*s_r+IF(circ_int,eq_c1/2,0))/2))),IF(circ_int,0,eq_c1/2)+(s_0+0*s_r+IF(circ_int,eq_c1/2,0))*COS(3*PI()/2+(((27+0.5)*(4*IF(circ_int,0,eq_c1/2)+4*IF(circ_int,0,eq_c2/2)+2*PI()*(s_0+0*s_r+IF(circ_int,eq_c1/2,0)))/INDEX(lk_legs,1))-(((((((2*IF(circ_int,0,eq_c2/2))+(PI()*(s_0+0*s_r+IF(circ_int,eq_c1/2,0))/2))+2*IF(circ_int,0,eq_c1/2))+(PI()*(s_0+0*s_r+IF(circ_int,eq_c1/2,0))/2))+2*IF(circ_int,0,eq_c2/2))+(PI()*(s_0+0*s_r+IF(circ_int,eq_c1/2,0))/2))+2*IF(circ_int,0,eq_c1/2)))/(s_0+0*s_r+IF(circ_int,eq_c1/2,0)))))))))),NA())</f>
        <v/>
      </c>
      <c r="BA30">
        <f>IF(AND(AND(links_on,1&lt;=n_per),INDEX(lk_kind,1)=1,27&lt;INDEX(lk_legs,1)),g_oy+IF(((27+0.5)*(4*IF(circ_int,0,eq_c1/2)+4*IF(circ_int,0,eq_c2/2)+2*PI()*(s_0+0*s_r+IF(circ_int,eq_c1/2,0)))/INDEX(lk_legs,1))&lt;(2*IF(circ_int,0,eq_c2/2)),-IF(circ_int,0,eq_c2/2)+((27+0.5)*(4*IF(circ_int,0,eq_c1/2)+4*IF(circ_int,0,eq_c2/2)+2*PI()*(s_0+0*s_r+IF(circ_int,eq_c1/2,0)))/INDEX(lk_legs,1)),IF(((27+0.5)*(4*IF(circ_int,0,eq_c1/2)+4*IF(circ_int,0,eq_c2/2)+2*PI()*(s_0+0*s_r+IF(circ_int,eq_c1/2,0)))/INDEX(lk_legs,1))&lt;((2*IF(circ_int,0,eq_c2/2))+(PI()*(s_0+0*s_r+IF(circ_int,eq_c1/2,0))/2)),IF(circ_int,0,eq_c2/2)+(s_0+0*s_r+IF(circ_int,eq_c1/2,0))*SIN((((27+0.5)*(4*IF(circ_int,0,eq_c1/2)+4*IF(circ_int,0,eq_c2/2)+2*PI()*(s_0+0*s_r+IF(circ_int,eq_c1/2,0)))/INDEX(lk_legs,1))-(2*IF(circ_int,0,eq_c2/2)))/(s_0+0*s_r+IF(circ_int,eq_c1/2,0))),IF(((27+0.5)*(4*IF(circ_int,0,eq_c1/2)+4*IF(circ_int,0,eq_c2/2)+2*PI()*(s_0+0*s_r+IF(circ_int,eq_c1/2,0)))/INDEX(lk_legs,1))&lt;(((2*IF(circ_int,0,eq_c2/2))+(PI()*(s_0+0*s_r+IF(circ_int,eq_c1/2,0))/2))+2*IF(circ_int,0,eq_c1/2)),IF(circ_int,0,eq_c2/2)+(s_0+0*s_r+IF(circ_int,eq_c1/2,0)),IF(((27+0.5)*(4*IF(circ_int,0,eq_c1/2)+4*IF(circ_int,0,eq_c2/2)+2*PI()*(s_0+0*s_r+IF(circ_int,eq_c1/2,0)))/INDEX(lk_legs,1))&lt;((((2*IF(circ_int,0,eq_c2/2))+(PI()*(s_0+0*s_r+IF(circ_int,eq_c1/2,0))/2))+2*IF(circ_int,0,eq_c1/2))+(PI()*(s_0+0*s_r+IF(circ_int,eq_c1/2,0))/2)),IF(circ_int,0,eq_c2/2)+(s_0+0*s_r+IF(circ_int,eq_c1/2,0))*SIN(PI()/2+(((27+0.5)*(4*IF(circ_int,0,eq_c1/2)+4*IF(circ_int,0,eq_c2/2)+2*PI()*(s_0+0*s_r+IF(circ_int,eq_c1/2,0)))/INDEX(lk_legs,1))-(((2*IF(circ_int,0,eq_c2/2))+(PI()*(s_0+0*s_r+IF(circ_int,eq_c1/2,0))/2))+2*IF(circ_int,0,eq_c1/2)))/(s_0+0*s_r+IF(circ_int,eq_c1/2,0))),IF(((27+0.5)*(4*IF(circ_int,0,eq_c1/2)+4*IF(circ_int,0,eq_c2/2)+2*PI()*(s_0+0*s_r+IF(circ_int,eq_c1/2,0)))/INDEX(lk_legs,1))&lt;(((((2*IF(circ_int,0,eq_c2/2))+(PI()*(s_0+0*s_r+IF(circ_int,eq_c1/2,0))/2))+2*IF(circ_int,0,eq_c1/2))+(PI()*(s_0+0*s_r+IF(circ_int,eq_c1/2,0))/2))+2*IF(circ_int,0,eq_c2/2)),IF(circ_int,0,eq_c2/2)-(((27+0.5)*(4*IF(circ_int,0,eq_c1/2)+4*IF(circ_int,0,eq_c2/2)+2*PI()*(s_0+0*s_r+IF(circ_int,eq_c1/2,0)))/INDEX(lk_legs,1))-((((2*IF(circ_int,0,eq_c2/2))+(PI()*(s_0+0*s_r+IF(circ_int,eq_c1/2,0))/2))+2*IF(circ_int,0,eq_c1/2))+(PI()*(s_0+0*s_r+IF(circ_int,eq_c1/2,0))/2))),IF(((27+0.5)*(4*IF(circ_int,0,eq_c1/2)+4*IF(circ_int,0,eq_c2/2)+2*PI()*(s_0+0*s_r+IF(circ_int,eq_c1/2,0)))/INDEX(lk_legs,1))&lt;((((((2*IF(circ_int,0,eq_c2/2))+(PI()*(s_0+0*s_r+IF(circ_int,eq_c1/2,0))/2))+2*IF(circ_int,0,eq_c1/2))+(PI()*(s_0+0*s_r+IF(circ_int,eq_c1/2,0))/2))+2*IF(circ_int,0,eq_c2/2))+(PI()*(s_0+0*s_r+IF(circ_int,eq_c1/2,0))/2)),-IF(circ_int,0,eq_c2/2)+(s_0+0*s_r+IF(circ_int,eq_c1/2,0))*SIN(PI()+(((27+0.5)*(4*IF(circ_int,0,eq_c1/2)+4*IF(circ_int,0,eq_c2/2)+2*PI()*(s_0+0*s_r+IF(circ_int,eq_c1/2,0)))/INDEX(lk_legs,1))-(((((2*IF(circ_int,0,eq_c2/2))+(PI()*(s_0+0*s_r+IF(circ_int,eq_c1/2,0))/2))+2*IF(circ_int,0,eq_c1/2))+(PI()*(s_0+0*s_r+IF(circ_int,eq_c1/2,0))/2))+2*IF(circ_int,0,eq_c2/2)))/(s_0+0*s_r+IF(circ_int,eq_c1/2,0))),IF(((27+0.5)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(27+0.5)*(4*IF(circ_int,0,eq_c1/2)+4*IF(circ_int,0,eq_c2/2)+2*PI()*(s_0+0*s_r+IF(circ_int,eq_c1/2,0)))/INDEX(lk_legs,1))-(((((((2*IF(circ_int,0,eq_c2/2))+(PI()*(s_0+0*s_r+IF(circ_int,eq_c1/2,0))/2))+2*IF(circ_int,0,eq_c1/2))+(PI()*(s_0+0*s_r+IF(circ_int,eq_c1/2,0))/2))+2*IF(circ_int,0,eq_c2/2))+(PI()*(s_0+0*s_r+IF(circ_int,eq_c1/2,0))/2))+2*IF(circ_int,0,eq_c1/2)))/(s_0+0*s_r+IF(circ_int,eq_c1/2,0)))))))))),NA())</f>
        <v/>
      </c>
      <c r="BC30">
        <f>IF(AND(links_on,2&lt;=n_per),IF(circ_int,(g_ox)+(c_1/2+(s_0+1*s_r))*-0.992709,CHOOSE(INDEX(lk_kind,2),(g_ox-eq_c1/2)+((s_0+1*s_r))*-0.991445,0,eq_a1+eq_c1+(s_0+1*s_r),eq_a1+eq_c1+(s_0+1*s_r))),NA())</f>
        <v/>
      </c>
      <c r="BD30">
        <f>IF(AND(links_on,2&lt;=n_per),IF(circ_int,(g_oy)+(c_1/2+(s_0+1*s_r))*-0.120537,CHOOSE(INDEX(lk_kind,2),(g_oy-eq_c2/2)+((s_0+1*s_r))*-0.130526,g_oy-eq_c2/2-(s_0+1*s_r),0,0)),NA())</f>
        <v/>
      </c>
      <c r="BF30">
        <f>IF(AND(AND(links_on,2&lt;=n_per),INDEX(lk_kind,2)=1,27&lt;INDEX(lk_legs,2)),g_ox+IF(((27+0.5)*(4*IF(circ_int,0,eq_c1/2)+4*IF(circ_int,0,eq_c2/2)+2*PI()*(s_0+1*s_r+IF(circ_int,eq_c1/2,0)))/INDEX(lk_legs,2))&lt;(2*IF(circ_int,0,eq_c2/2)),IF(circ_int,0,eq_c1/2)+(s_0+1*s_r+IF(circ_int,eq_c1/2,0)),IF(((27+0.5)*(4*IF(circ_int,0,eq_c1/2)+4*IF(circ_int,0,eq_c2/2)+2*PI()*(s_0+1*s_r+IF(circ_int,eq_c1/2,0)))/INDEX(lk_legs,2))&lt;((2*IF(circ_int,0,eq_c2/2))+(PI()*(s_0+1*s_r+IF(circ_int,eq_c1/2,0))/2)),IF(circ_int,0,eq_c1/2)+(s_0+1*s_r+IF(circ_int,eq_c1/2,0))*COS((((27+0.5)*(4*IF(circ_int,0,eq_c1/2)+4*IF(circ_int,0,eq_c2/2)+2*PI()*(s_0+1*s_r+IF(circ_int,eq_c1/2,0)))/INDEX(lk_legs,2))-(2*IF(circ_int,0,eq_c2/2)))/(s_0+1*s_r+IF(circ_int,eq_c1/2,0))),IF(((27+0.5)*(4*IF(circ_int,0,eq_c1/2)+4*IF(circ_int,0,eq_c2/2)+2*PI()*(s_0+1*s_r+IF(circ_int,eq_c1/2,0)))/INDEX(lk_legs,2))&lt;(((2*IF(circ_int,0,eq_c2/2))+(PI()*(s_0+1*s_r+IF(circ_int,eq_c1/2,0))/2))+2*IF(circ_int,0,eq_c1/2)),IF(circ_int,0,eq_c1/2)-(((27+0.5)*(4*IF(circ_int,0,eq_c1/2)+4*IF(circ_int,0,eq_c2/2)+2*PI()*(s_0+1*s_r+IF(circ_int,eq_c1/2,0)))/INDEX(lk_legs,2))-((2*IF(circ_int,0,eq_c2/2))+(PI()*(s_0+1*s_r+IF(circ_int,eq_c1/2,0))/2))),IF(((27+0.5)*(4*IF(circ_int,0,eq_c1/2)+4*IF(circ_int,0,eq_c2/2)+2*PI()*(s_0+1*s_r+IF(circ_int,eq_c1/2,0)))/INDEX(lk_legs,2))&lt;((((2*IF(circ_int,0,eq_c2/2))+(PI()*(s_0+1*s_r+IF(circ_int,eq_c1/2,0))/2))+2*IF(circ_int,0,eq_c1/2))+(PI()*(s_0+1*s_r+IF(circ_int,eq_c1/2,0))/2)),-IF(circ_int,0,eq_c1/2)+(s_0+1*s_r+IF(circ_int,eq_c1/2,0))*COS(PI()/2+(((27+0.5)*(4*IF(circ_int,0,eq_c1/2)+4*IF(circ_int,0,eq_c2/2)+2*PI()*(s_0+1*s_r+IF(circ_int,eq_c1/2,0)))/INDEX(lk_legs,2))-(((2*IF(circ_int,0,eq_c2/2))+(PI()*(s_0+1*s_r+IF(circ_int,eq_c1/2,0))/2))+2*IF(circ_int,0,eq_c1/2)))/(s_0+1*s_r+IF(circ_int,eq_c1/2,0))),IF(((27+0.5)*(4*IF(circ_int,0,eq_c1/2)+4*IF(circ_int,0,eq_c2/2)+2*PI()*(s_0+1*s_r+IF(circ_int,eq_c1/2,0)))/INDEX(lk_legs,2))&lt;(((((2*IF(circ_int,0,eq_c2/2))+(PI()*(s_0+1*s_r+IF(circ_int,eq_c1/2,0))/2))+2*IF(circ_int,0,eq_c1/2))+(PI()*(s_0+1*s_r+IF(circ_int,eq_c1/2,0))/2))+2*IF(circ_int,0,eq_c2/2)),-IF(circ_int,0,eq_c1/2)-(s_0+1*s_r+IF(circ_int,eq_c1/2,0)),IF(((27+0.5)*(4*IF(circ_int,0,eq_c1/2)+4*IF(circ_int,0,eq_c2/2)+2*PI()*(s_0+1*s_r+IF(circ_int,eq_c1/2,0)))/INDEX(lk_legs,2))&lt;((((((2*IF(circ_int,0,eq_c2/2))+(PI()*(s_0+1*s_r+IF(circ_int,eq_c1/2,0))/2))+2*IF(circ_int,0,eq_c1/2))+(PI()*(s_0+1*s_r+IF(circ_int,eq_c1/2,0))/2))+2*IF(circ_int,0,eq_c2/2))+(PI()*(s_0+1*s_r+IF(circ_int,eq_c1/2,0))/2)),-IF(circ_int,0,eq_c1/2)+(s_0+1*s_r+IF(circ_int,eq_c1/2,0))*COS(PI()+(((27+0.5)*(4*IF(circ_int,0,eq_c1/2)+4*IF(circ_int,0,eq_c2/2)+2*PI()*(s_0+1*s_r+IF(circ_int,eq_c1/2,0)))/INDEX(lk_legs,2))-(((((2*IF(circ_int,0,eq_c2/2))+(PI()*(s_0+1*s_r+IF(circ_int,eq_c1/2,0))/2))+2*IF(circ_int,0,eq_c1/2))+(PI()*(s_0+1*s_r+IF(circ_int,eq_c1/2,0))/2))+2*IF(circ_int,0,eq_c2/2)))/(s_0+1*s_r+IF(circ_int,eq_c1/2,0))),IF(((27+0.5)*(4*IF(circ_int,0,eq_c1/2)+4*IF(circ_int,0,eq_c2/2)+2*PI()*(s_0+1*s_r+IF(circ_int,eq_c1/2,0)))/INDEX(lk_legs,2))&lt;(((((((2*IF(circ_int,0,eq_c2/2))+(PI()*(s_0+1*s_r+IF(circ_int,eq_c1/2,0))/2))+2*IF(circ_int,0,eq_c1/2))+(PI()*(s_0+1*s_r+IF(circ_int,eq_c1/2,0))/2))+2*IF(circ_int,0,eq_c2/2))+(PI()*(s_0+1*s_r+IF(circ_int,eq_c1/2,0))/2))+2*IF(circ_int,0,eq_c1/2)),-IF(circ_int,0,eq_c1/2)+(((27+0.5)*(4*IF(circ_int,0,eq_c1/2)+4*IF(circ_int,0,eq_c2/2)+2*PI()*(s_0+1*s_r+IF(circ_int,eq_c1/2,0)))/INDEX(lk_legs,2))-((((((2*IF(circ_int,0,eq_c2/2))+(PI()*(s_0+1*s_r+IF(circ_int,eq_c1/2,0))/2))+2*IF(circ_int,0,eq_c1/2))+(PI()*(s_0+1*s_r+IF(circ_int,eq_c1/2,0))/2))+2*IF(circ_int,0,eq_c2/2))+(PI()*(s_0+1*s_r+IF(circ_int,eq_c1/2,0))/2))),IF(circ_int,0,eq_c1/2)+(s_0+1*s_r+IF(circ_int,eq_c1/2,0))*COS(3*PI()/2+(((27+0.5)*(4*IF(circ_int,0,eq_c1/2)+4*IF(circ_int,0,eq_c2/2)+2*PI()*(s_0+1*s_r+IF(circ_int,eq_c1/2,0)))/INDEX(lk_legs,2))-(((((((2*IF(circ_int,0,eq_c2/2))+(PI()*(s_0+1*s_r+IF(circ_int,eq_c1/2,0))/2))+2*IF(circ_int,0,eq_c1/2))+(PI()*(s_0+1*s_r+IF(circ_int,eq_c1/2,0))/2))+2*IF(circ_int,0,eq_c2/2))+(PI()*(s_0+1*s_r+IF(circ_int,eq_c1/2,0))/2))+2*IF(circ_int,0,eq_c1/2)))/(s_0+1*s_r+IF(circ_int,eq_c1/2,0)))))))))),NA())</f>
        <v/>
      </c>
      <c r="BG30">
        <f>IF(AND(AND(links_on,2&lt;=n_per),INDEX(lk_kind,2)=1,27&lt;INDEX(lk_legs,2)),g_oy+IF(((27+0.5)*(4*IF(circ_int,0,eq_c1/2)+4*IF(circ_int,0,eq_c2/2)+2*PI()*(s_0+1*s_r+IF(circ_int,eq_c1/2,0)))/INDEX(lk_legs,2))&lt;(2*IF(circ_int,0,eq_c2/2)),-IF(circ_int,0,eq_c2/2)+((27+0.5)*(4*IF(circ_int,0,eq_c1/2)+4*IF(circ_int,0,eq_c2/2)+2*PI()*(s_0+1*s_r+IF(circ_int,eq_c1/2,0)))/INDEX(lk_legs,2)),IF(((27+0.5)*(4*IF(circ_int,0,eq_c1/2)+4*IF(circ_int,0,eq_c2/2)+2*PI()*(s_0+1*s_r+IF(circ_int,eq_c1/2,0)))/INDEX(lk_legs,2))&lt;((2*IF(circ_int,0,eq_c2/2))+(PI()*(s_0+1*s_r+IF(circ_int,eq_c1/2,0))/2)),IF(circ_int,0,eq_c2/2)+(s_0+1*s_r+IF(circ_int,eq_c1/2,0))*SIN((((27+0.5)*(4*IF(circ_int,0,eq_c1/2)+4*IF(circ_int,0,eq_c2/2)+2*PI()*(s_0+1*s_r+IF(circ_int,eq_c1/2,0)))/INDEX(lk_legs,2))-(2*IF(circ_int,0,eq_c2/2)))/(s_0+1*s_r+IF(circ_int,eq_c1/2,0))),IF(((27+0.5)*(4*IF(circ_int,0,eq_c1/2)+4*IF(circ_int,0,eq_c2/2)+2*PI()*(s_0+1*s_r+IF(circ_int,eq_c1/2,0)))/INDEX(lk_legs,2))&lt;(((2*IF(circ_int,0,eq_c2/2))+(PI()*(s_0+1*s_r+IF(circ_int,eq_c1/2,0))/2))+2*IF(circ_int,0,eq_c1/2)),IF(circ_int,0,eq_c2/2)+(s_0+1*s_r+IF(circ_int,eq_c1/2,0)),IF(((27+0.5)*(4*IF(circ_int,0,eq_c1/2)+4*IF(circ_int,0,eq_c2/2)+2*PI()*(s_0+1*s_r+IF(circ_int,eq_c1/2,0)))/INDEX(lk_legs,2))&lt;((((2*IF(circ_int,0,eq_c2/2))+(PI()*(s_0+1*s_r+IF(circ_int,eq_c1/2,0))/2))+2*IF(circ_int,0,eq_c1/2))+(PI()*(s_0+1*s_r+IF(circ_int,eq_c1/2,0))/2)),IF(circ_int,0,eq_c2/2)+(s_0+1*s_r+IF(circ_int,eq_c1/2,0))*SIN(PI()/2+(((27+0.5)*(4*IF(circ_int,0,eq_c1/2)+4*IF(circ_int,0,eq_c2/2)+2*PI()*(s_0+1*s_r+IF(circ_int,eq_c1/2,0)))/INDEX(lk_legs,2))-(((2*IF(circ_int,0,eq_c2/2))+(PI()*(s_0+1*s_r+IF(circ_int,eq_c1/2,0))/2))+2*IF(circ_int,0,eq_c1/2)))/(s_0+1*s_r+IF(circ_int,eq_c1/2,0))),IF(((27+0.5)*(4*IF(circ_int,0,eq_c1/2)+4*IF(circ_int,0,eq_c2/2)+2*PI()*(s_0+1*s_r+IF(circ_int,eq_c1/2,0)))/INDEX(lk_legs,2))&lt;(((((2*IF(circ_int,0,eq_c2/2))+(PI()*(s_0+1*s_r+IF(circ_int,eq_c1/2,0))/2))+2*IF(circ_int,0,eq_c1/2))+(PI()*(s_0+1*s_r+IF(circ_int,eq_c1/2,0))/2))+2*IF(circ_int,0,eq_c2/2)),IF(circ_int,0,eq_c2/2)-(((27+0.5)*(4*IF(circ_int,0,eq_c1/2)+4*IF(circ_int,0,eq_c2/2)+2*PI()*(s_0+1*s_r+IF(circ_int,eq_c1/2,0)))/INDEX(lk_legs,2))-((((2*IF(circ_int,0,eq_c2/2))+(PI()*(s_0+1*s_r+IF(circ_int,eq_c1/2,0))/2))+2*IF(circ_int,0,eq_c1/2))+(PI()*(s_0+1*s_r+IF(circ_int,eq_c1/2,0))/2))),IF(((27+0.5)*(4*IF(circ_int,0,eq_c1/2)+4*IF(circ_int,0,eq_c2/2)+2*PI()*(s_0+1*s_r+IF(circ_int,eq_c1/2,0)))/INDEX(lk_legs,2))&lt;((((((2*IF(circ_int,0,eq_c2/2))+(PI()*(s_0+1*s_r+IF(circ_int,eq_c1/2,0))/2))+2*IF(circ_int,0,eq_c1/2))+(PI()*(s_0+1*s_r+IF(circ_int,eq_c1/2,0))/2))+2*IF(circ_int,0,eq_c2/2))+(PI()*(s_0+1*s_r+IF(circ_int,eq_c1/2,0))/2)),-IF(circ_int,0,eq_c2/2)+(s_0+1*s_r+IF(circ_int,eq_c1/2,0))*SIN(PI()+(((27+0.5)*(4*IF(circ_int,0,eq_c1/2)+4*IF(circ_int,0,eq_c2/2)+2*PI()*(s_0+1*s_r+IF(circ_int,eq_c1/2,0)))/INDEX(lk_legs,2))-(((((2*IF(circ_int,0,eq_c2/2))+(PI()*(s_0+1*s_r+IF(circ_int,eq_c1/2,0))/2))+2*IF(circ_int,0,eq_c1/2))+(PI()*(s_0+1*s_r+IF(circ_int,eq_c1/2,0))/2))+2*IF(circ_int,0,eq_c2/2)))/(s_0+1*s_r+IF(circ_int,eq_c1/2,0))),IF(((27+0.5)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(27+0.5)*(4*IF(circ_int,0,eq_c1/2)+4*IF(circ_int,0,eq_c2/2)+2*PI()*(s_0+1*s_r+IF(circ_int,eq_c1/2,0)))/INDEX(lk_legs,2))-(((((((2*IF(circ_int,0,eq_c2/2))+(PI()*(s_0+1*s_r+IF(circ_int,eq_c1/2,0))/2))+2*IF(circ_int,0,eq_c1/2))+(PI()*(s_0+1*s_r+IF(circ_int,eq_c1/2,0))/2))+2*IF(circ_int,0,eq_c2/2))+(PI()*(s_0+1*s_r+IF(circ_int,eq_c1/2,0))/2))+2*IF(circ_int,0,eq_c1/2)))/(s_0+1*s_r+IF(circ_int,eq_c1/2,0)))))))))),NA())</f>
        <v/>
      </c>
      <c r="BI30">
        <f>IF(AND(links_on,3&lt;=n_per),IF(circ_int,(g_ox)+(c_1/2+(s_0+2*s_r))*-0.992709,CHOOSE(INDEX(lk_kind,3),(g_ox-eq_c1/2)+((s_0+2*s_r))*-0.991445,0,eq_a1+eq_c1+(s_0+2*s_r),eq_a1+eq_c1+(s_0+2*s_r))),NA())</f>
        <v/>
      </c>
      <c r="BJ30">
        <f>IF(AND(links_on,3&lt;=n_per),IF(circ_int,(g_oy)+(c_1/2+(s_0+2*s_r))*-0.120537,CHOOSE(INDEX(lk_kind,3),(g_oy-eq_c2/2)+((s_0+2*s_r))*-0.130526,g_oy-eq_c2/2-(s_0+2*s_r),0,0)),NA())</f>
        <v/>
      </c>
      <c r="BL30">
        <f>IF(AND(AND(links_on,3&lt;=n_per),INDEX(lk_kind,3)=1,27&lt;INDEX(lk_legs,3)),g_ox+IF(((27+0.5)*(4*IF(circ_int,0,eq_c1/2)+4*IF(circ_int,0,eq_c2/2)+2*PI()*(s_0+2*s_r+IF(circ_int,eq_c1/2,0)))/INDEX(lk_legs,3))&lt;(2*IF(circ_int,0,eq_c2/2)),IF(circ_int,0,eq_c1/2)+(s_0+2*s_r+IF(circ_int,eq_c1/2,0)),IF(((27+0.5)*(4*IF(circ_int,0,eq_c1/2)+4*IF(circ_int,0,eq_c2/2)+2*PI()*(s_0+2*s_r+IF(circ_int,eq_c1/2,0)))/INDEX(lk_legs,3))&lt;((2*IF(circ_int,0,eq_c2/2))+(PI()*(s_0+2*s_r+IF(circ_int,eq_c1/2,0))/2)),IF(circ_int,0,eq_c1/2)+(s_0+2*s_r+IF(circ_int,eq_c1/2,0))*COS((((27+0.5)*(4*IF(circ_int,0,eq_c1/2)+4*IF(circ_int,0,eq_c2/2)+2*PI()*(s_0+2*s_r+IF(circ_int,eq_c1/2,0)))/INDEX(lk_legs,3))-(2*IF(circ_int,0,eq_c2/2)))/(s_0+2*s_r+IF(circ_int,eq_c1/2,0))),IF(((27+0.5)*(4*IF(circ_int,0,eq_c1/2)+4*IF(circ_int,0,eq_c2/2)+2*PI()*(s_0+2*s_r+IF(circ_int,eq_c1/2,0)))/INDEX(lk_legs,3))&lt;(((2*IF(circ_int,0,eq_c2/2))+(PI()*(s_0+2*s_r+IF(circ_int,eq_c1/2,0))/2))+2*IF(circ_int,0,eq_c1/2)),IF(circ_int,0,eq_c1/2)-(((27+0.5)*(4*IF(circ_int,0,eq_c1/2)+4*IF(circ_int,0,eq_c2/2)+2*PI()*(s_0+2*s_r+IF(circ_int,eq_c1/2,0)))/INDEX(lk_legs,3))-((2*IF(circ_int,0,eq_c2/2))+(PI()*(s_0+2*s_r+IF(circ_int,eq_c1/2,0))/2))),IF(((27+0.5)*(4*IF(circ_int,0,eq_c1/2)+4*IF(circ_int,0,eq_c2/2)+2*PI()*(s_0+2*s_r+IF(circ_int,eq_c1/2,0)))/INDEX(lk_legs,3))&lt;((((2*IF(circ_int,0,eq_c2/2))+(PI()*(s_0+2*s_r+IF(circ_int,eq_c1/2,0))/2))+2*IF(circ_int,0,eq_c1/2))+(PI()*(s_0+2*s_r+IF(circ_int,eq_c1/2,0))/2)),-IF(circ_int,0,eq_c1/2)+(s_0+2*s_r+IF(circ_int,eq_c1/2,0))*COS(PI()/2+(((27+0.5)*(4*IF(circ_int,0,eq_c1/2)+4*IF(circ_int,0,eq_c2/2)+2*PI()*(s_0+2*s_r+IF(circ_int,eq_c1/2,0)))/INDEX(lk_legs,3))-(((2*IF(circ_int,0,eq_c2/2))+(PI()*(s_0+2*s_r+IF(circ_int,eq_c1/2,0))/2))+2*IF(circ_int,0,eq_c1/2)))/(s_0+2*s_r+IF(circ_int,eq_c1/2,0))),IF(((27+0.5)*(4*IF(circ_int,0,eq_c1/2)+4*IF(circ_int,0,eq_c2/2)+2*PI()*(s_0+2*s_r+IF(circ_int,eq_c1/2,0)))/INDEX(lk_legs,3))&lt;(((((2*IF(circ_int,0,eq_c2/2))+(PI()*(s_0+2*s_r+IF(circ_int,eq_c1/2,0))/2))+2*IF(circ_int,0,eq_c1/2))+(PI()*(s_0+2*s_r+IF(circ_int,eq_c1/2,0))/2))+2*IF(circ_int,0,eq_c2/2)),-IF(circ_int,0,eq_c1/2)-(s_0+2*s_r+IF(circ_int,eq_c1/2,0)),IF(((27+0.5)*(4*IF(circ_int,0,eq_c1/2)+4*IF(circ_int,0,eq_c2/2)+2*PI()*(s_0+2*s_r+IF(circ_int,eq_c1/2,0)))/INDEX(lk_legs,3))&lt;((((((2*IF(circ_int,0,eq_c2/2))+(PI()*(s_0+2*s_r+IF(circ_int,eq_c1/2,0))/2))+2*IF(circ_int,0,eq_c1/2))+(PI()*(s_0+2*s_r+IF(circ_int,eq_c1/2,0))/2))+2*IF(circ_int,0,eq_c2/2))+(PI()*(s_0+2*s_r+IF(circ_int,eq_c1/2,0))/2)),-IF(circ_int,0,eq_c1/2)+(s_0+2*s_r+IF(circ_int,eq_c1/2,0))*COS(PI()+(((27+0.5)*(4*IF(circ_int,0,eq_c1/2)+4*IF(circ_int,0,eq_c2/2)+2*PI()*(s_0+2*s_r+IF(circ_int,eq_c1/2,0)))/INDEX(lk_legs,3))-(((((2*IF(circ_int,0,eq_c2/2))+(PI()*(s_0+2*s_r+IF(circ_int,eq_c1/2,0))/2))+2*IF(circ_int,0,eq_c1/2))+(PI()*(s_0+2*s_r+IF(circ_int,eq_c1/2,0))/2))+2*IF(circ_int,0,eq_c2/2)))/(s_0+2*s_r+IF(circ_int,eq_c1/2,0))),IF(((27+0.5)*(4*IF(circ_int,0,eq_c1/2)+4*IF(circ_int,0,eq_c2/2)+2*PI()*(s_0+2*s_r+IF(circ_int,eq_c1/2,0)))/INDEX(lk_legs,3))&lt;(((((((2*IF(circ_int,0,eq_c2/2))+(PI()*(s_0+2*s_r+IF(circ_int,eq_c1/2,0))/2))+2*IF(circ_int,0,eq_c1/2))+(PI()*(s_0+2*s_r+IF(circ_int,eq_c1/2,0))/2))+2*IF(circ_int,0,eq_c2/2))+(PI()*(s_0+2*s_r+IF(circ_int,eq_c1/2,0))/2))+2*IF(circ_int,0,eq_c1/2)),-IF(circ_int,0,eq_c1/2)+(((27+0.5)*(4*IF(circ_int,0,eq_c1/2)+4*IF(circ_int,0,eq_c2/2)+2*PI()*(s_0+2*s_r+IF(circ_int,eq_c1/2,0)))/INDEX(lk_legs,3))-((((((2*IF(circ_int,0,eq_c2/2))+(PI()*(s_0+2*s_r+IF(circ_int,eq_c1/2,0))/2))+2*IF(circ_int,0,eq_c1/2))+(PI()*(s_0+2*s_r+IF(circ_int,eq_c1/2,0))/2))+2*IF(circ_int,0,eq_c2/2))+(PI()*(s_0+2*s_r+IF(circ_int,eq_c1/2,0))/2))),IF(circ_int,0,eq_c1/2)+(s_0+2*s_r+IF(circ_int,eq_c1/2,0))*COS(3*PI()/2+(((27+0.5)*(4*IF(circ_int,0,eq_c1/2)+4*IF(circ_int,0,eq_c2/2)+2*PI()*(s_0+2*s_r+IF(circ_int,eq_c1/2,0)))/INDEX(lk_legs,3))-(((((((2*IF(circ_int,0,eq_c2/2))+(PI()*(s_0+2*s_r+IF(circ_int,eq_c1/2,0))/2))+2*IF(circ_int,0,eq_c1/2))+(PI()*(s_0+2*s_r+IF(circ_int,eq_c1/2,0))/2))+2*IF(circ_int,0,eq_c2/2))+(PI()*(s_0+2*s_r+IF(circ_int,eq_c1/2,0))/2))+2*IF(circ_int,0,eq_c1/2)))/(s_0+2*s_r+IF(circ_int,eq_c1/2,0)))))))))),NA())</f>
        <v/>
      </c>
      <c r="BM30">
        <f>IF(AND(AND(links_on,3&lt;=n_per),INDEX(lk_kind,3)=1,27&lt;INDEX(lk_legs,3)),g_oy+IF(((27+0.5)*(4*IF(circ_int,0,eq_c1/2)+4*IF(circ_int,0,eq_c2/2)+2*PI()*(s_0+2*s_r+IF(circ_int,eq_c1/2,0)))/INDEX(lk_legs,3))&lt;(2*IF(circ_int,0,eq_c2/2)),-IF(circ_int,0,eq_c2/2)+((27+0.5)*(4*IF(circ_int,0,eq_c1/2)+4*IF(circ_int,0,eq_c2/2)+2*PI()*(s_0+2*s_r+IF(circ_int,eq_c1/2,0)))/INDEX(lk_legs,3)),IF(((27+0.5)*(4*IF(circ_int,0,eq_c1/2)+4*IF(circ_int,0,eq_c2/2)+2*PI()*(s_0+2*s_r+IF(circ_int,eq_c1/2,0)))/INDEX(lk_legs,3))&lt;((2*IF(circ_int,0,eq_c2/2))+(PI()*(s_0+2*s_r+IF(circ_int,eq_c1/2,0))/2)),IF(circ_int,0,eq_c2/2)+(s_0+2*s_r+IF(circ_int,eq_c1/2,0))*SIN((((27+0.5)*(4*IF(circ_int,0,eq_c1/2)+4*IF(circ_int,0,eq_c2/2)+2*PI()*(s_0+2*s_r+IF(circ_int,eq_c1/2,0)))/INDEX(lk_legs,3))-(2*IF(circ_int,0,eq_c2/2)))/(s_0+2*s_r+IF(circ_int,eq_c1/2,0))),IF(((27+0.5)*(4*IF(circ_int,0,eq_c1/2)+4*IF(circ_int,0,eq_c2/2)+2*PI()*(s_0+2*s_r+IF(circ_int,eq_c1/2,0)))/INDEX(lk_legs,3))&lt;(((2*IF(circ_int,0,eq_c2/2))+(PI()*(s_0+2*s_r+IF(circ_int,eq_c1/2,0))/2))+2*IF(circ_int,0,eq_c1/2)),IF(circ_int,0,eq_c2/2)+(s_0+2*s_r+IF(circ_int,eq_c1/2,0)),IF(((27+0.5)*(4*IF(circ_int,0,eq_c1/2)+4*IF(circ_int,0,eq_c2/2)+2*PI()*(s_0+2*s_r+IF(circ_int,eq_c1/2,0)))/INDEX(lk_legs,3))&lt;((((2*IF(circ_int,0,eq_c2/2))+(PI()*(s_0+2*s_r+IF(circ_int,eq_c1/2,0))/2))+2*IF(circ_int,0,eq_c1/2))+(PI()*(s_0+2*s_r+IF(circ_int,eq_c1/2,0))/2)),IF(circ_int,0,eq_c2/2)+(s_0+2*s_r+IF(circ_int,eq_c1/2,0))*SIN(PI()/2+(((27+0.5)*(4*IF(circ_int,0,eq_c1/2)+4*IF(circ_int,0,eq_c2/2)+2*PI()*(s_0+2*s_r+IF(circ_int,eq_c1/2,0)))/INDEX(lk_legs,3))-(((2*IF(circ_int,0,eq_c2/2))+(PI()*(s_0+2*s_r+IF(circ_int,eq_c1/2,0))/2))+2*IF(circ_int,0,eq_c1/2)))/(s_0+2*s_r+IF(circ_int,eq_c1/2,0))),IF(((27+0.5)*(4*IF(circ_int,0,eq_c1/2)+4*IF(circ_int,0,eq_c2/2)+2*PI()*(s_0+2*s_r+IF(circ_int,eq_c1/2,0)))/INDEX(lk_legs,3))&lt;(((((2*IF(circ_int,0,eq_c2/2))+(PI()*(s_0+2*s_r+IF(circ_int,eq_c1/2,0))/2))+2*IF(circ_int,0,eq_c1/2))+(PI()*(s_0+2*s_r+IF(circ_int,eq_c1/2,0))/2))+2*IF(circ_int,0,eq_c2/2)),IF(circ_int,0,eq_c2/2)-(((27+0.5)*(4*IF(circ_int,0,eq_c1/2)+4*IF(circ_int,0,eq_c2/2)+2*PI()*(s_0+2*s_r+IF(circ_int,eq_c1/2,0)))/INDEX(lk_legs,3))-((((2*IF(circ_int,0,eq_c2/2))+(PI()*(s_0+2*s_r+IF(circ_int,eq_c1/2,0))/2))+2*IF(circ_int,0,eq_c1/2))+(PI()*(s_0+2*s_r+IF(circ_int,eq_c1/2,0))/2))),IF(((27+0.5)*(4*IF(circ_int,0,eq_c1/2)+4*IF(circ_int,0,eq_c2/2)+2*PI()*(s_0+2*s_r+IF(circ_int,eq_c1/2,0)))/INDEX(lk_legs,3))&lt;((((((2*IF(circ_int,0,eq_c2/2))+(PI()*(s_0+2*s_r+IF(circ_int,eq_c1/2,0))/2))+2*IF(circ_int,0,eq_c1/2))+(PI()*(s_0+2*s_r+IF(circ_int,eq_c1/2,0))/2))+2*IF(circ_int,0,eq_c2/2))+(PI()*(s_0+2*s_r+IF(circ_int,eq_c1/2,0))/2)),-IF(circ_int,0,eq_c2/2)+(s_0+2*s_r+IF(circ_int,eq_c1/2,0))*SIN(PI()+(((27+0.5)*(4*IF(circ_int,0,eq_c1/2)+4*IF(circ_int,0,eq_c2/2)+2*PI()*(s_0+2*s_r+IF(circ_int,eq_c1/2,0)))/INDEX(lk_legs,3))-(((((2*IF(circ_int,0,eq_c2/2))+(PI()*(s_0+2*s_r+IF(circ_int,eq_c1/2,0))/2))+2*IF(circ_int,0,eq_c1/2))+(PI()*(s_0+2*s_r+IF(circ_int,eq_c1/2,0))/2))+2*IF(circ_int,0,eq_c2/2)))/(s_0+2*s_r+IF(circ_int,eq_c1/2,0))),IF(((27+0.5)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(27+0.5)*(4*IF(circ_int,0,eq_c1/2)+4*IF(circ_int,0,eq_c2/2)+2*PI()*(s_0+2*s_r+IF(circ_int,eq_c1/2,0)))/INDEX(lk_legs,3))-(((((((2*IF(circ_int,0,eq_c2/2))+(PI()*(s_0+2*s_r+IF(circ_int,eq_c1/2,0))/2))+2*IF(circ_int,0,eq_c1/2))+(PI()*(s_0+2*s_r+IF(circ_int,eq_c1/2,0))/2))+2*IF(circ_int,0,eq_c2/2))+(PI()*(s_0+2*s_r+IF(circ_int,eq_c1/2,0))/2))+2*IF(circ_int,0,eq_c1/2)))/(s_0+2*s_r+IF(circ_int,eq_c1/2,0)))))))))),NA())</f>
        <v/>
      </c>
      <c r="BO30">
        <f>IF(AND(links_on,4&lt;=n_per),IF(circ_int,(g_ox)+(c_1/2+(s_0+3*s_r))*-0.992709,CHOOSE(INDEX(lk_kind,4),(g_ox-eq_c1/2)+((s_0+3*s_r))*-0.991445,0,eq_a1+eq_c1+(s_0+3*s_r),eq_a1+eq_c1+(s_0+3*s_r))),NA())</f>
        <v/>
      </c>
      <c r="BP30">
        <f>IF(AND(links_on,4&lt;=n_per),IF(circ_int,(g_oy)+(c_1/2+(s_0+3*s_r))*-0.120537,CHOOSE(INDEX(lk_kind,4),(g_oy-eq_c2/2)+((s_0+3*s_r))*-0.130526,g_oy-eq_c2/2-(s_0+3*s_r),0,0)),NA())</f>
        <v/>
      </c>
      <c r="BR30">
        <f>IF(AND(AND(links_on,4&lt;=n_per),INDEX(lk_kind,4)=1,27&lt;INDEX(lk_legs,4)),g_ox+IF(((27+0.5)*(4*IF(circ_int,0,eq_c1/2)+4*IF(circ_int,0,eq_c2/2)+2*PI()*(s_0+3*s_r+IF(circ_int,eq_c1/2,0)))/INDEX(lk_legs,4))&lt;(2*IF(circ_int,0,eq_c2/2)),IF(circ_int,0,eq_c1/2)+(s_0+3*s_r+IF(circ_int,eq_c1/2,0)),IF(((27+0.5)*(4*IF(circ_int,0,eq_c1/2)+4*IF(circ_int,0,eq_c2/2)+2*PI()*(s_0+3*s_r+IF(circ_int,eq_c1/2,0)))/INDEX(lk_legs,4))&lt;((2*IF(circ_int,0,eq_c2/2))+(PI()*(s_0+3*s_r+IF(circ_int,eq_c1/2,0))/2)),IF(circ_int,0,eq_c1/2)+(s_0+3*s_r+IF(circ_int,eq_c1/2,0))*COS((((27+0.5)*(4*IF(circ_int,0,eq_c1/2)+4*IF(circ_int,0,eq_c2/2)+2*PI()*(s_0+3*s_r+IF(circ_int,eq_c1/2,0)))/INDEX(lk_legs,4))-(2*IF(circ_int,0,eq_c2/2)))/(s_0+3*s_r+IF(circ_int,eq_c1/2,0))),IF(((27+0.5)*(4*IF(circ_int,0,eq_c1/2)+4*IF(circ_int,0,eq_c2/2)+2*PI()*(s_0+3*s_r+IF(circ_int,eq_c1/2,0)))/INDEX(lk_legs,4))&lt;(((2*IF(circ_int,0,eq_c2/2))+(PI()*(s_0+3*s_r+IF(circ_int,eq_c1/2,0))/2))+2*IF(circ_int,0,eq_c1/2)),IF(circ_int,0,eq_c1/2)-(((27+0.5)*(4*IF(circ_int,0,eq_c1/2)+4*IF(circ_int,0,eq_c2/2)+2*PI()*(s_0+3*s_r+IF(circ_int,eq_c1/2,0)))/INDEX(lk_legs,4))-((2*IF(circ_int,0,eq_c2/2))+(PI()*(s_0+3*s_r+IF(circ_int,eq_c1/2,0))/2))),IF(((27+0.5)*(4*IF(circ_int,0,eq_c1/2)+4*IF(circ_int,0,eq_c2/2)+2*PI()*(s_0+3*s_r+IF(circ_int,eq_c1/2,0)))/INDEX(lk_legs,4))&lt;((((2*IF(circ_int,0,eq_c2/2))+(PI()*(s_0+3*s_r+IF(circ_int,eq_c1/2,0))/2))+2*IF(circ_int,0,eq_c1/2))+(PI()*(s_0+3*s_r+IF(circ_int,eq_c1/2,0))/2)),-IF(circ_int,0,eq_c1/2)+(s_0+3*s_r+IF(circ_int,eq_c1/2,0))*COS(PI()/2+(((27+0.5)*(4*IF(circ_int,0,eq_c1/2)+4*IF(circ_int,0,eq_c2/2)+2*PI()*(s_0+3*s_r+IF(circ_int,eq_c1/2,0)))/INDEX(lk_legs,4))-(((2*IF(circ_int,0,eq_c2/2))+(PI()*(s_0+3*s_r+IF(circ_int,eq_c1/2,0))/2))+2*IF(circ_int,0,eq_c1/2)))/(s_0+3*s_r+IF(circ_int,eq_c1/2,0))),IF(((27+0.5)*(4*IF(circ_int,0,eq_c1/2)+4*IF(circ_int,0,eq_c2/2)+2*PI()*(s_0+3*s_r+IF(circ_int,eq_c1/2,0)))/INDEX(lk_legs,4))&lt;(((((2*IF(circ_int,0,eq_c2/2))+(PI()*(s_0+3*s_r+IF(circ_int,eq_c1/2,0))/2))+2*IF(circ_int,0,eq_c1/2))+(PI()*(s_0+3*s_r+IF(circ_int,eq_c1/2,0))/2))+2*IF(circ_int,0,eq_c2/2)),-IF(circ_int,0,eq_c1/2)-(s_0+3*s_r+IF(circ_int,eq_c1/2,0)),IF(((27+0.5)*(4*IF(circ_int,0,eq_c1/2)+4*IF(circ_int,0,eq_c2/2)+2*PI()*(s_0+3*s_r+IF(circ_int,eq_c1/2,0)))/INDEX(lk_legs,4))&lt;((((((2*IF(circ_int,0,eq_c2/2))+(PI()*(s_0+3*s_r+IF(circ_int,eq_c1/2,0))/2))+2*IF(circ_int,0,eq_c1/2))+(PI()*(s_0+3*s_r+IF(circ_int,eq_c1/2,0))/2))+2*IF(circ_int,0,eq_c2/2))+(PI()*(s_0+3*s_r+IF(circ_int,eq_c1/2,0))/2)),-IF(circ_int,0,eq_c1/2)+(s_0+3*s_r+IF(circ_int,eq_c1/2,0))*COS(PI()+(((27+0.5)*(4*IF(circ_int,0,eq_c1/2)+4*IF(circ_int,0,eq_c2/2)+2*PI()*(s_0+3*s_r+IF(circ_int,eq_c1/2,0)))/INDEX(lk_legs,4))-(((((2*IF(circ_int,0,eq_c2/2))+(PI()*(s_0+3*s_r+IF(circ_int,eq_c1/2,0))/2))+2*IF(circ_int,0,eq_c1/2))+(PI()*(s_0+3*s_r+IF(circ_int,eq_c1/2,0))/2))+2*IF(circ_int,0,eq_c2/2)))/(s_0+3*s_r+IF(circ_int,eq_c1/2,0))),IF(((27+0.5)*(4*IF(circ_int,0,eq_c1/2)+4*IF(circ_int,0,eq_c2/2)+2*PI()*(s_0+3*s_r+IF(circ_int,eq_c1/2,0)))/INDEX(lk_legs,4))&lt;(((((((2*IF(circ_int,0,eq_c2/2))+(PI()*(s_0+3*s_r+IF(circ_int,eq_c1/2,0))/2))+2*IF(circ_int,0,eq_c1/2))+(PI()*(s_0+3*s_r+IF(circ_int,eq_c1/2,0))/2))+2*IF(circ_int,0,eq_c2/2))+(PI()*(s_0+3*s_r+IF(circ_int,eq_c1/2,0))/2))+2*IF(circ_int,0,eq_c1/2)),-IF(circ_int,0,eq_c1/2)+(((27+0.5)*(4*IF(circ_int,0,eq_c1/2)+4*IF(circ_int,0,eq_c2/2)+2*PI()*(s_0+3*s_r+IF(circ_int,eq_c1/2,0)))/INDEX(lk_legs,4))-((((((2*IF(circ_int,0,eq_c2/2))+(PI()*(s_0+3*s_r+IF(circ_int,eq_c1/2,0))/2))+2*IF(circ_int,0,eq_c1/2))+(PI()*(s_0+3*s_r+IF(circ_int,eq_c1/2,0))/2))+2*IF(circ_int,0,eq_c2/2))+(PI()*(s_0+3*s_r+IF(circ_int,eq_c1/2,0))/2))),IF(circ_int,0,eq_c1/2)+(s_0+3*s_r+IF(circ_int,eq_c1/2,0))*COS(3*PI()/2+(((27+0.5)*(4*IF(circ_int,0,eq_c1/2)+4*IF(circ_int,0,eq_c2/2)+2*PI()*(s_0+3*s_r+IF(circ_int,eq_c1/2,0)))/INDEX(lk_legs,4))-(((((((2*IF(circ_int,0,eq_c2/2))+(PI()*(s_0+3*s_r+IF(circ_int,eq_c1/2,0))/2))+2*IF(circ_int,0,eq_c1/2))+(PI()*(s_0+3*s_r+IF(circ_int,eq_c1/2,0))/2))+2*IF(circ_int,0,eq_c2/2))+(PI()*(s_0+3*s_r+IF(circ_int,eq_c1/2,0))/2))+2*IF(circ_int,0,eq_c1/2)))/(s_0+3*s_r+IF(circ_int,eq_c1/2,0)))))))))),NA())</f>
        <v/>
      </c>
      <c r="BS30">
        <f>IF(AND(AND(links_on,4&lt;=n_per),INDEX(lk_kind,4)=1,27&lt;INDEX(lk_legs,4)),g_oy+IF(((27+0.5)*(4*IF(circ_int,0,eq_c1/2)+4*IF(circ_int,0,eq_c2/2)+2*PI()*(s_0+3*s_r+IF(circ_int,eq_c1/2,0)))/INDEX(lk_legs,4))&lt;(2*IF(circ_int,0,eq_c2/2)),-IF(circ_int,0,eq_c2/2)+((27+0.5)*(4*IF(circ_int,0,eq_c1/2)+4*IF(circ_int,0,eq_c2/2)+2*PI()*(s_0+3*s_r+IF(circ_int,eq_c1/2,0)))/INDEX(lk_legs,4)),IF(((27+0.5)*(4*IF(circ_int,0,eq_c1/2)+4*IF(circ_int,0,eq_c2/2)+2*PI()*(s_0+3*s_r+IF(circ_int,eq_c1/2,0)))/INDEX(lk_legs,4))&lt;((2*IF(circ_int,0,eq_c2/2))+(PI()*(s_0+3*s_r+IF(circ_int,eq_c1/2,0))/2)),IF(circ_int,0,eq_c2/2)+(s_0+3*s_r+IF(circ_int,eq_c1/2,0))*SIN((((27+0.5)*(4*IF(circ_int,0,eq_c1/2)+4*IF(circ_int,0,eq_c2/2)+2*PI()*(s_0+3*s_r+IF(circ_int,eq_c1/2,0)))/INDEX(lk_legs,4))-(2*IF(circ_int,0,eq_c2/2)))/(s_0+3*s_r+IF(circ_int,eq_c1/2,0))),IF(((27+0.5)*(4*IF(circ_int,0,eq_c1/2)+4*IF(circ_int,0,eq_c2/2)+2*PI()*(s_0+3*s_r+IF(circ_int,eq_c1/2,0)))/INDEX(lk_legs,4))&lt;(((2*IF(circ_int,0,eq_c2/2))+(PI()*(s_0+3*s_r+IF(circ_int,eq_c1/2,0))/2))+2*IF(circ_int,0,eq_c1/2)),IF(circ_int,0,eq_c2/2)+(s_0+3*s_r+IF(circ_int,eq_c1/2,0)),IF(((27+0.5)*(4*IF(circ_int,0,eq_c1/2)+4*IF(circ_int,0,eq_c2/2)+2*PI()*(s_0+3*s_r+IF(circ_int,eq_c1/2,0)))/INDEX(lk_legs,4))&lt;((((2*IF(circ_int,0,eq_c2/2))+(PI()*(s_0+3*s_r+IF(circ_int,eq_c1/2,0))/2))+2*IF(circ_int,0,eq_c1/2))+(PI()*(s_0+3*s_r+IF(circ_int,eq_c1/2,0))/2)),IF(circ_int,0,eq_c2/2)+(s_0+3*s_r+IF(circ_int,eq_c1/2,0))*SIN(PI()/2+(((27+0.5)*(4*IF(circ_int,0,eq_c1/2)+4*IF(circ_int,0,eq_c2/2)+2*PI()*(s_0+3*s_r+IF(circ_int,eq_c1/2,0)))/INDEX(lk_legs,4))-(((2*IF(circ_int,0,eq_c2/2))+(PI()*(s_0+3*s_r+IF(circ_int,eq_c1/2,0))/2))+2*IF(circ_int,0,eq_c1/2)))/(s_0+3*s_r+IF(circ_int,eq_c1/2,0))),IF(((27+0.5)*(4*IF(circ_int,0,eq_c1/2)+4*IF(circ_int,0,eq_c2/2)+2*PI()*(s_0+3*s_r+IF(circ_int,eq_c1/2,0)))/INDEX(lk_legs,4))&lt;(((((2*IF(circ_int,0,eq_c2/2))+(PI()*(s_0+3*s_r+IF(circ_int,eq_c1/2,0))/2))+2*IF(circ_int,0,eq_c1/2))+(PI()*(s_0+3*s_r+IF(circ_int,eq_c1/2,0))/2))+2*IF(circ_int,0,eq_c2/2)),IF(circ_int,0,eq_c2/2)-(((27+0.5)*(4*IF(circ_int,0,eq_c1/2)+4*IF(circ_int,0,eq_c2/2)+2*PI()*(s_0+3*s_r+IF(circ_int,eq_c1/2,0)))/INDEX(lk_legs,4))-((((2*IF(circ_int,0,eq_c2/2))+(PI()*(s_0+3*s_r+IF(circ_int,eq_c1/2,0))/2))+2*IF(circ_int,0,eq_c1/2))+(PI()*(s_0+3*s_r+IF(circ_int,eq_c1/2,0))/2))),IF(((27+0.5)*(4*IF(circ_int,0,eq_c1/2)+4*IF(circ_int,0,eq_c2/2)+2*PI()*(s_0+3*s_r+IF(circ_int,eq_c1/2,0)))/INDEX(lk_legs,4))&lt;((((((2*IF(circ_int,0,eq_c2/2))+(PI()*(s_0+3*s_r+IF(circ_int,eq_c1/2,0))/2))+2*IF(circ_int,0,eq_c1/2))+(PI()*(s_0+3*s_r+IF(circ_int,eq_c1/2,0))/2))+2*IF(circ_int,0,eq_c2/2))+(PI()*(s_0+3*s_r+IF(circ_int,eq_c1/2,0))/2)),-IF(circ_int,0,eq_c2/2)+(s_0+3*s_r+IF(circ_int,eq_c1/2,0))*SIN(PI()+(((27+0.5)*(4*IF(circ_int,0,eq_c1/2)+4*IF(circ_int,0,eq_c2/2)+2*PI()*(s_0+3*s_r+IF(circ_int,eq_c1/2,0)))/INDEX(lk_legs,4))-(((((2*IF(circ_int,0,eq_c2/2))+(PI()*(s_0+3*s_r+IF(circ_int,eq_c1/2,0))/2))+2*IF(circ_int,0,eq_c1/2))+(PI()*(s_0+3*s_r+IF(circ_int,eq_c1/2,0))/2))+2*IF(circ_int,0,eq_c2/2)))/(s_0+3*s_r+IF(circ_int,eq_c1/2,0))),IF(((27+0.5)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(27+0.5)*(4*IF(circ_int,0,eq_c1/2)+4*IF(circ_int,0,eq_c2/2)+2*PI()*(s_0+3*s_r+IF(circ_int,eq_c1/2,0)))/INDEX(lk_legs,4))-(((((((2*IF(circ_int,0,eq_c2/2))+(PI()*(s_0+3*s_r+IF(circ_int,eq_c1/2,0))/2))+2*IF(circ_int,0,eq_c1/2))+(PI()*(s_0+3*s_r+IF(circ_int,eq_c1/2,0))/2))+2*IF(circ_int,0,eq_c2/2))+(PI()*(s_0+3*s_r+IF(circ_int,eq_c1/2,0))/2))+2*IF(circ_int,0,eq_c1/2)))/(s_0+3*s_r+IF(circ_int,eq_c1/2,0)))))))))),NA())</f>
        <v/>
      </c>
      <c r="BU30">
        <f>IF(AND(links_on,5&lt;=n_per),IF(circ_int,(g_ox)+(c_1/2+(s_0+4*s_r))*-0.992709,CHOOSE(INDEX(lk_kind,5),(g_ox-eq_c1/2)+((s_0+4*s_r))*-0.991445,0,eq_a1+eq_c1+(s_0+4*s_r),eq_a1+eq_c1+(s_0+4*s_r))),NA())</f>
        <v/>
      </c>
      <c r="BV30">
        <f>IF(AND(links_on,5&lt;=n_per),IF(circ_int,(g_oy)+(c_1/2+(s_0+4*s_r))*-0.120537,CHOOSE(INDEX(lk_kind,5),(g_oy-eq_c2/2)+((s_0+4*s_r))*-0.130526,g_oy-eq_c2/2-(s_0+4*s_r),0,0)),NA())</f>
        <v/>
      </c>
      <c r="BX30">
        <f>IF(AND(AND(links_on,5&lt;=n_per),INDEX(lk_kind,5)=1,27&lt;INDEX(lk_legs,5)),g_ox+IF(((27+0.5)*(4*IF(circ_int,0,eq_c1/2)+4*IF(circ_int,0,eq_c2/2)+2*PI()*(s_0+4*s_r+IF(circ_int,eq_c1/2,0)))/INDEX(lk_legs,5))&lt;(2*IF(circ_int,0,eq_c2/2)),IF(circ_int,0,eq_c1/2)+(s_0+4*s_r+IF(circ_int,eq_c1/2,0)),IF(((27+0.5)*(4*IF(circ_int,0,eq_c1/2)+4*IF(circ_int,0,eq_c2/2)+2*PI()*(s_0+4*s_r+IF(circ_int,eq_c1/2,0)))/INDEX(lk_legs,5))&lt;((2*IF(circ_int,0,eq_c2/2))+(PI()*(s_0+4*s_r+IF(circ_int,eq_c1/2,0))/2)),IF(circ_int,0,eq_c1/2)+(s_0+4*s_r+IF(circ_int,eq_c1/2,0))*COS((((27+0.5)*(4*IF(circ_int,0,eq_c1/2)+4*IF(circ_int,0,eq_c2/2)+2*PI()*(s_0+4*s_r+IF(circ_int,eq_c1/2,0)))/INDEX(lk_legs,5))-(2*IF(circ_int,0,eq_c2/2)))/(s_0+4*s_r+IF(circ_int,eq_c1/2,0))),IF(((27+0.5)*(4*IF(circ_int,0,eq_c1/2)+4*IF(circ_int,0,eq_c2/2)+2*PI()*(s_0+4*s_r+IF(circ_int,eq_c1/2,0)))/INDEX(lk_legs,5))&lt;(((2*IF(circ_int,0,eq_c2/2))+(PI()*(s_0+4*s_r+IF(circ_int,eq_c1/2,0))/2))+2*IF(circ_int,0,eq_c1/2)),IF(circ_int,0,eq_c1/2)-(((27+0.5)*(4*IF(circ_int,0,eq_c1/2)+4*IF(circ_int,0,eq_c2/2)+2*PI()*(s_0+4*s_r+IF(circ_int,eq_c1/2,0)))/INDEX(lk_legs,5))-((2*IF(circ_int,0,eq_c2/2))+(PI()*(s_0+4*s_r+IF(circ_int,eq_c1/2,0))/2))),IF(((27+0.5)*(4*IF(circ_int,0,eq_c1/2)+4*IF(circ_int,0,eq_c2/2)+2*PI()*(s_0+4*s_r+IF(circ_int,eq_c1/2,0)))/INDEX(lk_legs,5))&lt;((((2*IF(circ_int,0,eq_c2/2))+(PI()*(s_0+4*s_r+IF(circ_int,eq_c1/2,0))/2))+2*IF(circ_int,0,eq_c1/2))+(PI()*(s_0+4*s_r+IF(circ_int,eq_c1/2,0))/2)),-IF(circ_int,0,eq_c1/2)+(s_0+4*s_r+IF(circ_int,eq_c1/2,0))*COS(PI()/2+(((27+0.5)*(4*IF(circ_int,0,eq_c1/2)+4*IF(circ_int,0,eq_c2/2)+2*PI()*(s_0+4*s_r+IF(circ_int,eq_c1/2,0)))/INDEX(lk_legs,5))-(((2*IF(circ_int,0,eq_c2/2))+(PI()*(s_0+4*s_r+IF(circ_int,eq_c1/2,0))/2))+2*IF(circ_int,0,eq_c1/2)))/(s_0+4*s_r+IF(circ_int,eq_c1/2,0))),IF(((27+0.5)*(4*IF(circ_int,0,eq_c1/2)+4*IF(circ_int,0,eq_c2/2)+2*PI()*(s_0+4*s_r+IF(circ_int,eq_c1/2,0)))/INDEX(lk_legs,5))&lt;(((((2*IF(circ_int,0,eq_c2/2))+(PI()*(s_0+4*s_r+IF(circ_int,eq_c1/2,0))/2))+2*IF(circ_int,0,eq_c1/2))+(PI()*(s_0+4*s_r+IF(circ_int,eq_c1/2,0))/2))+2*IF(circ_int,0,eq_c2/2)),-IF(circ_int,0,eq_c1/2)-(s_0+4*s_r+IF(circ_int,eq_c1/2,0)),IF(((27+0.5)*(4*IF(circ_int,0,eq_c1/2)+4*IF(circ_int,0,eq_c2/2)+2*PI()*(s_0+4*s_r+IF(circ_int,eq_c1/2,0)))/INDEX(lk_legs,5))&lt;((((((2*IF(circ_int,0,eq_c2/2))+(PI()*(s_0+4*s_r+IF(circ_int,eq_c1/2,0))/2))+2*IF(circ_int,0,eq_c1/2))+(PI()*(s_0+4*s_r+IF(circ_int,eq_c1/2,0))/2))+2*IF(circ_int,0,eq_c2/2))+(PI()*(s_0+4*s_r+IF(circ_int,eq_c1/2,0))/2)),-IF(circ_int,0,eq_c1/2)+(s_0+4*s_r+IF(circ_int,eq_c1/2,0))*COS(PI()+(((27+0.5)*(4*IF(circ_int,0,eq_c1/2)+4*IF(circ_int,0,eq_c2/2)+2*PI()*(s_0+4*s_r+IF(circ_int,eq_c1/2,0)))/INDEX(lk_legs,5))-(((((2*IF(circ_int,0,eq_c2/2))+(PI()*(s_0+4*s_r+IF(circ_int,eq_c1/2,0))/2))+2*IF(circ_int,0,eq_c1/2))+(PI()*(s_0+4*s_r+IF(circ_int,eq_c1/2,0))/2))+2*IF(circ_int,0,eq_c2/2)))/(s_0+4*s_r+IF(circ_int,eq_c1/2,0))),IF(((27+0.5)*(4*IF(circ_int,0,eq_c1/2)+4*IF(circ_int,0,eq_c2/2)+2*PI()*(s_0+4*s_r+IF(circ_int,eq_c1/2,0)))/INDEX(lk_legs,5))&lt;(((((((2*IF(circ_int,0,eq_c2/2))+(PI()*(s_0+4*s_r+IF(circ_int,eq_c1/2,0))/2))+2*IF(circ_int,0,eq_c1/2))+(PI()*(s_0+4*s_r+IF(circ_int,eq_c1/2,0))/2))+2*IF(circ_int,0,eq_c2/2))+(PI()*(s_0+4*s_r+IF(circ_int,eq_c1/2,0))/2))+2*IF(circ_int,0,eq_c1/2)),-IF(circ_int,0,eq_c1/2)+(((27+0.5)*(4*IF(circ_int,0,eq_c1/2)+4*IF(circ_int,0,eq_c2/2)+2*PI()*(s_0+4*s_r+IF(circ_int,eq_c1/2,0)))/INDEX(lk_legs,5))-((((((2*IF(circ_int,0,eq_c2/2))+(PI()*(s_0+4*s_r+IF(circ_int,eq_c1/2,0))/2))+2*IF(circ_int,0,eq_c1/2))+(PI()*(s_0+4*s_r+IF(circ_int,eq_c1/2,0))/2))+2*IF(circ_int,0,eq_c2/2))+(PI()*(s_0+4*s_r+IF(circ_int,eq_c1/2,0))/2))),IF(circ_int,0,eq_c1/2)+(s_0+4*s_r+IF(circ_int,eq_c1/2,0))*COS(3*PI()/2+(((27+0.5)*(4*IF(circ_int,0,eq_c1/2)+4*IF(circ_int,0,eq_c2/2)+2*PI()*(s_0+4*s_r+IF(circ_int,eq_c1/2,0)))/INDEX(lk_legs,5))-(((((((2*IF(circ_int,0,eq_c2/2))+(PI()*(s_0+4*s_r+IF(circ_int,eq_c1/2,0))/2))+2*IF(circ_int,0,eq_c1/2))+(PI()*(s_0+4*s_r+IF(circ_int,eq_c1/2,0))/2))+2*IF(circ_int,0,eq_c2/2))+(PI()*(s_0+4*s_r+IF(circ_int,eq_c1/2,0))/2))+2*IF(circ_int,0,eq_c1/2)))/(s_0+4*s_r+IF(circ_int,eq_c1/2,0)))))))))),NA())</f>
        <v/>
      </c>
      <c r="BY30">
        <f>IF(AND(AND(links_on,5&lt;=n_per),INDEX(lk_kind,5)=1,27&lt;INDEX(lk_legs,5)),g_oy+IF(((27+0.5)*(4*IF(circ_int,0,eq_c1/2)+4*IF(circ_int,0,eq_c2/2)+2*PI()*(s_0+4*s_r+IF(circ_int,eq_c1/2,0)))/INDEX(lk_legs,5))&lt;(2*IF(circ_int,0,eq_c2/2)),-IF(circ_int,0,eq_c2/2)+((27+0.5)*(4*IF(circ_int,0,eq_c1/2)+4*IF(circ_int,0,eq_c2/2)+2*PI()*(s_0+4*s_r+IF(circ_int,eq_c1/2,0)))/INDEX(lk_legs,5)),IF(((27+0.5)*(4*IF(circ_int,0,eq_c1/2)+4*IF(circ_int,0,eq_c2/2)+2*PI()*(s_0+4*s_r+IF(circ_int,eq_c1/2,0)))/INDEX(lk_legs,5))&lt;((2*IF(circ_int,0,eq_c2/2))+(PI()*(s_0+4*s_r+IF(circ_int,eq_c1/2,0))/2)),IF(circ_int,0,eq_c2/2)+(s_0+4*s_r+IF(circ_int,eq_c1/2,0))*SIN((((27+0.5)*(4*IF(circ_int,0,eq_c1/2)+4*IF(circ_int,0,eq_c2/2)+2*PI()*(s_0+4*s_r+IF(circ_int,eq_c1/2,0)))/INDEX(lk_legs,5))-(2*IF(circ_int,0,eq_c2/2)))/(s_0+4*s_r+IF(circ_int,eq_c1/2,0))),IF(((27+0.5)*(4*IF(circ_int,0,eq_c1/2)+4*IF(circ_int,0,eq_c2/2)+2*PI()*(s_0+4*s_r+IF(circ_int,eq_c1/2,0)))/INDEX(lk_legs,5))&lt;(((2*IF(circ_int,0,eq_c2/2))+(PI()*(s_0+4*s_r+IF(circ_int,eq_c1/2,0))/2))+2*IF(circ_int,0,eq_c1/2)),IF(circ_int,0,eq_c2/2)+(s_0+4*s_r+IF(circ_int,eq_c1/2,0)),IF(((27+0.5)*(4*IF(circ_int,0,eq_c1/2)+4*IF(circ_int,0,eq_c2/2)+2*PI()*(s_0+4*s_r+IF(circ_int,eq_c1/2,0)))/INDEX(lk_legs,5))&lt;((((2*IF(circ_int,0,eq_c2/2))+(PI()*(s_0+4*s_r+IF(circ_int,eq_c1/2,0))/2))+2*IF(circ_int,0,eq_c1/2))+(PI()*(s_0+4*s_r+IF(circ_int,eq_c1/2,0))/2)),IF(circ_int,0,eq_c2/2)+(s_0+4*s_r+IF(circ_int,eq_c1/2,0))*SIN(PI()/2+(((27+0.5)*(4*IF(circ_int,0,eq_c1/2)+4*IF(circ_int,0,eq_c2/2)+2*PI()*(s_0+4*s_r+IF(circ_int,eq_c1/2,0)))/INDEX(lk_legs,5))-(((2*IF(circ_int,0,eq_c2/2))+(PI()*(s_0+4*s_r+IF(circ_int,eq_c1/2,0))/2))+2*IF(circ_int,0,eq_c1/2)))/(s_0+4*s_r+IF(circ_int,eq_c1/2,0))),IF(((27+0.5)*(4*IF(circ_int,0,eq_c1/2)+4*IF(circ_int,0,eq_c2/2)+2*PI()*(s_0+4*s_r+IF(circ_int,eq_c1/2,0)))/INDEX(lk_legs,5))&lt;(((((2*IF(circ_int,0,eq_c2/2))+(PI()*(s_0+4*s_r+IF(circ_int,eq_c1/2,0))/2))+2*IF(circ_int,0,eq_c1/2))+(PI()*(s_0+4*s_r+IF(circ_int,eq_c1/2,0))/2))+2*IF(circ_int,0,eq_c2/2)),IF(circ_int,0,eq_c2/2)-(((27+0.5)*(4*IF(circ_int,0,eq_c1/2)+4*IF(circ_int,0,eq_c2/2)+2*PI()*(s_0+4*s_r+IF(circ_int,eq_c1/2,0)))/INDEX(lk_legs,5))-((((2*IF(circ_int,0,eq_c2/2))+(PI()*(s_0+4*s_r+IF(circ_int,eq_c1/2,0))/2))+2*IF(circ_int,0,eq_c1/2))+(PI()*(s_0+4*s_r+IF(circ_int,eq_c1/2,0))/2))),IF(((27+0.5)*(4*IF(circ_int,0,eq_c1/2)+4*IF(circ_int,0,eq_c2/2)+2*PI()*(s_0+4*s_r+IF(circ_int,eq_c1/2,0)))/INDEX(lk_legs,5))&lt;((((((2*IF(circ_int,0,eq_c2/2))+(PI()*(s_0+4*s_r+IF(circ_int,eq_c1/2,0))/2))+2*IF(circ_int,0,eq_c1/2))+(PI()*(s_0+4*s_r+IF(circ_int,eq_c1/2,0))/2))+2*IF(circ_int,0,eq_c2/2))+(PI()*(s_0+4*s_r+IF(circ_int,eq_c1/2,0))/2)),-IF(circ_int,0,eq_c2/2)+(s_0+4*s_r+IF(circ_int,eq_c1/2,0))*SIN(PI()+(((27+0.5)*(4*IF(circ_int,0,eq_c1/2)+4*IF(circ_int,0,eq_c2/2)+2*PI()*(s_0+4*s_r+IF(circ_int,eq_c1/2,0)))/INDEX(lk_legs,5))-(((((2*IF(circ_int,0,eq_c2/2))+(PI()*(s_0+4*s_r+IF(circ_int,eq_c1/2,0))/2))+2*IF(circ_int,0,eq_c1/2))+(PI()*(s_0+4*s_r+IF(circ_int,eq_c1/2,0))/2))+2*IF(circ_int,0,eq_c2/2)))/(s_0+4*s_r+IF(circ_int,eq_c1/2,0))),IF(((27+0.5)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(27+0.5)*(4*IF(circ_int,0,eq_c1/2)+4*IF(circ_int,0,eq_c2/2)+2*PI()*(s_0+4*s_r+IF(circ_int,eq_c1/2,0)))/INDEX(lk_legs,5))-(((((((2*IF(circ_int,0,eq_c2/2))+(PI()*(s_0+4*s_r+IF(circ_int,eq_c1/2,0))/2))+2*IF(circ_int,0,eq_c1/2))+(PI()*(s_0+4*s_r+IF(circ_int,eq_c1/2,0))/2))+2*IF(circ_int,0,eq_c2/2))+(PI()*(s_0+4*s_r+IF(circ_int,eq_c1/2,0))/2))+2*IF(circ_int,0,eq_c1/2)))/(s_0+4*s_r+IF(circ_int,eq_c1/2,0)))))))))),NA())</f>
        <v/>
      </c>
      <c r="CA30">
        <f>IF(AND(links_on,6&lt;=n_per),IF(circ_int,(g_ox)+(c_1/2+(s_0+5*s_r))*-0.992709,CHOOSE(INDEX(lk_kind,6),(g_ox-eq_c1/2)+((s_0+5*s_r))*-0.991445,0,eq_a1+eq_c1+(s_0+5*s_r),eq_a1+eq_c1+(s_0+5*s_r))),NA())</f>
        <v/>
      </c>
      <c r="CB30">
        <f>IF(AND(links_on,6&lt;=n_per),IF(circ_int,(g_oy)+(c_1/2+(s_0+5*s_r))*-0.120537,CHOOSE(INDEX(lk_kind,6),(g_oy-eq_c2/2)+((s_0+5*s_r))*-0.130526,g_oy-eq_c2/2-(s_0+5*s_r),0,0)),NA())</f>
        <v/>
      </c>
      <c r="CD30">
        <f>IF(AND(AND(links_on,6&lt;=n_per),INDEX(lk_kind,6)=1,27&lt;INDEX(lk_legs,6)),g_ox+IF(((27+0.5)*(4*IF(circ_int,0,eq_c1/2)+4*IF(circ_int,0,eq_c2/2)+2*PI()*(s_0+5*s_r+IF(circ_int,eq_c1/2,0)))/INDEX(lk_legs,6))&lt;(2*IF(circ_int,0,eq_c2/2)),IF(circ_int,0,eq_c1/2)+(s_0+5*s_r+IF(circ_int,eq_c1/2,0)),IF(((27+0.5)*(4*IF(circ_int,0,eq_c1/2)+4*IF(circ_int,0,eq_c2/2)+2*PI()*(s_0+5*s_r+IF(circ_int,eq_c1/2,0)))/INDEX(lk_legs,6))&lt;((2*IF(circ_int,0,eq_c2/2))+(PI()*(s_0+5*s_r+IF(circ_int,eq_c1/2,0))/2)),IF(circ_int,0,eq_c1/2)+(s_0+5*s_r+IF(circ_int,eq_c1/2,0))*COS((((27+0.5)*(4*IF(circ_int,0,eq_c1/2)+4*IF(circ_int,0,eq_c2/2)+2*PI()*(s_0+5*s_r+IF(circ_int,eq_c1/2,0)))/INDEX(lk_legs,6))-(2*IF(circ_int,0,eq_c2/2)))/(s_0+5*s_r+IF(circ_int,eq_c1/2,0))),IF(((27+0.5)*(4*IF(circ_int,0,eq_c1/2)+4*IF(circ_int,0,eq_c2/2)+2*PI()*(s_0+5*s_r+IF(circ_int,eq_c1/2,0)))/INDEX(lk_legs,6))&lt;(((2*IF(circ_int,0,eq_c2/2))+(PI()*(s_0+5*s_r+IF(circ_int,eq_c1/2,0))/2))+2*IF(circ_int,0,eq_c1/2)),IF(circ_int,0,eq_c1/2)-(((27+0.5)*(4*IF(circ_int,0,eq_c1/2)+4*IF(circ_int,0,eq_c2/2)+2*PI()*(s_0+5*s_r+IF(circ_int,eq_c1/2,0)))/INDEX(lk_legs,6))-((2*IF(circ_int,0,eq_c2/2))+(PI()*(s_0+5*s_r+IF(circ_int,eq_c1/2,0))/2))),IF(((27+0.5)*(4*IF(circ_int,0,eq_c1/2)+4*IF(circ_int,0,eq_c2/2)+2*PI()*(s_0+5*s_r+IF(circ_int,eq_c1/2,0)))/INDEX(lk_legs,6))&lt;((((2*IF(circ_int,0,eq_c2/2))+(PI()*(s_0+5*s_r+IF(circ_int,eq_c1/2,0))/2))+2*IF(circ_int,0,eq_c1/2))+(PI()*(s_0+5*s_r+IF(circ_int,eq_c1/2,0))/2)),-IF(circ_int,0,eq_c1/2)+(s_0+5*s_r+IF(circ_int,eq_c1/2,0))*COS(PI()/2+(((27+0.5)*(4*IF(circ_int,0,eq_c1/2)+4*IF(circ_int,0,eq_c2/2)+2*PI()*(s_0+5*s_r+IF(circ_int,eq_c1/2,0)))/INDEX(lk_legs,6))-(((2*IF(circ_int,0,eq_c2/2))+(PI()*(s_0+5*s_r+IF(circ_int,eq_c1/2,0))/2))+2*IF(circ_int,0,eq_c1/2)))/(s_0+5*s_r+IF(circ_int,eq_c1/2,0))),IF(((27+0.5)*(4*IF(circ_int,0,eq_c1/2)+4*IF(circ_int,0,eq_c2/2)+2*PI()*(s_0+5*s_r+IF(circ_int,eq_c1/2,0)))/INDEX(lk_legs,6))&lt;(((((2*IF(circ_int,0,eq_c2/2))+(PI()*(s_0+5*s_r+IF(circ_int,eq_c1/2,0))/2))+2*IF(circ_int,0,eq_c1/2))+(PI()*(s_0+5*s_r+IF(circ_int,eq_c1/2,0))/2))+2*IF(circ_int,0,eq_c2/2)),-IF(circ_int,0,eq_c1/2)-(s_0+5*s_r+IF(circ_int,eq_c1/2,0)),IF(((27+0.5)*(4*IF(circ_int,0,eq_c1/2)+4*IF(circ_int,0,eq_c2/2)+2*PI()*(s_0+5*s_r+IF(circ_int,eq_c1/2,0)))/INDEX(lk_legs,6))&lt;((((((2*IF(circ_int,0,eq_c2/2))+(PI()*(s_0+5*s_r+IF(circ_int,eq_c1/2,0))/2))+2*IF(circ_int,0,eq_c1/2))+(PI()*(s_0+5*s_r+IF(circ_int,eq_c1/2,0))/2))+2*IF(circ_int,0,eq_c2/2))+(PI()*(s_0+5*s_r+IF(circ_int,eq_c1/2,0))/2)),-IF(circ_int,0,eq_c1/2)+(s_0+5*s_r+IF(circ_int,eq_c1/2,0))*COS(PI()+(((27+0.5)*(4*IF(circ_int,0,eq_c1/2)+4*IF(circ_int,0,eq_c2/2)+2*PI()*(s_0+5*s_r+IF(circ_int,eq_c1/2,0)))/INDEX(lk_legs,6))-(((((2*IF(circ_int,0,eq_c2/2))+(PI()*(s_0+5*s_r+IF(circ_int,eq_c1/2,0))/2))+2*IF(circ_int,0,eq_c1/2))+(PI()*(s_0+5*s_r+IF(circ_int,eq_c1/2,0))/2))+2*IF(circ_int,0,eq_c2/2)))/(s_0+5*s_r+IF(circ_int,eq_c1/2,0))),IF(((27+0.5)*(4*IF(circ_int,0,eq_c1/2)+4*IF(circ_int,0,eq_c2/2)+2*PI()*(s_0+5*s_r+IF(circ_int,eq_c1/2,0)))/INDEX(lk_legs,6))&lt;(((((((2*IF(circ_int,0,eq_c2/2))+(PI()*(s_0+5*s_r+IF(circ_int,eq_c1/2,0))/2))+2*IF(circ_int,0,eq_c1/2))+(PI()*(s_0+5*s_r+IF(circ_int,eq_c1/2,0))/2))+2*IF(circ_int,0,eq_c2/2))+(PI()*(s_0+5*s_r+IF(circ_int,eq_c1/2,0))/2))+2*IF(circ_int,0,eq_c1/2)),-IF(circ_int,0,eq_c1/2)+(((27+0.5)*(4*IF(circ_int,0,eq_c1/2)+4*IF(circ_int,0,eq_c2/2)+2*PI()*(s_0+5*s_r+IF(circ_int,eq_c1/2,0)))/INDEX(lk_legs,6))-((((((2*IF(circ_int,0,eq_c2/2))+(PI()*(s_0+5*s_r+IF(circ_int,eq_c1/2,0))/2))+2*IF(circ_int,0,eq_c1/2))+(PI()*(s_0+5*s_r+IF(circ_int,eq_c1/2,0))/2))+2*IF(circ_int,0,eq_c2/2))+(PI()*(s_0+5*s_r+IF(circ_int,eq_c1/2,0))/2))),IF(circ_int,0,eq_c1/2)+(s_0+5*s_r+IF(circ_int,eq_c1/2,0))*COS(3*PI()/2+(((27+0.5)*(4*IF(circ_int,0,eq_c1/2)+4*IF(circ_int,0,eq_c2/2)+2*PI()*(s_0+5*s_r+IF(circ_int,eq_c1/2,0)))/INDEX(lk_legs,6))-(((((((2*IF(circ_int,0,eq_c2/2))+(PI()*(s_0+5*s_r+IF(circ_int,eq_c1/2,0))/2))+2*IF(circ_int,0,eq_c1/2))+(PI()*(s_0+5*s_r+IF(circ_int,eq_c1/2,0))/2))+2*IF(circ_int,0,eq_c2/2))+(PI()*(s_0+5*s_r+IF(circ_int,eq_c1/2,0))/2))+2*IF(circ_int,0,eq_c1/2)))/(s_0+5*s_r+IF(circ_int,eq_c1/2,0)))))))))),NA())</f>
        <v/>
      </c>
      <c r="CE30">
        <f>IF(AND(AND(links_on,6&lt;=n_per),INDEX(lk_kind,6)=1,27&lt;INDEX(lk_legs,6)),g_oy+IF(((27+0.5)*(4*IF(circ_int,0,eq_c1/2)+4*IF(circ_int,0,eq_c2/2)+2*PI()*(s_0+5*s_r+IF(circ_int,eq_c1/2,0)))/INDEX(lk_legs,6))&lt;(2*IF(circ_int,0,eq_c2/2)),-IF(circ_int,0,eq_c2/2)+((27+0.5)*(4*IF(circ_int,0,eq_c1/2)+4*IF(circ_int,0,eq_c2/2)+2*PI()*(s_0+5*s_r+IF(circ_int,eq_c1/2,0)))/INDEX(lk_legs,6)),IF(((27+0.5)*(4*IF(circ_int,0,eq_c1/2)+4*IF(circ_int,0,eq_c2/2)+2*PI()*(s_0+5*s_r+IF(circ_int,eq_c1/2,0)))/INDEX(lk_legs,6))&lt;((2*IF(circ_int,0,eq_c2/2))+(PI()*(s_0+5*s_r+IF(circ_int,eq_c1/2,0))/2)),IF(circ_int,0,eq_c2/2)+(s_0+5*s_r+IF(circ_int,eq_c1/2,0))*SIN((((27+0.5)*(4*IF(circ_int,0,eq_c1/2)+4*IF(circ_int,0,eq_c2/2)+2*PI()*(s_0+5*s_r+IF(circ_int,eq_c1/2,0)))/INDEX(lk_legs,6))-(2*IF(circ_int,0,eq_c2/2)))/(s_0+5*s_r+IF(circ_int,eq_c1/2,0))),IF(((27+0.5)*(4*IF(circ_int,0,eq_c1/2)+4*IF(circ_int,0,eq_c2/2)+2*PI()*(s_0+5*s_r+IF(circ_int,eq_c1/2,0)))/INDEX(lk_legs,6))&lt;(((2*IF(circ_int,0,eq_c2/2))+(PI()*(s_0+5*s_r+IF(circ_int,eq_c1/2,0))/2))+2*IF(circ_int,0,eq_c1/2)),IF(circ_int,0,eq_c2/2)+(s_0+5*s_r+IF(circ_int,eq_c1/2,0)),IF(((27+0.5)*(4*IF(circ_int,0,eq_c1/2)+4*IF(circ_int,0,eq_c2/2)+2*PI()*(s_0+5*s_r+IF(circ_int,eq_c1/2,0)))/INDEX(lk_legs,6))&lt;((((2*IF(circ_int,0,eq_c2/2))+(PI()*(s_0+5*s_r+IF(circ_int,eq_c1/2,0))/2))+2*IF(circ_int,0,eq_c1/2))+(PI()*(s_0+5*s_r+IF(circ_int,eq_c1/2,0))/2)),IF(circ_int,0,eq_c2/2)+(s_0+5*s_r+IF(circ_int,eq_c1/2,0))*SIN(PI()/2+(((27+0.5)*(4*IF(circ_int,0,eq_c1/2)+4*IF(circ_int,0,eq_c2/2)+2*PI()*(s_0+5*s_r+IF(circ_int,eq_c1/2,0)))/INDEX(lk_legs,6))-(((2*IF(circ_int,0,eq_c2/2))+(PI()*(s_0+5*s_r+IF(circ_int,eq_c1/2,0))/2))+2*IF(circ_int,0,eq_c1/2)))/(s_0+5*s_r+IF(circ_int,eq_c1/2,0))),IF(((27+0.5)*(4*IF(circ_int,0,eq_c1/2)+4*IF(circ_int,0,eq_c2/2)+2*PI()*(s_0+5*s_r+IF(circ_int,eq_c1/2,0)))/INDEX(lk_legs,6))&lt;(((((2*IF(circ_int,0,eq_c2/2))+(PI()*(s_0+5*s_r+IF(circ_int,eq_c1/2,0))/2))+2*IF(circ_int,0,eq_c1/2))+(PI()*(s_0+5*s_r+IF(circ_int,eq_c1/2,0))/2))+2*IF(circ_int,0,eq_c2/2)),IF(circ_int,0,eq_c2/2)-(((27+0.5)*(4*IF(circ_int,0,eq_c1/2)+4*IF(circ_int,0,eq_c2/2)+2*PI()*(s_0+5*s_r+IF(circ_int,eq_c1/2,0)))/INDEX(lk_legs,6))-((((2*IF(circ_int,0,eq_c2/2))+(PI()*(s_0+5*s_r+IF(circ_int,eq_c1/2,0))/2))+2*IF(circ_int,0,eq_c1/2))+(PI()*(s_0+5*s_r+IF(circ_int,eq_c1/2,0))/2))),IF(((27+0.5)*(4*IF(circ_int,0,eq_c1/2)+4*IF(circ_int,0,eq_c2/2)+2*PI()*(s_0+5*s_r+IF(circ_int,eq_c1/2,0)))/INDEX(lk_legs,6))&lt;((((((2*IF(circ_int,0,eq_c2/2))+(PI()*(s_0+5*s_r+IF(circ_int,eq_c1/2,0))/2))+2*IF(circ_int,0,eq_c1/2))+(PI()*(s_0+5*s_r+IF(circ_int,eq_c1/2,0))/2))+2*IF(circ_int,0,eq_c2/2))+(PI()*(s_0+5*s_r+IF(circ_int,eq_c1/2,0))/2)),-IF(circ_int,0,eq_c2/2)+(s_0+5*s_r+IF(circ_int,eq_c1/2,0))*SIN(PI()+(((27+0.5)*(4*IF(circ_int,0,eq_c1/2)+4*IF(circ_int,0,eq_c2/2)+2*PI()*(s_0+5*s_r+IF(circ_int,eq_c1/2,0)))/INDEX(lk_legs,6))-(((((2*IF(circ_int,0,eq_c2/2))+(PI()*(s_0+5*s_r+IF(circ_int,eq_c1/2,0))/2))+2*IF(circ_int,0,eq_c1/2))+(PI()*(s_0+5*s_r+IF(circ_int,eq_c1/2,0))/2))+2*IF(circ_int,0,eq_c2/2)))/(s_0+5*s_r+IF(circ_int,eq_c1/2,0))),IF(((27+0.5)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(27+0.5)*(4*IF(circ_int,0,eq_c1/2)+4*IF(circ_int,0,eq_c2/2)+2*PI()*(s_0+5*s_r+IF(circ_int,eq_c1/2,0)))/INDEX(lk_legs,6))-(((((((2*IF(circ_int,0,eq_c2/2))+(PI()*(s_0+5*s_r+IF(circ_int,eq_c1/2,0))/2))+2*IF(circ_int,0,eq_c1/2))+(PI()*(s_0+5*s_r+IF(circ_int,eq_c1/2,0))/2))+2*IF(circ_int,0,eq_c2/2))+(PI()*(s_0+5*s_r+IF(circ_int,eq_c1/2,0))/2))+2*IF(circ_int,0,eq_c1/2)))/(s_0+5*s_r+IF(circ_int,eq_c1/2,0)))))))))),NA())</f>
        <v/>
      </c>
      <c r="CG30">
        <f>IF(AND(links_on,7&lt;=n_per),IF(circ_int,(g_ox)+(c_1/2+(s_0+6*s_r))*-0.992709,CHOOSE(INDEX(lk_kind,7),(g_ox-eq_c1/2)+((s_0+6*s_r))*-0.991445,0,eq_a1+eq_c1+(s_0+6*s_r),eq_a1+eq_c1+(s_0+6*s_r))),NA())</f>
        <v/>
      </c>
      <c r="CH30">
        <f>IF(AND(links_on,7&lt;=n_per),IF(circ_int,(g_oy)+(c_1/2+(s_0+6*s_r))*-0.120537,CHOOSE(INDEX(lk_kind,7),(g_oy-eq_c2/2)+((s_0+6*s_r))*-0.130526,g_oy-eq_c2/2-(s_0+6*s_r),0,0)),NA())</f>
        <v/>
      </c>
      <c r="CJ30">
        <f>IF(AND(AND(links_on,7&lt;=n_per),INDEX(lk_kind,7)=1,27&lt;INDEX(lk_legs,7)),g_ox+IF(((27+0.5)*(4*IF(circ_int,0,eq_c1/2)+4*IF(circ_int,0,eq_c2/2)+2*PI()*(s_0+6*s_r+IF(circ_int,eq_c1/2,0)))/INDEX(lk_legs,7))&lt;(2*IF(circ_int,0,eq_c2/2)),IF(circ_int,0,eq_c1/2)+(s_0+6*s_r+IF(circ_int,eq_c1/2,0)),IF(((27+0.5)*(4*IF(circ_int,0,eq_c1/2)+4*IF(circ_int,0,eq_c2/2)+2*PI()*(s_0+6*s_r+IF(circ_int,eq_c1/2,0)))/INDEX(lk_legs,7))&lt;((2*IF(circ_int,0,eq_c2/2))+(PI()*(s_0+6*s_r+IF(circ_int,eq_c1/2,0))/2)),IF(circ_int,0,eq_c1/2)+(s_0+6*s_r+IF(circ_int,eq_c1/2,0))*COS((((27+0.5)*(4*IF(circ_int,0,eq_c1/2)+4*IF(circ_int,0,eq_c2/2)+2*PI()*(s_0+6*s_r+IF(circ_int,eq_c1/2,0)))/INDEX(lk_legs,7))-(2*IF(circ_int,0,eq_c2/2)))/(s_0+6*s_r+IF(circ_int,eq_c1/2,0))),IF(((27+0.5)*(4*IF(circ_int,0,eq_c1/2)+4*IF(circ_int,0,eq_c2/2)+2*PI()*(s_0+6*s_r+IF(circ_int,eq_c1/2,0)))/INDEX(lk_legs,7))&lt;(((2*IF(circ_int,0,eq_c2/2))+(PI()*(s_0+6*s_r+IF(circ_int,eq_c1/2,0))/2))+2*IF(circ_int,0,eq_c1/2)),IF(circ_int,0,eq_c1/2)-(((27+0.5)*(4*IF(circ_int,0,eq_c1/2)+4*IF(circ_int,0,eq_c2/2)+2*PI()*(s_0+6*s_r+IF(circ_int,eq_c1/2,0)))/INDEX(lk_legs,7))-((2*IF(circ_int,0,eq_c2/2))+(PI()*(s_0+6*s_r+IF(circ_int,eq_c1/2,0))/2))),IF(((27+0.5)*(4*IF(circ_int,0,eq_c1/2)+4*IF(circ_int,0,eq_c2/2)+2*PI()*(s_0+6*s_r+IF(circ_int,eq_c1/2,0)))/INDEX(lk_legs,7))&lt;((((2*IF(circ_int,0,eq_c2/2))+(PI()*(s_0+6*s_r+IF(circ_int,eq_c1/2,0))/2))+2*IF(circ_int,0,eq_c1/2))+(PI()*(s_0+6*s_r+IF(circ_int,eq_c1/2,0))/2)),-IF(circ_int,0,eq_c1/2)+(s_0+6*s_r+IF(circ_int,eq_c1/2,0))*COS(PI()/2+(((27+0.5)*(4*IF(circ_int,0,eq_c1/2)+4*IF(circ_int,0,eq_c2/2)+2*PI()*(s_0+6*s_r+IF(circ_int,eq_c1/2,0)))/INDEX(lk_legs,7))-(((2*IF(circ_int,0,eq_c2/2))+(PI()*(s_0+6*s_r+IF(circ_int,eq_c1/2,0))/2))+2*IF(circ_int,0,eq_c1/2)))/(s_0+6*s_r+IF(circ_int,eq_c1/2,0))),IF(((27+0.5)*(4*IF(circ_int,0,eq_c1/2)+4*IF(circ_int,0,eq_c2/2)+2*PI()*(s_0+6*s_r+IF(circ_int,eq_c1/2,0)))/INDEX(lk_legs,7))&lt;(((((2*IF(circ_int,0,eq_c2/2))+(PI()*(s_0+6*s_r+IF(circ_int,eq_c1/2,0))/2))+2*IF(circ_int,0,eq_c1/2))+(PI()*(s_0+6*s_r+IF(circ_int,eq_c1/2,0))/2))+2*IF(circ_int,0,eq_c2/2)),-IF(circ_int,0,eq_c1/2)-(s_0+6*s_r+IF(circ_int,eq_c1/2,0)),IF(((27+0.5)*(4*IF(circ_int,0,eq_c1/2)+4*IF(circ_int,0,eq_c2/2)+2*PI()*(s_0+6*s_r+IF(circ_int,eq_c1/2,0)))/INDEX(lk_legs,7))&lt;((((((2*IF(circ_int,0,eq_c2/2))+(PI()*(s_0+6*s_r+IF(circ_int,eq_c1/2,0))/2))+2*IF(circ_int,0,eq_c1/2))+(PI()*(s_0+6*s_r+IF(circ_int,eq_c1/2,0))/2))+2*IF(circ_int,0,eq_c2/2))+(PI()*(s_0+6*s_r+IF(circ_int,eq_c1/2,0))/2)),-IF(circ_int,0,eq_c1/2)+(s_0+6*s_r+IF(circ_int,eq_c1/2,0))*COS(PI()+(((27+0.5)*(4*IF(circ_int,0,eq_c1/2)+4*IF(circ_int,0,eq_c2/2)+2*PI()*(s_0+6*s_r+IF(circ_int,eq_c1/2,0)))/INDEX(lk_legs,7))-(((((2*IF(circ_int,0,eq_c2/2))+(PI()*(s_0+6*s_r+IF(circ_int,eq_c1/2,0))/2))+2*IF(circ_int,0,eq_c1/2))+(PI()*(s_0+6*s_r+IF(circ_int,eq_c1/2,0))/2))+2*IF(circ_int,0,eq_c2/2)))/(s_0+6*s_r+IF(circ_int,eq_c1/2,0))),IF(((27+0.5)*(4*IF(circ_int,0,eq_c1/2)+4*IF(circ_int,0,eq_c2/2)+2*PI()*(s_0+6*s_r+IF(circ_int,eq_c1/2,0)))/INDEX(lk_legs,7))&lt;(((((((2*IF(circ_int,0,eq_c2/2))+(PI()*(s_0+6*s_r+IF(circ_int,eq_c1/2,0))/2))+2*IF(circ_int,0,eq_c1/2))+(PI()*(s_0+6*s_r+IF(circ_int,eq_c1/2,0))/2))+2*IF(circ_int,0,eq_c2/2))+(PI()*(s_0+6*s_r+IF(circ_int,eq_c1/2,0))/2))+2*IF(circ_int,0,eq_c1/2)),-IF(circ_int,0,eq_c1/2)+(((27+0.5)*(4*IF(circ_int,0,eq_c1/2)+4*IF(circ_int,0,eq_c2/2)+2*PI()*(s_0+6*s_r+IF(circ_int,eq_c1/2,0)))/INDEX(lk_legs,7))-((((((2*IF(circ_int,0,eq_c2/2))+(PI()*(s_0+6*s_r+IF(circ_int,eq_c1/2,0))/2))+2*IF(circ_int,0,eq_c1/2))+(PI()*(s_0+6*s_r+IF(circ_int,eq_c1/2,0))/2))+2*IF(circ_int,0,eq_c2/2))+(PI()*(s_0+6*s_r+IF(circ_int,eq_c1/2,0))/2))),IF(circ_int,0,eq_c1/2)+(s_0+6*s_r+IF(circ_int,eq_c1/2,0))*COS(3*PI()/2+(((27+0.5)*(4*IF(circ_int,0,eq_c1/2)+4*IF(circ_int,0,eq_c2/2)+2*PI()*(s_0+6*s_r+IF(circ_int,eq_c1/2,0)))/INDEX(lk_legs,7))-(((((((2*IF(circ_int,0,eq_c2/2))+(PI()*(s_0+6*s_r+IF(circ_int,eq_c1/2,0))/2))+2*IF(circ_int,0,eq_c1/2))+(PI()*(s_0+6*s_r+IF(circ_int,eq_c1/2,0))/2))+2*IF(circ_int,0,eq_c2/2))+(PI()*(s_0+6*s_r+IF(circ_int,eq_c1/2,0))/2))+2*IF(circ_int,0,eq_c1/2)))/(s_0+6*s_r+IF(circ_int,eq_c1/2,0)))))))))),NA())</f>
        <v/>
      </c>
      <c r="CK30">
        <f>IF(AND(AND(links_on,7&lt;=n_per),INDEX(lk_kind,7)=1,27&lt;INDEX(lk_legs,7)),g_oy+IF(((27+0.5)*(4*IF(circ_int,0,eq_c1/2)+4*IF(circ_int,0,eq_c2/2)+2*PI()*(s_0+6*s_r+IF(circ_int,eq_c1/2,0)))/INDEX(lk_legs,7))&lt;(2*IF(circ_int,0,eq_c2/2)),-IF(circ_int,0,eq_c2/2)+((27+0.5)*(4*IF(circ_int,0,eq_c1/2)+4*IF(circ_int,0,eq_c2/2)+2*PI()*(s_0+6*s_r+IF(circ_int,eq_c1/2,0)))/INDEX(lk_legs,7)),IF(((27+0.5)*(4*IF(circ_int,0,eq_c1/2)+4*IF(circ_int,0,eq_c2/2)+2*PI()*(s_0+6*s_r+IF(circ_int,eq_c1/2,0)))/INDEX(lk_legs,7))&lt;((2*IF(circ_int,0,eq_c2/2))+(PI()*(s_0+6*s_r+IF(circ_int,eq_c1/2,0))/2)),IF(circ_int,0,eq_c2/2)+(s_0+6*s_r+IF(circ_int,eq_c1/2,0))*SIN((((27+0.5)*(4*IF(circ_int,0,eq_c1/2)+4*IF(circ_int,0,eq_c2/2)+2*PI()*(s_0+6*s_r+IF(circ_int,eq_c1/2,0)))/INDEX(lk_legs,7))-(2*IF(circ_int,0,eq_c2/2)))/(s_0+6*s_r+IF(circ_int,eq_c1/2,0))),IF(((27+0.5)*(4*IF(circ_int,0,eq_c1/2)+4*IF(circ_int,0,eq_c2/2)+2*PI()*(s_0+6*s_r+IF(circ_int,eq_c1/2,0)))/INDEX(lk_legs,7))&lt;(((2*IF(circ_int,0,eq_c2/2))+(PI()*(s_0+6*s_r+IF(circ_int,eq_c1/2,0))/2))+2*IF(circ_int,0,eq_c1/2)),IF(circ_int,0,eq_c2/2)+(s_0+6*s_r+IF(circ_int,eq_c1/2,0)),IF(((27+0.5)*(4*IF(circ_int,0,eq_c1/2)+4*IF(circ_int,0,eq_c2/2)+2*PI()*(s_0+6*s_r+IF(circ_int,eq_c1/2,0)))/INDEX(lk_legs,7))&lt;((((2*IF(circ_int,0,eq_c2/2))+(PI()*(s_0+6*s_r+IF(circ_int,eq_c1/2,0))/2))+2*IF(circ_int,0,eq_c1/2))+(PI()*(s_0+6*s_r+IF(circ_int,eq_c1/2,0))/2)),IF(circ_int,0,eq_c2/2)+(s_0+6*s_r+IF(circ_int,eq_c1/2,0))*SIN(PI()/2+(((27+0.5)*(4*IF(circ_int,0,eq_c1/2)+4*IF(circ_int,0,eq_c2/2)+2*PI()*(s_0+6*s_r+IF(circ_int,eq_c1/2,0)))/INDEX(lk_legs,7))-(((2*IF(circ_int,0,eq_c2/2))+(PI()*(s_0+6*s_r+IF(circ_int,eq_c1/2,0))/2))+2*IF(circ_int,0,eq_c1/2)))/(s_0+6*s_r+IF(circ_int,eq_c1/2,0))),IF(((27+0.5)*(4*IF(circ_int,0,eq_c1/2)+4*IF(circ_int,0,eq_c2/2)+2*PI()*(s_0+6*s_r+IF(circ_int,eq_c1/2,0)))/INDEX(lk_legs,7))&lt;(((((2*IF(circ_int,0,eq_c2/2))+(PI()*(s_0+6*s_r+IF(circ_int,eq_c1/2,0))/2))+2*IF(circ_int,0,eq_c1/2))+(PI()*(s_0+6*s_r+IF(circ_int,eq_c1/2,0))/2))+2*IF(circ_int,0,eq_c2/2)),IF(circ_int,0,eq_c2/2)-(((27+0.5)*(4*IF(circ_int,0,eq_c1/2)+4*IF(circ_int,0,eq_c2/2)+2*PI()*(s_0+6*s_r+IF(circ_int,eq_c1/2,0)))/INDEX(lk_legs,7))-((((2*IF(circ_int,0,eq_c2/2))+(PI()*(s_0+6*s_r+IF(circ_int,eq_c1/2,0))/2))+2*IF(circ_int,0,eq_c1/2))+(PI()*(s_0+6*s_r+IF(circ_int,eq_c1/2,0))/2))),IF(((27+0.5)*(4*IF(circ_int,0,eq_c1/2)+4*IF(circ_int,0,eq_c2/2)+2*PI()*(s_0+6*s_r+IF(circ_int,eq_c1/2,0)))/INDEX(lk_legs,7))&lt;((((((2*IF(circ_int,0,eq_c2/2))+(PI()*(s_0+6*s_r+IF(circ_int,eq_c1/2,0))/2))+2*IF(circ_int,0,eq_c1/2))+(PI()*(s_0+6*s_r+IF(circ_int,eq_c1/2,0))/2))+2*IF(circ_int,0,eq_c2/2))+(PI()*(s_0+6*s_r+IF(circ_int,eq_c1/2,0))/2)),-IF(circ_int,0,eq_c2/2)+(s_0+6*s_r+IF(circ_int,eq_c1/2,0))*SIN(PI()+(((27+0.5)*(4*IF(circ_int,0,eq_c1/2)+4*IF(circ_int,0,eq_c2/2)+2*PI()*(s_0+6*s_r+IF(circ_int,eq_c1/2,0)))/INDEX(lk_legs,7))-(((((2*IF(circ_int,0,eq_c2/2))+(PI()*(s_0+6*s_r+IF(circ_int,eq_c1/2,0))/2))+2*IF(circ_int,0,eq_c1/2))+(PI()*(s_0+6*s_r+IF(circ_int,eq_c1/2,0))/2))+2*IF(circ_int,0,eq_c2/2)))/(s_0+6*s_r+IF(circ_int,eq_c1/2,0))),IF(((27+0.5)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(27+0.5)*(4*IF(circ_int,0,eq_c1/2)+4*IF(circ_int,0,eq_c2/2)+2*PI()*(s_0+6*s_r+IF(circ_int,eq_c1/2,0)))/INDEX(lk_legs,7))-(((((((2*IF(circ_int,0,eq_c2/2))+(PI()*(s_0+6*s_r+IF(circ_int,eq_c1/2,0))/2))+2*IF(circ_int,0,eq_c1/2))+(PI()*(s_0+6*s_r+IF(circ_int,eq_c1/2,0))/2))+2*IF(circ_int,0,eq_c2/2))+(PI()*(s_0+6*s_r+IF(circ_int,eq_c1/2,0))/2))+2*IF(circ_int,0,eq_c1/2)))/(s_0+6*s_r+IF(circ_int,eq_c1/2,0)))))))))),NA())</f>
        <v/>
      </c>
      <c r="CM30">
        <f>IF(AND(links_on,8&lt;=n_per),IF(circ_int,(g_ox)+(c_1/2+(s_0+7*s_r))*-0.992709,CHOOSE(INDEX(lk_kind,8),(g_ox-eq_c1/2)+((s_0+7*s_r))*-0.991445,0,eq_a1+eq_c1+(s_0+7*s_r),eq_a1+eq_c1+(s_0+7*s_r))),NA())</f>
        <v/>
      </c>
      <c r="CN30">
        <f>IF(AND(links_on,8&lt;=n_per),IF(circ_int,(g_oy)+(c_1/2+(s_0+7*s_r))*-0.120537,CHOOSE(INDEX(lk_kind,8),(g_oy-eq_c2/2)+((s_0+7*s_r))*-0.130526,g_oy-eq_c2/2-(s_0+7*s_r),0,0)),NA())</f>
        <v/>
      </c>
      <c r="CP30">
        <f>IF(AND(AND(links_on,8&lt;=n_per),INDEX(lk_kind,8)=1,27&lt;INDEX(lk_legs,8)),g_ox+IF(((27+0.5)*(4*IF(circ_int,0,eq_c1/2)+4*IF(circ_int,0,eq_c2/2)+2*PI()*(s_0+7*s_r+IF(circ_int,eq_c1/2,0)))/INDEX(lk_legs,8))&lt;(2*IF(circ_int,0,eq_c2/2)),IF(circ_int,0,eq_c1/2)+(s_0+7*s_r+IF(circ_int,eq_c1/2,0)),IF(((27+0.5)*(4*IF(circ_int,0,eq_c1/2)+4*IF(circ_int,0,eq_c2/2)+2*PI()*(s_0+7*s_r+IF(circ_int,eq_c1/2,0)))/INDEX(lk_legs,8))&lt;((2*IF(circ_int,0,eq_c2/2))+(PI()*(s_0+7*s_r+IF(circ_int,eq_c1/2,0))/2)),IF(circ_int,0,eq_c1/2)+(s_0+7*s_r+IF(circ_int,eq_c1/2,0))*COS((((27+0.5)*(4*IF(circ_int,0,eq_c1/2)+4*IF(circ_int,0,eq_c2/2)+2*PI()*(s_0+7*s_r+IF(circ_int,eq_c1/2,0)))/INDEX(lk_legs,8))-(2*IF(circ_int,0,eq_c2/2)))/(s_0+7*s_r+IF(circ_int,eq_c1/2,0))),IF(((27+0.5)*(4*IF(circ_int,0,eq_c1/2)+4*IF(circ_int,0,eq_c2/2)+2*PI()*(s_0+7*s_r+IF(circ_int,eq_c1/2,0)))/INDEX(lk_legs,8))&lt;(((2*IF(circ_int,0,eq_c2/2))+(PI()*(s_0+7*s_r+IF(circ_int,eq_c1/2,0))/2))+2*IF(circ_int,0,eq_c1/2)),IF(circ_int,0,eq_c1/2)-(((27+0.5)*(4*IF(circ_int,0,eq_c1/2)+4*IF(circ_int,0,eq_c2/2)+2*PI()*(s_0+7*s_r+IF(circ_int,eq_c1/2,0)))/INDEX(lk_legs,8))-((2*IF(circ_int,0,eq_c2/2))+(PI()*(s_0+7*s_r+IF(circ_int,eq_c1/2,0))/2))),IF(((27+0.5)*(4*IF(circ_int,0,eq_c1/2)+4*IF(circ_int,0,eq_c2/2)+2*PI()*(s_0+7*s_r+IF(circ_int,eq_c1/2,0)))/INDEX(lk_legs,8))&lt;((((2*IF(circ_int,0,eq_c2/2))+(PI()*(s_0+7*s_r+IF(circ_int,eq_c1/2,0))/2))+2*IF(circ_int,0,eq_c1/2))+(PI()*(s_0+7*s_r+IF(circ_int,eq_c1/2,0))/2)),-IF(circ_int,0,eq_c1/2)+(s_0+7*s_r+IF(circ_int,eq_c1/2,0))*COS(PI()/2+(((27+0.5)*(4*IF(circ_int,0,eq_c1/2)+4*IF(circ_int,0,eq_c2/2)+2*PI()*(s_0+7*s_r+IF(circ_int,eq_c1/2,0)))/INDEX(lk_legs,8))-(((2*IF(circ_int,0,eq_c2/2))+(PI()*(s_0+7*s_r+IF(circ_int,eq_c1/2,0))/2))+2*IF(circ_int,0,eq_c1/2)))/(s_0+7*s_r+IF(circ_int,eq_c1/2,0))),IF(((27+0.5)*(4*IF(circ_int,0,eq_c1/2)+4*IF(circ_int,0,eq_c2/2)+2*PI()*(s_0+7*s_r+IF(circ_int,eq_c1/2,0)))/INDEX(lk_legs,8))&lt;(((((2*IF(circ_int,0,eq_c2/2))+(PI()*(s_0+7*s_r+IF(circ_int,eq_c1/2,0))/2))+2*IF(circ_int,0,eq_c1/2))+(PI()*(s_0+7*s_r+IF(circ_int,eq_c1/2,0))/2))+2*IF(circ_int,0,eq_c2/2)),-IF(circ_int,0,eq_c1/2)-(s_0+7*s_r+IF(circ_int,eq_c1/2,0)),IF(((27+0.5)*(4*IF(circ_int,0,eq_c1/2)+4*IF(circ_int,0,eq_c2/2)+2*PI()*(s_0+7*s_r+IF(circ_int,eq_c1/2,0)))/INDEX(lk_legs,8))&lt;((((((2*IF(circ_int,0,eq_c2/2))+(PI()*(s_0+7*s_r+IF(circ_int,eq_c1/2,0))/2))+2*IF(circ_int,0,eq_c1/2))+(PI()*(s_0+7*s_r+IF(circ_int,eq_c1/2,0))/2))+2*IF(circ_int,0,eq_c2/2))+(PI()*(s_0+7*s_r+IF(circ_int,eq_c1/2,0))/2)),-IF(circ_int,0,eq_c1/2)+(s_0+7*s_r+IF(circ_int,eq_c1/2,0))*COS(PI()+(((27+0.5)*(4*IF(circ_int,0,eq_c1/2)+4*IF(circ_int,0,eq_c2/2)+2*PI()*(s_0+7*s_r+IF(circ_int,eq_c1/2,0)))/INDEX(lk_legs,8))-(((((2*IF(circ_int,0,eq_c2/2))+(PI()*(s_0+7*s_r+IF(circ_int,eq_c1/2,0))/2))+2*IF(circ_int,0,eq_c1/2))+(PI()*(s_0+7*s_r+IF(circ_int,eq_c1/2,0))/2))+2*IF(circ_int,0,eq_c2/2)))/(s_0+7*s_r+IF(circ_int,eq_c1/2,0))),IF(((27+0.5)*(4*IF(circ_int,0,eq_c1/2)+4*IF(circ_int,0,eq_c2/2)+2*PI()*(s_0+7*s_r+IF(circ_int,eq_c1/2,0)))/INDEX(lk_legs,8))&lt;(((((((2*IF(circ_int,0,eq_c2/2))+(PI()*(s_0+7*s_r+IF(circ_int,eq_c1/2,0))/2))+2*IF(circ_int,0,eq_c1/2))+(PI()*(s_0+7*s_r+IF(circ_int,eq_c1/2,0))/2))+2*IF(circ_int,0,eq_c2/2))+(PI()*(s_0+7*s_r+IF(circ_int,eq_c1/2,0))/2))+2*IF(circ_int,0,eq_c1/2)),-IF(circ_int,0,eq_c1/2)+(((27+0.5)*(4*IF(circ_int,0,eq_c1/2)+4*IF(circ_int,0,eq_c2/2)+2*PI()*(s_0+7*s_r+IF(circ_int,eq_c1/2,0)))/INDEX(lk_legs,8))-((((((2*IF(circ_int,0,eq_c2/2))+(PI()*(s_0+7*s_r+IF(circ_int,eq_c1/2,0))/2))+2*IF(circ_int,0,eq_c1/2))+(PI()*(s_0+7*s_r+IF(circ_int,eq_c1/2,0))/2))+2*IF(circ_int,0,eq_c2/2))+(PI()*(s_0+7*s_r+IF(circ_int,eq_c1/2,0))/2))),IF(circ_int,0,eq_c1/2)+(s_0+7*s_r+IF(circ_int,eq_c1/2,0))*COS(3*PI()/2+(((27+0.5)*(4*IF(circ_int,0,eq_c1/2)+4*IF(circ_int,0,eq_c2/2)+2*PI()*(s_0+7*s_r+IF(circ_int,eq_c1/2,0)))/INDEX(lk_legs,8))-(((((((2*IF(circ_int,0,eq_c2/2))+(PI()*(s_0+7*s_r+IF(circ_int,eq_c1/2,0))/2))+2*IF(circ_int,0,eq_c1/2))+(PI()*(s_0+7*s_r+IF(circ_int,eq_c1/2,0))/2))+2*IF(circ_int,0,eq_c2/2))+(PI()*(s_0+7*s_r+IF(circ_int,eq_c1/2,0))/2))+2*IF(circ_int,0,eq_c1/2)))/(s_0+7*s_r+IF(circ_int,eq_c1/2,0)))))))))),NA())</f>
        <v/>
      </c>
      <c r="CQ30">
        <f>IF(AND(AND(links_on,8&lt;=n_per),INDEX(lk_kind,8)=1,27&lt;INDEX(lk_legs,8)),g_oy+IF(((27+0.5)*(4*IF(circ_int,0,eq_c1/2)+4*IF(circ_int,0,eq_c2/2)+2*PI()*(s_0+7*s_r+IF(circ_int,eq_c1/2,0)))/INDEX(lk_legs,8))&lt;(2*IF(circ_int,0,eq_c2/2)),-IF(circ_int,0,eq_c2/2)+((27+0.5)*(4*IF(circ_int,0,eq_c1/2)+4*IF(circ_int,0,eq_c2/2)+2*PI()*(s_0+7*s_r+IF(circ_int,eq_c1/2,0)))/INDEX(lk_legs,8)),IF(((27+0.5)*(4*IF(circ_int,0,eq_c1/2)+4*IF(circ_int,0,eq_c2/2)+2*PI()*(s_0+7*s_r+IF(circ_int,eq_c1/2,0)))/INDEX(lk_legs,8))&lt;((2*IF(circ_int,0,eq_c2/2))+(PI()*(s_0+7*s_r+IF(circ_int,eq_c1/2,0))/2)),IF(circ_int,0,eq_c2/2)+(s_0+7*s_r+IF(circ_int,eq_c1/2,0))*SIN((((27+0.5)*(4*IF(circ_int,0,eq_c1/2)+4*IF(circ_int,0,eq_c2/2)+2*PI()*(s_0+7*s_r+IF(circ_int,eq_c1/2,0)))/INDEX(lk_legs,8))-(2*IF(circ_int,0,eq_c2/2)))/(s_0+7*s_r+IF(circ_int,eq_c1/2,0))),IF(((27+0.5)*(4*IF(circ_int,0,eq_c1/2)+4*IF(circ_int,0,eq_c2/2)+2*PI()*(s_0+7*s_r+IF(circ_int,eq_c1/2,0)))/INDEX(lk_legs,8))&lt;(((2*IF(circ_int,0,eq_c2/2))+(PI()*(s_0+7*s_r+IF(circ_int,eq_c1/2,0))/2))+2*IF(circ_int,0,eq_c1/2)),IF(circ_int,0,eq_c2/2)+(s_0+7*s_r+IF(circ_int,eq_c1/2,0)),IF(((27+0.5)*(4*IF(circ_int,0,eq_c1/2)+4*IF(circ_int,0,eq_c2/2)+2*PI()*(s_0+7*s_r+IF(circ_int,eq_c1/2,0)))/INDEX(lk_legs,8))&lt;((((2*IF(circ_int,0,eq_c2/2))+(PI()*(s_0+7*s_r+IF(circ_int,eq_c1/2,0))/2))+2*IF(circ_int,0,eq_c1/2))+(PI()*(s_0+7*s_r+IF(circ_int,eq_c1/2,0))/2)),IF(circ_int,0,eq_c2/2)+(s_0+7*s_r+IF(circ_int,eq_c1/2,0))*SIN(PI()/2+(((27+0.5)*(4*IF(circ_int,0,eq_c1/2)+4*IF(circ_int,0,eq_c2/2)+2*PI()*(s_0+7*s_r+IF(circ_int,eq_c1/2,0)))/INDEX(lk_legs,8))-(((2*IF(circ_int,0,eq_c2/2))+(PI()*(s_0+7*s_r+IF(circ_int,eq_c1/2,0))/2))+2*IF(circ_int,0,eq_c1/2)))/(s_0+7*s_r+IF(circ_int,eq_c1/2,0))),IF(((27+0.5)*(4*IF(circ_int,0,eq_c1/2)+4*IF(circ_int,0,eq_c2/2)+2*PI()*(s_0+7*s_r+IF(circ_int,eq_c1/2,0)))/INDEX(lk_legs,8))&lt;(((((2*IF(circ_int,0,eq_c2/2))+(PI()*(s_0+7*s_r+IF(circ_int,eq_c1/2,0))/2))+2*IF(circ_int,0,eq_c1/2))+(PI()*(s_0+7*s_r+IF(circ_int,eq_c1/2,0))/2))+2*IF(circ_int,0,eq_c2/2)),IF(circ_int,0,eq_c2/2)-(((27+0.5)*(4*IF(circ_int,0,eq_c1/2)+4*IF(circ_int,0,eq_c2/2)+2*PI()*(s_0+7*s_r+IF(circ_int,eq_c1/2,0)))/INDEX(lk_legs,8))-((((2*IF(circ_int,0,eq_c2/2))+(PI()*(s_0+7*s_r+IF(circ_int,eq_c1/2,0))/2))+2*IF(circ_int,0,eq_c1/2))+(PI()*(s_0+7*s_r+IF(circ_int,eq_c1/2,0))/2))),IF(((27+0.5)*(4*IF(circ_int,0,eq_c1/2)+4*IF(circ_int,0,eq_c2/2)+2*PI()*(s_0+7*s_r+IF(circ_int,eq_c1/2,0)))/INDEX(lk_legs,8))&lt;((((((2*IF(circ_int,0,eq_c2/2))+(PI()*(s_0+7*s_r+IF(circ_int,eq_c1/2,0))/2))+2*IF(circ_int,0,eq_c1/2))+(PI()*(s_0+7*s_r+IF(circ_int,eq_c1/2,0))/2))+2*IF(circ_int,0,eq_c2/2))+(PI()*(s_0+7*s_r+IF(circ_int,eq_c1/2,0))/2)),-IF(circ_int,0,eq_c2/2)+(s_0+7*s_r+IF(circ_int,eq_c1/2,0))*SIN(PI()+(((27+0.5)*(4*IF(circ_int,0,eq_c1/2)+4*IF(circ_int,0,eq_c2/2)+2*PI()*(s_0+7*s_r+IF(circ_int,eq_c1/2,0)))/INDEX(lk_legs,8))-(((((2*IF(circ_int,0,eq_c2/2))+(PI()*(s_0+7*s_r+IF(circ_int,eq_c1/2,0))/2))+2*IF(circ_int,0,eq_c1/2))+(PI()*(s_0+7*s_r+IF(circ_int,eq_c1/2,0))/2))+2*IF(circ_int,0,eq_c2/2)))/(s_0+7*s_r+IF(circ_int,eq_c1/2,0))),IF(((27+0.5)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(27+0.5)*(4*IF(circ_int,0,eq_c1/2)+4*IF(circ_int,0,eq_c2/2)+2*PI()*(s_0+7*s_r+IF(circ_int,eq_c1/2,0)))/INDEX(lk_legs,8))-(((((((2*IF(circ_int,0,eq_c2/2))+(PI()*(s_0+7*s_r+IF(circ_int,eq_c1/2,0))/2))+2*IF(circ_int,0,eq_c1/2))+(PI()*(s_0+7*s_r+IF(circ_int,eq_c1/2,0))/2))+2*IF(circ_int,0,eq_c2/2))+(PI()*(s_0+7*s_r+IF(circ_int,eq_c1/2,0))/2))+2*IF(circ_int,0,eq_c1/2)))/(s_0+7*s_r+IF(circ_int,eq_c1/2,0)))))))))),NA())</f>
        <v/>
      </c>
      <c r="CS30">
        <f>IF(AND(links_on,9&lt;=n_per),IF(circ_int,(g_ox)+(c_1/2+(s_0+8*s_r))*-0.992709,CHOOSE(INDEX(lk_kind,9),(g_ox-eq_c1/2)+((s_0+8*s_r))*-0.991445,0,eq_a1+eq_c1+(s_0+8*s_r),eq_a1+eq_c1+(s_0+8*s_r))),NA())</f>
        <v/>
      </c>
      <c r="CT30">
        <f>IF(AND(links_on,9&lt;=n_per),IF(circ_int,(g_oy)+(c_1/2+(s_0+8*s_r))*-0.120537,CHOOSE(INDEX(lk_kind,9),(g_oy-eq_c2/2)+((s_0+8*s_r))*-0.130526,g_oy-eq_c2/2-(s_0+8*s_r),0,0)),NA())</f>
        <v/>
      </c>
      <c r="CV30">
        <f>IF(AND(AND(links_on,9&lt;=n_per),INDEX(lk_kind,9)=1,27&lt;INDEX(lk_legs,9)),g_ox+IF(((27+0.5)*(4*IF(circ_int,0,eq_c1/2)+4*IF(circ_int,0,eq_c2/2)+2*PI()*(s_0+8*s_r+IF(circ_int,eq_c1/2,0)))/INDEX(lk_legs,9))&lt;(2*IF(circ_int,0,eq_c2/2)),IF(circ_int,0,eq_c1/2)+(s_0+8*s_r+IF(circ_int,eq_c1/2,0)),IF(((27+0.5)*(4*IF(circ_int,0,eq_c1/2)+4*IF(circ_int,0,eq_c2/2)+2*PI()*(s_0+8*s_r+IF(circ_int,eq_c1/2,0)))/INDEX(lk_legs,9))&lt;((2*IF(circ_int,0,eq_c2/2))+(PI()*(s_0+8*s_r+IF(circ_int,eq_c1/2,0))/2)),IF(circ_int,0,eq_c1/2)+(s_0+8*s_r+IF(circ_int,eq_c1/2,0))*COS((((27+0.5)*(4*IF(circ_int,0,eq_c1/2)+4*IF(circ_int,0,eq_c2/2)+2*PI()*(s_0+8*s_r+IF(circ_int,eq_c1/2,0)))/INDEX(lk_legs,9))-(2*IF(circ_int,0,eq_c2/2)))/(s_0+8*s_r+IF(circ_int,eq_c1/2,0))),IF(((27+0.5)*(4*IF(circ_int,0,eq_c1/2)+4*IF(circ_int,0,eq_c2/2)+2*PI()*(s_0+8*s_r+IF(circ_int,eq_c1/2,0)))/INDEX(lk_legs,9))&lt;(((2*IF(circ_int,0,eq_c2/2))+(PI()*(s_0+8*s_r+IF(circ_int,eq_c1/2,0))/2))+2*IF(circ_int,0,eq_c1/2)),IF(circ_int,0,eq_c1/2)-(((27+0.5)*(4*IF(circ_int,0,eq_c1/2)+4*IF(circ_int,0,eq_c2/2)+2*PI()*(s_0+8*s_r+IF(circ_int,eq_c1/2,0)))/INDEX(lk_legs,9))-((2*IF(circ_int,0,eq_c2/2))+(PI()*(s_0+8*s_r+IF(circ_int,eq_c1/2,0))/2))),IF(((27+0.5)*(4*IF(circ_int,0,eq_c1/2)+4*IF(circ_int,0,eq_c2/2)+2*PI()*(s_0+8*s_r+IF(circ_int,eq_c1/2,0)))/INDEX(lk_legs,9))&lt;((((2*IF(circ_int,0,eq_c2/2))+(PI()*(s_0+8*s_r+IF(circ_int,eq_c1/2,0))/2))+2*IF(circ_int,0,eq_c1/2))+(PI()*(s_0+8*s_r+IF(circ_int,eq_c1/2,0))/2)),-IF(circ_int,0,eq_c1/2)+(s_0+8*s_r+IF(circ_int,eq_c1/2,0))*COS(PI()/2+(((27+0.5)*(4*IF(circ_int,0,eq_c1/2)+4*IF(circ_int,0,eq_c2/2)+2*PI()*(s_0+8*s_r+IF(circ_int,eq_c1/2,0)))/INDEX(lk_legs,9))-(((2*IF(circ_int,0,eq_c2/2))+(PI()*(s_0+8*s_r+IF(circ_int,eq_c1/2,0))/2))+2*IF(circ_int,0,eq_c1/2)))/(s_0+8*s_r+IF(circ_int,eq_c1/2,0))),IF(((27+0.5)*(4*IF(circ_int,0,eq_c1/2)+4*IF(circ_int,0,eq_c2/2)+2*PI()*(s_0+8*s_r+IF(circ_int,eq_c1/2,0)))/INDEX(lk_legs,9))&lt;(((((2*IF(circ_int,0,eq_c2/2))+(PI()*(s_0+8*s_r+IF(circ_int,eq_c1/2,0))/2))+2*IF(circ_int,0,eq_c1/2))+(PI()*(s_0+8*s_r+IF(circ_int,eq_c1/2,0))/2))+2*IF(circ_int,0,eq_c2/2)),-IF(circ_int,0,eq_c1/2)-(s_0+8*s_r+IF(circ_int,eq_c1/2,0)),IF(((27+0.5)*(4*IF(circ_int,0,eq_c1/2)+4*IF(circ_int,0,eq_c2/2)+2*PI()*(s_0+8*s_r+IF(circ_int,eq_c1/2,0)))/INDEX(lk_legs,9))&lt;((((((2*IF(circ_int,0,eq_c2/2))+(PI()*(s_0+8*s_r+IF(circ_int,eq_c1/2,0))/2))+2*IF(circ_int,0,eq_c1/2))+(PI()*(s_0+8*s_r+IF(circ_int,eq_c1/2,0))/2))+2*IF(circ_int,0,eq_c2/2))+(PI()*(s_0+8*s_r+IF(circ_int,eq_c1/2,0))/2)),-IF(circ_int,0,eq_c1/2)+(s_0+8*s_r+IF(circ_int,eq_c1/2,0))*COS(PI()+(((27+0.5)*(4*IF(circ_int,0,eq_c1/2)+4*IF(circ_int,0,eq_c2/2)+2*PI()*(s_0+8*s_r+IF(circ_int,eq_c1/2,0)))/INDEX(lk_legs,9))-(((((2*IF(circ_int,0,eq_c2/2))+(PI()*(s_0+8*s_r+IF(circ_int,eq_c1/2,0))/2))+2*IF(circ_int,0,eq_c1/2))+(PI()*(s_0+8*s_r+IF(circ_int,eq_c1/2,0))/2))+2*IF(circ_int,0,eq_c2/2)))/(s_0+8*s_r+IF(circ_int,eq_c1/2,0))),IF(((27+0.5)*(4*IF(circ_int,0,eq_c1/2)+4*IF(circ_int,0,eq_c2/2)+2*PI()*(s_0+8*s_r+IF(circ_int,eq_c1/2,0)))/INDEX(lk_legs,9))&lt;(((((((2*IF(circ_int,0,eq_c2/2))+(PI()*(s_0+8*s_r+IF(circ_int,eq_c1/2,0))/2))+2*IF(circ_int,0,eq_c1/2))+(PI()*(s_0+8*s_r+IF(circ_int,eq_c1/2,0))/2))+2*IF(circ_int,0,eq_c2/2))+(PI()*(s_0+8*s_r+IF(circ_int,eq_c1/2,0))/2))+2*IF(circ_int,0,eq_c1/2)),-IF(circ_int,0,eq_c1/2)+(((27+0.5)*(4*IF(circ_int,0,eq_c1/2)+4*IF(circ_int,0,eq_c2/2)+2*PI()*(s_0+8*s_r+IF(circ_int,eq_c1/2,0)))/INDEX(lk_legs,9))-((((((2*IF(circ_int,0,eq_c2/2))+(PI()*(s_0+8*s_r+IF(circ_int,eq_c1/2,0))/2))+2*IF(circ_int,0,eq_c1/2))+(PI()*(s_0+8*s_r+IF(circ_int,eq_c1/2,0))/2))+2*IF(circ_int,0,eq_c2/2))+(PI()*(s_0+8*s_r+IF(circ_int,eq_c1/2,0))/2))),IF(circ_int,0,eq_c1/2)+(s_0+8*s_r+IF(circ_int,eq_c1/2,0))*COS(3*PI()/2+(((27+0.5)*(4*IF(circ_int,0,eq_c1/2)+4*IF(circ_int,0,eq_c2/2)+2*PI()*(s_0+8*s_r+IF(circ_int,eq_c1/2,0)))/INDEX(lk_legs,9))-(((((((2*IF(circ_int,0,eq_c2/2))+(PI()*(s_0+8*s_r+IF(circ_int,eq_c1/2,0))/2))+2*IF(circ_int,0,eq_c1/2))+(PI()*(s_0+8*s_r+IF(circ_int,eq_c1/2,0))/2))+2*IF(circ_int,0,eq_c2/2))+(PI()*(s_0+8*s_r+IF(circ_int,eq_c1/2,0))/2))+2*IF(circ_int,0,eq_c1/2)))/(s_0+8*s_r+IF(circ_int,eq_c1/2,0)))))))))),NA())</f>
        <v/>
      </c>
      <c r="CW30">
        <f>IF(AND(AND(links_on,9&lt;=n_per),INDEX(lk_kind,9)=1,27&lt;INDEX(lk_legs,9)),g_oy+IF(((27+0.5)*(4*IF(circ_int,0,eq_c1/2)+4*IF(circ_int,0,eq_c2/2)+2*PI()*(s_0+8*s_r+IF(circ_int,eq_c1/2,0)))/INDEX(lk_legs,9))&lt;(2*IF(circ_int,0,eq_c2/2)),-IF(circ_int,0,eq_c2/2)+((27+0.5)*(4*IF(circ_int,0,eq_c1/2)+4*IF(circ_int,0,eq_c2/2)+2*PI()*(s_0+8*s_r+IF(circ_int,eq_c1/2,0)))/INDEX(lk_legs,9)),IF(((27+0.5)*(4*IF(circ_int,0,eq_c1/2)+4*IF(circ_int,0,eq_c2/2)+2*PI()*(s_0+8*s_r+IF(circ_int,eq_c1/2,0)))/INDEX(lk_legs,9))&lt;((2*IF(circ_int,0,eq_c2/2))+(PI()*(s_0+8*s_r+IF(circ_int,eq_c1/2,0))/2)),IF(circ_int,0,eq_c2/2)+(s_0+8*s_r+IF(circ_int,eq_c1/2,0))*SIN((((27+0.5)*(4*IF(circ_int,0,eq_c1/2)+4*IF(circ_int,0,eq_c2/2)+2*PI()*(s_0+8*s_r+IF(circ_int,eq_c1/2,0)))/INDEX(lk_legs,9))-(2*IF(circ_int,0,eq_c2/2)))/(s_0+8*s_r+IF(circ_int,eq_c1/2,0))),IF(((27+0.5)*(4*IF(circ_int,0,eq_c1/2)+4*IF(circ_int,0,eq_c2/2)+2*PI()*(s_0+8*s_r+IF(circ_int,eq_c1/2,0)))/INDEX(lk_legs,9))&lt;(((2*IF(circ_int,0,eq_c2/2))+(PI()*(s_0+8*s_r+IF(circ_int,eq_c1/2,0))/2))+2*IF(circ_int,0,eq_c1/2)),IF(circ_int,0,eq_c2/2)+(s_0+8*s_r+IF(circ_int,eq_c1/2,0)),IF(((27+0.5)*(4*IF(circ_int,0,eq_c1/2)+4*IF(circ_int,0,eq_c2/2)+2*PI()*(s_0+8*s_r+IF(circ_int,eq_c1/2,0)))/INDEX(lk_legs,9))&lt;((((2*IF(circ_int,0,eq_c2/2))+(PI()*(s_0+8*s_r+IF(circ_int,eq_c1/2,0))/2))+2*IF(circ_int,0,eq_c1/2))+(PI()*(s_0+8*s_r+IF(circ_int,eq_c1/2,0))/2)),IF(circ_int,0,eq_c2/2)+(s_0+8*s_r+IF(circ_int,eq_c1/2,0))*SIN(PI()/2+(((27+0.5)*(4*IF(circ_int,0,eq_c1/2)+4*IF(circ_int,0,eq_c2/2)+2*PI()*(s_0+8*s_r+IF(circ_int,eq_c1/2,0)))/INDEX(lk_legs,9))-(((2*IF(circ_int,0,eq_c2/2))+(PI()*(s_0+8*s_r+IF(circ_int,eq_c1/2,0))/2))+2*IF(circ_int,0,eq_c1/2)))/(s_0+8*s_r+IF(circ_int,eq_c1/2,0))),IF(((27+0.5)*(4*IF(circ_int,0,eq_c1/2)+4*IF(circ_int,0,eq_c2/2)+2*PI()*(s_0+8*s_r+IF(circ_int,eq_c1/2,0)))/INDEX(lk_legs,9))&lt;(((((2*IF(circ_int,0,eq_c2/2))+(PI()*(s_0+8*s_r+IF(circ_int,eq_c1/2,0))/2))+2*IF(circ_int,0,eq_c1/2))+(PI()*(s_0+8*s_r+IF(circ_int,eq_c1/2,0))/2))+2*IF(circ_int,0,eq_c2/2)),IF(circ_int,0,eq_c2/2)-(((27+0.5)*(4*IF(circ_int,0,eq_c1/2)+4*IF(circ_int,0,eq_c2/2)+2*PI()*(s_0+8*s_r+IF(circ_int,eq_c1/2,0)))/INDEX(lk_legs,9))-((((2*IF(circ_int,0,eq_c2/2))+(PI()*(s_0+8*s_r+IF(circ_int,eq_c1/2,0))/2))+2*IF(circ_int,0,eq_c1/2))+(PI()*(s_0+8*s_r+IF(circ_int,eq_c1/2,0))/2))),IF(((27+0.5)*(4*IF(circ_int,0,eq_c1/2)+4*IF(circ_int,0,eq_c2/2)+2*PI()*(s_0+8*s_r+IF(circ_int,eq_c1/2,0)))/INDEX(lk_legs,9))&lt;((((((2*IF(circ_int,0,eq_c2/2))+(PI()*(s_0+8*s_r+IF(circ_int,eq_c1/2,0))/2))+2*IF(circ_int,0,eq_c1/2))+(PI()*(s_0+8*s_r+IF(circ_int,eq_c1/2,0))/2))+2*IF(circ_int,0,eq_c2/2))+(PI()*(s_0+8*s_r+IF(circ_int,eq_c1/2,0))/2)),-IF(circ_int,0,eq_c2/2)+(s_0+8*s_r+IF(circ_int,eq_c1/2,0))*SIN(PI()+(((27+0.5)*(4*IF(circ_int,0,eq_c1/2)+4*IF(circ_int,0,eq_c2/2)+2*PI()*(s_0+8*s_r+IF(circ_int,eq_c1/2,0)))/INDEX(lk_legs,9))-(((((2*IF(circ_int,0,eq_c2/2))+(PI()*(s_0+8*s_r+IF(circ_int,eq_c1/2,0))/2))+2*IF(circ_int,0,eq_c1/2))+(PI()*(s_0+8*s_r+IF(circ_int,eq_c1/2,0))/2))+2*IF(circ_int,0,eq_c2/2)))/(s_0+8*s_r+IF(circ_int,eq_c1/2,0))),IF(((27+0.5)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(27+0.5)*(4*IF(circ_int,0,eq_c1/2)+4*IF(circ_int,0,eq_c2/2)+2*PI()*(s_0+8*s_r+IF(circ_int,eq_c1/2,0)))/INDEX(lk_legs,9))-(((((((2*IF(circ_int,0,eq_c2/2))+(PI()*(s_0+8*s_r+IF(circ_int,eq_c1/2,0))/2))+2*IF(circ_int,0,eq_c1/2))+(PI()*(s_0+8*s_r+IF(circ_int,eq_c1/2,0))/2))+2*IF(circ_int,0,eq_c2/2))+(PI()*(s_0+8*s_r+IF(circ_int,eq_c1/2,0))/2))+2*IF(circ_int,0,eq_c1/2)))/(s_0+8*s_r+IF(circ_int,eq_c1/2,0)))))))))),NA())</f>
        <v/>
      </c>
      <c r="CY30">
        <f>IF(AND(links_on,10&lt;=n_per),IF(circ_int,(g_ox)+(c_1/2+(s_0+9*s_r))*-0.992709,CHOOSE(INDEX(lk_kind,10),(g_ox-eq_c1/2)+((s_0+9*s_r))*-0.991445,0,eq_a1+eq_c1+(s_0+9*s_r),eq_a1+eq_c1+(s_0+9*s_r))),NA())</f>
        <v/>
      </c>
      <c r="CZ30">
        <f>IF(AND(links_on,10&lt;=n_per),IF(circ_int,(g_oy)+(c_1/2+(s_0+9*s_r))*-0.120537,CHOOSE(INDEX(lk_kind,10),(g_oy-eq_c2/2)+((s_0+9*s_r))*-0.130526,g_oy-eq_c2/2-(s_0+9*s_r),0,0)),NA())</f>
        <v/>
      </c>
      <c r="DB30">
        <f>IF(AND(AND(links_on,10&lt;=n_per),INDEX(lk_kind,10)=1,27&lt;INDEX(lk_legs,10)),g_ox+IF(((27+0.5)*(4*IF(circ_int,0,eq_c1/2)+4*IF(circ_int,0,eq_c2/2)+2*PI()*(s_0+9*s_r+IF(circ_int,eq_c1/2,0)))/INDEX(lk_legs,10))&lt;(2*IF(circ_int,0,eq_c2/2)),IF(circ_int,0,eq_c1/2)+(s_0+9*s_r+IF(circ_int,eq_c1/2,0)),IF(((27+0.5)*(4*IF(circ_int,0,eq_c1/2)+4*IF(circ_int,0,eq_c2/2)+2*PI()*(s_0+9*s_r+IF(circ_int,eq_c1/2,0)))/INDEX(lk_legs,10))&lt;((2*IF(circ_int,0,eq_c2/2))+(PI()*(s_0+9*s_r+IF(circ_int,eq_c1/2,0))/2)),IF(circ_int,0,eq_c1/2)+(s_0+9*s_r+IF(circ_int,eq_c1/2,0))*COS((((27+0.5)*(4*IF(circ_int,0,eq_c1/2)+4*IF(circ_int,0,eq_c2/2)+2*PI()*(s_0+9*s_r+IF(circ_int,eq_c1/2,0)))/INDEX(lk_legs,10))-(2*IF(circ_int,0,eq_c2/2)))/(s_0+9*s_r+IF(circ_int,eq_c1/2,0))),IF(((27+0.5)*(4*IF(circ_int,0,eq_c1/2)+4*IF(circ_int,0,eq_c2/2)+2*PI()*(s_0+9*s_r+IF(circ_int,eq_c1/2,0)))/INDEX(lk_legs,10))&lt;(((2*IF(circ_int,0,eq_c2/2))+(PI()*(s_0+9*s_r+IF(circ_int,eq_c1/2,0))/2))+2*IF(circ_int,0,eq_c1/2)),IF(circ_int,0,eq_c1/2)-(((27+0.5)*(4*IF(circ_int,0,eq_c1/2)+4*IF(circ_int,0,eq_c2/2)+2*PI()*(s_0+9*s_r+IF(circ_int,eq_c1/2,0)))/INDEX(lk_legs,10))-((2*IF(circ_int,0,eq_c2/2))+(PI()*(s_0+9*s_r+IF(circ_int,eq_c1/2,0))/2))),IF(((27+0.5)*(4*IF(circ_int,0,eq_c1/2)+4*IF(circ_int,0,eq_c2/2)+2*PI()*(s_0+9*s_r+IF(circ_int,eq_c1/2,0)))/INDEX(lk_legs,10))&lt;((((2*IF(circ_int,0,eq_c2/2))+(PI()*(s_0+9*s_r+IF(circ_int,eq_c1/2,0))/2))+2*IF(circ_int,0,eq_c1/2))+(PI()*(s_0+9*s_r+IF(circ_int,eq_c1/2,0))/2)),-IF(circ_int,0,eq_c1/2)+(s_0+9*s_r+IF(circ_int,eq_c1/2,0))*COS(PI()/2+(((27+0.5)*(4*IF(circ_int,0,eq_c1/2)+4*IF(circ_int,0,eq_c2/2)+2*PI()*(s_0+9*s_r+IF(circ_int,eq_c1/2,0)))/INDEX(lk_legs,10))-(((2*IF(circ_int,0,eq_c2/2))+(PI()*(s_0+9*s_r+IF(circ_int,eq_c1/2,0))/2))+2*IF(circ_int,0,eq_c1/2)))/(s_0+9*s_r+IF(circ_int,eq_c1/2,0))),IF(((27+0.5)*(4*IF(circ_int,0,eq_c1/2)+4*IF(circ_int,0,eq_c2/2)+2*PI()*(s_0+9*s_r+IF(circ_int,eq_c1/2,0)))/INDEX(lk_legs,10))&lt;(((((2*IF(circ_int,0,eq_c2/2))+(PI()*(s_0+9*s_r+IF(circ_int,eq_c1/2,0))/2))+2*IF(circ_int,0,eq_c1/2))+(PI()*(s_0+9*s_r+IF(circ_int,eq_c1/2,0))/2))+2*IF(circ_int,0,eq_c2/2)),-IF(circ_int,0,eq_c1/2)-(s_0+9*s_r+IF(circ_int,eq_c1/2,0)),IF(((27+0.5)*(4*IF(circ_int,0,eq_c1/2)+4*IF(circ_int,0,eq_c2/2)+2*PI()*(s_0+9*s_r+IF(circ_int,eq_c1/2,0)))/INDEX(lk_legs,10))&lt;((((((2*IF(circ_int,0,eq_c2/2))+(PI()*(s_0+9*s_r+IF(circ_int,eq_c1/2,0))/2))+2*IF(circ_int,0,eq_c1/2))+(PI()*(s_0+9*s_r+IF(circ_int,eq_c1/2,0))/2))+2*IF(circ_int,0,eq_c2/2))+(PI()*(s_0+9*s_r+IF(circ_int,eq_c1/2,0))/2)),-IF(circ_int,0,eq_c1/2)+(s_0+9*s_r+IF(circ_int,eq_c1/2,0))*COS(PI()+(((27+0.5)*(4*IF(circ_int,0,eq_c1/2)+4*IF(circ_int,0,eq_c2/2)+2*PI()*(s_0+9*s_r+IF(circ_int,eq_c1/2,0)))/INDEX(lk_legs,10))-(((((2*IF(circ_int,0,eq_c2/2))+(PI()*(s_0+9*s_r+IF(circ_int,eq_c1/2,0))/2))+2*IF(circ_int,0,eq_c1/2))+(PI()*(s_0+9*s_r+IF(circ_int,eq_c1/2,0))/2))+2*IF(circ_int,0,eq_c2/2)))/(s_0+9*s_r+IF(circ_int,eq_c1/2,0))),IF(((27+0.5)*(4*IF(circ_int,0,eq_c1/2)+4*IF(circ_int,0,eq_c2/2)+2*PI()*(s_0+9*s_r+IF(circ_int,eq_c1/2,0)))/INDEX(lk_legs,10))&lt;(((((((2*IF(circ_int,0,eq_c2/2))+(PI()*(s_0+9*s_r+IF(circ_int,eq_c1/2,0))/2))+2*IF(circ_int,0,eq_c1/2))+(PI()*(s_0+9*s_r+IF(circ_int,eq_c1/2,0))/2))+2*IF(circ_int,0,eq_c2/2))+(PI()*(s_0+9*s_r+IF(circ_int,eq_c1/2,0))/2))+2*IF(circ_int,0,eq_c1/2)),-IF(circ_int,0,eq_c1/2)+(((27+0.5)*(4*IF(circ_int,0,eq_c1/2)+4*IF(circ_int,0,eq_c2/2)+2*PI()*(s_0+9*s_r+IF(circ_int,eq_c1/2,0)))/INDEX(lk_legs,10))-((((((2*IF(circ_int,0,eq_c2/2))+(PI()*(s_0+9*s_r+IF(circ_int,eq_c1/2,0))/2))+2*IF(circ_int,0,eq_c1/2))+(PI()*(s_0+9*s_r+IF(circ_int,eq_c1/2,0))/2))+2*IF(circ_int,0,eq_c2/2))+(PI()*(s_0+9*s_r+IF(circ_int,eq_c1/2,0))/2))),IF(circ_int,0,eq_c1/2)+(s_0+9*s_r+IF(circ_int,eq_c1/2,0))*COS(3*PI()/2+(((27+0.5)*(4*IF(circ_int,0,eq_c1/2)+4*IF(circ_int,0,eq_c2/2)+2*PI()*(s_0+9*s_r+IF(circ_int,eq_c1/2,0)))/INDEX(lk_legs,10))-(((((((2*IF(circ_int,0,eq_c2/2))+(PI()*(s_0+9*s_r+IF(circ_int,eq_c1/2,0))/2))+2*IF(circ_int,0,eq_c1/2))+(PI()*(s_0+9*s_r+IF(circ_int,eq_c1/2,0))/2))+2*IF(circ_int,0,eq_c2/2))+(PI()*(s_0+9*s_r+IF(circ_int,eq_c1/2,0))/2))+2*IF(circ_int,0,eq_c1/2)))/(s_0+9*s_r+IF(circ_int,eq_c1/2,0)))))))))),NA())</f>
        <v/>
      </c>
      <c r="DC30">
        <f>IF(AND(AND(links_on,10&lt;=n_per),INDEX(lk_kind,10)=1,27&lt;INDEX(lk_legs,10)),g_oy+IF(((27+0.5)*(4*IF(circ_int,0,eq_c1/2)+4*IF(circ_int,0,eq_c2/2)+2*PI()*(s_0+9*s_r+IF(circ_int,eq_c1/2,0)))/INDEX(lk_legs,10))&lt;(2*IF(circ_int,0,eq_c2/2)),-IF(circ_int,0,eq_c2/2)+((27+0.5)*(4*IF(circ_int,0,eq_c1/2)+4*IF(circ_int,0,eq_c2/2)+2*PI()*(s_0+9*s_r+IF(circ_int,eq_c1/2,0)))/INDEX(lk_legs,10)),IF(((27+0.5)*(4*IF(circ_int,0,eq_c1/2)+4*IF(circ_int,0,eq_c2/2)+2*PI()*(s_0+9*s_r+IF(circ_int,eq_c1/2,0)))/INDEX(lk_legs,10))&lt;((2*IF(circ_int,0,eq_c2/2))+(PI()*(s_0+9*s_r+IF(circ_int,eq_c1/2,0))/2)),IF(circ_int,0,eq_c2/2)+(s_0+9*s_r+IF(circ_int,eq_c1/2,0))*SIN((((27+0.5)*(4*IF(circ_int,0,eq_c1/2)+4*IF(circ_int,0,eq_c2/2)+2*PI()*(s_0+9*s_r+IF(circ_int,eq_c1/2,0)))/INDEX(lk_legs,10))-(2*IF(circ_int,0,eq_c2/2)))/(s_0+9*s_r+IF(circ_int,eq_c1/2,0))),IF(((27+0.5)*(4*IF(circ_int,0,eq_c1/2)+4*IF(circ_int,0,eq_c2/2)+2*PI()*(s_0+9*s_r+IF(circ_int,eq_c1/2,0)))/INDEX(lk_legs,10))&lt;(((2*IF(circ_int,0,eq_c2/2))+(PI()*(s_0+9*s_r+IF(circ_int,eq_c1/2,0))/2))+2*IF(circ_int,0,eq_c1/2)),IF(circ_int,0,eq_c2/2)+(s_0+9*s_r+IF(circ_int,eq_c1/2,0)),IF(((27+0.5)*(4*IF(circ_int,0,eq_c1/2)+4*IF(circ_int,0,eq_c2/2)+2*PI()*(s_0+9*s_r+IF(circ_int,eq_c1/2,0)))/INDEX(lk_legs,10))&lt;((((2*IF(circ_int,0,eq_c2/2))+(PI()*(s_0+9*s_r+IF(circ_int,eq_c1/2,0))/2))+2*IF(circ_int,0,eq_c1/2))+(PI()*(s_0+9*s_r+IF(circ_int,eq_c1/2,0))/2)),IF(circ_int,0,eq_c2/2)+(s_0+9*s_r+IF(circ_int,eq_c1/2,0))*SIN(PI()/2+(((27+0.5)*(4*IF(circ_int,0,eq_c1/2)+4*IF(circ_int,0,eq_c2/2)+2*PI()*(s_0+9*s_r+IF(circ_int,eq_c1/2,0)))/INDEX(lk_legs,10))-(((2*IF(circ_int,0,eq_c2/2))+(PI()*(s_0+9*s_r+IF(circ_int,eq_c1/2,0))/2))+2*IF(circ_int,0,eq_c1/2)))/(s_0+9*s_r+IF(circ_int,eq_c1/2,0))),IF(((27+0.5)*(4*IF(circ_int,0,eq_c1/2)+4*IF(circ_int,0,eq_c2/2)+2*PI()*(s_0+9*s_r+IF(circ_int,eq_c1/2,0)))/INDEX(lk_legs,10))&lt;(((((2*IF(circ_int,0,eq_c2/2))+(PI()*(s_0+9*s_r+IF(circ_int,eq_c1/2,0))/2))+2*IF(circ_int,0,eq_c1/2))+(PI()*(s_0+9*s_r+IF(circ_int,eq_c1/2,0))/2))+2*IF(circ_int,0,eq_c2/2)),IF(circ_int,0,eq_c2/2)-(((27+0.5)*(4*IF(circ_int,0,eq_c1/2)+4*IF(circ_int,0,eq_c2/2)+2*PI()*(s_0+9*s_r+IF(circ_int,eq_c1/2,0)))/INDEX(lk_legs,10))-((((2*IF(circ_int,0,eq_c2/2))+(PI()*(s_0+9*s_r+IF(circ_int,eq_c1/2,0))/2))+2*IF(circ_int,0,eq_c1/2))+(PI()*(s_0+9*s_r+IF(circ_int,eq_c1/2,0))/2))),IF(((27+0.5)*(4*IF(circ_int,0,eq_c1/2)+4*IF(circ_int,0,eq_c2/2)+2*PI()*(s_0+9*s_r+IF(circ_int,eq_c1/2,0)))/INDEX(lk_legs,10))&lt;((((((2*IF(circ_int,0,eq_c2/2))+(PI()*(s_0+9*s_r+IF(circ_int,eq_c1/2,0))/2))+2*IF(circ_int,0,eq_c1/2))+(PI()*(s_0+9*s_r+IF(circ_int,eq_c1/2,0))/2))+2*IF(circ_int,0,eq_c2/2))+(PI()*(s_0+9*s_r+IF(circ_int,eq_c1/2,0))/2)),-IF(circ_int,0,eq_c2/2)+(s_0+9*s_r+IF(circ_int,eq_c1/2,0))*SIN(PI()+(((27+0.5)*(4*IF(circ_int,0,eq_c1/2)+4*IF(circ_int,0,eq_c2/2)+2*PI()*(s_0+9*s_r+IF(circ_int,eq_c1/2,0)))/INDEX(lk_legs,10))-(((((2*IF(circ_int,0,eq_c2/2))+(PI()*(s_0+9*s_r+IF(circ_int,eq_c1/2,0))/2))+2*IF(circ_int,0,eq_c1/2))+(PI()*(s_0+9*s_r+IF(circ_int,eq_c1/2,0))/2))+2*IF(circ_int,0,eq_c2/2)))/(s_0+9*s_r+IF(circ_int,eq_c1/2,0))),IF(((27+0.5)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(27+0.5)*(4*IF(circ_int,0,eq_c1/2)+4*IF(circ_int,0,eq_c2/2)+2*PI()*(s_0+9*s_r+IF(circ_int,eq_c1/2,0)))/INDEX(lk_legs,10))-(((((((2*IF(circ_int,0,eq_c2/2))+(PI()*(s_0+9*s_r+IF(circ_int,eq_c1/2,0))/2))+2*IF(circ_int,0,eq_c1/2))+(PI()*(s_0+9*s_r+IF(circ_int,eq_c1/2,0))/2))+2*IF(circ_int,0,eq_c2/2))+(PI()*(s_0+9*s_r+IF(circ_int,eq_c1/2,0))/2))+2*IF(circ_int,0,eq_c1/2)))/(s_0+9*s_r+IF(circ_int,eq_c1/2,0)))))))))),NA())</f>
        <v/>
      </c>
      <c r="DE30">
        <f>IF(AND(links_on,11&lt;=n_per),IF(circ_int,(g_ox)+(c_1/2+(s_0+10*s_r))*-0.992709,CHOOSE(INDEX(lk_kind,11),(g_ox-eq_c1/2)+((s_0+10*s_r))*-0.991445,0,eq_a1+eq_c1+(s_0+10*s_r),eq_a1+eq_c1+(s_0+10*s_r))),NA())</f>
        <v/>
      </c>
      <c r="DF30">
        <f>IF(AND(links_on,11&lt;=n_per),IF(circ_int,(g_oy)+(c_1/2+(s_0+10*s_r))*-0.120537,CHOOSE(INDEX(lk_kind,11),(g_oy-eq_c2/2)+((s_0+10*s_r))*-0.130526,g_oy-eq_c2/2-(s_0+10*s_r),0,0)),NA())</f>
        <v/>
      </c>
      <c r="DH30">
        <f>IF(AND(AND(links_on,11&lt;=n_per),INDEX(lk_kind,11)=1,27&lt;INDEX(lk_legs,11)),g_ox+IF(((27+0.5)*(4*IF(circ_int,0,eq_c1/2)+4*IF(circ_int,0,eq_c2/2)+2*PI()*(s_0+10*s_r+IF(circ_int,eq_c1/2,0)))/INDEX(lk_legs,11))&lt;(2*IF(circ_int,0,eq_c2/2)),IF(circ_int,0,eq_c1/2)+(s_0+10*s_r+IF(circ_int,eq_c1/2,0)),IF(((27+0.5)*(4*IF(circ_int,0,eq_c1/2)+4*IF(circ_int,0,eq_c2/2)+2*PI()*(s_0+10*s_r+IF(circ_int,eq_c1/2,0)))/INDEX(lk_legs,11))&lt;((2*IF(circ_int,0,eq_c2/2))+(PI()*(s_0+10*s_r+IF(circ_int,eq_c1/2,0))/2)),IF(circ_int,0,eq_c1/2)+(s_0+10*s_r+IF(circ_int,eq_c1/2,0))*COS((((27+0.5)*(4*IF(circ_int,0,eq_c1/2)+4*IF(circ_int,0,eq_c2/2)+2*PI()*(s_0+10*s_r+IF(circ_int,eq_c1/2,0)))/INDEX(lk_legs,11))-(2*IF(circ_int,0,eq_c2/2)))/(s_0+10*s_r+IF(circ_int,eq_c1/2,0))),IF(((27+0.5)*(4*IF(circ_int,0,eq_c1/2)+4*IF(circ_int,0,eq_c2/2)+2*PI()*(s_0+10*s_r+IF(circ_int,eq_c1/2,0)))/INDEX(lk_legs,11))&lt;(((2*IF(circ_int,0,eq_c2/2))+(PI()*(s_0+10*s_r+IF(circ_int,eq_c1/2,0))/2))+2*IF(circ_int,0,eq_c1/2)),IF(circ_int,0,eq_c1/2)-(((27+0.5)*(4*IF(circ_int,0,eq_c1/2)+4*IF(circ_int,0,eq_c2/2)+2*PI()*(s_0+10*s_r+IF(circ_int,eq_c1/2,0)))/INDEX(lk_legs,11))-((2*IF(circ_int,0,eq_c2/2))+(PI()*(s_0+10*s_r+IF(circ_int,eq_c1/2,0))/2))),IF(((27+0.5)*(4*IF(circ_int,0,eq_c1/2)+4*IF(circ_int,0,eq_c2/2)+2*PI()*(s_0+10*s_r+IF(circ_int,eq_c1/2,0)))/INDEX(lk_legs,11))&lt;((((2*IF(circ_int,0,eq_c2/2))+(PI()*(s_0+10*s_r+IF(circ_int,eq_c1/2,0))/2))+2*IF(circ_int,0,eq_c1/2))+(PI()*(s_0+10*s_r+IF(circ_int,eq_c1/2,0))/2)),-IF(circ_int,0,eq_c1/2)+(s_0+10*s_r+IF(circ_int,eq_c1/2,0))*COS(PI()/2+(((27+0.5)*(4*IF(circ_int,0,eq_c1/2)+4*IF(circ_int,0,eq_c2/2)+2*PI()*(s_0+10*s_r+IF(circ_int,eq_c1/2,0)))/INDEX(lk_legs,11))-(((2*IF(circ_int,0,eq_c2/2))+(PI()*(s_0+10*s_r+IF(circ_int,eq_c1/2,0))/2))+2*IF(circ_int,0,eq_c1/2)))/(s_0+10*s_r+IF(circ_int,eq_c1/2,0))),IF(((27+0.5)*(4*IF(circ_int,0,eq_c1/2)+4*IF(circ_int,0,eq_c2/2)+2*PI()*(s_0+10*s_r+IF(circ_int,eq_c1/2,0)))/INDEX(lk_legs,11))&lt;(((((2*IF(circ_int,0,eq_c2/2))+(PI()*(s_0+10*s_r+IF(circ_int,eq_c1/2,0))/2))+2*IF(circ_int,0,eq_c1/2))+(PI()*(s_0+10*s_r+IF(circ_int,eq_c1/2,0))/2))+2*IF(circ_int,0,eq_c2/2)),-IF(circ_int,0,eq_c1/2)-(s_0+10*s_r+IF(circ_int,eq_c1/2,0)),IF(((27+0.5)*(4*IF(circ_int,0,eq_c1/2)+4*IF(circ_int,0,eq_c2/2)+2*PI()*(s_0+10*s_r+IF(circ_int,eq_c1/2,0)))/INDEX(lk_legs,11))&lt;((((((2*IF(circ_int,0,eq_c2/2))+(PI()*(s_0+10*s_r+IF(circ_int,eq_c1/2,0))/2))+2*IF(circ_int,0,eq_c1/2))+(PI()*(s_0+10*s_r+IF(circ_int,eq_c1/2,0))/2))+2*IF(circ_int,0,eq_c2/2))+(PI()*(s_0+10*s_r+IF(circ_int,eq_c1/2,0))/2)),-IF(circ_int,0,eq_c1/2)+(s_0+10*s_r+IF(circ_int,eq_c1/2,0))*COS(PI()+(((27+0.5)*(4*IF(circ_int,0,eq_c1/2)+4*IF(circ_int,0,eq_c2/2)+2*PI()*(s_0+10*s_r+IF(circ_int,eq_c1/2,0)))/INDEX(lk_legs,11))-(((((2*IF(circ_int,0,eq_c2/2))+(PI()*(s_0+10*s_r+IF(circ_int,eq_c1/2,0))/2))+2*IF(circ_int,0,eq_c1/2))+(PI()*(s_0+10*s_r+IF(circ_int,eq_c1/2,0))/2))+2*IF(circ_int,0,eq_c2/2)))/(s_0+10*s_r+IF(circ_int,eq_c1/2,0))),IF(((27+0.5)*(4*IF(circ_int,0,eq_c1/2)+4*IF(circ_int,0,eq_c2/2)+2*PI()*(s_0+10*s_r+IF(circ_int,eq_c1/2,0)))/INDEX(lk_legs,11))&lt;(((((((2*IF(circ_int,0,eq_c2/2))+(PI()*(s_0+10*s_r+IF(circ_int,eq_c1/2,0))/2))+2*IF(circ_int,0,eq_c1/2))+(PI()*(s_0+10*s_r+IF(circ_int,eq_c1/2,0))/2))+2*IF(circ_int,0,eq_c2/2))+(PI()*(s_0+10*s_r+IF(circ_int,eq_c1/2,0))/2))+2*IF(circ_int,0,eq_c1/2)),-IF(circ_int,0,eq_c1/2)+(((27+0.5)*(4*IF(circ_int,0,eq_c1/2)+4*IF(circ_int,0,eq_c2/2)+2*PI()*(s_0+10*s_r+IF(circ_int,eq_c1/2,0)))/INDEX(lk_legs,11))-((((((2*IF(circ_int,0,eq_c2/2))+(PI()*(s_0+10*s_r+IF(circ_int,eq_c1/2,0))/2))+2*IF(circ_int,0,eq_c1/2))+(PI()*(s_0+10*s_r+IF(circ_int,eq_c1/2,0))/2))+2*IF(circ_int,0,eq_c2/2))+(PI()*(s_0+10*s_r+IF(circ_int,eq_c1/2,0))/2))),IF(circ_int,0,eq_c1/2)+(s_0+10*s_r+IF(circ_int,eq_c1/2,0))*COS(3*PI()/2+(((27+0.5)*(4*IF(circ_int,0,eq_c1/2)+4*IF(circ_int,0,eq_c2/2)+2*PI()*(s_0+10*s_r+IF(circ_int,eq_c1/2,0)))/INDEX(lk_legs,11))-(((((((2*IF(circ_int,0,eq_c2/2))+(PI()*(s_0+10*s_r+IF(circ_int,eq_c1/2,0))/2))+2*IF(circ_int,0,eq_c1/2))+(PI()*(s_0+10*s_r+IF(circ_int,eq_c1/2,0))/2))+2*IF(circ_int,0,eq_c2/2))+(PI()*(s_0+10*s_r+IF(circ_int,eq_c1/2,0))/2))+2*IF(circ_int,0,eq_c1/2)))/(s_0+10*s_r+IF(circ_int,eq_c1/2,0)))))))))),NA())</f>
        <v/>
      </c>
      <c r="DI30">
        <f>IF(AND(AND(links_on,11&lt;=n_per),INDEX(lk_kind,11)=1,27&lt;INDEX(lk_legs,11)),g_oy+IF(((27+0.5)*(4*IF(circ_int,0,eq_c1/2)+4*IF(circ_int,0,eq_c2/2)+2*PI()*(s_0+10*s_r+IF(circ_int,eq_c1/2,0)))/INDEX(lk_legs,11))&lt;(2*IF(circ_int,0,eq_c2/2)),-IF(circ_int,0,eq_c2/2)+((27+0.5)*(4*IF(circ_int,0,eq_c1/2)+4*IF(circ_int,0,eq_c2/2)+2*PI()*(s_0+10*s_r+IF(circ_int,eq_c1/2,0)))/INDEX(lk_legs,11)),IF(((27+0.5)*(4*IF(circ_int,0,eq_c1/2)+4*IF(circ_int,0,eq_c2/2)+2*PI()*(s_0+10*s_r+IF(circ_int,eq_c1/2,0)))/INDEX(lk_legs,11))&lt;((2*IF(circ_int,0,eq_c2/2))+(PI()*(s_0+10*s_r+IF(circ_int,eq_c1/2,0))/2)),IF(circ_int,0,eq_c2/2)+(s_0+10*s_r+IF(circ_int,eq_c1/2,0))*SIN((((27+0.5)*(4*IF(circ_int,0,eq_c1/2)+4*IF(circ_int,0,eq_c2/2)+2*PI()*(s_0+10*s_r+IF(circ_int,eq_c1/2,0)))/INDEX(lk_legs,11))-(2*IF(circ_int,0,eq_c2/2)))/(s_0+10*s_r+IF(circ_int,eq_c1/2,0))),IF(((27+0.5)*(4*IF(circ_int,0,eq_c1/2)+4*IF(circ_int,0,eq_c2/2)+2*PI()*(s_0+10*s_r+IF(circ_int,eq_c1/2,0)))/INDEX(lk_legs,11))&lt;(((2*IF(circ_int,0,eq_c2/2))+(PI()*(s_0+10*s_r+IF(circ_int,eq_c1/2,0))/2))+2*IF(circ_int,0,eq_c1/2)),IF(circ_int,0,eq_c2/2)+(s_0+10*s_r+IF(circ_int,eq_c1/2,0)),IF(((27+0.5)*(4*IF(circ_int,0,eq_c1/2)+4*IF(circ_int,0,eq_c2/2)+2*PI()*(s_0+10*s_r+IF(circ_int,eq_c1/2,0)))/INDEX(lk_legs,11))&lt;((((2*IF(circ_int,0,eq_c2/2))+(PI()*(s_0+10*s_r+IF(circ_int,eq_c1/2,0))/2))+2*IF(circ_int,0,eq_c1/2))+(PI()*(s_0+10*s_r+IF(circ_int,eq_c1/2,0))/2)),IF(circ_int,0,eq_c2/2)+(s_0+10*s_r+IF(circ_int,eq_c1/2,0))*SIN(PI()/2+(((27+0.5)*(4*IF(circ_int,0,eq_c1/2)+4*IF(circ_int,0,eq_c2/2)+2*PI()*(s_0+10*s_r+IF(circ_int,eq_c1/2,0)))/INDEX(lk_legs,11))-(((2*IF(circ_int,0,eq_c2/2))+(PI()*(s_0+10*s_r+IF(circ_int,eq_c1/2,0))/2))+2*IF(circ_int,0,eq_c1/2)))/(s_0+10*s_r+IF(circ_int,eq_c1/2,0))),IF(((27+0.5)*(4*IF(circ_int,0,eq_c1/2)+4*IF(circ_int,0,eq_c2/2)+2*PI()*(s_0+10*s_r+IF(circ_int,eq_c1/2,0)))/INDEX(lk_legs,11))&lt;(((((2*IF(circ_int,0,eq_c2/2))+(PI()*(s_0+10*s_r+IF(circ_int,eq_c1/2,0))/2))+2*IF(circ_int,0,eq_c1/2))+(PI()*(s_0+10*s_r+IF(circ_int,eq_c1/2,0))/2))+2*IF(circ_int,0,eq_c2/2)),IF(circ_int,0,eq_c2/2)-(((27+0.5)*(4*IF(circ_int,0,eq_c1/2)+4*IF(circ_int,0,eq_c2/2)+2*PI()*(s_0+10*s_r+IF(circ_int,eq_c1/2,0)))/INDEX(lk_legs,11))-((((2*IF(circ_int,0,eq_c2/2))+(PI()*(s_0+10*s_r+IF(circ_int,eq_c1/2,0))/2))+2*IF(circ_int,0,eq_c1/2))+(PI()*(s_0+10*s_r+IF(circ_int,eq_c1/2,0))/2))),IF(((27+0.5)*(4*IF(circ_int,0,eq_c1/2)+4*IF(circ_int,0,eq_c2/2)+2*PI()*(s_0+10*s_r+IF(circ_int,eq_c1/2,0)))/INDEX(lk_legs,11))&lt;((((((2*IF(circ_int,0,eq_c2/2))+(PI()*(s_0+10*s_r+IF(circ_int,eq_c1/2,0))/2))+2*IF(circ_int,0,eq_c1/2))+(PI()*(s_0+10*s_r+IF(circ_int,eq_c1/2,0))/2))+2*IF(circ_int,0,eq_c2/2))+(PI()*(s_0+10*s_r+IF(circ_int,eq_c1/2,0))/2)),-IF(circ_int,0,eq_c2/2)+(s_0+10*s_r+IF(circ_int,eq_c1/2,0))*SIN(PI()+(((27+0.5)*(4*IF(circ_int,0,eq_c1/2)+4*IF(circ_int,0,eq_c2/2)+2*PI()*(s_0+10*s_r+IF(circ_int,eq_c1/2,0)))/INDEX(lk_legs,11))-(((((2*IF(circ_int,0,eq_c2/2))+(PI()*(s_0+10*s_r+IF(circ_int,eq_c1/2,0))/2))+2*IF(circ_int,0,eq_c1/2))+(PI()*(s_0+10*s_r+IF(circ_int,eq_c1/2,0))/2))+2*IF(circ_int,0,eq_c2/2)))/(s_0+10*s_r+IF(circ_int,eq_c1/2,0))),IF(((27+0.5)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(27+0.5)*(4*IF(circ_int,0,eq_c1/2)+4*IF(circ_int,0,eq_c2/2)+2*PI()*(s_0+10*s_r+IF(circ_int,eq_c1/2,0)))/INDEX(lk_legs,11))-(((((((2*IF(circ_int,0,eq_c2/2))+(PI()*(s_0+10*s_r+IF(circ_int,eq_c1/2,0))/2))+2*IF(circ_int,0,eq_c1/2))+(PI()*(s_0+10*s_r+IF(circ_int,eq_c1/2,0))/2))+2*IF(circ_int,0,eq_c2/2))+(PI()*(s_0+10*s_r+IF(circ_int,eq_c1/2,0))/2))+2*IF(circ_int,0,eq_c1/2)))/(s_0+10*s_r+IF(circ_int,eq_c1/2,0)))))))))),NA())</f>
        <v/>
      </c>
      <c r="DK30">
        <f>IF(AND(links_on,12&lt;=n_per),IF(circ_int,(g_ox)+(c_1/2+(s_0+11*s_r))*-0.992709,CHOOSE(INDEX(lk_kind,12),(g_ox-eq_c1/2)+((s_0+11*s_r))*-0.991445,0,eq_a1+eq_c1+(s_0+11*s_r),eq_a1+eq_c1+(s_0+11*s_r))),NA())</f>
        <v/>
      </c>
      <c r="DL30">
        <f>IF(AND(links_on,12&lt;=n_per),IF(circ_int,(g_oy)+(c_1/2+(s_0+11*s_r))*-0.120537,CHOOSE(INDEX(lk_kind,12),(g_oy-eq_c2/2)+((s_0+11*s_r))*-0.130526,g_oy-eq_c2/2-(s_0+11*s_r),0,0)),NA())</f>
        <v/>
      </c>
      <c r="DN30">
        <f>IF(AND(AND(links_on,12&lt;=n_per),INDEX(lk_kind,12)=1,27&lt;INDEX(lk_legs,12)),g_ox+IF(((27+0.5)*(4*IF(circ_int,0,eq_c1/2)+4*IF(circ_int,0,eq_c2/2)+2*PI()*(s_0+11*s_r+IF(circ_int,eq_c1/2,0)))/INDEX(lk_legs,12))&lt;(2*IF(circ_int,0,eq_c2/2)),IF(circ_int,0,eq_c1/2)+(s_0+11*s_r+IF(circ_int,eq_c1/2,0)),IF(((27+0.5)*(4*IF(circ_int,0,eq_c1/2)+4*IF(circ_int,0,eq_c2/2)+2*PI()*(s_0+11*s_r+IF(circ_int,eq_c1/2,0)))/INDEX(lk_legs,12))&lt;((2*IF(circ_int,0,eq_c2/2))+(PI()*(s_0+11*s_r+IF(circ_int,eq_c1/2,0))/2)),IF(circ_int,0,eq_c1/2)+(s_0+11*s_r+IF(circ_int,eq_c1/2,0))*COS((((27+0.5)*(4*IF(circ_int,0,eq_c1/2)+4*IF(circ_int,0,eq_c2/2)+2*PI()*(s_0+11*s_r+IF(circ_int,eq_c1/2,0)))/INDEX(lk_legs,12))-(2*IF(circ_int,0,eq_c2/2)))/(s_0+11*s_r+IF(circ_int,eq_c1/2,0))),IF(((27+0.5)*(4*IF(circ_int,0,eq_c1/2)+4*IF(circ_int,0,eq_c2/2)+2*PI()*(s_0+11*s_r+IF(circ_int,eq_c1/2,0)))/INDEX(lk_legs,12))&lt;(((2*IF(circ_int,0,eq_c2/2))+(PI()*(s_0+11*s_r+IF(circ_int,eq_c1/2,0))/2))+2*IF(circ_int,0,eq_c1/2)),IF(circ_int,0,eq_c1/2)-(((27+0.5)*(4*IF(circ_int,0,eq_c1/2)+4*IF(circ_int,0,eq_c2/2)+2*PI()*(s_0+11*s_r+IF(circ_int,eq_c1/2,0)))/INDEX(lk_legs,12))-((2*IF(circ_int,0,eq_c2/2))+(PI()*(s_0+11*s_r+IF(circ_int,eq_c1/2,0))/2))),IF(((27+0.5)*(4*IF(circ_int,0,eq_c1/2)+4*IF(circ_int,0,eq_c2/2)+2*PI()*(s_0+11*s_r+IF(circ_int,eq_c1/2,0)))/INDEX(lk_legs,12))&lt;((((2*IF(circ_int,0,eq_c2/2))+(PI()*(s_0+11*s_r+IF(circ_int,eq_c1/2,0))/2))+2*IF(circ_int,0,eq_c1/2))+(PI()*(s_0+11*s_r+IF(circ_int,eq_c1/2,0))/2)),-IF(circ_int,0,eq_c1/2)+(s_0+11*s_r+IF(circ_int,eq_c1/2,0))*COS(PI()/2+(((27+0.5)*(4*IF(circ_int,0,eq_c1/2)+4*IF(circ_int,0,eq_c2/2)+2*PI()*(s_0+11*s_r+IF(circ_int,eq_c1/2,0)))/INDEX(lk_legs,12))-(((2*IF(circ_int,0,eq_c2/2))+(PI()*(s_0+11*s_r+IF(circ_int,eq_c1/2,0))/2))+2*IF(circ_int,0,eq_c1/2)))/(s_0+11*s_r+IF(circ_int,eq_c1/2,0))),IF(((27+0.5)*(4*IF(circ_int,0,eq_c1/2)+4*IF(circ_int,0,eq_c2/2)+2*PI()*(s_0+11*s_r+IF(circ_int,eq_c1/2,0)))/INDEX(lk_legs,12))&lt;(((((2*IF(circ_int,0,eq_c2/2))+(PI()*(s_0+11*s_r+IF(circ_int,eq_c1/2,0))/2))+2*IF(circ_int,0,eq_c1/2))+(PI()*(s_0+11*s_r+IF(circ_int,eq_c1/2,0))/2))+2*IF(circ_int,0,eq_c2/2)),-IF(circ_int,0,eq_c1/2)-(s_0+11*s_r+IF(circ_int,eq_c1/2,0)),IF(((27+0.5)*(4*IF(circ_int,0,eq_c1/2)+4*IF(circ_int,0,eq_c2/2)+2*PI()*(s_0+11*s_r+IF(circ_int,eq_c1/2,0)))/INDEX(lk_legs,12))&lt;((((((2*IF(circ_int,0,eq_c2/2))+(PI()*(s_0+11*s_r+IF(circ_int,eq_c1/2,0))/2))+2*IF(circ_int,0,eq_c1/2))+(PI()*(s_0+11*s_r+IF(circ_int,eq_c1/2,0))/2))+2*IF(circ_int,0,eq_c2/2))+(PI()*(s_0+11*s_r+IF(circ_int,eq_c1/2,0))/2)),-IF(circ_int,0,eq_c1/2)+(s_0+11*s_r+IF(circ_int,eq_c1/2,0))*COS(PI()+(((27+0.5)*(4*IF(circ_int,0,eq_c1/2)+4*IF(circ_int,0,eq_c2/2)+2*PI()*(s_0+11*s_r+IF(circ_int,eq_c1/2,0)))/INDEX(lk_legs,12))-(((((2*IF(circ_int,0,eq_c2/2))+(PI()*(s_0+11*s_r+IF(circ_int,eq_c1/2,0))/2))+2*IF(circ_int,0,eq_c1/2))+(PI()*(s_0+11*s_r+IF(circ_int,eq_c1/2,0))/2))+2*IF(circ_int,0,eq_c2/2)))/(s_0+11*s_r+IF(circ_int,eq_c1/2,0))),IF(((27+0.5)*(4*IF(circ_int,0,eq_c1/2)+4*IF(circ_int,0,eq_c2/2)+2*PI()*(s_0+11*s_r+IF(circ_int,eq_c1/2,0)))/INDEX(lk_legs,12))&lt;(((((((2*IF(circ_int,0,eq_c2/2))+(PI()*(s_0+11*s_r+IF(circ_int,eq_c1/2,0))/2))+2*IF(circ_int,0,eq_c1/2))+(PI()*(s_0+11*s_r+IF(circ_int,eq_c1/2,0))/2))+2*IF(circ_int,0,eq_c2/2))+(PI()*(s_0+11*s_r+IF(circ_int,eq_c1/2,0))/2))+2*IF(circ_int,0,eq_c1/2)),-IF(circ_int,0,eq_c1/2)+(((27+0.5)*(4*IF(circ_int,0,eq_c1/2)+4*IF(circ_int,0,eq_c2/2)+2*PI()*(s_0+11*s_r+IF(circ_int,eq_c1/2,0)))/INDEX(lk_legs,12))-((((((2*IF(circ_int,0,eq_c2/2))+(PI()*(s_0+11*s_r+IF(circ_int,eq_c1/2,0))/2))+2*IF(circ_int,0,eq_c1/2))+(PI()*(s_0+11*s_r+IF(circ_int,eq_c1/2,0))/2))+2*IF(circ_int,0,eq_c2/2))+(PI()*(s_0+11*s_r+IF(circ_int,eq_c1/2,0))/2))),IF(circ_int,0,eq_c1/2)+(s_0+11*s_r+IF(circ_int,eq_c1/2,0))*COS(3*PI()/2+(((27+0.5)*(4*IF(circ_int,0,eq_c1/2)+4*IF(circ_int,0,eq_c2/2)+2*PI()*(s_0+11*s_r+IF(circ_int,eq_c1/2,0)))/INDEX(lk_legs,12))-(((((((2*IF(circ_int,0,eq_c2/2))+(PI()*(s_0+11*s_r+IF(circ_int,eq_c1/2,0))/2))+2*IF(circ_int,0,eq_c1/2))+(PI()*(s_0+11*s_r+IF(circ_int,eq_c1/2,0))/2))+2*IF(circ_int,0,eq_c2/2))+(PI()*(s_0+11*s_r+IF(circ_int,eq_c1/2,0))/2))+2*IF(circ_int,0,eq_c1/2)))/(s_0+11*s_r+IF(circ_int,eq_c1/2,0)))))))))),NA())</f>
        <v/>
      </c>
      <c r="DO30">
        <f>IF(AND(AND(links_on,12&lt;=n_per),INDEX(lk_kind,12)=1,27&lt;INDEX(lk_legs,12)),g_oy+IF(((27+0.5)*(4*IF(circ_int,0,eq_c1/2)+4*IF(circ_int,0,eq_c2/2)+2*PI()*(s_0+11*s_r+IF(circ_int,eq_c1/2,0)))/INDEX(lk_legs,12))&lt;(2*IF(circ_int,0,eq_c2/2)),-IF(circ_int,0,eq_c2/2)+((27+0.5)*(4*IF(circ_int,0,eq_c1/2)+4*IF(circ_int,0,eq_c2/2)+2*PI()*(s_0+11*s_r+IF(circ_int,eq_c1/2,0)))/INDEX(lk_legs,12)),IF(((27+0.5)*(4*IF(circ_int,0,eq_c1/2)+4*IF(circ_int,0,eq_c2/2)+2*PI()*(s_0+11*s_r+IF(circ_int,eq_c1/2,0)))/INDEX(lk_legs,12))&lt;((2*IF(circ_int,0,eq_c2/2))+(PI()*(s_0+11*s_r+IF(circ_int,eq_c1/2,0))/2)),IF(circ_int,0,eq_c2/2)+(s_0+11*s_r+IF(circ_int,eq_c1/2,0))*SIN((((27+0.5)*(4*IF(circ_int,0,eq_c1/2)+4*IF(circ_int,0,eq_c2/2)+2*PI()*(s_0+11*s_r+IF(circ_int,eq_c1/2,0)))/INDEX(lk_legs,12))-(2*IF(circ_int,0,eq_c2/2)))/(s_0+11*s_r+IF(circ_int,eq_c1/2,0))),IF(((27+0.5)*(4*IF(circ_int,0,eq_c1/2)+4*IF(circ_int,0,eq_c2/2)+2*PI()*(s_0+11*s_r+IF(circ_int,eq_c1/2,0)))/INDEX(lk_legs,12))&lt;(((2*IF(circ_int,0,eq_c2/2))+(PI()*(s_0+11*s_r+IF(circ_int,eq_c1/2,0))/2))+2*IF(circ_int,0,eq_c1/2)),IF(circ_int,0,eq_c2/2)+(s_0+11*s_r+IF(circ_int,eq_c1/2,0)),IF(((27+0.5)*(4*IF(circ_int,0,eq_c1/2)+4*IF(circ_int,0,eq_c2/2)+2*PI()*(s_0+11*s_r+IF(circ_int,eq_c1/2,0)))/INDEX(lk_legs,12))&lt;((((2*IF(circ_int,0,eq_c2/2))+(PI()*(s_0+11*s_r+IF(circ_int,eq_c1/2,0))/2))+2*IF(circ_int,0,eq_c1/2))+(PI()*(s_0+11*s_r+IF(circ_int,eq_c1/2,0))/2)),IF(circ_int,0,eq_c2/2)+(s_0+11*s_r+IF(circ_int,eq_c1/2,0))*SIN(PI()/2+(((27+0.5)*(4*IF(circ_int,0,eq_c1/2)+4*IF(circ_int,0,eq_c2/2)+2*PI()*(s_0+11*s_r+IF(circ_int,eq_c1/2,0)))/INDEX(lk_legs,12))-(((2*IF(circ_int,0,eq_c2/2))+(PI()*(s_0+11*s_r+IF(circ_int,eq_c1/2,0))/2))+2*IF(circ_int,0,eq_c1/2)))/(s_0+11*s_r+IF(circ_int,eq_c1/2,0))),IF(((27+0.5)*(4*IF(circ_int,0,eq_c1/2)+4*IF(circ_int,0,eq_c2/2)+2*PI()*(s_0+11*s_r+IF(circ_int,eq_c1/2,0)))/INDEX(lk_legs,12))&lt;(((((2*IF(circ_int,0,eq_c2/2))+(PI()*(s_0+11*s_r+IF(circ_int,eq_c1/2,0))/2))+2*IF(circ_int,0,eq_c1/2))+(PI()*(s_0+11*s_r+IF(circ_int,eq_c1/2,0))/2))+2*IF(circ_int,0,eq_c2/2)),IF(circ_int,0,eq_c2/2)-(((27+0.5)*(4*IF(circ_int,0,eq_c1/2)+4*IF(circ_int,0,eq_c2/2)+2*PI()*(s_0+11*s_r+IF(circ_int,eq_c1/2,0)))/INDEX(lk_legs,12))-((((2*IF(circ_int,0,eq_c2/2))+(PI()*(s_0+11*s_r+IF(circ_int,eq_c1/2,0))/2))+2*IF(circ_int,0,eq_c1/2))+(PI()*(s_0+11*s_r+IF(circ_int,eq_c1/2,0))/2))),IF(((27+0.5)*(4*IF(circ_int,0,eq_c1/2)+4*IF(circ_int,0,eq_c2/2)+2*PI()*(s_0+11*s_r+IF(circ_int,eq_c1/2,0)))/INDEX(lk_legs,12))&lt;((((((2*IF(circ_int,0,eq_c2/2))+(PI()*(s_0+11*s_r+IF(circ_int,eq_c1/2,0))/2))+2*IF(circ_int,0,eq_c1/2))+(PI()*(s_0+11*s_r+IF(circ_int,eq_c1/2,0))/2))+2*IF(circ_int,0,eq_c2/2))+(PI()*(s_0+11*s_r+IF(circ_int,eq_c1/2,0))/2)),-IF(circ_int,0,eq_c2/2)+(s_0+11*s_r+IF(circ_int,eq_c1/2,0))*SIN(PI()+(((27+0.5)*(4*IF(circ_int,0,eq_c1/2)+4*IF(circ_int,0,eq_c2/2)+2*PI()*(s_0+11*s_r+IF(circ_int,eq_c1/2,0)))/INDEX(lk_legs,12))-(((((2*IF(circ_int,0,eq_c2/2))+(PI()*(s_0+11*s_r+IF(circ_int,eq_c1/2,0))/2))+2*IF(circ_int,0,eq_c1/2))+(PI()*(s_0+11*s_r+IF(circ_int,eq_c1/2,0))/2))+2*IF(circ_int,0,eq_c2/2)))/(s_0+11*s_r+IF(circ_int,eq_c1/2,0))),IF(((27+0.5)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(27+0.5)*(4*IF(circ_int,0,eq_c1/2)+4*IF(circ_int,0,eq_c2/2)+2*PI()*(s_0+11*s_r+IF(circ_int,eq_c1/2,0)))/INDEX(lk_legs,12))-(((((((2*IF(circ_int,0,eq_c2/2))+(PI()*(s_0+11*s_r+IF(circ_int,eq_c1/2,0))/2))+2*IF(circ_int,0,eq_c1/2))+(PI()*(s_0+11*s_r+IF(circ_int,eq_c1/2,0))/2))+2*IF(circ_int,0,eq_c2/2))+(PI()*(s_0+11*s_r+IF(circ_int,eq_c1/2,0))/2))+2*IF(circ_int,0,eq_c1/2)))/(s_0+11*s_r+IF(circ_int,eq_c1/2,0)))))))))),NA())</f>
        <v/>
      </c>
    </row>
    <row r="31">
      <c r="A31">
        <f>IF(shape="Circular",(g_ox)+(c_1/2+0)*-0.970942,CHOOSE(1,(g_ox-eq_c1/2)+(0)*-0.965926,0,eq_a1+eq_c1+0,eq_a1+eq_c1+0))</f>
        <v/>
      </c>
      <c r="B31">
        <f>IF(shape="Circular",(g_oy)+(c_1/2+0)*-0.239316,CHOOSE(1,(g_oy-eq_c2/2)+(0)*-0.258819,g_oy-eq_c2/2-0,0,0))</f>
        <v/>
      </c>
      <c r="D31">
        <f>IF(circ_int,(g_ox)+(c_1/2+2*d_eff)*-0.970942,CHOOSE(geo_idx,(g_ox-eq_c1/2)+(2*d_eff)*-0.965926,0,eq_a1+eq_c1+2*d_eff,eq_a1+eq_c1+2*d_eff))</f>
        <v/>
      </c>
      <c r="E31">
        <f>IF(circ_int,(g_oy)+(c_1/2+2*d_eff)*-0.239316,CHOOSE(geo_idx,(g_oy-eq_c2/2)+(2*d_eff)*-0.258819,g_oy-eq_c2/2-2*d_eff,0,0))</f>
        <v/>
      </c>
      <c r="G31">
        <f>IF(AND(inputs_ok,punch_ok,A_sw&gt;0),IF(circ_int,(g_ox)+(c_1/2+r_out)*-0.970942,CHOOSE(kind_out,(g_ox-eq_c1/2)+(r_out)*-0.965926,0,eq_a1+eq_c1+r_out,eq_a1+eq_c1+r_out)),NA())</f>
        <v/>
      </c>
      <c r="H31">
        <f>IF(AND(inputs_ok,punch_ok,A_sw&gt;0),IF(circ_int,(g_oy)+(c_1/2+r_out)*-0.239316,CHOOSE(kind_out,(g_oy-eq_c2/2)+(r_out)*-0.258819,g_oy-eq_c2/2-r_out,0,0)),NA())</f>
        <v/>
      </c>
      <c r="AW31">
        <f>IF(AND(links_on,1&lt;=n_per),IF(circ_int,(g_ox)+(c_1/2+(s_0+0*s_r))*-0.970942,CHOOSE(INDEX(lk_kind,1),(g_ox-eq_c1/2)+((s_0+0*s_r))*-0.965926,0,eq_a1+eq_c1+(s_0+0*s_r),eq_a1+eq_c1+(s_0+0*s_r))),NA())</f>
        <v/>
      </c>
      <c r="AX31">
        <f>IF(AND(links_on,1&lt;=n_per),IF(circ_int,(g_oy)+(c_1/2+(s_0+0*s_r))*-0.239316,CHOOSE(INDEX(lk_kind,1),(g_oy-eq_c2/2)+((s_0+0*s_r))*-0.258819,g_oy-eq_c2/2-(s_0+0*s_r),0,0)),NA())</f>
        <v/>
      </c>
      <c r="AZ31">
        <f>IF(AND(AND(links_on,1&lt;=n_per),INDEX(lk_kind,1)=1,28&lt;INDEX(lk_legs,1)),g_ox+IF(((28+0.5)*(4*IF(circ_int,0,eq_c1/2)+4*IF(circ_int,0,eq_c2/2)+2*PI()*(s_0+0*s_r+IF(circ_int,eq_c1/2,0)))/INDEX(lk_legs,1))&lt;(2*IF(circ_int,0,eq_c2/2)),IF(circ_int,0,eq_c1/2)+(s_0+0*s_r+IF(circ_int,eq_c1/2,0)),IF(((28+0.5)*(4*IF(circ_int,0,eq_c1/2)+4*IF(circ_int,0,eq_c2/2)+2*PI()*(s_0+0*s_r+IF(circ_int,eq_c1/2,0)))/INDEX(lk_legs,1))&lt;((2*IF(circ_int,0,eq_c2/2))+(PI()*(s_0+0*s_r+IF(circ_int,eq_c1/2,0))/2)),IF(circ_int,0,eq_c1/2)+(s_0+0*s_r+IF(circ_int,eq_c1/2,0))*COS((((28+0.5)*(4*IF(circ_int,0,eq_c1/2)+4*IF(circ_int,0,eq_c2/2)+2*PI()*(s_0+0*s_r+IF(circ_int,eq_c1/2,0)))/INDEX(lk_legs,1))-(2*IF(circ_int,0,eq_c2/2)))/(s_0+0*s_r+IF(circ_int,eq_c1/2,0))),IF(((28+0.5)*(4*IF(circ_int,0,eq_c1/2)+4*IF(circ_int,0,eq_c2/2)+2*PI()*(s_0+0*s_r+IF(circ_int,eq_c1/2,0)))/INDEX(lk_legs,1))&lt;(((2*IF(circ_int,0,eq_c2/2))+(PI()*(s_0+0*s_r+IF(circ_int,eq_c1/2,0))/2))+2*IF(circ_int,0,eq_c1/2)),IF(circ_int,0,eq_c1/2)-(((28+0.5)*(4*IF(circ_int,0,eq_c1/2)+4*IF(circ_int,0,eq_c2/2)+2*PI()*(s_0+0*s_r+IF(circ_int,eq_c1/2,0)))/INDEX(lk_legs,1))-((2*IF(circ_int,0,eq_c2/2))+(PI()*(s_0+0*s_r+IF(circ_int,eq_c1/2,0))/2))),IF(((28+0.5)*(4*IF(circ_int,0,eq_c1/2)+4*IF(circ_int,0,eq_c2/2)+2*PI()*(s_0+0*s_r+IF(circ_int,eq_c1/2,0)))/INDEX(lk_legs,1))&lt;((((2*IF(circ_int,0,eq_c2/2))+(PI()*(s_0+0*s_r+IF(circ_int,eq_c1/2,0))/2))+2*IF(circ_int,0,eq_c1/2))+(PI()*(s_0+0*s_r+IF(circ_int,eq_c1/2,0))/2)),-IF(circ_int,0,eq_c1/2)+(s_0+0*s_r+IF(circ_int,eq_c1/2,0))*COS(PI()/2+(((28+0.5)*(4*IF(circ_int,0,eq_c1/2)+4*IF(circ_int,0,eq_c2/2)+2*PI()*(s_0+0*s_r+IF(circ_int,eq_c1/2,0)))/INDEX(lk_legs,1))-(((2*IF(circ_int,0,eq_c2/2))+(PI()*(s_0+0*s_r+IF(circ_int,eq_c1/2,0))/2))+2*IF(circ_int,0,eq_c1/2)))/(s_0+0*s_r+IF(circ_int,eq_c1/2,0))),IF(((28+0.5)*(4*IF(circ_int,0,eq_c1/2)+4*IF(circ_int,0,eq_c2/2)+2*PI()*(s_0+0*s_r+IF(circ_int,eq_c1/2,0)))/INDEX(lk_legs,1))&lt;(((((2*IF(circ_int,0,eq_c2/2))+(PI()*(s_0+0*s_r+IF(circ_int,eq_c1/2,0))/2))+2*IF(circ_int,0,eq_c1/2))+(PI()*(s_0+0*s_r+IF(circ_int,eq_c1/2,0))/2))+2*IF(circ_int,0,eq_c2/2)),-IF(circ_int,0,eq_c1/2)-(s_0+0*s_r+IF(circ_int,eq_c1/2,0)),IF(((28+0.5)*(4*IF(circ_int,0,eq_c1/2)+4*IF(circ_int,0,eq_c2/2)+2*PI()*(s_0+0*s_r+IF(circ_int,eq_c1/2,0)))/INDEX(lk_legs,1))&lt;((((((2*IF(circ_int,0,eq_c2/2))+(PI()*(s_0+0*s_r+IF(circ_int,eq_c1/2,0))/2))+2*IF(circ_int,0,eq_c1/2))+(PI()*(s_0+0*s_r+IF(circ_int,eq_c1/2,0))/2))+2*IF(circ_int,0,eq_c2/2))+(PI()*(s_0+0*s_r+IF(circ_int,eq_c1/2,0))/2)),-IF(circ_int,0,eq_c1/2)+(s_0+0*s_r+IF(circ_int,eq_c1/2,0))*COS(PI()+(((28+0.5)*(4*IF(circ_int,0,eq_c1/2)+4*IF(circ_int,0,eq_c2/2)+2*PI()*(s_0+0*s_r+IF(circ_int,eq_c1/2,0)))/INDEX(lk_legs,1))-(((((2*IF(circ_int,0,eq_c2/2))+(PI()*(s_0+0*s_r+IF(circ_int,eq_c1/2,0))/2))+2*IF(circ_int,0,eq_c1/2))+(PI()*(s_0+0*s_r+IF(circ_int,eq_c1/2,0))/2))+2*IF(circ_int,0,eq_c2/2)))/(s_0+0*s_r+IF(circ_int,eq_c1/2,0))),IF(((28+0.5)*(4*IF(circ_int,0,eq_c1/2)+4*IF(circ_int,0,eq_c2/2)+2*PI()*(s_0+0*s_r+IF(circ_int,eq_c1/2,0)))/INDEX(lk_legs,1))&lt;(((((((2*IF(circ_int,0,eq_c2/2))+(PI()*(s_0+0*s_r+IF(circ_int,eq_c1/2,0))/2))+2*IF(circ_int,0,eq_c1/2))+(PI()*(s_0+0*s_r+IF(circ_int,eq_c1/2,0))/2))+2*IF(circ_int,0,eq_c2/2))+(PI()*(s_0+0*s_r+IF(circ_int,eq_c1/2,0))/2))+2*IF(circ_int,0,eq_c1/2)),-IF(circ_int,0,eq_c1/2)+(((28+0.5)*(4*IF(circ_int,0,eq_c1/2)+4*IF(circ_int,0,eq_c2/2)+2*PI()*(s_0+0*s_r+IF(circ_int,eq_c1/2,0)))/INDEX(lk_legs,1))-((((((2*IF(circ_int,0,eq_c2/2))+(PI()*(s_0+0*s_r+IF(circ_int,eq_c1/2,0))/2))+2*IF(circ_int,0,eq_c1/2))+(PI()*(s_0+0*s_r+IF(circ_int,eq_c1/2,0))/2))+2*IF(circ_int,0,eq_c2/2))+(PI()*(s_0+0*s_r+IF(circ_int,eq_c1/2,0))/2))),IF(circ_int,0,eq_c1/2)+(s_0+0*s_r+IF(circ_int,eq_c1/2,0))*COS(3*PI()/2+(((28+0.5)*(4*IF(circ_int,0,eq_c1/2)+4*IF(circ_int,0,eq_c2/2)+2*PI()*(s_0+0*s_r+IF(circ_int,eq_c1/2,0)))/INDEX(lk_legs,1))-(((((((2*IF(circ_int,0,eq_c2/2))+(PI()*(s_0+0*s_r+IF(circ_int,eq_c1/2,0))/2))+2*IF(circ_int,0,eq_c1/2))+(PI()*(s_0+0*s_r+IF(circ_int,eq_c1/2,0))/2))+2*IF(circ_int,0,eq_c2/2))+(PI()*(s_0+0*s_r+IF(circ_int,eq_c1/2,0))/2))+2*IF(circ_int,0,eq_c1/2)))/(s_0+0*s_r+IF(circ_int,eq_c1/2,0)))))))))),NA())</f>
        <v/>
      </c>
      <c r="BA31">
        <f>IF(AND(AND(links_on,1&lt;=n_per),INDEX(lk_kind,1)=1,28&lt;INDEX(lk_legs,1)),g_oy+IF(((28+0.5)*(4*IF(circ_int,0,eq_c1/2)+4*IF(circ_int,0,eq_c2/2)+2*PI()*(s_0+0*s_r+IF(circ_int,eq_c1/2,0)))/INDEX(lk_legs,1))&lt;(2*IF(circ_int,0,eq_c2/2)),-IF(circ_int,0,eq_c2/2)+((28+0.5)*(4*IF(circ_int,0,eq_c1/2)+4*IF(circ_int,0,eq_c2/2)+2*PI()*(s_0+0*s_r+IF(circ_int,eq_c1/2,0)))/INDEX(lk_legs,1)),IF(((28+0.5)*(4*IF(circ_int,0,eq_c1/2)+4*IF(circ_int,0,eq_c2/2)+2*PI()*(s_0+0*s_r+IF(circ_int,eq_c1/2,0)))/INDEX(lk_legs,1))&lt;((2*IF(circ_int,0,eq_c2/2))+(PI()*(s_0+0*s_r+IF(circ_int,eq_c1/2,0))/2)),IF(circ_int,0,eq_c2/2)+(s_0+0*s_r+IF(circ_int,eq_c1/2,0))*SIN((((28+0.5)*(4*IF(circ_int,0,eq_c1/2)+4*IF(circ_int,0,eq_c2/2)+2*PI()*(s_0+0*s_r+IF(circ_int,eq_c1/2,0)))/INDEX(lk_legs,1))-(2*IF(circ_int,0,eq_c2/2)))/(s_0+0*s_r+IF(circ_int,eq_c1/2,0))),IF(((28+0.5)*(4*IF(circ_int,0,eq_c1/2)+4*IF(circ_int,0,eq_c2/2)+2*PI()*(s_0+0*s_r+IF(circ_int,eq_c1/2,0)))/INDEX(lk_legs,1))&lt;(((2*IF(circ_int,0,eq_c2/2))+(PI()*(s_0+0*s_r+IF(circ_int,eq_c1/2,0))/2))+2*IF(circ_int,0,eq_c1/2)),IF(circ_int,0,eq_c2/2)+(s_0+0*s_r+IF(circ_int,eq_c1/2,0)),IF(((28+0.5)*(4*IF(circ_int,0,eq_c1/2)+4*IF(circ_int,0,eq_c2/2)+2*PI()*(s_0+0*s_r+IF(circ_int,eq_c1/2,0)))/INDEX(lk_legs,1))&lt;((((2*IF(circ_int,0,eq_c2/2))+(PI()*(s_0+0*s_r+IF(circ_int,eq_c1/2,0))/2))+2*IF(circ_int,0,eq_c1/2))+(PI()*(s_0+0*s_r+IF(circ_int,eq_c1/2,0))/2)),IF(circ_int,0,eq_c2/2)+(s_0+0*s_r+IF(circ_int,eq_c1/2,0))*SIN(PI()/2+(((28+0.5)*(4*IF(circ_int,0,eq_c1/2)+4*IF(circ_int,0,eq_c2/2)+2*PI()*(s_0+0*s_r+IF(circ_int,eq_c1/2,0)))/INDEX(lk_legs,1))-(((2*IF(circ_int,0,eq_c2/2))+(PI()*(s_0+0*s_r+IF(circ_int,eq_c1/2,0))/2))+2*IF(circ_int,0,eq_c1/2)))/(s_0+0*s_r+IF(circ_int,eq_c1/2,0))),IF(((28+0.5)*(4*IF(circ_int,0,eq_c1/2)+4*IF(circ_int,0,eq_c2/2)+2*PI()*(s_0+0*s_r+IF(circ_int,eq_c1/2,0)))/INDEX(lk_legs,1))&lt;(((((2*IF(circ_int,0,eq_c2/2))+(PI()*(s_0+0*s_r+IF(circ_int,eq_c1/2,0))/2))+2*IF(circ_int,0,eq_c1/2))+(PI()*(s_0+0*s_r+IF(circ_int,eq_c1/2,0))/2))+2*IF(circ_int,0,eq_c2/2)),IF(circ_int,0,eq_c2/2)-(((28+0.5)*(4*IF(circ_int,0,eq_c1/2)+4*IF(circ_int,0,eq_c2/2)+2*PI()*(s_0+0*s_r+IF(circ_int,eq_c1/2,0)))/INDEX(lk_legs,1))-((((2*IF(circ_int,0,eq_c2/2))+(PI()*(s_0+0*s_r+IF(circ_int,eq_c1/2,0))/2))+2*IF(circ_int,0,eq_c1/2))+(PI()*(s_0+0*s_r+IF(circ_int,eq_c1/2,0))/2))),IF(((28+0.5)*(4*IF(circ_int,0,eq_c1/2)+4*IF(circ_int,0,eq_c2/2)+2*PI()*(s_0+0*s_r+IF(circ_int,eq_c1/2,0)))/INDEX(lk_legs,1))&lt;((((((2*IF(circ_int,0,eq_c2/2))+(PI()*(s_0+0*s_r+IF(circ_int,eq_c1/2,0))/2))+2*IF(circ_int,0,eq_c1/2))+(PI()*(s_0+0*s_r+IF(circ_int,eq_c1/2,0))/2))+2*IF(circ_int,0,eq_c2/2))+(PI()*(s_0+0*s_r+IF(circ_int,eq_c1/2,0))/2)),-IF(circ_int,0,eq_c2/2)+(s_0+0*s_r+IF(circ_int,eq_c1/2,0))*SIN(PI()+(((28+0.5)*(4*IF(circ_int,0,eq_c1/2)+4*IF(circ_int,0,eq_c2/2)+2*PI()*(s_0+0*s_r+IF(circ_int,eq_c1/2,0)))/INDEX(lk_legs,1))-(((((2*IF(circ_int,0,eq_c2/2))+(PI()*(s_0+0*s_r+IF(circ_int,eq_c1/2,0))/2))+2*IF(circ_int,0,eq_c1/2))+(PI()*(s_0+0*s_r+IF(circ_int,eq_c1/2,0))/2))+2*IF(circ_int,0,eq_c2/2)))/(s_0+0*s_r+IF(circ_int,eq_c1/2,0))),IF(((28+0.5)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(28+0.5)*(4*IF(circ_int,0,eq_c1/2)+4*IF(circ_int,0,eq_c2/2)+2*PI()*(s_0+0*s_r+IF(circ_int,eq_c1/2,0)))/INDEX(lk_legs,1))-(((((((2*IF(circ_int,0,eq_c2/2))+(PI()*(s_0+0*s_r+IF(circ_int,eq_c1/2,0))/2))+2*IF(circ_int,0,eq_c1/2))+(PI()*(s_0+0*s_r+IF(circ_int,eq_c1/2,0))/2))+2*IF(circ_int,0,eq_c2/2))+(PI()*(s_0+0*s_r+IF(circ_int,eq_c1/2,0))/2))+2*IF(circ_int,0,eq_c1/2)))/(s_0+0*s_r+IF(circ_int,eq_c1/2,0)))))))))),NA())</f>
        <v/>
      </c>
      <c r="BC31">
        <f>IF(AND(links_on,2&lt;=n_per),IF(circ_int,(g_ox)+(c_1/2+(s_0+1*s_r))*-0.970942,CHOOSE(INDEX(lk_kind,2),(g_ox-eq_c1/2)+((s_0+1*s_r))*-0.965926,0,eq_a1+eq_c1+(s_0+1*s_r),eq_a1+eq_c1+(s_0+1*s_r))),NA())</f>
        <v/>
      </c>
      <c r="BD31">
        <f>IF(AND(links_on,2&lt;=n_per),IF(circ_int,(g_oy)+(c_1/2+(s_0+1*s_r))*-0.239316,CHOOSE(INDEX(lk_kind,2),(g_oy-eq_c2/2)+((s_0+1*s_r))*-0.258819,g_oy-eq_c2/2-(s_0+1*s_r),0,0)),NA())</f>
        <v/>
      </c>
      <c r="BF31">
        <f>IF(AND(AND(links_on,2&lt;=n_per),INDEX(lk_kind,2)=1,28&lt;INDEX(lk_legs,2)),g_ox+IF(((28+0.5)*(4*IF(circ_int,0,eq_c1/2)+4*IF(circ_int,0,eq_c2/2)+2*PI()*(s_0+1*s_r+IF(circ_int,eq_c1/2,0)))/INDEX(lk_legs,2))&lt;(2*IF(circ_int,0,eq_c2/2)),IF(circ_int,0,eq_c1/2)+(s_0+1*s_r+IF(circ_int,eq_c1/2,0)),IF(((28+0.5)*(4*IF(circ_int,0,eq_c1/2)+4*IF(circ_int,0,eq_c2/2)+2*PI()*(s_0+1*s_r+IF(circ_int,eq_c1/2,0)))/INDEX(lk_legs,2))&lt;((2*IF(circ_int,0,eq_c2/2))+(PI()*(s_0+1*s_r+IF(circ_int,eq_c1/2,0))/2)),IF(circ_int,0,eq_c1/2)+(s_0+1*s_r+IF(circ_int,eq_c1/2,0))*COS((((28+0.5)*(4*IF(circ_int,0,eq_c1/2)+4*IF(circ_int,0,eq_c2/2)+2*PI()*(s_0+1*s_r+IF(circ_int,eq_c1/2,0)))/INDEX(lk_legs,2))-(2*IF(circ_int,0,eq_c2/2)))/(s_0+1*s_r+IF(circ_int,eq_c1/2,0))),IF(((28+0.5)*(4*IF(circ_int,0,eq_c1/2)+4*IF(circ_int,0,eq_c2/2)+2*PI()*(s_0+1*s_r+IF(circ_int,eq_c1/2,0)))/INDEX(lk_legs,2))&lt;(((2*IF(circ_int,0,eq_c2/2))+(PI()*(s_0+1*s_r+IF(circ_int,eq_c1/2,0))/2))+2*IF(circ_int,0,eq_c1/2)),IF(circ_int,0,eq_c1/2)-(((28+0.5)*(4*IF(circ_int,0,eq_c1/2)+4*IF(circ_int,0,eq_c2/2)+2*PI()*(s_0+1*s_r+IF(circ_int,eq_c1/2,0)))/INDEX(lk_legs,2))-((2*IF(circ_int,0,eq_c2/2))+(PI()*(s_0+1*s_r+IF(circ_int,eq_c1/2,0))/2))),IF(((28+0.5)*(4*IF(circ_int,0,eq_c1/2)+4*IF(circ_int,0,eq_c2/2)+2*PI()*(s_0+1*s_r+IF(circ_int,eq_c1/2,0)))/INDEX(lk_legs,2))&lt;((((2*IF(circ_int,0,eq_c2/2))+(PI()*(s_0+1*s_r+IF(circ_int,eq_c1/2,0))/2))+2*IF(circ_int,0,eq_c1/2))+(PI()*(s_0+1*s_r+IF(circ_int,eq_c1/2,0))/2)),-IF(circ_int,0,eq_c1/2)+(s_0+1*s_r+IF(circ_int,eq_c1/2,0))*COS(PI()/2+(((28+0.5)*(4*IF(circ_int,0,eq_c1/2)+4*IF(circ_int,0,eq_c2/2)+2*PI()*(s_0+1*s_r+IF(circ_int,eq_c1/2,0)))/INDEX(lk_legs,2))-(((2*IF(circ_int,0,eq_c2/2))+(PI()*(s_0+1*s_r+IF(circ_int,eq_c1/2,0))/2))+2*IF(circ_int,0,eq_c1/2)))/(s_0+1*s_r+IF(circ_int,eq_c1/2,0))),IF(((28+0.5)*(4*IF(circ_int,0,eq_c1/2)+4*IF(circ_int,0,eq_c2/2)+2*PI()*(s_0+1*s_r+IF(circ_int,eq_c1/2,0)))/INDEX(lk_legs,2))&lt;(((((2*IF(circ_int,0,eq_c2/2))+(PI()*(s_0+1*s_r+IF(circ_int,eq_c1/2,0))/2))+2*IF(circ_int,0,eq_c1/2))+(PI()*(s_0+1*s_r+IF(circ_int,eq_c1/2,0))/2))+2*IF(circ_int,0,eq_c2/2)),-IF(circ_int,0,eq_c1/2)-(s_0+1*s_r+IF(circ_int,eq_c1/2,0)),IF(((28+0.5)*(4*IF(circ_int,0,eq_c1/2)+4*IF(circ_int,0,eq_c2/2)+2*PI()*(s_0+1*s_r+IF(circ_int,eq_c1/2,0)))/INDEX(lk_legs,2))&lt;((((((2*IF(circ_int,0,eq_c2/2))+(PI()*(s_0+1*s_r+IF(circ_int,eq_c1/2,0))/2))+2*IF(circ_int,0,eq_c1/2))+(PI()*(s_0+1*s_r+IF(circ_int,eq_c1/2,0))/2))+2*IF(circ_int,0,eq_c2/2))+(PI()*(s_0+1*s_r+IF(circ_int,eq_c1/2,0))/2)),-IF(circ_int,0,eq_c1/2)+(s_0+1*s_r+IF(circ_int,eq_c1/2,0))*COS(PI()+(((28+0.5)*(4*IF(circ_int,0,eq_c1/2)+4*IF(circ_int,0,eq_c2/2)+2*PI()*(s_0+1*s_r+IF(circ_int,eq_c1/2,0)))/INDEX(lk_legs,2))-(((((2*IF(circ_int,0,eq_c2/2))+(PI()*(s_0+1*s_r+IF(circ_int,eq_c1/2,0))/2))+2*IF(circ_int,0,eq_c1/2))+(PI()*(s_0+1*s_r+IF(circ_int,eq_c1/2,0))/2))+2*IF(circ_int,0,eq_c2/2)))/(s_0+1*s_r+IF(circ_int,eq_c1/2,0))),IF(((28+0.5)*(4*IF(circ_int,0,eq_c1/2)+4*IF(circ_int,0,eq_c2/2)+2*PI()*(s_0+1*s_r+IF(circ_int,eq_c1/2,0)))/INDEX(lk_legs,2))&lt;(((((((2*IF(circ_int,0,eq_c2/2))+(PI()*(s_0+1*s_r+IF(circ_int,eq_c1/2,0))/2))+2*IF(circ_int,0,eq_c1/2))+(PI()*(s_0+1*s_r+IF(circ_int,eq_c1/2,0))/2))+2*IF(circ_int,0,eq_c2/2))+(PI()*(s_0+1*s_r+IF(circ_int,eq_c1/2,0))/2))+2*IF(circ_int,0,eq_c1/2)),-IF(circ_int,0,eq_c1/2)+(((28+0.5)*(4*IF(circ_int,0,eq_c1/2)+4*IF(circ_int,0,eq_c2/2)+2*PI()*(s_0+1*s_r+IF(circ_int,eq_c1/2,0)))/INDEX(lk_legs,2))-((((((2*IF(circ_int,0,eq_c2/2))+(PI()*(s_0+1*s_r+IF(circ_int,eq_c1/2,0))/2))+2*IF(circ_int,0,eq_c1/2))+(PI()*(s_0+1*s_r+IF(circ_int,eq_c1/2,0))/2))+2*IF(circ_int,0,eq_c2/2))+(PI()*(s_0+1*s_r+IF(circ_int,eq_c1/2,0))/2))),IF(circ_int,0,eq_c1/2)+(s_0+1*s_r+IF(circ_int,eq_c1/2,0))*COS(3*PI()/2+(((28+0.5)*(4*IF(circ_int,0,eq_c1/2)+4*IF(circ_int,0,eq_c2/2)+2*PI()*(s_0+1*s_r+IF(circ_int,eq_c1/2,0)))/INDEX(lk_legs,2))-(((((((2*IF(circ_int,0,eq_c2/2))+(PI()*(s_0+1*s_r+IF(circ_int,eq_c1/2,0))/2))+2*IF(circ_int,0,eq_c1/2))+(PI()*(s_0+1*s_r+IF(circ_int,eq_c1/2,0))/2))+2*IF(circ_int,0,eq_c2/2))+(PI()*(s_0+1*s_r+IF(circ_int,eq_c1/2,0))/2))+2*IF(circ_int,0,eq_c1/2)))/(s_0+1*s_r+IF(circ_int,eq_c1/2,0)))))))))),NA())</f>
        <v/>
      </c>
      <c r="BG31">
        <f>IF(AND(AND(links_on,2&lt;=n_per),INDEX(lk_kind,2)=1,28&lt;INDEX(lk_legs,2)),g_oy+IF(((28+0.5)*(4*IF(circ_int,0,eq_c1/2)+4*IF(circ_int,0,eq_c2/2)+2*PI()*(s_0+1*s_r+IF(circ_int,eq_c1/2,0)))/INDEX(lk_legs,2))&lt;(2*IF(circ_int,0,eq_c2/2)),-IF(circ_int,0,eq_c2/2)+((28+0.5)*(4*IF(circ_int,0,eq_c1/2)+4*IF(circ_int,0,eq_c2/2)+2*PI()*(s_0+1*s_r+IF(circ_int,eq_c1/2,0)))/INDEX(lk_legs,2)),IF(((28+0.5)*(4*IF(circ_int,0,eq_c1/2)+4*IF(circ_int,0,eq_c2/2)+2*PI()*(s_0+1*s_r+IF(circ_int,eq_c1/2,0)))/INDEX(lk_legs,2))&lt;((2*IF(circ_int,0,eq_c2/2))+(PI()*(s_0+1*s_r+IF(circ_int,eq_c1/2,0))/2)),IF(circ_int,0,eq_c2/2)+(s_0+1*s_r+IF(circ_int,eq_c1/2,0))*SIN((((28+0.5)*(4*IF(circ_int,0,eq_c1/2)+4*IF(circ_int,0,eq_c2/2)+2*PI()*(s_0+1*s_r+IF(circ_int,eq_c1/2,0)))/INDEX(lk_legs,2))-(2*IF(circ_int,0,eq_c2/2)))/(s_0+1*s_r+IF(circ_int,eq_c1/2,0))),IF(((28+0.5)*(4*IF(circ_int,0,eq_c1/2)+4*IF(circ_int,0,eq_c2/2)+2*PI()*(s_0+1*s_r+IF(circ_int,eq_c1/2,0)))/INDEX(lk_legs,2))&lt;(((2*IF(circ_int,0,eq_c2/2))+(PI()*(s_0+1*s_r+IF(circ_int,eq_c1/2,0))/2))+2*IF(circ_int,0,eq_c1/2)),IF(circ_int,0,eq_c2/2)+(s_0+1*s_r+IF(circ_int,eq_c1/2,0)),IF(((28+0.5)*(4*IF(circ_int,0,eq_c1/2)+4*IF(circ_int,0,eq_c2/2)+2*PI()*(s_0+1*s_r+IF(circ_int,eq_c1/2,0)))/INDEX(lk_legs,2))&lt;((((2*IF(circ_int,0,eq_c2/2))+(PI()*(s_0+1*s_r+IF(circ_int,eq_c1/2,0))/2))+2*IF(circ_int,0,eq_c1/2))+(PI()*(s_0+1*s_r+IF(circ_int,eq_c1/2,0))/2)),IF(circ_int,0,eq_c2/2)+(s_0+1*s_r+IF(circ_int,eq_c1/2,0))*SIN(PI()/2+(((28+0.5)*(4*IF(circ_int,0,eq_c1/2)+4*IF(circ_int,0,eq_c2/2)+2*PI()*(s_0+1*s_r+IF(circ_int,eq_c1/2,0)))/INDEX(lk_legs,2))-(((2*IF(circ_int,0,eq_c2/2))+(PI()*(s_0+1*s_r+IF(circ_int,eq_c1/2,0))/2))+2*IF(circ_int,0,eq_c1/2)))/(s_0+1*s_r+IF(circ_int,eq_c1/2,0))),IF(((28+0.5)*(4*IF(circ_int,0,eq_c1/2)+4*IF(circ_int,0,eq_c2/2)+2*PI()*(s_0+1*s_r+IF(circ_int,eq_c1/2,0)))/INDEX(lk_legs,2))&lt;(((((2*IF(circ_int,0,eq_c2/2))+(PI()*(s_0+1*s_r+IF(circ_int,eq_c1/2,0))/2))+2*IF(circ_int,0,eq_c1/2))+(PI()*(s_0+1*s_r+IF(circ_int,eq_c1/2,0))/2))+2*IF(circ_int,0,eq_c2/2)),IF(circ_int,0,eq_c2/2)-(((28+0.5)*(4*IF(circ_int,0,eq_c1/2)+4*IF(circ_int,0,eq_c2/2)+2*PI()*(s_0+1*s_r+IF(circ_int,eq_c1/2,0)))/INDEX(lk_legs,2))-((((2*IF(circ_int,0,eq_c2/2))+(PI()*(s_0+1*s_r+IF(circ_int,eq_c1/2,0))/2))+2*IF(circ_int,0,eq_c1/2))+(PI()*(s_0+1*s_r+IF(circ_int,eq_c1/2,0))/2))),IF(((28+0.5)*(4*IF(circ_int,0,eq_c1/2)+4*IF(circ_int,0,eq_c2/2)+2*PI()*(s_0+1*s_r+IF(circ_int,eq_c1/2,0)))/INDEX(lk_legs,2))&lt;((((((2*IF(circ_int,0,eq_c2/2))+(PI()*(s_0+1*s_r+IF(circ_int,eq_c1/2,0))/2))+2*IF(circ_int,0,eq_c1/2))+(PI()*(s_0+1*s_r+IF(circ_int,eq_c1/2,0))/2))+2*IF(circ_int,0,eq_c2/2))+(PI()*(s_0+1*s_r+IF(circ_int,eq_c1/2,0))/2)),-IF(circ_int,0,eq_c2/2)+(s_0+1*s_r+IF(circ_int,eq_c1/2,0))*SIN(PI()+(((28+0.5)*(4*IF(circ_int,0,eq_c1/2)+4*IF(circ_int,0,eq_c2/2)+2*PI()*(s_0+1*s_r+IF(circ_int,eq_c1/2,0)))/INDEX(lk_legs,2))-(((((2*IF(circ_int,0,eq_c2/2))+(PI()*(s_0+1*s_r+IF(circ_int,eq_c1/2,0))/2))+2*IF(circ_int,0,eq_c1/2))+(PI()*(s_0+1*s_r+IF(circ_int,eq_c1/2,0))/2))+2*IF(circ_int,0,eq_c2/2)))/(s_0+1*s_r+IF(circ_int,eq_c1/2,0))),IF(((28+0.5)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(28+0.5)*(4*IF(circ_int,0,eq_c1/2)+4*IF(circ_int,0,eq_c2/2)+2*PI()*(s_0+1*s_r+IF(circ_int,eq_c1/2,0)))/INDEX(lk_legs,2))-(((((((2*IF(circ_int,0,eq_c2/2))+(PI()*(s_0+1*s_r+IF(circ_int,eq_c1/2,0))/2))+2*IF(circ_int,0,eq_c1/2))+(PI()*(s_0+1*s_r+IF(circ_int,eq_c1/2,0))/2))+2*IF(circ_int,0,eq_c2/2))+(PI()*(s_0+1*s_r+IF(circ_int,eq_c1/2,0))/2))+2*IF(circ_int,0,eq_c1/2)))/(s_0+1*s_r+IF(circ_int,eq_c1/2,0)))))))))),NA())</f>
        <v/>
      </c>
      <c r="BI31">
        <f>IF(AND(links_on,3&lt;=n_per),IF(circ_int,(g_ox)+(c_1/2+(s_0+2*s_r))*-0.970942,CHOOSE(INDEX(lk_kind,3),(g_ox-eq_c1/2)+((s_0+2*s_r))*-0.965926,0,eq_a1+eq_c1+(s_0+2*s_r),eq_a1+eq_c1+(s_0+2*s_r))),NA())</f>
        <v/>
      </c>
      <c r="BJ31">
        <f>IF(AND(links_on,3&lt;=n_per),IF(circ_int,(g_oy)+(c_1/2+(s_0+2*s_r))*-0.239316,CHOOSE(INDEX(lk_kind,3),(g_oy-eq_c2/2)+((s_0+2*s_r))*-0.258819,g_oy-eq_c2/2-(s_0+2*s_r),0,0)),NA())</f>
        <v/>
      </c>
      <c r="BL31">
        <f>IF(AND(AND(links_on,3&lt;=n_per),INDEX(lk_kind,3)=1,28&lt;INDEX(lk_legs,3)),g_ox+IF(((28+0.5)*(4*IF(circ_int,0,eq_c1/2)+4*IF(circ_int,0,eq_c2/2)+2*PI()*(s_0+2*s_r+IF(circ_int,eq_c1/2,0)))/INDEX(lk_legs,3))&lt;(2*IF(circ_int,0,eq_c2/2)),IF(circ_int,0,eq_c1/2)+(s_0+2*s_r+IF(circ_int,eq_c1/2,0)),IF(((28+0.5)*(4*IF(circ_int,0,eq_c1/2)+4*IF(circ_int,0,eq_c2/2)+2*PI()*(s_0+2*s_r+IF(circ_int,eq_c1/2,0)))/INDEX(lk_legs,3))&lt;((2*IF(circ_int,0,eq_c2/2))+(PI()*(s_0+2*s_r+IF(circ_int,eq_c1/2,0))/2)),IF(circ_int,0,eq_c1/2)+(s_0+2*s_r+IF(circ_int,eq_c1/2,0))*COS((((28+0.5)*(4*IF(circ_int,0,eq_c1/2)+4*IF(circ_int,0,eq_c2/2)+2*PI()*(s_0+2*s_r+IF(circ_int,eq_c1/2,0)))/INDEX(lk_legs,3))-(2*IF(circ_int,0,eq_c2/2)))/(s_0+2*s_r+IF(circ_int,eq_c1/2,0))),IF(((28+0.5)*(4*IF(circ_int,0,eq_c1/2)+4*IF(circ_int,0,eq_c2/2)+2*PI()*(s_0+2*s_r+IF(circ_int,eq_c1/2,0)))/INDEX(lk_legs,3))&lt;(((2*IF(circ_int,0,eq_c2/2))+(PI()*(s_0+2*s_r+IF(circ_int,eq_c1/2,0))/2))+2*IF(circ_int,0,eq_c1/2)),IF(circ_int,0,eq_c1/2)-(((28+0.5)*(4*IF(circ_int,0,eq_c1/2)+4*IF(circ_int,0,eq_c2/2)+2*PI()*(s_0+2*s_r+IF(circ_int,eq_c1/2,0)))/INDEX(lk_legs,3))-((2*IF(circ_int,0,eq_c2/2))+(PI()*(s_0+2*s_r+IF(circ_int,eq_c1/2,0))/2))),IF(((28+0.5)*(4*IF(circ_int,0,eq_c1/2)+4*IF(circ_int,0,eq_c2/2)+2*PI()*(s_0+2*s_r+IF(circ_int,eq_c1/2,0)))/INDEX(lk_legs,3))&lt;((((2*IF(circ_int,0,eq_c2/2))+(PI()*(s_0+2*s_r+IF(circ_int,eq_c1/2,0))/2))+2*IF(circ_int,0,eq_c1/2))+(PI()*(s_0+2*s_r+IF(circ_int,eq_c1/2,0))/2)),-IF(circ_int,0,eq_c1/2)+(s_0+2*s_r+IF(circ_int,eq_c1/2,0))*COS(PI()/2+(((28+0.5)*(4*IF(circ_int,0,eq_c1/2)+4*IF(circ_int,0,eq_c2/2)+2*PI()*(s_0+2*s_r+IF(circ_int,eq_c1/2,0)))/INDEX(lk_legs,3))-(((2*IF(circ_int,0,eq_c2/2))+(PI()*(s_0+2*s_r+IF(circ_int,eq_c1/2,0))/2))+2*IF(circ_int,0,eq_c1/2)))/(s_0+2*s_r+IF(circ_int,eq_c1/2,0))),IF(((28+0.5)*(4*IF(circ_int,0,eq_c1/2)+4*IF(circ_int,0,eq_c2/2)+2*PI()*(s_0+2*s_r+IF(circ_int,eq_c1/2,0)))/INDEX(lk_legs,3))&lt;(((((2*IF(circ_int,0,eq_c2/2))+(PI()*(s_0+2*s_r+IF(circ_int,eq_c1/2,0))/2))+2*IF(circ_int,0,eq_c1/2))+(PI()*(s_0+2*s_r+IF(circ_int,eq_c1/2,0))/2))+2*IF(circ_int,0,eq_c2/2)),-IF(circ_int,0,eq_c1/2)-(s_0+2*s_r+IF(circ_int,eq_c1/2,0)),IF(((28+0.5)*(4*IF(circ_int,0,eq_c1/2)+4*IF(circ_int,0,eq_c2/2)+2*PI()*(s_0+2*s_r+IF(circ_int,eq_c1/2,0)))/INDEX(lk_legs,3))&lt;((((((2*IF(circ_int,0,eq_c2/2))+(PI()*(s_0+2*s_r+IF(circ_int,eq_c1/2,0))/2))+2*IF(circ_int,0,eq_c1/2))+(PI()*(s_0+2*s_r+IF(circ_int,eq_c1/2,0))/2))+2*IF(circ_int,0,eq_c2/2))+(PI()*(s_0+2*s_r+IF(circ_int,eq_c1/2,0))/2)),-IF(circ_int,0,eq_c1/2)+(s_0+2*s_r+IF(circ_int,eq_c1/2,0))*COS(PI()+(((28+0.5)*(4*IF(circ_int,0,eq_c1/2)+4*IF(circ_int,0,eq_c2/2)+2*PI()*(s_0+2*s_r+IF(circ_int,eq_c1/2,0)))/INDEX(lk_legs,3))-(((((2*IF(circ_int,0,eq_c2/2))+(PI()*(s_0+2*s_r+IF(circ_int,eq_c1/2,0))/2))+2*IF(circ_int,0,eq_c1/2))+(PI()*(s_0+2*s_r+IF(circ_int,eq_c1/2,0))/2))+2*IF(circ_int,0,eq_c2/2)))/(s_0+2*s_r+IF(circ_int,eq_c1/2,0))),IF(((28+0.5)*(4*IF(circ_int,0,eq_c1/2)+4*IF(circ_int,0,eq_c2/2)+2*PI()*(s_0+2*s_r+IF(circ_int,eq_c1/2,0)))/INDEX(lk_legs,3))&lt;(((((((2*IF(circ_int,0,eq_c2/2))+(PI()*(s_0+2*s_r+IF(circ_int,eq_c1/2,0))/2))+2*IF(circ_int,0,eq_c1/2))+(PI()*(s_0+2*s_r+IF(circ_int,eq_c1/2,0))/2))+2*IF(circ_int,0,eq_c2/2))+(PI()*(s_0+2*s_r+IF(circ_int,eq_c1/2,0))/2))+2*IF(circ_int,0,eq_c1/2)),-IF(circ_int,0,eq_c1/2)+(((28+0.5)*(4*IF(circ_int,0,eq_c1/2)+4*IF(circ_int,0,eq_c2/2)+2*PI()*(s_0+2*s_r+IF(circ_int,eq_c1/2,0)))/INDEX(lk_legs,3))-((((((2*IF(circ_int,0,eq_c2/2))+(PI()*(s_0+2*s_r+IF(circ_int,eq_c1/2,0))/2))+2*IF(circ_int,0,eq_c1/2))+(PI()*(s_0+2*s_r+IF(circ_int,eq_c1/2,0))/2))+2*IF(circ_int,0,eq_c2/2))+(PI()*(s_0+2*s_r+IF(circ_int,eq_c1/2,0))/2))),IF(circ_int,0,eq_c1/2)+(s_0+2*s_r+IF(circ_int,eq_c1/2,0))*COS(3*PI()/2+(((28+0.5)*(4*IF(circ_int,0,eq_c1/2)+4*IF(circ_int,0,eq_c2/2)+2*PI()*(s_0+2*s_r+IF(circ_int,eq_c1/2,0)))/INDEX(lk_legs,3))-(((((((2*IF(circ_int,0,eq_c2/2))+(PI()*(s_0+2*s_r+IF(circ_int,eq_c1/2,0))/2))+2*IF(circ_int,0,eq_c1/2))+(PI()*(s_0+2*s_r+IF(circ_int,eq_c1/2,0))/2))+2*IF(circ_int,0,eq_c2/2))+(PI()*(s_0+2*s_r+IF(circ_int,eq_c1/2,0))/2))+2*IF(circ_int,0,eq_c1/2)))/(s_0+2*s_r+IF(circ_int,eq_c1/2,0)))))))))),NA())</f>
        <v/>
      </c>
      <c r="BM31">
        <f>IF(AND(AND(links_on,3&lt;=n_per),INDEX(lk_kind,3)=1,28&lt;INDEX(lk_legs,3)),g_oy+IF(((28+0.5)*(4*IF(circ_int,0,eq_c1/2)+4*IF(circ_int,0,eq_c2/2)+2*PI()*(s_0+2*s_r+IF(circ_int,eq_c1/2,0)))/INDEX(lk_legs,3))&lt;(2*IF(circ_int,0,eq_c2/2)),-IF(circ_int,0,eq_c2/2)+((28+0.5)*(4*IF(circ_int,0,eq_c1/2)+4*IF(circ_int,0,eq_c2/2)+2*PI()*(s_0+2*s_r+IF(circ_int,eq_c1/2,0)))/INDEX(lk_legs,3)),IF(((28+0.5)*(4*IF(circ_int,0,eq_c1/2)+4*IF(circ_int,0,eq_c2/2)+2*PI()*(s_0+2*s_r+IF(circ_int,eq_c1/2,0)))/INDEX(lk_legs,3))&lt;((2*IF(circ_int,0,eq_c2/2))+(PI()*(s_0+2*s_r+IF(circ_int,eq_c1/2,0))/2)),IF(circ_int,0,eq_c2/2)+(s_0+2*s_r+IF(circ_int,eq_c1/2,0))*SIN((((28+0.5)*(4*IF(circ_int,0,eq_c1/2)+4*IF(circ_int,0,eq_c2/2)+2*PI()*(s_0+2*s_r+IF(circ_int,eq_c1/2,0)))/INDEX(lk_legs,3))-(2*IF(circ_int,0,eq_c2/2)))/(s_0+2*s_r+IF(circ_int,eq_c1/2,0))),IF(((28+0.5)*(4*IF(circ_int,0,eq_c1/2)+4*IF(circ_int,0,eq_c2/2)+2*PI()*(s_0+2*s_r+IF(circ_int,eq_c1/2,0)))/INDEX(lk_legs,3))&lt;(((2*IF(circ_int,0,eq_c2/2))+(PI()*(s_0+2*s_r+IF(circ_int,eq_c1/2,0))/2))+2*IF(circ_int,0,eq_c1/2)),IF(circ_int,0,eq_c2/2)+(s_0+2*s_r+IF(circ_int,eq_c1/2,0)),IF(((28+0.5)*(4*IF(circ_int,0,eq_c1/2)+4*IF(circ_int,0,eq_c2/2)+2*PI()*(s_0+2*s_r+IF(circ_int,eq_c1/2,0)))/INDEX(lk_legs,3))&lt;((((2*IF(circ_int,0,eq_c2/2))+(PI()*(s_0+2*s_r+IF(circ_int,eq_c1/2,0))/2))+2*IF(circ_int,0,eq_c1/2))+(PI()*(s_0+2*s_r+IF(circ_int,eq_c1/2,0))/2)),IF(circ_int,0,eq_c2/2)+(s_0+2*s_r+IF(circ_int,eq_c1/2,0))*SIN(PI()/2+(((28+0.5)*(4*IF(circ_int,0,eq_c1/2)+4*IF(circ_int,0,eq_c2/2)+2*PI()*(s_0+2*s_r+IF(circ_int,eq_c1/2,0)))/INDEX(lk_legs,3))-(((2*IF(circ_int,0,eq_c2/2))+(PI()*(s_0+2*s_r+IF(circ_int,eq_c1/2,0))/2))+2*IF(circ_int,0,eq_c1/2)))/(s_0+2*s_r+IF(circ_int,eq_c1/2,0))),IF(((28+0.5)*(4*IF(circ_int,0,eq_c1/2)+4*IF(circ_int,0,eq_c2/2)+2*PI()*(s_0+2*s_r+IF(circ_int,eq_c1/2,0)))/INDEX(lk_legs,3))&lt;(((((2*IF(circ_int,0,eq_c2/2))+(PI()*(s_0+2*s_r+IF(circ_int,eq_c1/2,0))/2))+2*IF(circ_int,0,eq_c1/2))+(PI()*(s_0+2*s_r+IF(circ_int,eq_c1/2,0))/2))+2*IF(circ_int,0,eq_c2/2)),IF(circ_int,0,eq_c2/2)-(((28+0.5)*(4*IF(circ_int,0,eq_c1/2)+4*IF(circ_int,0,eq_c2/2)+2*PI()*(s_0+2*s_r+IF(circ_int,eq_c1/2,0)))/INDEX(lk_legs,3))-((((2*IF(circ_int,0,eq_c2/2))+(PI()*(s_0+2*s_r+IF(circ_int,eq_c1/2,0))/2))+2*IF(circ_int,0,eq_c1/2))+(PI()*(s_0+2*s_r+IF(circ_int,eq_c1/2,0))/2))),IF(((28+0.5)*(4*IF(circ_int,0,eq_c1/2)+4*IF(circ_int,0,eq_c2/2)+2*PI()*(s_0+2*s_r+IF(circ_int,eq_c1/2,0)))/INDEX(lk_legs,3))&lt;((((((2*IF(circ_int,0,eq_c2/2))+(PI()*(s_0+2*s_r+IF(circ_int,eq_c1/2,0))/2))+2*IF(circ_int,0,eq_c1/2))+(PI()*(s_0+2*s_r+IF(circ_int,eq_c1/2,0))/2))+2*IF(circ_int,0,eq_c2/2))+(PI()*(s_0+2*s_r+IF(circ_int,eq_c1/2,0))/2)),-IF(circ_int,0,eq_c2/2)+(s_0+2*s_r+IF(circ_int,eq_c1/2,0))*SIN(PI()+(((28+0.5)*(4*IF(circ_int,0,eq_c1/2)+4*IF(circ_int,0,eq_c2/2)+2*PI()*(s_0+2*s_r+IF(circ_int,eq_c1/2,0)))/INDEX(lk_legs,3))-(((((2*IF(circ_int,0,eq_c2/2))+(PI()*(s_0+2*s_r+IF(circ_int,eq_c1/2,0))/2))+2*IF(circ_int,0,eq_c1/2))+(PI()*(s_0+2*s_r+IF(circ_int,eq_c1/2,0))/2))+2*IF(circ_int,0,eq_c2/2)))/(s_0+2*s_r+IF(circ_int,eq_c1/2,0))),IF(((28+0.5)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(28+0.5)*(4*IF(circ_int,0,eq_c1/2)+4*IF(circ_int,0,eq_c2/2)+2*PI()*(s_0+2*s_r+IF(circ_int,eq_c1/2,0)))/INDEX(lk_legs,3))-(((((((2*IF(circ_int,0,eq_c2/2))+(PI()*(s_0+2*s_r+IF(circ_int,eq_c1/2,0))/2))+2*IF(circ_int,0,eq_c1/2))+(PI()*(s_0+2*s_r+IF(circ_int,eq_c1/2,0))/2))+2*IF(circ_int,0,eq_c2/2))+(PI()*(s_0+2*s_r+IF(circ_int,eq_c1/2,0))/2))+2*IF(circ_int,0,eq_c1/2)))/(s_0+2*s_r+IF(circ_int,eq_c1/2,0)))))))))),NA())</f>
        <v/>
      </c>
      <c r="BO31">
        <f>IF(AND(links_on,4&lt;=n_per),IF(circ_int,(g_ox)+(c_1/2+(s_0+3*s_r))*-0.970942,CHOOSE(INDEX(lk_kind,4),(g_ox-eq_c1/2)+((s_0+3*s_r))*-0.965926,0,eq_a1+eq_c1+(s_0+3*s_r),eq_a1+eq_c1+(s_0+3*s_r))),NA())</f>
        <v/>
      </c>
      <c r="BP31">
        <f>IF(AND(links_on,4&lt;=n_per),IF(circ_int,(g_oy)+(c_1/2+(s_0+3*s_r))*-0.239316,CHOOSE(INDEX(lk_kind,4),(g_oy-eq_c2/2)+((s_0+3*s_r))*-0.258819,g_oy-eq_c2/2-(s_0+3*s_r),0,0)),NA())</f>
        <v/>
      </c>
      <c r="BR31">
        <f>IF(AND(AND(links_on,4&lt;=n_per),INDEX(lk_kind,4)=1,28&lt;INDEX(lk_legs,4)),g_ox+IF(((28+0.5)*(4*IF(circ_int,0,eq_c1/2)+4*IF(circ_int,0,eq_c2/2)+2*PI()*(s_0+3*s_r+IF(circ_int,eq_c1/2,0)))/INDEX(lk_legs,4))&lt;(2*IF(circ_int,0,eq_c2/2)),IF(circ_int,0,eq_c1/2)+(s_0+3*s_r+IF(circ_int,eq_c1/2,0)),IF(((28+0.5)*(4*IF(circ_int,0,eq_c1/2)+4*IF(circ_int,0,eq_c2/2)+2*PI()*(s_0+3*s_r+IF(circ_int,eq_c1/2,0)))/INDEX(lk_legs,4))&lt;((2*IF(circ_int,0,eq_c2/2))+(PI()*(s_0+3*s_r+IF(circ_int,eq_c1/2,0))/2)),IF(circ_int,0,eq_c1/2)+(s_0+3*s_r+IF(circ_int,eq_c1/2,0))*COS((((28+0.5)*(4*IF(circ_int,0,eq_c1/2)+4*IF(circ_int,0,eq_c2/2)+2*PI()*(s_0+3*s_r+IF(circ_int,eq_c1/2,0)))/INDEX(lk_legs,4))-(2*IF(circ_int,0,eq_c2/2)))/(s_0+3*s_r+IF(circ_int,eq_c1/2,0))),IF(((28+0.5)*(4*IF(circ_int,0,eq_c1/2)+4*IF(circ_int,0,eq_c2/2)+2*PI()*(s_0+3*s_r+IF(circ_int,eq_c1/2,0)))/INDEX(lk_legs,4))&lt;(((2*IF(circ_int,0,eq_c2/2))+(PI()*(s_0+3*s_r+IF(circ_int,eq_c1/2,0))/2))+2*IF(circ_int,0,eq_c1/2)),IF(circ_int,0,eq_c1/2)-(((28+0.5)*(4*IF(circ_int,0,eq_c1/2)+4*IF(circ_int,0,eq_c2/2)+2*PI()*(s_0+3*s_r+IF(circ_int,eq_c1/2,0)))/INDEX(lk_legs,4))-((2*IF(circ_int,0,eq_c2/2))+(PI()*(s_0+3*s_r+IF(circ_int,eq_c1/2,0))/2))),IF(((28+0.5)*(4*IF(circ_int,0,eq_c1/2)+4*IF(circ_int,0,eq_c2/2)+2*PI()*(s_0+3*s_r+IF(circ_int,eq_c1/2,0)))/INDEX(lk_legs,4))&lt;((((2*IF(circ_int,0,eq_c2/2))+(PI()*(s_0+3*s_r+IF(circ_int,eq_c1/2,0))/2))+2*IF(circ_int,0,eq_c1/2))+(PI()*(s_0+3*s_r+IF(circ_int,eq_c1/2,0))/2)),-IF(circ_int,0,eq_c1/2)+(s_0+3*s_r+IF(circ_int,eq_c1/2,0))*COS(PI()/2+(((28+0.5)*(4*IF(circ_int,0,eq_c1/2)+4*IF(circ_int,0,eq_c2/2)+2*PI()*(s_0+3*s_r+IF(circ_int,eq_c1/2,0)))/INDEX(lk_legs,4))-(((2*IF(circ_int,0,eq_c2/2))+(PI()*(s_0+3*s_r+IF(circ_int,eq_c1/2,0))/2))+2*IF(circ_int,0,eq_c1/2)))/(s_0+3*s_r+IF(circ_int,eq_c1/2,0))),IF(((28+0.5)*(4*IF(circ_int,0,eq_c1/2)+4*IF(circ_int,0,eq_c2/2)+2*PI()*(s_0+3*s_r+IF(circ_int,eq_c1/2,0)))/INDEX(lk_legs,4))&lt;(((((2*IF(circ_int,0,eq_c2/2))+(PI()*(s_0+3*s_r+IF(circ_int,eq_c1/2,0))/2))+2*IF(circ_int,0,eq_c1/2))+(PI()*(s_0+3*s_r+IF(circ_int,eq_c1/2,0))/2))+2*IF(circ_int,0,eq_c2/2)),-IF(circ_int,0,eq_c1/2)-(s_0+3*s_r+IF(circ_int,eq_c1/2,0)),IF(((28+0.5)*(4*IF(circ_int,0,eq_c1/2)+4*IF(circ_int,0,eq_c2/2)+2*PI()*(s_0+3*s_r+IF(circ_int,eq_c1/2,0)))/INDEX(lk_legs,4))&lt;((((((2*IF(circ_int,0,eq_c2/2))+(PI()*(s_0+3*s_r+IF(circ_int,eq_c1/2,0))/2))+2*IF(circ_int,0,eq_c1/2))+(PI()*(s_0+3*s_r+IF(circ_int,eq_c1/2,0))/2))+2*IF(circ_int,0,eq_c2/2))+(PI()*(s_0+3*s_r+IF(circ_int,eq_c1/2,0))/2)),-IF(circ_int,0,eq_c1/2)+(s_0+3*s_r+IF(circ_int,eq_c1/2,0))*COS(PI()+(((28+0.5)*(4*IF(circ_int,0,eq_c1/2)+4*IF(circ_int,0,eq_c2/2)+2*PI()*(s_0+3*s_r+IF(circ_int,eq_c1/2,0)))/INDEX(lk_legs,4))-(((((2*IF(circ_int,0,eq_c2/2))+(PI()*(s_0+3*s_r+IF(circ_int,eq_c1/2,0))/2))+2*IF(circ_int,0,eq_c1/2))+(PI()*(s_0+3*s_r+IF(circ_int,eq_c1/2,0))/2))+2*IF(circ_int,0,eq_c2/2)))/(s_0+3*s_r+IF(circ_int,eq_c1/2,0))),IF(((28+0.5)*(4*IF(circ_int,0,eq_c1/2)+4*IF(circ_int,0,eq_c2/2)+2*PI()*(s_0+3*s_r+IF(circ_int,eq_c1/2,0)))/INDEX(lk_legs,4))&lt;(((((((2*IF(circ_int,0,eq_c2/2))+(PI()*(s_0+3*s_r+IF(circ_int,eq_c1/2,0))/2))+2*IF(circ_int,0,eq_c1/2))+(PI()*(s_0+3*s_r+IF(circ_int,eq_c1/2,0))/2))+2*IF(circ_int,0,eq_c2/2))+(PI()*(s_0+3*s_r+IF(circ_int,eq_c1/2,0))/2))+2*IF(circ_int,0,eq_c1/2)),-IF(circ_int,0,eq_c1/2)+(((28+0.5)*(4*IF(circ_int,0,eq_c1/2)+4*IF(circ_int,0,eq_c2/2)+2*PI()*(s_0+3*s_r+IF(circ_int,eq_c1/2,0)))/INDEX(lk_legs,4))-((((((2*IF(circ_int,0,eq_c2/2))+(PI()*(s_0+3*s_r+IF(circ_int,eq_c1/2,0))/2))+2*IF(circ_int,0,eq_c1/2))+(PI()*(s_0+3*s_r+IF(circ_int,eq_c1/2,0))/2))+2*IF(circ_int,0,eq_c2/2))+(PI()*(s_0+3*s_r+IF(circ_int,eq_c1/2,0))/2))),IF(circ_int,0,eq_c1/2)+(s_0+3*s_r+IF(circ_int,eq_c1/2,0))*COS(3*PI()/2+(((28+0.5)*(4*IF(circ_int,0,eq_c1/2)+4*IF(circ_int,0,eq_c2/2)+2*PI()*(s_0+3*s_r+IF(circ_int,eq_c1/2,0)))/INDEX(lk_legs,4))-(((((((2*IF(circ_int,0,eq_c2/2))+(PI()*(s_0+3*s_r+IF(circ_int,eq_c1/2,0))/2))+2*IF(circ_int,0,eq_c1/2))+(PI()*(s_0+3*s_r+IF(circ_int,eq_c1/2,0))/2))+2*IF(circ_int,0,eq_c2/2))+(PI()*(s_0+3*s_r+IF(circ_int,eq_c1/2,0))/2))+2*IF(circ_int,0,eq_c1/2)))/(s_0+3*s_r+IF(circ_int,eq_c1/2,0)))))))))),NA())</f>
        <v/>
      </c>
      <c r="BS31">
        <f>IF(AND(AND(links_on,4&lt;=n_per),INDEX(lk_kind,4)=1,28&lt;INDEX(lk_legs,4)),g_oy+IF(((28+0.5)*(4*IF(circ_int,0,eq_c1/2)+4*IF(circ_int,0,eq_c2/2)+2*PI()*(s_0+3*s_r+IF(circ_int,eq_c1/2,0)))/INDEX(lk_legs,4))&lt;(2*IF(circ_int,0,eq_c2/2)),-IF(circ_int,0,eq_c2/2)+((28+0.5)*(4*IF(circ_int,0,eq_c1/2)+4*IF(circ_int,0,eq_c2/2)+2*PI()*(s_0+3*s_r+IF(circ_int,eq_c1/2,0)))/INDEX(lk_legs,4)),IF(((28+0.5)*(4*IF(circ_int,0,eq_c1/2)+4*IF(circ_int,0,eq_c2/2)+2*PI()*(s_0+3*s_r+IF(circ_int,eq_c1/2,0)))/INDEX(lk_legs,4))&lt;((2*IF(circ_int,0,eq_c2/2))+(PI()*(s_0+3*s_r+IF(circ_int,eq_c1/2,0))/2)),IF(circ_int,0,eq_c2/2)+(s_0+3*s_r+IF(circ_int,eq_c1/2,0))*SIN((((28+0.5)*(4*IF(circ_int,0,eq_c1/2)+4*IF(circ_int,0,eq_c2/2)+2*PI()*(s_0+3*s_r+IF(circ_int,eq_c1/2,0)))/INDEX(lk_legs,4))-(2*IF(circ_int,0,eq_c2/2)))/(s_0+3*s_r+IF(circ_int,eq_c1/2,0))),IF(((28+0.5)*(4*IF(circ_int,0,eq_c1/2)+4*IF(circ_int,0,eq_c2/2)+2*PI()*(s_0+3*s_r+IF(circ_int,eq_c1/2,0)))/INDEX(lk_legs,4))&lt;(((2*IF(circ_int,0,eq_c2/2))+(PI()*(s_0+3*s_r+IF(circ_int,eq_c1/2,0))/2))+2*IF(circ_int,0,eq_c1/2)),IF(circ_int,0,eq_c2/2)+(s_0+3*s_r+IF(circ_int,eq_c1/2,0)),IF(((28+0.5)*(4*IF(circ_int,0,eq_c1/2)+4*IF(circ_int,0,eq_c2/2)+2*PI()*(s_0+3*s_r+IF(circ_int,eq_c1/2,0)))/INDEX(lk_legs,4))&lt;((((2*IF(circ_int,0,eq_c2/2))+(PI()*(s_0+3*s_r+IF(circ_int,eq_c1/2,0))/2))+2*IF(circ_int,0,eq_c1/2))+(PI()*(s_0+3*s_r+IF(circ_int,eq_c1/2,0))/2)),IF(circ_int,0,eq_c2/2)+(s_0+3*s_r+IF(circ_int,eq_c1/2,0))*SIN(PI()/2+(((28+0.5)*(4*IF(circ_int,0,eq_c1/2)+4*IF(circ_int,0,eq_c2/2)+2*PI()*(s_0+3*s_r+IF(circ_int,eq_c1/2,0)))/INDEX(lk_legs,4))-(((2*IF(circ_int,0,eq_c2/2))+(PI()*(s_0+3*s_r+IF(circ_int,eq_c1/2,0))/2))+2*IF(circ_int,0,eq_c1/2)))/(s_0+3*s_r+IF(circ_int,eq_c1/2,0))),IF(((28+0.5)*(4*IF(circ_int,0,eq_c1/2)+4*IF(circ_int,0,eq_c2/2)+2*PI()*(s_0+3*s_r+IF(circ_int,eq_c1/2,0)))/INDEX(lk_legs,4))&lt;(((((2*IF(circ_int,0,eq_c2/2))+(PI()*(s_0+3*s_r+IF(circ_int,eq_c1/2,0))/2))+2*IF(circ_int,0,eq_c1/2))+(PI()*(s_0+3*s_r+IF(circ_int,eq_c1/2,0))/2))+2*IF(circ_int,0,eq_c2/2)),IF(circ_int,0,eq_c2/2)-(((28+0.5)*(4*IF(circ_int,0,eq_c1/2)+4*IF(circ_int,0,eq_c2/2)+2*PI()*(s_0+3*s_r+IF(circ_int,eq_c1/2,0)))/INDEX(lk_legs,4))-((((2*IF(circ_int,0,eq_c2/2))+(PI()*(s_0+3*s_r+IF(circ_int,eq_c1/2,0))/2))+2*IF(circ_int,0,eq_c1/2))+(PI()*(s_0+3*s_r+IF(circ_int,eq_c1/2,0))/2))),IF(((28+0.5)*(4*IF(circ_int,0,eq_c1/2)+4*IF(circ_int,0,eq_c2/2)+2*PI()*(s_0+3*s_r+IF(circ_int,eq_c1/2,0)))/INDEX(lk_legs,4))&lt;((((((2*IF(circ_int,0,eq_c2/2))+(PI()*(s_0+3*s_r+IF(circ_int,eq_c1/2,0))/2))+2*IF(circ_int,0,eq_c1/2))+(PI()*(s_0+3*s_r+IF(circ_int,eq_c1/2,0))/2))+2*IF(circ_int,0,eq_c2/2))+(PI()*(s_0+3*s_r+IF(circ_int,eq_c1/2,0))/2)),-IF(circ_int,0,eq_c2/2)+(s_0+3*s_r+IF(circ_int,eq_c1/2,0))*SIN(PI()+(((28+0.5)*(4*IF(circ_int,0,eq_c1/2)+4*IF(circ_int,0,eq_c2/2)+2*PI()*(s_0+3*s_r+IF(circ_int,eq_c1/2,0)))/INDEX(lk_legs,4))-(((((2*IF(circ_int,0,eq_c2/2))+(PI()*(s_0+3*s_r+IF(circ_int,eq_c1/2,0))/2))+2*IF(circ_int,0,eq_c1/2))+(PI()*(s_0+3*s_r+IF(circ_int,eq_c1/2,0))/2))+2*IF(circ_int,0,eq_c2/2)))/(s_0+3*s_r+IF(circ_int,eq_c1/2,0))),IF(((28+0.5)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(28+0.5)*(4*IF(circ_int,0,eq_c1/2)+4*IF(circ_int,0,eq_c2/2)+2*PI()*(s_0+3*s_r+IF(circ_int,eq_c1/2,0)))/INDEX(lk_legs,4))-(((((((2*IF(circ_int,0,eq_c2/2))+(PI()*(s_0+3*s_r+IF(circ_int,eq_c1/2,0))/2))+2*IF(circ_int,0,eq_c1/2))+(PI()*(s_0+3*s_r+IF(circ_int,eq_c1/2,0))/2))+2*IF(circ_int,0,eq_c2/2))+(PI()*(s_0+3*s_r+IF(circ_int,eq_c1/2,0))/2))+2*IF(circ_int,0,eq_c1/2)))/(s_0+3*s_r+IF(circ_int,eq_c1/2,0)))))))))),NA())</f>
        <v/>
      </c>
      <c r="BU31">
        <f>IF(AND(links_on,5&lt;=n_per),IF(circ_int,(g_ox)+(c_1/2+(s_0+4*s_r))*-0.970942,CHOOSE(INDEX(lk_kind,5),(g_ox-eq_c1/2)+((s_0+4*s_r))*-0.965926,0,eq_a1+eq_c1+(s_0+4*s_r),eq_a1+eq_c1+(s_0+4*s_r))),NA())</f>
        <v/>
      </c>
      <c r="BV31">
        <f>IF(AND(links_on,5&lt;=n_per),IF(circ_int,(g_oy)+(c_1/2+(s_0+4*s_r))*-0.239316,CHOOSE(INDEX(lk_kind,5),(g_oy-eq_c2/2)+((s_0+4*s_r))*-0.258819,g_oy-eq_c2/2-(s_0+4*s_r),0,0)),NA())</f>
        <v/>
      </c>
      <c r="BX31">
        <f>IF(AND(AND(links_on,5&lt;=n_per),INDEX(lk_kind,5)=1,28&lt;INDEX(lk_legs,5)),g_ox+IF(((28+0.5)*(4*IF(circ_int,0,eq_c1/2)+4*IF(circ_int,0,eq_c2/2)+2*PI()*(s_0+4*s_r+IF(circ_int,eq_c1/2,0)))/INDEX(lk_legs,5))&lt;(2*IF(circ_int,0,eq_c2/2)),IF(circ_int,0,eq_c1/2)+(s_0+4*s_r+IF(circ_int,eq_c1/2,0)),IF(((28+0.5)*(4*IF(circ_int,0,eq_c1/2)+4*IF(circ_int,0,eq_c2/2)+2*PI()*(s_0+4*s_r+IF(circ_int,eq_c1/2,0)))/INDEX(lk_legs,5))&lt;((2*IF(circ_int,0,eq_c2/2))+(PI()*(s_0+4*s_r+IF(circ_int,eq_c1/2,0))/2)),IF(circ_int,0,eq_c1/2)+(s_0+4*s_r+IF(circ_int,eq_c1/2,0))*COS((((28+0.5)*(4*IF(circ_int,0,eq_c1/2)+4*IF(circ_int,0,eq_c2/2)+2*PI()*(s_0+4*s_r+IF(circ_int,eq_c1/2,0)))/INDEX(lk_legs,5))-(2*IF(circ_int,0,eq_c2/2)))/(s_0+4*s_r+IF(circ_int,eq_c1/2,0))),IF(((28+0.5)*(4*IF(circ_int,0,eq_c1/2)+4*IF(circ_int,0,eq_c2/2)+2*PI()*(s_0+4*s_r+IF(circ_int,eq_c1/2,0)))/INDEX(lk_legs,5))&lt;(((2*IF(circ_int,0,eq_c2/2))+(PI()*(s_0+4*s_r+IF(circ_int,eq_c1/2,0))/2))+2*IF(circ_int,0,eq_c1/2)),IF(circ_int,0,eq_c1/2)-(((28+0.5)*(4*IF(circ_int,0,eq_c1/2)+4*IF(circ_int,0,eq_c2/2)+2*PI()*(s_0+4*s_r+IF(circ_int,eq_c1/2,0)))/INDEX(lk_legs,5))-((2*IF(circ_int,0,eq_c2/2))+(PI()*(s_0+4*s_r+IF(circ_int,eq_c1/2,0))/2))),IF(((28+0.5)*(4*IF(circ_int,0,eq_c1/2)+4*IF(circ_int,0,eq_c2/2)+2*PI()*(s_0+4*s_r+IF(circ_int,eq_c1/2,0)))/INDEX(lk_legs,5))&lt;((((2*IF(circ_int,0,eq_c2/2))+(PI()*(s_0+4*s_r+IF(circ_int,eq_c1/2,0))/2))+2*IF(circ_int,0,eq_c1/2))+(PI()*(s_0+4*s_r+IF(circ_int,eq_c1/2,0))/2)),-IF(circ_int,0,eq_c1/2)+(s_0+4*s_r+IF(circ_int,eq_c1/2,0))*COS(PI()/2+(((28+0.5)*(4*IF(circ_int,0,eq_c1/2)+4*IF(circ_int,0,eq_c2/2)+2*PI()*(s_0+4*s_r+IF(circ_int,eq_c1/2,0)))/INDEX(lk_legs,5))-(((2*IF(circ_int,0,eq_c2/2))+(PI()*(s_0+4*s_r+IF(circ_int,eq_c1/2,0))/2))+2*IF(circ_int,0,eq_c1/2)))/(s_0+4*s_r+IF(circ_int,eq_c1/2,0))),IF(((28+0.5)*(4*IF(circ_int,0,eq_c1/2)+4*IF(circ_int,0,eq_c2/2)+2*PI()*(s_0+4*s_r+IF(circ_int,eq_c1/2,0)))/INDEX(lk_legs,5))&lt;(((((2*IF(circ_int,0,eq_c2/2))+(PI()*(s_0+4*s_r+IF(circ_int,eq_c1/2,0))/2))+2*IF(circ_int,0,eq_c1/2))+(PI()*(s_0+4*s_r+IF(circ_int,eq_c1/2,0))/2))+2*IF(circ_int,0,eq_c2/2)),-IF(circ_int,0,eq_c1/2)-(s_0+4*s_r+IF(circ_int,eq_c1/2,0)),IF(((28+0.5)*(4*IF(circ_int,0,eq_c1/2)+4*IF(circ_int,0,eq_c2/2)+2*PI()*(s_0+4*s_r+IF(circ_int,eq_c1/2,0)))/INDEX(lk_legs,5))&lt;((((((2*IF(circ_int,0,eq_c2/2))+(PI()*(s_0+4*s_r+IF(circ_int,eq_c1/2,0))/2))+2*IF(circ_int,0,eq_c1/2))+(PI()*(s_0+4*s_r+IF(circ_int,eq_c1/2,0))/2))+2*IF(circ_int,0,eq_c2/2))+(PI()*(s_0+4*s_r+IF(circ_int,eq_c1/2,0))/2)),-IF(circ_int,0,eq_c1/2)+(s_0+4*s_r+IF(circ_int,eq_c1/2,0))*COS(PI()+(((28+0.5)*(4*IF(circ_int,0,eq_c1/2)+4*IF(circ_int,0,eq_c2/2)+2*PI()*(s_0+4*s_r+IF(circ_int,eq_c1/2,0)))/INDEX(lk_legs,5))-(((((2*IF(circ_int,0,eq_c2/2))+(PI()*(s_0+4*s_r+IF(circ_int,eq_c1/2,0))/2))+2*IF(circ_int,0,eq_c1/2))+(PI()*(s_0+4*s_r+IF(circ_int,eq_c1/2,0))/2))+2*IF(circ_int,0,eq_c2/2)))/(s_0+4*s_r+IF(circ_int,eq_c1/2,0))),IF(((28+0.5)*(4*IF(circ_int,0,eq_c1/2)+4*IF(circ_int,0,eq_c2/2)+2*PI()*(s_0+4*s_r+IF(circ_int,eq_c1/2,0)))/INDEX(lk_legs,5))&lt;(((((((2*IF(circ_int,0,eq_c2/2))+(PI()*(s_0+4*s_r+IF(circ_int,eq_c1/2,0))/2))+2*IF(circ_int,0,eq_c1/2))+(PI()*(s_0+4*s_r+IF(circ_int,eq_c1/2,0))/2))+2*IF(circ_int,0,eq_c2/2))+(PI()*(s_0+4*s_r+IF(circ_int,eq_c1/2,0))/2))+2*IF(circ_int,0,eq_c1/2)),-IF(circ_int,0,eq_c1/2)+(((28+0.5)*(4*IF(circ_int,0,eq_c1/2)+4*IF(circ_int,0,eq_c2/2)+2*PI()*(s_0+4*s_r+IF(circ_int,eq_c1/2,0)))/INDEX(lk_legs,5))-((((((2*IF(circ_int,0,eq_c2/2))+(PI()*(s_0+4*s_r+IF(circ_int,eq_c1/2,0))/2))+2*IF(circ_int,0,eq_c1/2))+(PI()*(s_0+4*s_r+IF(circ_int,eq_c1/2,0))/2))+2*IF(circ_int,0,eq_c2/2))+(PI()*(s_0+4*s_r+IF(circ_int,eq_c1/2,0))/2))),IF(circ_int,0,eq_c1/2)+(s_0+4*s_r+IF(circ_int,eq_c1/2,0))*COS(3*PI()/2+(((28+0.5)*(4*IF(circ_int,0,eq_c1/2)+4*IF(circ_int,0,eq_c2/2)+2*PI()*(s_0+4*s_r+IF(circ_int,eq_c1/2,0)))/INDEX(lk_legs,5))-(((((((2*IF(circ_int,0,eq_c2/2))+(PI()*(s_0+4*s_r+IF(circ_int,eq_c1/2,0))/2))+2*IF(circ_int,0,eq_c1/2))+(PI()*(s_0+4*s_r+IF(circ_int,eq_c1/2,0))/2))+2*IF(circ_int,0,eq_c2/2))+(PI()*(s_0+4*s_r+IF(circ_int,eq_c1/2,0))/2))+2*IF(circ_int,0,eq_c1/2)))/(s_0+4*s_r+IF(circ_int,eq_c1/2,0)))))))))),NA())</f>
        <v/>
      </c>
      <c r="BY31">
        <f>IF(AND(AND(links_on,5&lt;=n_per),INDEX(lk_kind,5)=1,28&lt;INDEX(lk_legs,5)),g_oy+IF(((28+0.5)*(4*IF(circ_int,0,eq_c1/2)+4*IF(circ_int,0,eq_c2/2)+2*PI()*(s_0+4*s_r+IF(circ_int,eq_c1/2,0)))/INDEX(lk_legs,5))&lt;(2*IF(circ_int,0,eq_c2/2)),-IF(circ_int,0,eq_c2/2)+((28+0.5)*(4*IF(circ_int,0,eq_c1/2)+4*IF(circ_int,0,eq_c2/2)+2*PI()*(s_0+4*s_r+IF(circ_int,eq_c1/2,0)))/INDEX(lk_legs,5)),IF(((28+0.5)*(4*IF(circ_int,0,eq_c1/2)+4*IF(circ_int,0,eq_c2/2)+2*PI()*(s_0+4*s_r+IF(circ_int,eq_c1/2,0)))/INDEX(lk_legs,5))&lt;((2*IF(circ_int,0,eq_c2/2))+(PI()*(s_0+4*s_r+IF(circ_int,eq_c1/2,0))/2)),IF(circ_int,0,eq_c2/2)+(s_0+4*s_r+IF(circ_int,eq_c1/2,0))*SIN((((28+0.5)*(4*IF(circ_int,0,eq_c1/2)+4*IF(circ_int,0,eq_c2/2)+2*PI()*(s_0+4*s_r+IF(circ_int,eq_c1/2,0)))/INDEX(lk_legs,5))-(2*IF(circ_int,0,eq_c2/2)))/(s_0+4*s_r+IF(circ_int,eq_c1/2,0))),IF(((28+0.5)*(4*IF(circ_int,0,eq_c1/2)+4*IF(circ_int,0,eq_c2/2)+2*PI()*(s_0+4*s_r+IF(circ_int,eq_c1/2,0)))/INDEX(lk_legs,5))&lt;(((2*IF(circ_int,0,eq_c2/2))+(PI()*(s_0+4*s_r+IF(circ_int,eq_c1/2,0))/2))+2*IF(circ_int,0,eq_c1/2)),IF(circ_int,0,eq_c2/2)+(s_0+4*s_r+IF(circ_int,eq_c1/2,0)),IF(((28+0.5)*(4*IF(circ_int,0,eq_c1/2)+4*IF(circ_int,0,eq_c2/2)+2*PI()*(s_0+4*s_r+IF(circ_int,eq_c1/2,0)))/INDEX(lk_legs,5))&lt;((((2*IF(circ_int,0,eq_c2/2))+(PI()*(s_0+4*s_r+IF(circ_int,eq_c1/2,0))/2))+2*IF(circ_int,0,eq_c1/2))+(PI()*(s_0+4*s_r+IF(circ_int,eq_c1/2,0))/2)),IF(circ_int,0,eq_c2/2)+(s_0+4*s_r+IF(circ_int,eq_c1/2,0))*SIN(PI()/2+(((28+0.5)*(4*IF(circ_int,0,eq_c1/2)+4*IF(circ_int,0,eq_c2/2)+2*PI()*(s_0+4*s_r+IF(circ_int,eq_c1/2,0)))/INDEX(lk_legs,5))-(((2*IF(circ_int,0,eq_c2/2))+(PI()*(s_0+4*s_r+IF(circ_int,eq_c1/2,0))/2))+2*IF(circ_int,0,eq_c1/2)))/(s_0+4*s_r+IF(circ_int,eq_c1/2,0))),IF(((28+0.5)*(4*IF(circ_int,0,eq_c1/2)+4*IF(circ_int,0,eq_c2/2)+2*PI()*(s_0+4*s_r+IF(circ_int,eq_c1/2,0)))/INDEX(lk_legs,5))&lt;(((((2*IF(circ_int,0,eq_c2/2))+(PI()*(s_0+4*s_r+IF(circ_int,eq_c1/2,0))/2))+2*IF(circ_int,0,eq_c1/2))+(PI()*(s_0+4*s_r+IF(circ_int,eq_c1/2,0))/2))+2*IF(circ_int,0,eq_c2/2)),IF(circ_int,0,eq_c2/2)-(((28+0.5)*(4*IF(circ_int,0,eq_c1/2)+4*IF(circ_int,0,eq_c2/2)+2*PI()*(s_0+4*s_r+IF(circ_int,eq_c1/2,0)))/INDEX(lk_legs,5))-((((2*IF(circ_int,0,eq_c2/2))+(PI()*(s_0+4*s_r+IF(circ_int,eq_c1/2,0))/2))+2*IF(circ_int,0,eq_c1/2))+(PI()*(s_0+4*s_r+IF(circ_int,eq_c1/2,0))/2))),IF(((28+0.5)*(4*IF(circ_int,0,eq_c1/2)+4*IF(circ_int,0,eq_c2/2)+2*PI()*(s_0+4*s_r+IF(circ_int,eq_c1/2,0)))/INDEX(lk_legs,5))&lt;((((((2*IF(circ_int,0,eq_c2/2))+(PI()*(s_0+4*s_r+IF(circ_int,eq_c1/2,0))/2))+2*IF(circ_int,0,eq_c1/2))+(PI()*(s_0+4*s_r+IF(circ_int,eq_c1/2,0))/2))+2*IF(circ_int,0,eq_c2/2))+(PI()*(s_0+4*s_r+IF(circ_int,eq_c1/2,0))/2)),-IF(circ_int,0,eq_c2/2)+(s_0+4*s_r+IF(circ_int,eq_c1/2,0))*SIN(PI()+(((28+0.5)*(4*IF(circ_int,0,eq_c1/2)+4*IF(circ_int,0,eq_c2/2)+2*PI()*(s_0+4*s_r+IF(circ_int,eq_c1/2,0)))/INDEX(lk_legs,5))-(((((2*IF(circ_int,0,eq_c2/2))+(PI()*(s_0+4*s_r+IF(circ_int,eq_c1/2,0))/2))+2*IF(circ_int,0,eq_c1/2))+(PI()*(s_0+4*s_r+IF(circ_int,eq_c1/2,0))/2))+2*IF(circ_int,0,eq_c2/2)))/(s_0+4*s_r+IF(circ_int,eq_c1/2,0))),IF(((28+0.5)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(28+0.5)*(4*IF(circ_int,0,eq_c1/2)+4*IF(circ_int,0,eq_c2/2)+2*PI()*(s_0+4*s_r+IF(circ_int,eq_c1/2,0)))/INDEX(lk_legs,5))-(((((((2*IF(circ_int,0,eq_c2/2))+(PI()*(s_0+4*s_r+IF(circ_int,eq_c1/2,0))/2))+2*IF(circ_int,0,eq_c1/2))+(PI()*(s_0+4*s_r+IF(circ_int,eq_c1/2,0))/2))+2*IF(circ_int,0,eq_c2/2))+(PI()*(s_0+4*s_r+IF(circ_int,eq_c1/2,0))/2))+2*IF(circ_int,0,eq_c1/2)))/(s_0+4*s_r+IF(circ_int,eq_c1/2,0)))))))))),NA())</f>
        <v/>
      </c>
      <c r="CA31">
        <f>IF(AND(links_on,6&lt;=n_per),IF(circ_int,(g_ox)+(c_1/2+(s_0+5*s_r))*-0.970942,CHOOSE(INDEX(lk_kind,6),(g_ox-eq_c1/2)+((s_0+5*s_r))*-0.965926,0,eq_a1+eq_c1+(s_0+5*s_r),eq_a1+eq_c1+(s_0+5*s_r))),NA())</f>
        <v/>
      </c>
      <c r="CB31">
        <f>IF(AND(links_on,6&lt;=n_per),IF(circ_int,(g_oy)+(c_1/2+(s_0+5*s_r))*-0.239316,CHOOSE(INDEX(lk_kind,6),(g_oy-eq_c2/2)+((s_0+5*s_r))*-0.258819,g_oy-eq_c2/2-(s_0+5*s_r),0,0)),NA())</f>
        <v/>
      </c>
      <c r="CD31">
        <f>IF(AND(AND(links_on,6&lt;=n_per),INDEX(lk_kind,6)=1,28&lt;INDEX(lk_legs,6)),g_ox+IF(((28+0.5)*(4*IF(circ_int,0,eq_c1/2)+4*IF(circ_int,0,eq_c2/2)+2*PI()*(s_0+5*s_r+IF(circ_int,eq_c1/2,0)))/INDEX(lk_legs,6))&lt;(2*IF(circ_int,0,eq_c2/2)),IF(circ_int,0,eq_c1/2)+(s_0+5*s_r+IF(circ_int,eq_c1/2,0)),IF(((28+0.5)*(4*IF(circ_int,0,eq_c1/2)+4*IF(circ_int,0,eq_c2/2)+2*PI()*(s_0+5*s_r+IF(circ_int,eq_c1/2,0)))/INDEX(lk_legs,6))&lt;((2*IF(circ_int,0,eq_c2/2))+(PI()*(s_0+5*s_r+IF(circ_int,eq_c1/2,0))/2)),IF(circ_int,0,eq_c1/2)+(s_0+5*s_r+IF(circ_int,eq_c1/2,0))*COS((((28+0.5)*(4*IF(circ_int,0,eq_c1/2)+4*IF(circ_int,0,eq_c2/2)+2*PI()*(s_0+5*s_r+IF(circ_int,eq_c1/2,0)))/INDEX(lk_legs,6))-(2*IF(circ_int,0,eq_c2/2)))/(s_0+5*s_r+IF(circ_int,eq_c1/2,0))),IF(((28+0.5)*(4*IF(circ_int,0,eq_c1/2)+4*IF(circ_int,0,eq_c2/2)+2*PI()*(s_0+5*s_r+IF(circ_int,eq_c1/2,0)))/INDEX(lk_legs,6))&lt;(((2*IF(circ_int,0,eq_c2/2))+(PI()*(s_0+5*s_r+IF(circ_int,eq_c1/2,0))/2))+2*IF(circ_int,0,eq_c1/2)),IF(circ_int,0,eq_c1/2)-(((28+0.5)*(4*IF(circ_int,0,eq_c1/2)+4*IF(circ_int,0,eq_c2/2)+2*PI()*(s_0+5*s_r+IF(circ_int,eq_c1/2,0)))/INDEX(lk_legs,6))-((2*IF(circ_int,0,eq_c2/2))+(PI()*(s_0+5*s_r+IF(circ_int,eq_c1/2,0))/2))),IF(((28+0.5)*(4*IF(circ_int,0,eq_c1/2)+4*IF(circ_int,0,eq_c2/2)+2*PI()*(s_0+5*s_r+IF(circ_int,eq_c1/2,0)))/INDEX(lk_legs,6))&lt;((((2*IF(circ_int,0,eq_c2/2))+(PI()*(s_0+5*s_r+IF(circ_int,eq_c1/2,0))/2))+2*IF(circ_int,0,eq_c1/2))+(PI()*(s_0+5*s_r+IF(circ_int,eq_c1/2,0))/2)),-IF(circ_int,0,eq_c1/2)+(s_0+5*s_r+IF(circ_int,eq_c1/2,0))*COS(PI()/2+(((28+0.5)*(4*IF(circ_int,0,eq_c1/2)+4*IF(circ_int,0,eq_c2/2)+2*PI()*(s_0+5*s_r+IF(circ_int,eq_c1/2,0)))/INDEX(lk_legs,6))-(((2*IF(circ_int,0,eq_c2/2))+(PI()*(s_0+5*s_r+IF(circ_int,eq_c1/2,0))/2))+2*IF(circ_int,0,eq_c1/2)))/(s_0+5*s_r+IF(circ_int,eq_c1/2,0))),IF(((28+0.5)*(4*IF(circ_int,0,eq_c1/2)+4*IF(circ_int,0,eq_c2/2)+2*PI()*(s_0+5*s_r+IF(circ_int,eq_c1/2,0)))/INDEX(lk_legs,6))&lt;(((((2*IF(circ_int,0,eq_c2/2))+(PI()*(s_0+5*s_r+IF(circ_int,eq_c1/2,0))/2))+2*IF(circ_int,0,eq_c1/2))+(PI()*(s_0+5*s_r+IF(circ_int,eq_c1/2,0))/2))+2*IF(circ_int,0,eq_c2/2)),-IF(circ_int,0,eq_c1/2)-(s_0+5*s_r+IF(circ_int,eq_c1/2,0)),IF(((28+0.5)*(4*IF(circ_int,0,eq_c1/2)+4*IF(circ_int,0,eq_c2/2)+2*PI()*(s_0+5*s_r+IF(circ_int,eq_c1/2,0)))/INDEX(lk_legs,6))&lt;((((((2*IF(circ_int,0,eq_c2/2))+(PI()*(s_0+5*s_r+IF(circ_int,eq_c1/2,0))/2))+2*IF(circ_int,0,eq_c1/2))+(PI()*(s_0+5*s_r+IF(circ_int,eq_c1/2,0))/2))+2*IF(circ_int,0,eq_c2/2))+(PI()*(s_0+5*s_r+IF(circ_int,eq_c1/2,0))/2)),-IF(circ_int,0,eq_c1/2)+(s_0+5*s_r+IF(circ_int,eq_c1/2,0))*COS(PI()+(((28+0.5)*(4*IF(circ_int,0,eq_c1/2)+4*IF(circ_int,0,eq_c2/2)+2*PI()*(s_0+5*s_r+IF(circ_int,eq_c1/2,0)))/INDEX(lk_legs,6))-(((((2*IF(circ_int,0,eq_c2/2))+(PI()*(s_0+5*s_r+IF(circ_int,eq_c1/2,0))/2))+2*IF(circ_int,0,eq_c1/2))+(PI()*(s_0+5*s_r+IF(circ_int,eq_c1/2,0))/2))+2*IF(circ_int,0,eq_c2/2)))/(s_0+5*s_r+IF(circ_int,eq_c1/2,0))),IF(((28+0.5)*(4*IF(circ_int,0,eq_c1/2)+4*IF(circ_int,0,eq_c2/2)+2*PI()*(s_0+5*s_r+IF(circ_int,eq_c1/2,0)))/INDEX(lk_legs,6))&lt;(((((((2*IF(circ_int,0,eq_c2/2))+(PI()*(s_0+5*s_r+IF(circ_int,eq_c1/2,0))/2))+2*IF(circ_int,0,eq_c1/2))+(PI()*(s_0+5*s_r+IF(circ_int,eq_c1/2,0))/2))+2*IF(circ_int,0,eq_c2/2))+(PI()*(s_0+5*s_r+IF(circ_int,eq_c1/2,0))/2))+2*IF(circ_int,0,eq_c1/2)),-IF(circ_int,0,eq_c1/2)+(((28+0.5)*(4*IF(circ_int,0,eq_c1/2)+4*IF(circ_int,0,eq_c2/2)+2*PI()*(s_0+5*s_r+IF(circ_int,eq_c1/2,0)))/INDEX(lk_legs,6))-((((((2*IF(circ_int,0,eq_c2/2))+(PI()*(s_0+5*s_r+IF(circ_int,eq_c1/2,0))/2))+2*IF(circ_int,0,eq_c1/2))+(PI()*(s_0+5*s_r+IF(circ_int,eq_c1/2,0))/2))+2*IF(circ_int,0,eq_c2/2))+(PI()*(s_0+5*s_r+IF(circ_int,eq_c1/2,0))/2))),IF(circ_int,0,eq_c1/2)+(s_0+5*s_r+IF(circ_int,eq_c1/2,0))*COS(3*PI()/2+(((28+0.5)*(4*IF(circ_int,0,eq_c1/2)+4*IF(circ_int,0,eq_c2/2)+2*PI()*(s_0+5*s_r+IF(circ_int,eq_c1/2,0)))/INDEX(lk_legs,6))-(((((((2*IF(circ_int,0,eq_c2/2))+(PI()*(s_0+5*s_r+IF(circ_int,eq_c1/2,0))/2))+2*IF(circ_int,0,eq_c1/2))+(PI()*(s_0+5*s_r+IF(circ_int,eq_c1/2,0))/2))+2*IF(circ_int,0,eq_c2/2))+(PI()*(s_0+5*s_r+IF(circ_int,eq_c1/2,0))/2))+2*IF(circ_int,0,eq_c1/2)))/(s_0+5*s_r+IF(circ_int,eq_c1/2,0)))))))))),NA())</f>
        <v/>
      </c>
      <c r="CE31">
        <f>IF(AND(AND(links_on,6&lt;=n_per),INDEX(lk_kind,6)=1,28&lt;INDEX(lk_legs,6)),g_oy+IF(((28+0.5)*(4*IF(circ_int,0,eq_c1/2)+4*IF(circ_int,0,eq_c2/2)+2*PI()*(s_0+5*s_r+IF(circ_int,eq_c1/2,0)))/INDEX(lk_legs,6))&lt;(2*IF(circ_int,0,eq_c2/2)),-IF(circ_int,0,eq_c2/2)+((28+0.5)*(4*IF(circ_int,0,eq_c1/2)+4*IF(circ_int,0,eq_c2/2)+2*PI()*(s_0+5*s_r+IF(circ_int,eq_c1/2,0)))/INDEX(lk_legs,6)),IF(((28+0.5)*(4*IF(circ_int,0,eq_c1/2)+4*IF(circ_int,0,eq_c2/2)+2*PI()*(s_0+5*s_r+IF(circ_int,eq_c1/2,0)))/INDEX(lk_legs,6))&lt;((2*IF(circ_int,0,eq_c2/2))+(PI()*(s_0+5*s_r+IF(circ_int,eq_c1/2,0))/2)),IF(circ_int,0,eq_c2/2)+(s_0+5*s_r+IF(circ_int,eq_c1/2,0))*SIN((((28+0.5)*(4*IF(circ_int,0,eq_c1/2)+4*IF(circ_int,0,eq_c2/2)+2*PI()*(s_0+5*s_r+IF(circ_int,eq_c1/2,0)))/INDEX(lk_legs,6))-(2*IF(circ_int,0,eq_c2/2)))/(s_0+5*s_r+IF(circ_int,eq_c1/2,0))),IF(((28+0.5)*(4*IF(circ_int,0,eq_c1/2)+4*IF(circ_int,0,eq_c2/2)+2*PI()*(s_0+5*s_r+IF(circ_int,eq_c1/2,0)))/INDEX(lk_legs,6))&lt;(((2*IF(circ_int,0,eq_c2/2))+(PI()*(s_0+5*s_r+IF(circ_int,eq_c1/2,0))/2))+2*IF(circ_int,0,eq_c1/2)),IF(circ_int,0,eq_c2/2)+(s_0+5*s_r+IF(circ_int,eq_c1/2,0)),IF(((28+0.5)*(4*IF(circ_int,0,eq_c1/2)+4*IF(circ_int,0,eq_c2/2)+2*PI()*(s_0+5*s_r+IF(circ_int,eq_c1/2,0)))/INDEX(lk_legs,6))&lt;((((2*IF(circ_int,0,eq_c2/2))+(PI()*(s_0+5*s_r+IF(circ_int,eq_c1/2,0))/2))+2*IF(circ_int,0,eq_c1/2))+(PI()*(s_0+5*s_r+IF(circ_int,eq_c1/2,0))/2)),IF(circ_int,0,eq_c2/2)+(s_0+5*s_r+IF(circ_int,eq_c1/2,0))*SIN(PI()/2+(((28+0.5)*(4*IF(circ_int,0,eq_c1/2)+4*IF(circ_int,0,eq_c2/2)+2*PI()*(s_0+5*s_r+IF(circ_int,eq_c1/2,0)))/INDEX(lk_legs,6))-(((2*IF(circ_int,0,eq_c2/2))+(PI()*(s_0+5*s_r+IF(circ_int,eq_c1/2,0))/2))+2*IF(circ_int,0,eq_c1/2)))/(s_0+5*s_r+IF(circ_int,eq_c1/2,0))),IF(((28+0.5)*(4*IF(circ_int,0,eq_c1/2)+4*IF(circ_int,0,eq_c2/2)+2*PI()*(s_0+5*s_r+IF(circ_int,eq_c1/2,0)))/INDEX(lk_legs,6))&lt;(((((2*IF(circ_int,0,eq_c2/2))+(PI()*(s_0+5*s_r+IF(circ_int,eq_c1/2,0))/2))+2*IF(circ_int,0,eq_c1/2))+(PI()*(s_0+5*s_r+IF(circ_int,eq_c1/2,0))/2))+2*IF(circ_int,0,eq_c2/2)),IF(circ_int,0,eq_c2/2)-(((28+0.5)*(4*IF(circ_int,0,eq_c1/2)+4*IF(circ_int,0,eq_c2/2)+2*PI()*(s_0+5*s_r+IF(circ_int,eq_c1/2,0)))/INDEX(lk_legs,6))-((((2*IF(circ_int,0,eq_c2/2))+(PI()*(s_0+5*s_r+IF(circ_int,eq_c1/2,0))/2))+2*IF(circ_int,0,eq_c1/2))+(PI()*(s_0+5*s_r+IF(circ_int,eq_c1/2,0))/2))),IF(((28+0.5)*(4*IF(circ_int,0,eq_c1/2)+4*IF(circ_int,0,eq_c2/2)+2*PI()*(s_0+5*s_r+IF(circ_int,eq_c1/2,0)))/INDEX(lk_legs,6))&lt;((((((2*IF(circ_int,0,eq_c2/2))+(PI()*(s_0+5*s_r+IF(circ_int,eq_c1/2,0))/2))+2*IF(circ_int,0,eq_c1/2))+(PI()*(s_0+5*s_r+IF(circ_int,eq_c1/2,0))/2))+2*IF(circ_int,0,eq_c2/2))+(PI()*(s_0+5*s_r+IF(circ_int,eq_c1/2,0))/2)),-IF(circ_int,0,eq_c2/2)+(s_0+5*s_r+IF(circ_int,eq_c1/2,0))*SIN(PI()+(((28+0.5)*(4*IF(circ_int,0,eq_c1/2)+4*IF(circ_int,0,eq_c2/2)+2*PI()*(s_0+5*s_r+IF(circ_int,eq_c1/2,0)))/INDEX(lk_legs,6))-(((((2*IF(circ_int,0,eq_c2/2))+(PI()*(s_0+5*s_r+IF(circ_int,eq_c1/2,0))/2))+2*IF(circ_int,0,eq_c1/2))+(PI()*(s_0+5*s_r+IF(circ_int,eq_c1/2,0))/2))+2*IF(circ_int,0,eq_c2/2)))/(s_0+5*s_r+IF(circ_int,eq_c1/2,0))),IF(((28+0.5)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(28+0.5)*(4*IF(circ_int,0,eq_c1/2)+4*IF(circ_int,0,eq_c2/2)+2*PI()*(s_0+5*s_r+IF(circ_int,eq_c1/2,0)))/INDEX(lk_legs,6))-(((((((2*IF(circ_int,0,eq_c2/2))+(PI()*(s_0+5*s_r+IF(circ_int,eq_c1/2,0))/2))+2*IF(circ_int,0,eq_c1/2))+(PI()*(s_0+5*s_r+IF(circ_int,eq_c1/2,0))/2))+2*IF(circ_int,0,eq_c2/2))+(PI()*(s_0+5*s_r+IF(circ_int,eq_c1/2,0))/2))+2*IF(circ_int,0,eq_c1/2)))/(s_0+5*s_r+IF(circ_int,eq_c1/2,0)))))))))),NA())</f>
        <v/>
      </c>
      <c r="CG31">
        <f>IF(AND(links_on,7&lt;=n_per),IF(circ_int,(g_ox)+(c_1/2+(s_0+6*s_r))*-0.970942,CHOOSE(INDEX(lk_kind,7),(g_ox-eq_c1/2)+((s_0+6*s_r))*-0.965926,0,eq_a1+eq_c1+(s_0+6*s_r),eq_a1+eq_c1+(s_0+6*s_r))),NA())</f>
        <v/>
      </c>
      <c r="CH31">
        <f>IF(AND(links_on,7&lt;=n_per),IF(circ_int,(g_oy)+(c_1/2+(s_0+6*s_r))*-0.239316,CHOOSE(INDEX(lk_kind,7),(g_oy-eq_c2/2)+((s_0+6*s_r))*-0.258819,g_oy-eq_c2/2-(s_0+6*s_r),0,0)),NA())</f>
        <v/>
      </c>
      <c r="CJ31">
        <f>IF(AND(AND(links_on,7&lt;=n_per),INDEX(lk_kind,7)=1,28&lt;INDEX(lk_legs,7)),g_ox+IF(((28+0.5)*(4*IF(circ_int,0,eq_c1/2)+4*IF(circ_int,0,eq_c2/2)+2*PI()*(s_0+6*s_r+IF(circ_int,eq_c1/2,0)))/INDEX(lk_legs,7))&lt;(2*IF(circ_int,0,eq_c2/2)),IF(circ_int,0,eq_c1/2)+(s_0+6*s_r+IF(circ_int,eq_c1/2,0)),IF(((28+0.5)*(4*IF(circ_int,0,eq_c1/2)+4*IF(circ_int,0,eq_c2/2)+2*PI()*(s_0+6*s_r+IF(circ_int,eq_c1/2,0)))/INDEX(lk_legs,7))&lt;((2*IF(circ_int,0,eq_c2/2))+(PI()*(s_0+6*s_r+IF(circ_int,eq_c1/2,0))/2)),IF(circ_int,0,eq_c1/2)+(s_0+6*s_r+IF(circ_int,eq_c1/2,0))*COS((((28+0.5)*(4*IF(circ_int,0,eq_c1/2)+4*IF(circ_int,0,eq_c2/2)+2*PI()*(s_0+6*s_r+IF(circ_int,eq_c1/2,0)))/INDEX(lk_legs,7))-(2*IF(circ_int,0,eq_c2/2)))/(s_0+6*s_r+IF(circ_int,eq_c1/2,0))),IF(((28+0.5)*(4*IF(circ_int,0,eq_c1/2)+4*IF(circ_int,0,eq_c2/2)+2*PI()*(s_0+6*s_r+IF(circ_int,eq_c1/2,0)))/INDEX(lk_legs,7))&lt;(((2*IF(circ_int,0,eq_c2/2))+(PI()*(s_0+6*s_r+IF(circ_int,eq_c1/2,0))/2))+2*IF(circ_int,0,eq_c1/2)),IF(circ_int,0,eq_c1/2)-(((28+0.5)*(4*IF(circ_int,0,eq_c1/2)+4*IF(circ_int,0,eq_c2/2)+2*PI()*(s_0+6*s_r+IF(circ_int,eq_c1/2,0)))/INDEX(lk_legs,7))-((2*IF(circ_int,0,eq_c2/2))+(PI()*(s_0+6*s_r+IF(circ_int,eq_c1/2,0))/2))),IF(((28+0.5)*(4*IF(circ_int,0,eq_c1/2)+4*IF(circ_int,0,eq_c2/2)+2*PI()*(s_0+6*s_r+IF(circ_int,eq_c1/2,0)))/INDEX(lk_legs,7))&lt;((((2*IF(circ_int,0,eq_c2/2))+(PI()*(s_0+6*s_r+IF(circ_int,eq_c1/2,0))/2))+2*IF(circ_int,0,eq_c1/2))+(PI()*(s_0+6*s_r+IF(circ_int,eq_c1/2,0))/2)),-IF(circ_int,0,eq_c1/2)+(s_0+6*s_r+IF(circ_int,eq_c1/2,0))*COS(PI()/2+(((28+0.5)*(4*IF(circ_int,0,eq_c1/2)+4*IF(circ_int,0,eq_c2/2)+2*PI()*(s_0+6*s_r+IF(circ_int,eq_c1/2,0)))/INDEX(lk_legs,7))-(((2*IF(circ_int,0,eq_c2/2))+(PI()*(s_0+6*s_r+IF(circ_int,eq_c1/2,0))/2))+2*IF(circ_int,0,eq_c1/2)))/(s_0+6*s_r+IF(circ_int,eq_c1/2,0))),IF(((28+0.5)*(4*IF(circ_int,0,eq_c1/2)+4*IF(circ_int,0,eq_c2/2)+2*PI()*(s_0+6*s_r+IF(circ_int,eq_c1/2,0)))/INDEX(lk_legs,7))&lt;(((((2*IF(circ_int,0,eq_c2/2))+(PI()*(s_0+6*s_r+IF(circ_int,eq_c1/2,0))/2))+2*IF(circ_int,0,eq_c1/2))+(PI()*(s_0+6*s_r+IF(circ_int,eq_c1/2,0))/2))+2*IF(circ_int,0,eq_c2/2)),-IF(circ_int,0,eq_c1/2)-(s_0+6*s_r+IF(circ_int,eq_c1/2,0)),IF(((28+0.5)*(4*IF(circ_int,0,eq_c1/2)+4*IF(circ_int,0,eq_c2/2)+2*PI()*(s_0+6*s_r+IF(circ_int,eq_c1/2,0)))/INDEX(lk_legs,7))&lt;((((((2*IF(circ_int,0,eq_c2/2))+(PI()*(s_0+6*s_r+IF(circ_int,eq_c1/2,0))/2))+2*IF(circ_int,0,eq_c1/2))+(PI()*(s_0+6*s_r+IF(circ_int,eq_c1/2,0))/2))+2*IF(circ_int,0,eq_c2/2))+(PI()*(s_0+6*s_r+IF(circ_int,eq_c1/2,0))/2)),-IF(circ_int,0,eq_c1/2)+(s_0+6*s_r+IF(circ_int,eq_c1/2,0))*COS(PI()+(((28+0.5)*(4*IF(circ_int,0,eq_c1/2)+4*IF(circ_int,0,eq_c2/2)+2*PI()*(s_0+6*s_r+IF(circ_int,eq_c1/2,0)))/INDEX(lk_legs,7))-(((((2*IF(circ_int,0,eq_c2/2))+(PI()*(s_0+6*s_r+IF(circ_int,eq_c1/2,0))/2))+2*IF(circ_int,0,eq_c1/2))+(PI()*(s_0+6*s_r+IF(circ_int,eq_c1/2,0))/2))+2*IF(circ_int,0,eq_c2/2)))/(s_0+6*s_r+IF(circ_int,eq_c1/2,0))),IF(((28+0.5)*(4*IF(circ_int,0,eq_c1/2)+4*IF(circ_int,0,eq_c2/2)+2*PI()*(s_0+6*s_r+IF(circ_int,eq_c1/2,0)))/INDEX(lk_legs,7))&lt;(((((((2*IF(circ_int,0,eq_c2/2))+(PI()*(s_0+6*s_r+IF(circ_int,eq_c1/2,0))/2))+2*IF(circ_int,0,eq_c1/2))+(PI()*(s_0+6*s_r+IF(circ_int,eq_c1/2,0))/2))+2*IF(circ_int,0,eq_c2/2))+(PI()*(s_0+6*s_r+IF(circ_int,eq_c1/2,0))/2))+2*IF(circ_int,0,eq_c1/2)),-IF(circ_int,0,eq_c1/2)+(((28+0.5)*(4*IF(circ_int,0,eq_c1/2)+4*IF(circ_int,0,eq_c2/2)+2*PI()*(s_0+6*s_r+IF(circ_int,eq_c1/2,0)))/INDEX(lk_legs,7))-((((((2*IF(circ_int,0,eq_c2/2))+(PI()*(s_0+6*s_r+IF(circ_int,eq_c1/2,0))/2))+2*IF(circ_int,0,eq_c1/2))+(PI()*(s_0+6*s_r+IF(circ_int,eq_c1/2,0))/2))+2*IF(circ_int,0,eq_c2/2))+(PI()*(s_0+6*s_r+IF(circ_int,eq_c1/2,0))/2))),IF(circ_int,0,eq_c1/2)+(s_0+6*s_r+IF(circ_int,eq_c1/2,0))*COS(3*PI()/2+(((28+0.5)*(4*IF(circ_int,0,eq_c1/2)+4*IF(circ_int,0,eq_c2/2)+2*PI()*(s_0+6*s_r+IF(circ_int,eq_c1/2,0)))/INDEX(lk_legs,7))-(((((((2*IF(circ_int,0,eq_c2/2))+(PI()*(s_0+6*s_r+IF(circ_int,eq_c1/2,0))/2))+2*IF(circ_int,0,eq_c1/2))+(PI()*(s_0+6*s_r+IF(circ_int,eq_c1/2,0))/2))+2*IF(circ_int,0,eq_c2/2))+(PI()*(s_0+6*s_r+IF(circ_int,eq_c1/2,0))/2))+2*IF(circ_int,0,eq_c1/2)))/(s_0+6*s_r+IF(circ_int,eq_c1/2,0)))))))))),NA())</f>
        <v/>
      </c>
      <c r="CK31">
        <f>IF(AND(AND(links_on,7&lt;=n_per),INDEX(lk_kind,7)=1,28&lt;INDEX(lk_legs,7)),g_oy+IF(((28+0.5)*(4*IF(circ_int,0,eq_c1/2)+4*IF(circ_int,0,eq_c2/2)+2*PI()*(s_0+6*s_r+IF(circ_int,eq_c1/2,0)))/INDEX(lk_legs,7))&lt;(2*IF(circ_int,0,eq_c2/2)),-IF(circ_int,0,eq_c2/2)+((28+0.5)*(4*IF(circ_int,0,eq_c1/2)+4*IF(circ_int,0,eq_c2/2)+2*PI()*(s_0+6*s_r+IF(circ_int,eq_c1/2,0)))/INDEX(lk_legs,7)),IF(((28+0.5)*(4*IF(circ_int,0,eq_c1/2)+4*IF(circ_int,0,eq_c2/2)+2*PI()*(s_0+6*s_r+IF(circ_int,eq_c1/2,0)))/INDEX(lk_legs,7))&lt;((2*IF(circ_int,0,eq_c2/2))+(PI()*(s_0+6*s_r+IF(circ_int,eq_c1/2,0))/2)),IF(circ_int,0,eq_c2/2)+(s_0+6*s_r+IF(circ_int,eq_c1/2,0))*SIN((((28+0.5)*(4*IF(circ_int,0,eq_c1/2)+4*IF(circ_int,0,eq_c2/2)+2*PI()*(s_0+6*s_r+IF(circ_int,eq_c1/2,0)))/INDEX(lk_legs,7))-(2*IF(circ_int,0,eq_c2/2)))/(s_0+6*s_r+IF(circ_int,eq_c1/2,0))),IF(((28+0.5)*(4*IF(circ_int,0,eq_c1/2)+4*IF(circ_int,0,eq_c2/2)+2*PI()*(s_0+6*s_r+IF(circ_int,eq_c1/2,0)))/INDEX(lk_legs,7))&lt;(((2*IF(circ_int,0,eq_c2/2))+(PI()*(s_0+6*s_r+IF(circ_int,eq_c1/2,0))/2))+2*IF(circ_int,0,eq_c1/2)),IF(circ_int,0,eq_c2/2)+(s_0+6*s_r+IF(circ_int,eq_c1/2,0)),IF(((28+0.5)*(4*IF(circ_int,0,eq_c1/2)+4*IF(circ_int,0,eq_c2/2)+2*PI()*(s_0+6*s_r+IF(circ_int,eq_c1/2,0)))/INDEX(lk_legs,7))&lt;((((2*IF(circ_int,0,eq_c2/2))+(PI()*(s_0+6*s_r+IF(circ_int,eq_c1/2,0))/2))+2*IF(circ_int,0,eq_c1/2))+(PI()*(s_0+6*s_r+IF(circ_int,eq_c1/2,0))/2)),IF(circ_int,0,eq_c2/2)+(s_0+6*s_r+IF(circ_int,eq_c1/2,0))*SIN(PI()/2+(((28+0.5)*(4*IF(circ_int,0,eq_c1/2)+4*IF(circ_int,0,eq_c2/2)+2*PI()*(s_0+6*s_r+IF(circ_int,eq_c1/2,0)))/INDEX(lk_legs,7))-(((2*IF(circ_int,0,eq_c2/2))+(PI()*(s_0+6*s_r+IF(circ_int,eq_c1/2,0))/2))+2*IF(circ_int,0,eq_c1/2)))/(s_0+6*s_r+IF(circ_int,eq_c1/2,0))),IF(((28+0.5)*(4*IF(circ_int,0,eq_c1/2)+4*IF(circ_int,0,eq_c2/2)+2*PI()*(s_0+6*s_r+IF(circ_int,eq_c1/2,0)))/INDEX(lk_legs,7))&lt;(((((2*IF(circ_int,0,eq_c2/2))+(PI()*(s_0+6*s_r+IF(circ_int,eq_c1/2,0))/2))+2*IF(circ_int,0,eq_c1/2))+(PI()*(s_0+6*s_r+IF(circ_int,eq_c1/2,0))/2))+2*IF(circ_int,0,eq_c2/2)),IF(circ_int,0,eq_c2/2)-(((28+0.5)*(4*IF(circ_int,0,eq_c1/2)+4*IF(circ_int,0,eq_c2/2)+2*PI()*(s_0+6*s_r+IF(circ_int,eq_c1/2,0)))/INDEX(lk_legs,7))-((((2*IF(circ_int,0,eq_c2/2))+(PI()*(s_0+6*s_r+IF(circ_int,eq_c1/2,0))/2))+2*IF(circ_int,0,eq_c1/2))+(PI()*(s_0+6*s_r+IF(circ_int,eq_c1/2,0))/2))),IF(((28+0.5)*(4*IF(circ_int,0,eq_c1/2)+4*IF(circ_int,0,eq_c2/2)+2*PI()*(s_0+6*s_r+IF(circ_int,eq_c1/2,0)))/INDEX(lk_legs,7))&lt;((((((2*IF(circ_int,0,eq_c2/2))+(PI()*(s_0+6*s_r+IF(circ_int,eq_c1/2,0))/2))+2*IF(circ_int,0,eq_c1/2))+(PI()*(s_0+6*s_r+IF(circ_int,eq_c1/2,0))/2))+2*IF(circ_int,0,eq_c2/2))+(PI()*(s_0+6*s_r+IF(circ_int,eq_c1/2,0))/2)),-IF(circ_int,0,eq_c2/2)+(s_0+6*s_r+IF(circ_int,eq_c1/2,0))*SIN(PI()+(((28+0.5)*(4*IF(circ_int,0,eq_c1/2)+4*IF(circ_int,0,eq_c2/2)+2*PI()*(s_0+6*s_r+IF(circ_int,eq_c1/2,0)))/INDEX(lk_legs,7))-(((((2*IF(circ_int,0,eq_c2/2))+(PI()*(s_0+6*s_r+IF(circ_int,eq_c1/2,0))/2))+2*IF(circ_int,0,eq_c1/2))+(PI()*(s_0+6*s_r+IF(circ_int,eq_c1/2,0))/2))+2*IF(circ_int,0,eq_c2/2)))/(s_0+6*s_r+IF(circ_int,eq_c1/2,0))),IF(((28+0.5)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(28+0.5)*(4*IF(circ_int,0,eq_c1/2)+4*IF(circ_int,0,eq_c2/2)+2*PI()*(s_0+6*s_r+IF(circ_int,eq_c1/2,0)))/INDEX(lk_legs,7))-(((((((2*IF(circ_int,0,eq_c2/2))+(PI()*(s_0+6*s_r+IF(circ_int,eq_c1/2,0))/2))+2*IF(circ_int,0,eq_c1/2))+(PI()*(s_0+6*s_r+IF(circ_int,eq_c1/2,0))/2))+2*IF(circ_int,0,eq_c2/2))+(PI()*(s_0+6*s_r+IF(circ_int,eq_c1/2,0))/2))+2*IF(circ_int,0,eq_c1/2)))/(s_0+6*s_r+IF(circ_int,eq_c1/2,0)))))))))),NA())</f>
        <v/>
      </c>
      <c r="CM31">
        <f>IF(AND(links_on,8&lt;=n_per),IF(circ_int,(g_ox)+(c_1/2+(s_0+7*s_r))*-0.970942,CHOOSE(INDEX(lk_kind,8),(g_ox-eq_c1/2)+((s_0+7*s_r))*-0.965926,0,eq_a1+eq_c1+(s_0+7*s_r),eq_a1+eq_c1+(s_0+7*s_r))),NA())</f>
        <v/>
      </c>
      <c r="CN31">
        <f>IF(AND(links_on,8&lt;=n_per),IF(circ_int,(g_oy)+(c_1/2+(s_0+7*s_r))*-0.239316,CHOOSE(INDEX(lk_kind,8),(g_oy-eq_c2/2)+((s_0+7*s_r))*-0.258819,g_oy-eq_c2/2-(s_0+7*s_r),0,0)),NA())</f>
        <v/>
      </c>
      <c r="CP31">
        <f>IF(AND(AND(links_on,8&lt;=n_per),INDEX(lk_kind,8)=1,28&lt;INDEX(lk_legs,8)),g_ox+IF(((28+0.5)*(4*IF(circ_int,0,eq_c1/2)+4*IF(circ_int,0,eq_c2/2)+2*PI()*(s_0+7*s_r+IF(circ_int,eq_c1/2,0)))/INDEX(lk_legs,8))&lt;(2*IF(circ_int,0,eq_c2/2)),IF(circ_int,0,eq_c1/2)+(s_0+7*s_r+IF(circ_int,eq_c1/2,0)),IF(((28+0.5)*(4*IF(circ_int,0,eq_c1/2)+4*IF(circ_int,0,eq_c2/2)+2*PI()*(s_0+7*s_r+IF(circ_int,eq_c1/2,0)))/INDEX(lk_legs,8))&lt;((2*IF(circ_int,0,eq_c2/2))+(PI()*(s_0+7*s_r+IF(circ_int,eq_c1/2,0))/2)),IF(circ_int,0,eq_c1/2)+(s_0+7*s_r+IF(circ_int,eq_c1/2,0))*COS((((28+0.5)*(4*IF(circ_int,0,eq_c1/2)+4*IF(circ_int,0,eq_c2/2)+2*PI()*(s_0+7*s_r+IF(circ_int,eq_c1/2,0)))/INDEX(lk_legs,8))-(2*IF(circ_int,0,eq_c2/2)))/(s_0+7*s_r+IF(circ_int,eq_c1/2,0))),IF(((28+0.5)*(4*IF(circ_int,0,eq_c1/2)+4*IF(circ_int,0,eq_c2/2)+2*PI()*(s_0+7*s_r+IF(circ_int,eq_c1/2,0)))/INDEX(lk_legs,8))&lt;(((2*IF(circ_int,0,eq_c2/2))+(PI()*(s_0+7*s_r+IF(circ_int,eq_c1/2,0))/2))+2*IF(circ_int,0,eq_c1/2)),IF(circ_int,0,eq_c1/2)-(((28+0.5)*(4*IF(circ_int,0,eq_c1/2)+4*IF(circ_int,0,eq_c2/2)+2*PI()*(s_0+7*s_r+IF(circ_int,eq_c1/2,0)))/INDEX(lk_legs,8))-((2*IF(circ_int,0,eq_c2/2))+(PI()*(s_0+7*s_r+IF(circ_int,eq_c1/2,0))/2))),IF(((28+0.5)*(4*IF(circ_int,0,eq_c1/2)+4*IF(circ_int,0,eq_c2/2)+2*PI()*(s_0+7*s_r+IF(circ_int,eq_c1/2,0)))/INDEX(lk_legs,8))&lt;((((2*IF(circ_int,0,eq_c2/2))+(PI()*(s_0+7*s_r+IF(circ_int,eq_c1/2,0))/2))+2*IF(circ_int,0,eq_c1/2))+(PI()*(s_0+7*s_r+IF(circ_int,eq_c1/2,0))/2)),-IF(circ_int,0,eq_c1/2)+(s_0+7*s_r+IF(circ_int,eq_c1/2,0))*COS(PI()/2+(((28+0.5)*(4*IF(circ_int,0,eq_c1/2)+4*IF(circ_int,0,eq_c2/2)+2*PI()*(s_0+7*s_r+IF(circ_int,eq_c1/2,0)))/INDEX(lk_legs,8))-(((2*IF(circ_int,0,eq_c2/2))+(PI()*(s_0+7*s_r+IF(circ_int,eq_c1/2,0))/2))+2*IF(circ_int,0,eq_c1/2)))/(s_0+7*s_r+IF(circ_int,eq_c1/2,0))),IF(((28+0.5)*(4*IF(circ_int,0,eq_c1/2)+4*IF(circ_int,0,eq_c2/2)+2*PI()*(s_0+7*s_r+IF(circ_int,eq_c1/2,0)))/INDEX(lk_legs,8))&lt;(((((2*IF(circ_int,0,eq_c2/2))+(PI()*(s_0+7*s_r+IF(circ_int,eq_c1/2,0))/2))+2*IF(circ_int,0,eq_c1/2))+(PI()*(s_0+7*s_r+IF(circ_int,eq_c1/2,0))/2))+2*IF(circ_int,0,eq_c2/2)),-IF(circ_int,0,eq_c1/2)-(s_0+7*s_r+IF(circ_int,eq_c1/2,0)),IF(((28+0.5)*(4*IF(circ_int,0,eq_c1/2)+4*IF(circ_int,0,eq_c2/2)+2*PI()*(s_0+7*s_r+IF(circ_int,eq_c1/2,0)))/INDEX(lk_legs,8))&lt;((((((2*IF(circ_int,0,eq_c2/2))+(PI()*(s_0+7*s_r+IF(circ_int,eq_c1/2,0))/2))+2*IF(circ_int,0,eq_c1/2))+(PI()*(s_0+7*s_r+IF(circ_int,eq_c1/2,0))/2))+2*IF(circ_int,0,eq_c2/2))+(PI()*(s_0+7*s_r+IF(circ_int,eq_c1/2,0))/2)),-IF(circ_int,0,eq_c1/2)+(s_0+7*s_r+IF(circ_int,eq_c1/2,0))*COS(PI()+(((28+0.5)*(4*IF(circ_int,0,eq_c1/2)+4*IF(circ_int,0,eq_c2/2)+2*PI()*(s_0+7*s_r+IF(circ_int,eq_c1/2,0)))/INDEX(lk_legs,8))-(((((2*IF(circ_int,0,eq_c2/2))+(PI()*(s_0+7*s_r+IF(circ_int,eq_c1/2,0))/2))+2*IF(circ_int,0,eq_c1/2))+(PI()*(s_0+7*s_r+IF(circ_int,eq_c1/2,0))/2))+2*IF(circ_int,0,eq_c2/2)))/(s_0+7*s_r+IF(circ_int,eq_c1/2,0))),IF(((28+0.5)*(4*IF(circ_int,0,eq_c1/2)+4*IF(circ_int,0,eq_c2/2)+2*PI()*(s_0+7*s_r+IF(circ_int,eq_c1/2,0)))/INDEX(lk_legs,8))&lt;(((((((2*IF(circ_int,0,eq_c2/2))+(PI()*(s_0+7*s_r+IF(circ_int,eq_c1/2,0))/2))+2*IF(circ_int,0,eq_c1/2))+(PI()*(s_0+7*s_r+IF(circ_int,eq_c1/2,0))/2))+2*IF(circ_int,0,eq_c2/2))+(PI()*(s_0+7*s_r+IF(circ_int,eq_c1/2,0))/2))+2*IF(circ_int,0,eq_c1/2)),-IF(circ_int,0,eq_c1/2)+(((28+0.5)*(4*IF(circ_int,0,eq_c1/2)+4*IF(circ_int,0,eq_c2/2)+2*PI()*(s_0+7*s_r+IF(circ_int,eq_c1/2,0)))/INDEX(lk_legs,8))-((((((2*IF(circ_int,0,eq_c2/2))+(PI()*(s_0+7*s_r+IF(circ_int,eq_c1/2,0))/2))+2*IF(circ_int,0,eq_c1/2))+(PI()*(s_0+7*s_r+IF(circ_int,eq_c1/2,0))/2))+2*IF(circ_int,0,eq_c2/2))+(PI()*(s_0+7*s_r+IF(circ_int,eq_c1/2,0))/2))),IF(circ_int,0,eq_c1/2)+(s_0+7*s_r+IF(circ_int,eq_c1/2,0))*COS(3*PI()/2+(((28+0.5)*(4*IF(circ_int,0,eq_c1/2)+4*IF(circ_int,0,eq_c2/2)+2*PI()*(s_0+7*s_r+IF(circ_int,eq_c1/2,0)))/INDEX(lk_legs,8))-(((((((2*IF(circ_int,0,eq_c2/2))+(PI()*(s_0+7*s_r+IF(circ_int,eq_c1/2,0))/2))+2*IF(circ_int,0,eq_c1/2))+(PI()*(s_0+7*s_r+IF(circ_int,eq_c1/2,0))/2))+2*IF(circ_int,0,eq_c2/2))+(PI()*(s_0+7*s_r+IF(circ_int,eq_c1/2,0))/2))+2*IF(circ_int,0,eq_c1/2)))/(s_0+7*s_r+IF(circ_int,eq_c1/2,0)))))))))),NA())</f>
        <v/>
      </c>
      <c r="CQ31">
        <f>IF(AND(AND(links_on,8&lt;=n_per),INDEX(lk_kind,8)=1,28&lt;INDEX(lk_legs,8)),g_oy+IF(((28+0.5)*(4*IF(circ_int,0,eq_c1/2)+4*IF(circ_int,0,eq_c2/2)+2*PI()*(s_0+7*s_r+IF(circ_int,eq_c1/2,0)))/INDEX(lk_legs,8))&lt;(2*IF(circ_int,0,eq_c2/2)),-IF(circ_int,0,eq_c2/2)+((28+0.5)*(4*IF(circ_int,0,eq_c1/2)+4*IF(circ_int,0,eq_c2/2)+2*PI()*(s_0+7*s_r+IF(circ_int,eq_c1/2,0)))/INDEX(lk_legs,8)),IF(((28+0.5)*(4*IF(circ_int,0,eq_c1/2)+4*IF(circ_int,0,eq_c2/2)+2*PI()*(s_0+7*s_r+IF(circ_int,eq_c1/2,0)))/INDEX(lk_legs,8))&lt;((2*IF(circ_int,0,eq_c2/2))+(PI()*(s_0+7*s_r+IF(circ_int,eq_c1/2,0))/2)),IF(circ_int,0,eq_c2/2)+(s_0+7*s_r+IF(circ_int,eq_c1/2,0))*SIN((((28+0.5)*(4*IF(circ_int,0,eq_c1/2)+4*IF(circ_int,0,eq_c2/2)+2*PI()*(s_0+7*s_r+IF(circ_int,eq_c1/2,0)))/INDEX(lk_legs,8))-(2*IF(circ_int,0,eq_c2/2)))/(s_0+7*s_r+IF(circ_int,eq_c1/2,0))),IF(((28+0.5)*(4*IF(circ_int,0,eq_c1/2)+4*IF(circ_int,0,eq_c2/2)+2*PI()*(s_0+7*s_r+IF(circ_int,eq_c1/2,0)))/INDEX(lk_legs,8))&lt;(((2*IF(circ_int,0,eq_c2/2))+(PI()*(s_0+7*s_r+IF(circ_int,eq_c1/2,0))/2))+2*IF(circ_int,0,eq_c1/2)),IF(circ_int,0,eq_c2/2)+(s_0+7*s_r+IF(circ_int,eq_c1/2,0)),IF(((28+0.5)*(4*IF(circ_int,0,eq_c1/2)+4*IF(circ_int,0,eq_c2/2)+2*PI()*(s_0+7*s_r+IF(circ_int,eq_c1/2,0)))/INDEX(lk_legs,8))&lt;((((2*IF(circ_int,0,eq_c2/2))+(PI()*(s_0+7*s_r+IF(circ_int,eq_c1/2,0))/2))+2*IF(circ_int,0,eq_c1/2))+(PI()*(s_0+7*s_r+IF(circ_int,eq_c1/2,0))/2)),IF(circ_int,0,eq_c2/2)+(s_0+7*s_r+IF(circ_int,eq_c1/2,0))*SIN(PI()/2+(((28+0.5)*(4*IF(circ_int,0,eq_c1/2)+4*IF(circ_int,0,eq_c2/2)+2*PI()*(s_0+7*s_r+IF(circ_int,eq_c1/2,0)))/INDEX(lk_legs,8))-(((2*IF(circ_int,0,eq_c2/2))+(PI()*(s_0+7*s_r+IF(circ_int,eq_c1/2,0))/2))+2*IF(circ_int,0,eq_c1/2)))/(s_0+7*s_r+IF(circ_int,eq_c1/2,0))),IF(((28+0.5)*(4*IF(circ_int,0,eq_c1/2)+4*IF(circ_int,0,eq_c2/2)+2*PI()*(s_0+7*s_r+IF(circ_int,eq_c1/2,0)))/INDEX(lk_legs,8))&lt;(((((2*IF(circ_int,0,eq_c2/2))+(PI()*(s_0+7*s_r+IF(circ_int,eq_c1/2,0))/2))+2*IF(circ_int,0,eq_c1/2))+(PI()*(s_0+7*s_r+IF(circ_int,eq_c1/2,0))/2))+2*IF(circ_int,0,eq_c2/2)),IF(circ_int,0,eq_c2/2)-(((28+0.5)*(4*IF(circ_int,0,eq_c1/2)+4*IF(circ_int,0,eq_c2/2)+2*PI()*(s_0+7*s_r+IF(circ_int,eq_c1/2,0)))/INDEX(lk_legs,8))-((((2*IF(circ_int,0,eq_c2/2))+(PI()*(s_0+7*s_r+IF(circ_int,eq_c1/2,0))/2))+2*IF(circ_int,0,eq_c1/2))+(PI()*(s_0+7*s_r+IF(circ_int,eq_c1/2,0))/2))),IF(((28+0.5)*(4*IF(circ_int,0,eq_c1/2)+4*IF(circ_int,0,eq_c2/2)+2*PI()*(s_0+7*s_r+IF(circ_int,eq_c1/2,0)))/INDEX(lk_legs,8))&lt;((((((2*IF(circ_int,0,eq_c2/2))+(PI()*(s_0+7*s_r+IF(circ_int,eq_c1/2,0))/2))+2*IF(circ_int,0,eq_c1/2))+(PI()*(s_0+7*s_r+IF(circ_int,eq_c1/2,0))/2))+2*IF(circ_int,0,eq_c2/2))+(PI()*(s_0+7*s_r+IF(circ_int,eq_c1/2,0))/2)),-IF(circ_int,0,eq_c2/2)+(s_0+7*s_r+IF(circ_int,eq_c1/2,0))*SIN(PI()+(((28+0.5)*(4*IF(circ_int,0,eq_c1/2)+4*IF(circ_int,0,eq_c2/2)+2*PI()*(s_0+7*s_r+IF(circ_int,eq_c1/2,0)))/INDEX(lk_legs,8))-(((((2*IF(circ_int,0,eq_c2/2))+(PI()*(s_0+7*s_r+IF(circ_int,eq_c1/2,0))/2))+2*IF(circ_int,0,eq_c1/2))+(PI()*(s_0+7*s_r+IF(circ_int,eq_c1/2,0))/2))+2*IF(circ_int,0,eq_c2/2)))/(s_0+7*s_r+IF(circ_int,eq_c1/2,0))),IF(((28+0.5)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(28+0.5)*(4*IF(circ_int,0,eq_c1/2)+4*IF(circ_int,0,eq_c2/2)+2*PI()*(s_0+7*s_r+IF(circ_int,eq_c1/2,0)))/INDEX(lk_legs,8))-(((((((2*IF(circ_int,0,eq_c2/2))+(PI()*(s_0+7*s_r+IF(circ_int,eq_c1/2,0))/2))+2*IF(circ_int,0,eq_c1/2))+(PI()*(s_0+7*s_r+IF(circ_int,eq_c1/2,0))/2))+2*IF(circ_int,0,eq_c2/2))+(PI()*(s_0+7*s_r+IF(circ_int,eq_c1/2,0))/2))+2*IF(circ_int,0,eq_c1/2)))/(s_0+7*s_r+IF(circ_int,eq_c1/2,0)))))))))),NA())</f>
        <v/>
      </c>
      <c r="CS31">
        <f>IF(AND(links_on,9&lt;=n_per),IF(circ_int,(g_ox)+(c_1/2+(s_0+8*s_r))*-0.970942,CHOOSE(INDEX(lk_kind,9),(g_ox-eq_c1/2)+((s_0+8*s_r))*-0.965926,0,eq_a1+eq_c1+(s_0+8*s_r),eq_a1+eq_c1+(s_0+8*s_r))),NA())</f>
        <v/>
      </c>
      <c r="CT31">
        <f>IF(AND(links_on,9&lt;=n_per),IF(circ_int,(g_oy)+(c_1/2+(s_0+8*s_r))*-0.239316,CHOOSE(INDEX(lk_kind,9),(g_oy-eq_c2/2)+((s_0+8*s_r))*-0.258819,g_oy-eq_c2/2-(s_0+8*s_r),0,0)),NA())</f>
        <v/>
      </c>
      <c r="CV31">
        <f>IF(AND(AND(links_on,9&lt;=n_per),INDEX(lk_kind,9)=1,28&lt;INDEX(lk_legs,9)),g_ox+IF(((28+0.5)*(4*IF(circ_int,0,eq_c1/2)+4*IF(circ_int,0,eq_c2/2)+2*PI()*(s_0+8*s_r+IF(circ_int,eq_c1/2,0)))/INDEX(lk_legs,9))&lt;(2*IF(circ_int,0,eq_c2/2)),IF(circ_int,0,eq_c1/2)+(s_0+8*s_r+IF(circ_int,eq_c1/2,0)),IF(((28+0.5)*(4*IF(circ_int,0,eq_c1/2)+4*IF(circ_int,0,eq_c2/2)+2*PI()*(s_0+8*s_r+IF(circ_int,eq_c1/2,0)))/INDEX(lk_legs,9))&lt;((2*IF(circ_int,0,eq_c2/2))+(PI()*(s_0+8*s_r+IF(circ_int,eq_c1/2,0))/2)),IF(circ_int,0,eq_c1/2)+(s_0+8*s_r+IF(circ_int,eq_c1/2,0))*COS((((28+0.5)*(4*IF(circ_int,0,eq_c1/2)+4*IF(circ_int,0,eq_c2/2)+2*PI()*(s_0+8*s_r+IF(circ_int,eq_c1/2,0)))/INDEX(lk_legs,9))-(2*IF(circ_int,0,eq_c2/2)))/(s_0+8*s_r+IF(circ_int,eq_c1/2,0))),IF(((28+0.5)*(4*IF(circ_int,0,eq_c1/2)+4*IF(circ_int,0,eq_c2/2)+2*PI()*(s_0+8*s_r+IF(circ_int,eq_c1/2,0)))/INDEX(lk_legs,9))&lt;(((2*IF(circ_int,0,eq_c2/2))+(PI()*(s_0+8*s_r+IF(circ_int,eq_c1/2,0))/2))+2*IF(circ_int,0,eq_c1/2)),IF(circ_int,0,eq_c1/2)-(((28+0.5)*(4*IF(circ_int,0,eq_c1/2)+4*IF(circ_int,0,eq_c2/2)+2*PI()*(s_0+8*s_r+IF(circ_int,eq_c1/2,0)))/INDEX(lk_legs,9))-((2*IF(circ_int,0,eq_c2/2))+(PI()*(s_0+8*s_r+IF(circ_int,eq_c1/2,0))/2))),IF(((28+0.5)*(4*IF(circ_int,0,eq_c1/2)+4*IF(circ_int,0,eq_c2/2)+2*PI()*(s_0+8*s_r+IF(circ_int,eq_c1/2,0)))/INDEX(lk_legs,9))&lt;((((2*IF(circ_int,0,eq_c2/2))+(PI()*(s_0+8*s_r+IF(circ_int,eq_c1/2,0))/2))+2*IF(circ_int,0,eq_c1/2))+(PI()*(s_0+8*s_r+IF(circ_int,eq_c1/2,0))/2)),-IF(circ_int,0,eq_c1/2)+(s_0+8*s_r+IF(circ_int,eq_c1/2,0))*COS(PI()/2+(((28+0.5)*(4*IF(circ_int,0,eq_c1/2)+4*IF(circ_int,0,eq_c2/2)+2*PI()*(s_0+8*s_r+IF(circ_int,eq_c1/2,0)))/INDEX(lk_legs,9))-(((2*IF(circ_int,0,eq_c2/2))+(PI()*(s_0+8*s_r+IF(circ_int,eq_c1/2,0))/2))+2*IF(circ_int,0,eq_c1/2)))/(s_0+8*s_r+IF(circ_int,eq_c1/2,0))),IF(((28+0.5)*(4*IF(circ_int,0,eq_c1/2)+4*IF(circ_int,0,eq_c2/2)+2*PI()*(s_0+8*s_r+IF(circ_int,eq_c1/2,0)))/INDEX(lk_legs,9))&lt;(((((2*IF(circ_int,0,eq_c2/2))+(PI()*(s_0+8*s_r+IF(circ_int,eq_c1/2,0))/2))+2*IF(circ_int,0,eq_c1/2))+(PI()*(s_0+8*s_r+IF(circ_int,eq_c1/2,0))/2))+2*IF(circ_int,0,eq_c2/2)),-IF(circ_int,0,eq_c1/2)-(s_0+8*s_r+IF(circ_int,eq_c1/2,0)),IF(((28+0.5)*(4*IF(circ_int,0,eq_c1/2)+4*IF(circ_int,0,eq_c2/2)+2*PI()*(s_0+8*s_r+IF(circ_int,eq_c1/2,0)))/INDEX(lk_legs,9))&lt;((((((2*IF(circ_int,0,eq_c2/2))+(PI()*(s_0+8*s_r+IF(circ_int,eq_c1/2,0))/2))+2*IF(circ_int,0,eq_c1/2))+(PI()*(s_0+8*s_r+IF(circ_int,eq_c1/2,0))/2))+2*IF(circ_int,0,eq_c2/2))+(PI()*(s_0+8*s_r+IF(circ_int,eq_c1/2,0))/2)),-IF(circ_int,0,eq_c1/2)+(s_0+8*s_r+IF(circ_int,eq_c1/2,0))*COS(PI()+(((28+0.5)*(4*IF(circ_int,0,eq_c1/2)+4*IF(circ_int,0,eq_c2/2)+2*PI()*(s_0+8*s_r+IF(circ_int,eq_c1/2,0)))/INDEX(lk_legs,9))-(((((2*IF(circ_int,0,eq_c2/2))+(PI()*(s_0+8*s_r+IF(circ_int,eq_c1/2,0))/2))+2*IF(circ_int,0,eq_c1/2))+(PI()*(s_0+8*s_r+IF(circ_int,eq_c1/2,0))/2))+2*IF(circ_int,0,eq_c2/2)))/(s_0+8*s_r+IF(circ_int,eq_c1/2,0))),IF(((28+0.5)*(4*IF(circ_int,0,eq_c1/2)+4*IF(circ_int,0,eq_c2/2)+2*PI()*(s_0+8*s_r+IF(circ_int,eq_c1/2,0)))/INDEX(lk_legs,9))&lt;(((((((2*IF(circ_int,0,eq_c2/2))+(PI()*(s_0+8*s_r+IF(circ_int,eq_c1/2,0))/2))+2*IF(circ_int,0,eq_c1/2))+(PI()*(s_0+8*s_r+IF(circ_int,eq_c1/2,0))/2))+2*IF(circ_int,0,eq_c2/2))+(PI()*(s_0+8*s_r+IF(circ_int,eq_c1/2,0))/2))+2*IF(circ_int,0,eq_c1/2)),-IF(circ_int,0,eq_c1/2)+(((28+0.5)*(4*IF(circ_int,0,eq_c1/2)+4*IF(circ_int,0,eq_c2/2)+2*PI()*(s_0+8*s_r+IF(circ_int,eq_c1/2,0)))/INDEX(lk_legs,9))-((((((2*IF(circ_int,0,eq_c2/2))+(PI()*(s_0+8*s_r+IF(circ_int,eq_c1/2,0))/2))+2*IF(circ_int,0,eq_c1/2))+(PI()*(s_0+8*s_r+IF(circ_int,eq_c1/2,0))/2))+2*IF(circ_int,0,eq_c2/2))+(PI()*(s_0+8*s_r+IF(circ_int,eq_c1/2,0))/2))),IF(circ_int,0,eq_c1/2)+(s_0+8*s_r+IF(circ_int,eq_c1/2,0))*COS(3*PI()/2+(((28+0.5)*(4*IF(circ_int,0,eq_c1/2)+4*IF(circ_int,0,eq_c2/2)+2*PI()*(s_0+8*s_r+IF(circ_int,eq_c1/2,0)))/INDEX(lk_legs,9))-(((((((2*IF(circ_int,0,eq_c2/2))+(PI()*(s_0+8*s_r+IF(circ_int,eq_c1/2,0))/2))+2*IF(circ_int,0,eq_c1/2))+(PI()*(s_0+8*s_r+IF(circ_int,eq_c1/2,0))/2))+2*IF(circ_int,0,eq_c2/2))+(PI()*(s_0+8*s_r+IF(circ_int,eq_c1/2,0))/2))+2*IF(circ_int,0,eq_c1/2)))/(s_0+8*s_r+IF(circ_int,eq_c1/2,0)))))))))),NA())</f>
        <v/>
      </c>
      <c r="CW31">
        <f>IF(AND(AND(links_on,9&lt;=n_per),INDEX(lk_kind,9)=1,28&lt;INDEX(lk_legs,9)),g_oy+IF(((28+0.5)*(4*IF(circ_int,0,eq_c1/2)+4*IF(circ_int,0,eq_c2/2)+2*PI()*(s_0+8*s_r+IF(circ_int,eq_c1/2,0)))/INDEX(lk_legs,9))&lt;(2*IF(circ_int,0,eq_c2/2)),-IF(circ_int,0,eq_c2/2)+((28+0.5)*(4*IF(circ_int,0,eq_c1/2)+4*IF(circ_int,0,eq_c2/2)+2*PI()*(s_0+8*s_r+IF(circ_int,eq_c1/2,0)))/INDEX(lk_legs,9)),IF(((28+0.5)*(4*IF(circ_int,0,eq_c1/2)+4*IF(circ_int,0,eq_c2/2)+2*PI()*(s_0+8*s_r+IF(circ_int,eq_c1/2,0)))/INDEX(lk_legs,9))&lt;((2*IF(circ_int,0,eq_c2/2))+(PI()*(s_0+8*s_r+IF(circ_int,eq_c1/2,0))/2)),IF(circ_int,0,eq_c2/2)+(s_0+8*s_r+IF(circ_int,eq_c1/2,0))*SIN((((28+0.5)*(4*IF(circ_int,0,eq_c1/2)+4*IF(circ_int,0,eq_c2/2)+2*PI()*(s_0+8*s_r+IF(circ_int,eq_c1/2,0)))/INDEX(lk_legs,9))-(2*IF(circ_int,0,eq_c2/2)))/(s_0+8*s_r+IF(circ_int,eq_c1/2,0))),IF(((28+0.5)*(4*IF(circ_int,0,eq_c1/2)+4*IF(circ_int,0,eq_c2/2)+2*PI()*(s_0+8*s_r+IF(circ_int,eq_c1/2,0)))/INDEX(lk_legs,9))&lt;(((2*IF(circ_int,0,eq_c2/2))+(PI()*(s_0+8*s_r+IF(circ_int,eq_c1/2,0))/2))+2*IF(circ_int,0,eq_c1/2)),IF(circ_int,0,eq_c2/2)+(s_0+8*s_r+IF(circ_int,eq_c1/2,0)),IF(((28+0.5)*(4*IF(circ_int,0,eq_c1/2)+4*IF(circ_int,0,eq_c2/2)+2*PI()*(s_0+8*s_r+IF(circ_int,eq_c1/2,0)))/INDEX(lk_legs,9))&lt;((((2*IF(circ_int,0,eq_c2/2))+(PI()*(s_0+8*s_r+IF(circ_int,eq_c1/2,0))/2))+2*IF(circ_int,0,eq_c1/2))+(PI()*(s_0+8*s_r+IF(circ_int,eq_c1/2,0))/2)),IF(circ_int,0,eq_c2/2)+(s_0+8*s_r+IF(circ_int,eq_c1/2,0))*SIN(PI()/2+(((28+0.5)*(4*IF(circ_int,0,eq_c1/2)+4*IF(circ_int,0,eq_c2/2)+2*PI()*(s_0+8*s_r+IF(circ_int,eq_c1/2,0)))/INDEX(lk_legs,9))-(((2*IF(circ_int,0,eq_c2/2))+(PI()*(s_0+8*s_r+IF(circ_int,eq_c1/2,0))/2))+2*IF(circ_int,0,eq_c1/2)))/(s_0+8*s_r+IF(circ_int,eq_c1/2,0))),IF(((28+0.5)*(4*IF(circ_int,0,eq_c1/2)+4*IF(circ_int,0,eq_c2/2)+2*PI()*(s_0+8*s_r+IF(circ_int,eq_c1/2,0)))/INDEX(lk_legs,9))&lt;(((((2*IF(circ_int,0,eq_c2/2))+(PI()*(s_0+8*s_r+IF(circ_int,eq_c1/2,0))/2))+2*IF(circ_int,0,eq_c1/2))+(PI()*(s_0+8*s_r+IF(circ_int,eq_c1/2,0))/2))+2*IF(circ_int,0,eq_c2/2)),IF(circ_int,0,eq_c2/2)-(((28+0.5)*(4*IF(circ_int,0,eq_c1/2)+4*IF(circ_int,0,eq_c2/2)+2*PI()*(s_0+8*s_r+IF(circ_int,eq_c1/2,0)))/INDEX(lk_legs,9))-((((2*IF(circ_int,0,eq_c2/2))+(PI()*(s_0+8*s_r+IF(circ_int,eq_c1/2,0))/2))+2*IF(circ_int,0,eq_c1/2))+(PI()*(s_0+8*s_r+IF(circ_int,eq_c1/2,0))/2))),IF(((28+0.5)*(4*IF(circ_int,0,eq_c1/2)+4*IF(circ_int,0,eq_c2/2)+2*PI()*(s_0+8*s_r+IF(circ_int,eq_c1/2,0)))/INDEX(lk_legs,9))&lt;((((((2*IF(circ_int,0,eq_c2/2))+(PI()*(s_0+8*s_r+IF(circ_int,eq_c1/2,0))/2))+2*IF(circ_int,0,eq_c1/2))+(PI()*(s_0+8*s_r+IF(circ_int,eq_c1/2,0))/2))+2*IF(circ_int,0,eq_c2/2))+(PI()*(s_0+8*s_r+IF(circ_int,eq_c1/2,0))/2)),-IF(circ_int,0,eq_c2/2)+(s_0+8*s_r+IF(circ_int,eq_c1/2,0))*SIN(PI()+(((28+0.5)*(4*IF(circ_int,0,eq_c1/2)+4*IF(circ_int,0,eq_c2/2)+2*PI()*(s_0+8*s_r+IF(circ_int,eq_c1/2,0)))/INDEX(lk_legs,9))-(((((2*IF(circ_int,0,eq_c2/2))+(PI()*(s_0+8*s_r+IF(circ_int,eq_c1/2,0))/2))+2*IF(circ_int,0,eq_c1/2))+(PI()*(s_0+8*s_r+IF(circ_int,eq_c1/2,0))/2))+2*IF(circ_int,0,eq_c2/2)))/(s_0+8*s_r+IF(circ_int,eq_c1/2,0))),IF(((28+0.5)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(28+0.5)*(4*IF(circ_int,0,eq_c1/2)+4*IF(circ_int,0,eq_c2/2)+2*PI()*(s_0+8*s_r+IF(circ_int,eq_c1/2,0)))/INDEX(lk_legs,9))-(((((((2*IF(circ_int,0,eq_c2/2))+(PI()*(s_0+8*s_r+IF(circ_int,eq_c1/2,0))/2))+2*IF(circ_int,0,eq_c1/2))+(PI()*(s_0+8*s_r+IF(circ_int,eq_c1/2,0))/2))+2*IF(circ_int,0,eq_c2/2))+(PI()*(s_0+8*s_r+IF(circ_int,eq_c1/2,0))/2))+2*IF(circ_int,0,eq_c1/2)))/(s_0+8*s_r+IF(circ_int,eq_c1/2,0)))))))))),NA())</f>
        <v/>
      </c>
      <c r="CY31">
        <f>IF(AND(links_on,10&lt;=n_per),IF(circ_int,(g_ox)+(c_1/2+(s_0+9*s_r))*-0.970942,CHOOSE(INDEX(lk_kind,10),(g_ox-eq_c1/2)+((s_0+9*s_r))*-0.965926,0,eq_a1+eq_c1+(s_0+9*s_r),eq_a1+eq_c1+(s_0+9*s_r))),NA())</f>
        <v/>
      </c>
      <c r="CZ31">
        <f>IF(AND(links_on,10&lt;=n_per),IF(circ_int,(g_oy)+(c_1/2+(s_0+9*s_r))*-0.239316,CHOOSE(INDEX(lk_kind,10),(g_oy-eq_c2/2)+((s_0+9*s_r))*-0.258819,g_oy-eq_c2/2-(s_0+9*s_r),0,0)),NA())</f>
        <v/>
      </c>
      <c r="DB31">
        <f>IF(AND(AND(links_on,10&lt;=n_per),INDEX(lk_kind,10)=1,28&lt;INDEX(lk_legs,10)),g_ox+IF(((28+0.5)*(4*IF(circ_int,0,eq_c1/2)+4*IF(circ_int,0,eq_c2/2)+2*PI()*(s_0+9*s_r+IF(circ_int,eq_c1/2,0)))/INDEX(lk_legs,10))&lt;(2*IF(circ_int,0,eq_c2/2)),IF(circ_int,0,eq_c1/2)+(s_0+9*s_r+IF(circ_int,eq_c1/2,0)),IF(((28+0.5)*(4*IF(circ_int,0,eq_c1/2)+4*IF(circ_int,0,eq_c2/2)+2*PI()*(s_0+9*s_r+IF(circ_int,eq_c1/2,0)))/INDEX(lk_legs,10))&lt;((2*IF(circ_int,0,eq_c2/2))+(PI()*(s_0+9*s_r+IF(circ_int,eq_c1/2,0))/2)),IF(circ_int,0,eq_c1/2)+(s_0+9*s_r+IF(circ_int,eq_c1/2,0))*COS((((28+0.5)*(4*IF(circ_int,0,eq_c1/2)+4*IF(circ_int,0,eq_c2/2)+2*PI()*(s_0+9*s_r+IF(circ_int,eq_c1/2,0)))/INDEX(lk_legs,10))-(2*IF(circ_int,0,eq_c2/2)))/(s_0+9*s_r+IF(circ_int,eq_c1/2,0))),IF(((28+0.5)*(4*IF(circ_int,0,eq_c1/2)+4*IF(circ_int,0,eq_c2/2)+2*PI()*(s_0+9*s_r+IF(circ_int,eq_c1/2,0)))/INDEX(lk_legs,10))&lt;(((2*IF(circ_int,0,eq_c2/2))+(PI()*(s_0+9*s_r+IF(circ_int,eq_c1/2,0))/2))+2*IF(circ_int,0,eq_c1/2)),IF(circ_int,0,eq_c1/2)-(((28+0.5)*(4*IF(circ_int,0,eq_c1/2)+4*IF(circ_int,0,eq_c2/2)+2*PI()*(s_0+9*s_r+IF(circ_int,eq_c1/2,0)))/INDEX(lk_legs,10))-((2*IF(circ_int,0,eq_c2/2))+(PI()*(s_0+9*s_r+IF(circ_int,eq_c1/2,0))/2))),IF(((28+0.5)*(4*IF(circ_int,0,eq_c1/2)+4*IF(circ_int,0,eq_c2/2)+2*PI()*(s_0+9*s_r+IF(circ_int,eq_c1/2,0)))/INDEX(lk_legs,10))&lt;((((2*IF(circ_int,0,eq_c2/2))+(PI()*(s_0+9*s_r+IF(circ_int,eq_c1/2,0))/2))+2*IF(circ_int,0,eq_c1/2))+(PI()*(s_0+9*s_r+IF(circ_int,eq_c1/2,0))/2)),-IF(circ_int,0,eq_c1/2)+(s_0+9*s_r+IF(circ_int,eq_c1/2,0))*COS(PI()/2+(((28+0.5)*(4*IF(circ_int,0,eq_c1/2)+4*IF(circ_int,0,eq_c2/2)+2*PI()*(s_0+9*s_r+IF(circ_int,eq_c1/2,0)))/INDEX(lk_legs,10))-(((2*IF(circ_int,0,eq_c2/2))+(PI()*(s_0+9*s_r+IF(circ_int,eq_c1/2,0))/2))+2*IF(circ_int,0,eq_c1/2)))/(s_0+9*s_r+IF(circ_int,eq_c1/2,0))),IF(((28+0.5)*(4*IF(circ_int,0,eq_c1/2)+4*IF(circ_int,0,eq_c2/2)+2*PI()*(s_0+9*s_r+IF(circ_int,eq_c1/2,0)))/INDEX(lk_legs,10))&lt;(((((2*IF(circ_int,0,eq_c2/2))+(PI()*(s_0+9*s_r+IF(circ_int,eq_c1/2,0))/2))+2*IF(circ_int,0,eq_c1/2))+(PI()*(s_0+9*s_r+IF(circ_int,eq_c1/2,0))/2))+2*IF(circ_int,0,eq_c2/2)),-IF(circ_int,0,eq_c1/2)-(s_0+9*s_r+IF(circ_int,eq_c1/2,0)),IF(((28+0.5)*(4*IF(circ_int,0,eq_c1/2)+4*IF(circ_int,0,eq_c2/2)+2*PI()*(s_0+9*s_r+IF(circ_int,eq_c1/2,0)))/INDEX(lk_legs,10))&lt;((((((2*IF(circ_int,0,eq_c2/2))+(PI()*(s_0+9*s_r+IF(circ_int,eq_c1/2,0))/2))+2*IF(circ_int,0,eq_c1/2))+(PI()*(s_0+9*s_r+IF(circ_int,eq_c1/2,0))/2))+2*IF(circ_int,0,eq_c2/2))+(PI()*(s_0+9*s_r+IF(circ_int,eq_c1/2,0))/2)),-IF(circ_int,0,eq_c1/2)+(s_0+9*s_r+IF(circ_int,eq_c1/2,0))*COS(PI()+(((28+0.5)*(4*IF(circ_int,0,eq_c1/2)+4*IF(circ_int,0,eq_c2/2)+2*PI()*(s_0+9*s_r+IF(circ_int,eq_c1/2,0)))/INDEX(lk_legs,10))-(((((2*IF(circ_int,0,eq_c2/2))+(PI()*(s_0+9*s_r+IF(circ_int,eq_c1/2,0))/2))+2*IF(circ_int,0,eq_c1/2))+(PI()*(s_0+9*s_r+IF(circ_int,eq_c1/2,0))/2))+2*IF(circ_int,0,eq_c2/2)))/(s_0+9*s_r+IF(circ_int,eq_c1/2,0))),IF(((28+0.5)*(4*IF(circ_int,0,eq_c1/2)+4*IF(circ_int,0,eq_c2/2)+2*PI()*(s_0+9*s_r+IF(circ_int,eq_c1/2,0)))/INDEX(lk_legs,10))&lt;(((((((2*IF(circ_int,0,eq_c2/2))+(PI()*(s_0+9*s_r+IF(circ_int,eq_c1/2,0))/2))+2*IF(circ_int,0,eq_c1/2))+(PI()*(s_0+9*s_r+IF(circ_int,eq_c1/2,0))/2))+2*IF(circ_int,0,eq_c2/2))+(PI()*(s_0+9*s_r+IF(circ_int,eq_c1/2,0))/2))+2*IF(circ_int,0,eq_c1/2)),-IF(circ_int,0,eq_c1/2)+(((28+0.5)*(4*IF(circ_int,0,eq_c1/2)+4*IF(circ_int,0,eq_c2/2)+2*PI()*(s_0+9*s_r+IF(circ_int,eq_c1/2,0)))/INDEX(lk_legs,10))-((((((2*IF(circ_int,0,eq_c2/2))+(PI()*(s_0+9*s_r+IF(circ_int,eq_c1/2,0))/2))+2*IF(circ_int,0,eq_c1/2))+(PI()*(s_0+9*s_r+IF(circ_int,eq_c1/2,0))/2))+2*IF(circ_int,0,eq_c2/2))+(PI()*(s_0+9*s_r+IF(circ_int,eq_c1/2,0))/2))),IF(circ_int,0,eq_c1/2)+(s_0+9*s_r+IF(circ_int,eq_c1/2,0))*COS(3*PI()/2+(((28+0.5)*(4*IF(circ_int,0,eq_c1/2)+4*IF(circ_int,0,eq_c2/2)+2*PI()*(s_0+9*s_r+IF(circ_int,eq_c1/2,0)))/INDEX(lk_legs,10))-(((((((2*IF(circ_int,0,eq_c2/2))+(PI()*(s_0+9*s_r+IF(circ_int,eq_c1/2,0))/2))+2*IF(circ_int,0,eq_c1/2))+(PI()*(s_0+9*s_r+IF(circ_int,eq_c1/2,0))/2))+2*IF(circ_int,0,eq_c2/2))+(PI()*(s_0+9*s_r+IF(circ_int,eq_c1/2,0))/2))+2*IF(circ_int,0,eq_c1/2)))/(s_0+9*s_r+IF(circ_int,eq_c1/2,0)))))))))),NA())</f>
        <v/>
      </c>
      <c r="DC31">
        <f>IF(AND(AND(links_on,10&lt;=n_per),INDEX(lk_kind,10)=1,28&lt;INDEX(lk_legs,10)),g_oy+IF(((28+0.5)*(4*IF(circ_int,0,eq_c1/2)+4*IF(circ_int,0,eq_c2/2)+2*PI()*(s_0+9*s_r+IF(circ_int,eq_c1/2,0)))/INDEX(lk_legs,10))&lt;(2*IF(circ_int,0,eq_c2/2)),-IF(circ_int,0,eq_c2/2)+((28+0.5)*(4*IF(circ_int,0,eq_c1/2)+4*IF(circ_int,0,eq_c2/2)+2*PI()*(s_0+9*s_r+IF(circ_int,eq_c1/2,0)))/INDEX(lk_legs,10)),IF(((28+0.5)*(4*IF(circ_int,0,eq_c1/2)+4*IF(circ_int,0,eq_c2/2)+2*PI()*(s_0+9*s_r+IF(circ_int,eq_c1/2,0)))/INDEX(lk_legs,10))&lt;((2*IF(circ_int,0,eq_c2/2))+(PI()*(s_0+9*s_r+IF(circ_int,eq_c1/2,0))/2)),IF(circ_int,0,eq_c2/2)+(s_0+9*s_r+IF(circ_int,eq_c1/2,0))*SIN((((28+0.5)*(4*IF(circ_int,0,eq_c1/2)+4*IF(circ_int,0,eq_c2/2)+2*PI()*(s_0+9*s_r+IF(circ_int,eq_c1/2,0)))/INDEX(lk_legs,10))-(2*IF(circ_int,0,eq_c2/2)))/(s_0+9*s_r+IF(circ_int,eq_c1/2,0))),IF(((28+0.5)*(4*IF(circ_int,0,eq_c1/2)+4*IF(circ_int,0,eq_c2/2)+2*PI()*(s_0+9*s_r+IF(circ_int,eq_c1/2,0)))/INDEX(lk_legs,10))&lt;(((2*IF(circ_int,0,eq_c2/2))+(PI()*(s_0+9*s_r+IF(circ_int,eq_c1/2,0))/2))+2*IF(circ_int,0,eq_c1/2)),IF(circ_int,0,eq_c2/2)+(s_0+9*s_r+IF(circ_int,eq_c1/2,0)),IF(((28+0.5)*(4*IF(circ_int,0,eq_c1/2)+4*IF(circ_int,0,eq_c2/2)+2*PI()*(s_0+9*s_r+IF(circ_int,eq_c1/2,0)))/INDEX(lk_legs,10))&lt;((((2*IF(circ_int,0,eq_c2/2))+(PI()*(s_0+9*s_r+IF(circ_int,eq_c1/2,0))/2))+2*IF(circ_int,0,eq_c1/2))+(PI()*(s_0+9*s_r+IF(circ_int,eq_c1/2,0))/2)),IF(circ_int,0,eq_c2/2)+(s_0+9*s_r+IF(circ_int,eq_c1/2,0))*SIN(PI()/2+(((28+0.5)*(4*IF(circ_int,0,eq_c1/2)+4*IF(circ_int,0,eq_c2/2)+2*PI()*(s_0+9*s_r+IF(circ_int,eq_c1/2,0)))/INDEX(lk_legs,10))-(((2*IF(circ_int,0,eq_c2/2))+(PI()*(s_0+9*s_r+IF(circ_int,eq_c1/2,0))/2))+2*IF(circ_int,0,eq_c1/2)))/(s_0+9*s_r+IF(circ_int,eq_c1/2,0))),IF(((28+0.5)*(4*IF(circ_int,0,eq_c1/2)+4*IF(circ_int,0,eq_c2/2)+2*PI()*(s_0+9*s_r+IF(circ_int,eq_c1/2,0)))/INDEX(lk_legs,10))&lt;(((((2*IF(circ_int,0,eq_c2/2))+(PI()*(s_0+9*s_r+IF(circ_int,eq_c1/2,0))/2))+2*IF(circ_int,0,eq_c1/2))+(PI()*(s_0+9*s_r+IF(circ_int,eq_c1/2,0))/2))+2*IF(circ_int,0,eq_c2/2)),IF(circ_int,0,eq_c2/2)-(((28+0.5)*(4*IF(circ_int,0,eq_c1/2)+4*IF(circ_int,0,eq_c2/2)+2*PI()*(s_0+9*s_r+IF(circ_int,eq_c1/2,0)))/INDEX(lk_legs,10))-((((2*IF(circ_int,0,eq_c2/2))+(PI()*(s_0+9*s_r+IF(circ_int,eq_c1/2,0))/2))+2*IF(circ_int,0,eq_c1/2))+(PI()*(s_0+9*s_r+IF(circ_int,eq_c1/2,0))/2))),IF(((28+0.5)*(4*IF(circ_int,0,eq_c1/2)+4*IF(circ_int,0,eq_c2/2)+2*PI()*(s_0+9*s_r+IF(circ_int,eq_c1/2,0)))/INDEX(lk_legs,10))&lt;((((((2*IF(circ_int,0,eq_c2/2))+(PI()*(s_0+9*s_r+IF(circ_int,eq_c1/2,0))/2))+2*IF(circ_int,0,eq_c1/2))+(PI()*(s_0+9*s_r+IF(circ_int,eq_c1/2,0))/2))+2*IF(circ_int,0,eq_c2/2))+(PI()*(s_0+9*s_r+IF(circ_int,eq_c1/2,0))/2)),-IF(circ_int,0,eq_c2/2)+(s_0+9*s_r+IF(circ_int,eq_c1/2,0))*SIN(PI()+(((28+0.5)*(4*IF(circ_int,0,eq_c1/2)+4*IF(circ_int,0,eq_c2/2)+2*PI()*(s_0+9*s_r+IF(circ_int,eq_c1/2,0)))/INDEX(lk_legs,10))-(((((2*IF(circ_int,0,eq_c2/2))+(PI()*(s_0+9*s_r+IF(circ_int,eq_c1/2,0))/2))+2*IF(circ_int,0,eq_c1/2))+(PI()*(s_0+9*s_r+IF(circ_int,eq_c1/2,0))/2))+2*IF(circ_int,0,eq_c2/2)))/(s_0+9*s_r+IF(circ_int,eq_c1/2,0))),IF(((28+0.5)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(28+0.5)*(4*IF(circ_int,0,eq_c1/2)+4*IF(circ_int,0,eq_c2/2)+2*PI()*(s_0+9*s_r+IF(circ_int,eq_c1/2,0)))/INDEX(lk_legs,10))-(((((((2*IF(circ_int,0,eq_c2/2))+(PI()*(s_0+9*s_r+IF(circ_int,eq_c1/2,0))/2))+2*IF(circ_int,0,eq_c1/2))+(PI()*(s_0+9*s_r+IF(circ_int,eq_c1/2,0))/2))+2*IF(circ_int,0,eq_c2/2))+(PI()*(s_0+9*s_r+IF(circ_int,eq_c1/2,0))/2))+2*IF(circ_int,0,eq_c1/2)))/(s_0+9*s_r+IF(circ_int,eq_c1/2,0)))))))))),NA())</f>
        <v/>
      </c>
      <c r="DE31">
        <f>IF(AND(links_on,11&lt;=n_per),IF(circ_int,(g_ox)+(c_1/2+(s_0+10*s_r))*-0.970942,CHOOSE(INDEX(lk_kind,11),(g_ox-eq_c1/2)+((s_0+10*s_r))*-0.965926,0,eq_a1+eq_c1+(s_0+10*s_r),eq_a1+eq_c1+(s_0+10*s_r))),NA())</f>
        <v/>
      </c>
      <c r="DF31">
        <f>IF(AND(links_on,11&lt;=n_per),IF(circ_int,(g_oy)+(c_1/2+(s_0+10*s_r))*-0.239316,CHOOSE(INDEX(lk_kind,11),(g_oy-eq_c2/2)+((s_0+10*s_r))*-0.258819,g_oy-eq_c2/2-(s_0+10*s_r),0,0)),NA())</f>
        <v/>
      </c>
      <c r="DH31">
        <f>IF(AND(AND(links_on,11&lt;=n_per),INDEX(lk_kind,11)=1,28&lt;INDEX(lk_legs,11)),g_ox+IF(((28+0.5)*(4*IF(circ_int,0,eq_c1/2)+4*IF(circ_int,0,eq_c2/2)+2*PI()*(s_0+10*s_r+IF(circ_int,eq_c1/2,0)))/INDEX(lk_legs,11))&lt;(2*IF(circ_int,0,eq_c2/2)),IF(circ_int,0,eq_c1/2)+(s_0+10*s_r+IF(circ_int,eq_c1/2,0)),IF(((28+0.5)*(4*IF(circ_int,0,eq_c1/2)+4*IF(circ_int,0,eq_c2/2)+2*PI()*(s_0+10*s_r+IF(circ_int,eq_c1/2,0)))/INDEX(lk_legs,11))&lt;((2*IF(circ_int,0,eq_c2/2))+(PI()*(s_0+10*s_r+IF(circ_int,eq_c1/2,0))/2)),IF(circ_int,0,eq_c1/2)+(s_0+10*s_r+IF(circ_int,eq_c1/2,0))*COS((((28+0.5)*(4*IF(circ_int,0,eq_c1/2)+4*IF(circ_int,0,eq_c2/2)+2*PI()*(s_0+10*s_r+IF(circ_int,eq_c1/2,0)))/INDEX(lk_legs,11))-(2*IF(circ_int,0,eq_c2/2)))/(s_0+10*s_r+IF(circ_int,eq_c1/2,0))),IF(((28+0.5)*(4*IF(circ_int,0,eq_c1/2)+4*IF(circ_int,0,eq_c2/2)+2*PI()*(s_0+10*s_r+IF(circ_int,eq_c1/2,0)))/INDEX(lk_legs,11))&lt;(((2*IF(circ_int,0,eq_c2/2))+(PI()*(s_0+10*s_r+IF(circ_int,eq_c1/2,0))/2))+2*IF(circ_int,0,eq_c1/2)),IF(circ_int,0,eq_c1/2)-(((28+0.5)*(4*IF(circ_int,0,eq_c1/2)+4*IF(circ_int,0,eq_c2/2)+2*PI()*(s_0+10*s_r+IF(circ_int,eq_c1/2,0)))/INDEX(lk_legs,11))-((2*IF(circ_int,0,eq_c2/2))+(PI()*(s_0+10*s_r+IF(circ_int,eq_c1/2,0))/2))),IF(((28+0.5)*(4*IF(circ_int,0,eq_c1/2)+4*IF(circ_int,0,eq_c2/2)+2*PI()*(s_0+10*s_r+IF(circ_int,eq_c1/2,0)))/INDEX(lk_legs,11))&lt;((((2*IF(circ_int,0,eq_c2/2))+(PI()*(s_0+10*s_r+IF(circ_int,eq_c1/2,0))/2))+2*IF(circ_int,0,eq_c1/2))+(PI()*(s_0+10*s_r+IF(circ_int,eq_c1/2,0))/2)),-IF(circ_int,0,eq_c1/2)+(s_0+10*s_r+IF(circ_int,eq_c1/2,0))*COS(PI()/2+(((28+0.5)*(4*IF(circ_int,0,eq_c1/2)+4*IF(circ_int,0,eq_c2/2)+2*PI()*(s_0+10*s_r+IF(circ_int,eq_c1/2,0)))/INDEX(lk_legs,11))-(((2*IF(circ_int,0,eq_c2/2))+(PI()*(s_0+10*s_r+IF(circ_int,eq_c1/2,0))/2))+2*IF(circ_int,0,eq_c1/2)))/(s_0+10*s_r+IF(circ_int,eq_c1/2,0))),IF(((28+0.5)*(4*IF(circ_int,0,eq_c1/2)+4*IF(circ_int,0,eq_c2/2)+2*PI()*(s_0+10*s_r+IF(circ_int,eq_c1/2,0)))/INDEX(lk_legs,11))&lt;(((((2*IF(circ_int,0,eq_c2/2))+(PI()*(s_0+10*s_r+IF(circ_int,eq_c1/2,0))/2))+2*IF(circ_int,0,eq_c1/2))+(PI()*(s_0+10*s_r+IF(circ_int,eq_c1/2,0))/2))+2*IF(circ_int,0,eq_c2/2)),-IF(circ_int,0,eq_c1/2)-(s_0+10*s_r+IF(circ_int,eq_c1/2,0)),IF(((28+0.5)*(4*IF(circ_int,0,eq_c1/2)+4*IF(circ_int,0,eq_c2/2)+2*PI()*(s_0+10*s_r+IF(circ_int,eq_c1/2,0)))/INDEX(lk_legs,11))&lt;((((((2*IF(circ_int,0,eq_c2/2))+(PI()*(s_0+10*s_r+IF(circ_int,eq_c1/2,0))/2))+2*IF(circ_int,0,eq_c1/2))+(PI()*(s_0+10*s_r+IF(circ_int,eq_c1/2,0))/2))+2*IF(circ_int,0,eq_c2/2))+(PI()*(s_0+10*s_r+IF(circ_int,eq_c1/2,0))/2)),-IF(circ_int,0,eq_c1/2)+(s_0+10*s_r+IF(circ_int,eq_c1/2,0))*COS(PI()+(((28+0.5)*(4*IF(circ_int,0,eq_c1/2)+4*IF(circ_int,0,eq_c2/2)+2*PI()*(s_0+10*s_r+IF(circ_int,eq_c1/2,0)))/INDEX(lk_legs,11))-(((((2*IF(circ_int,0,eq_c2/2))+(PI()*(s_0+10*s_r+IF(circ_int,eq_c1/2,0))/2))+2*IF(circ_int,0,eq_c1/2))+(PI()*(s_0+10*s_r+IF(circ_int,eq_c1/2,0))/2))+2*IF(circ_int,0,eq_c2/2)))/(s_0+10*s_r+IF(circ_int,eq_c1/2,0))),IF(((28+0.5)*(4*IF(circ_int,0,eq_c1/2)+4*IF(circ_int,0,eq_c2/2)+2*PI()*(s_0+10*s_r+IF(circ_int,eq_c1/2,0)))/INDEX(lk_legs,11))&lt;(((((((2*IF(circ_int,0,eq_c2/2))+(PI()*(s_0+10*s_r+IF(circ_int,eq_c1/2,0))/2))+2*IF(circ_int,0,eq_c1/2))+(PI()*(s_0+10*s_r+IF(circ_int,eq_c1/2,0))/2))+2*IF(circ_int,0,eq_c2/2))+(PI()*(s_0+10*s_r+IF(circ_int,eq_c1/2,0))/2))+2*IF(circ_int,0,eq_c1/2)),-IF(circ_int,0,eq_c1/2)+(((28+0.5)*(4*IF(circ_int,0,eq_c1/2)+4*IF(circ_int,0,eq_c2/2)+2*PI()*(s_0+10*s_r+IF(circ_int,eq_c1/2,0)))/INDEX(lk_legs,11))-((((((2*IF(circ_int,0,eq_c2/2))+(PI()*(s_0+10*s_r+IF(circ_int,eq_c1/2,0))/2))+2*IF(circ_int,0,eq_c1/2))+(PI()*(s_0+10*s_r+IF(circ_int,eq_c1/2,0))/2))+2*IF(circ_int,0,eq_c2/2))+(PI()*(s_0+10*s_r+IF(circ_int,eq_c1/2,0))/2))),IF(circ_int,0,eq_c1/2)+(s_0+10*s_r+IF(circ_int,eq_c1/2,0))*COS(3*PI()/2+(((28+0.5)*(4*IF(circ_int,0,eq_c1/2)+4*IF(circ_int,0,eq_c2/2)+2*PI()*(s_0+10*s_r+IF(circ_int,eq_c1/2,0)))/INDEX(lk_legs,11))-(((((((2*IF(circ_int,0,eq_c2/2))+(PI()*(s_0+10*s_r+IF(circ_int,eq_c1/2,0))/2))+2*IF(circ_int,0,eq_c1/2))+(PI()*(s_0+10*s_r+IF(circ_int,eq_c1/2,0))/2))+2*IF(circ_int,0,eq_c2/2))+(PI()*(s_0+10*s_r+IF(circ_int,eq_c1/2,0))/2))+2*IF(circ_int,0,eq_c1/2)))/(s_0+10*s_r+IF(circ_int,eq_c1/2,0)))))))))),NA())</f>
        <v/>
      </c>
      <c r="DI31">
        <f>IF(AND(AND(links_on,11&lt;=n_per),INDEX(lk_kind,11)=1,28&lt;INDEX(lk_legs,11)),g_oy+IF(((28+0.5)*(4*IF(circ_int,0,eq_c1/2)+4*IF(circ_int,0,eq_c2/2)+2*PI()*(s_0+10*s_r+IF(circ_int,eq_c1/2,0)))/INDEX(lk_legs,11))&lt;(2*IF(circ_int,0,eq_c2/2)),-IF(circ_int,0,eq_c2/2)+((28+0.5)*(4*IF(circ_int,0,eq_c1/2)+4*IF(circ_int,0,eq_c2/2)+2*PI()*(s_0+10*s_r+IF(circ_int,eq_c1/2,0)))/INDEX(lk_legs,11)),IF(((28+0.5)*(4*IF(circ_int,0,eq_c1/2)+4*IF(circ_int,0,eq_c2/2)+2*PI()*(s_0+10*s_r+IF(circ_int,eq_c1/2,0)))/INDEX(lk_legs,11))&lt;((2*IF(circ_int,0,eq_c2/2))+(PI()*(s_0+10*s_r+IF(circ_int,eq_c1/2,0))/2)),IF(circ_int,0,eq_c2/2)+(s_0+10*s_r+IF(circ_int,eq_c1/2,0))*SIN((((28+0.5)*(4*IF(circ_int,0,eq_c1/2)+4*IF(circ_int,0,eq_c2/2)+2*PI()*(s_0+10*s_r+IF(circ_int,eq_c1/2,0)))/INDEX(lk_legs,11))-(2*IF(circ_int,0,eq_c2/2)))/(s_0+10*s_r+IF(circ_int,eq_c1/2,0))),IF(((28+0.5)*(4*IF(circ_int,0,eq_c1/2)+4*IF(circ_int,0,eq_c2/2)+2*PI()*(s_0+10*s_r+IF(circ_int,eq_c1/2,0)))/INDEX(lk_legs,11))&lt;(((2*IF(circ_int,0,eq_c2/2))+(PI()*(s_0+10*s_r+IF(circ_int,eq_c1/2,0))/2))+2*IF(circ_int,0,eq_c1/2)),IF(circ_int,0,eq_c2/2)+(s_0+10*s_r+IF(circ_int,eq_c1/2,0)),IF(((28+0.5)*(4*IF(circ_int,0,eq_c1/2)+4*IF(circ_int,0,eq_c2/2)+2*PI()*(s_0+10*s_r+IF(circ_int,eq_c1/2,0)))/INDEX(lk_legs,11))&lt;((((2*IF(circ_int,0,eq_c2/2))+(PI()*(s_0+10*s_r+IF(circ_int,eq_c1/2,0))/2))+2*IF(circ_int,0,eq_c1/2))+(PI()*(s_0+10*s_r+IF(circ_int,eq_c1/2,0))/2)),IF(circ_int,0,eq_c2/2)+(s_0+10*s_r+IF(circ_int,eq_c1/2,0))*SIN(PI()/2+(((28+0.5)*(4*IF(circ_int,0,eq_c1/2)+4*IF(circ_int,0,eq_c2/2)+2*PI()*(s_0+10*s_r+IF(circ_int,eq_c1/2,0)))/INDEX(lk_legs,11))-(((2*IF(circ_int,0,eq_c2/2))+(PI()*(s_0+10*s_r+IF(circ_int,eq_c1/2,0))/2))+2*IF(circ_int,0,eq_c1/2)))/(s_0+10*s_r+IF(circ_int,eq_c1/2,0))),IF(((28+0.5)*(4*IF(circ_int,0,eq_c1/2)+4*IF(circ_int,0,eq_c2/2)+2*PI()*(s_0+10*s_r+IF(circ_int,eq_c1/2,0)))/INDEX(lk_legs,11))&lt;(((((2*IF(circ_int,0,eq_c2/2))+(PI()*(s_0+10*s_r+IF(circ_int,eq_c1/2,0))/2))+2*IF(circ_int,0,eq_c1/2))+(PI()*(s_0+10*s_r+IF(circ_int,eq_c1/2,0))/2))+2*IF(circ_int,0,eq_c2/2)),IF(circ_int,0,eq_c2/2)-(((28+0.5)*(4*IF(circ_int,0,eq_c1/2)+4*IF(circ_int,0,eq_c2/2)+2*PI()*(s_0+10*s_r+IF(circ_int,eq_c1/2,0)))/INDEX(lk_legs,11))-((((2*IF(circ_int,0,eq_c2/2))+(PI()*(s_0+10*s_r+IF(circ_int,eq_c1/2,0))/2))+2*IF(circ_int,0,eq_c1/2))+(PI()*(s_0+10*s_r+IF(circ_int,eq_c1/2,0))/2))),IF(((28+0.5)*(4*IF(circ_int,0,eq_c1/2)+4*IF(circ_int,0,eq_c2/2)+2*PI()*(s_0+10*s_r+IF(circ_int,eq_c1/2,0)))/INDEX(lk_legs,11))&lt;((((((2*IF(circ_int,0,eq_c2/2))+(PI()*(s_0+10*s_r+IF(circ_int,eq_c1/2,0))/2))+2*IF(circ_int,0,eq_c1/2))+(PI()*(s_0+10*s_r+IF(circ_int,eq_c1/2,0))/2))+2*IF(circ_int,0,eq_c2/2))+(PI()*(s_0+10*s_r+IF(circ_int,eq_c1/2,0))/2)),-IF(circ_int,0,eq_c2/2)+(s_0+10*s_r+IF(circ_int,eq_c1/2,0))*SIN(PI()+(((28+0.5)*(4*IF(circ_int,0,eq_c1/2)+4*IF(circ_int,0,eq_c2/2)+2*PI()*(s_0+10*s_r+IF(circ_int,eq_c1/2,0)))/INDEX(lk_legs,11))-(((((2*IF(circ_int,0,eq_c2/2))+(PI()*(s_0+10*s_r+IF(circ_int,eq_c1/2,0))/2))+2*IF(circ_int,0,eq_c1/2))+(PI()*(s_0+10*s_r+IF(circ_int,eq_c1/2,0))/2))+2*IF(circ_int,0,eq_c2/2)))/(s_0+10*s_r+IF(circ_int,eq_c1/2,0))),IF(((28+0.5)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(28+0.5)*(4*IF(circ_int,0,eq_c1/2)+4*IF(circ_int,0,eq_c2/2)+2*PI()*(s_0+10*s_r+IF(circ_int,eq_c1/2,0)))/INDEX(lk_legs,11))-(((((((2*IF(circ_int,0,eq_c2/2))+(PI()*(s_0+10*s_r+IF(circ_int,eq_c1/2,0))/2))+2*IF(circ_int,0,eq_c1/2))+(PI()*(s_0+10*s_r+IF(circ_int,eq_c1/2,0))/2))+2*IF(circ_int,0,eq_c2/2))+(PI()*(s_0+10*s_r+IF(circ_int,eq_c1/2,0))/2))+2*IF(circ_int,0,eq_c1/2)))/(s_0+10*s_r+IF(circ_int,eq_c1/2,0)))))))))),NA())</f>
        <v/>
      </c>
      <c r="DK31">
        <f>IF(AND(links_on,12&lt;=n_per),IF(circ_int,(g_ox)+(c_1/2+(s_0+11*s_r))*-0.970942,CHOOSE(INDEX(lk_kind,12),(g_ox-eq_c1/2)+((s_0+11*s_r))*-0.965926,0,eq_a1+eq_c1+(s_0+11*s_r),eq_a1+eq_c1+(s_0+11*s_r))),NA())</f>
        <v/>
      </c>
      <c r="DL31">
        <f>IF(AND(links_on,12&lt;=n_per),IF(circ_int,(g_oy)+(c_1/2+(s_0+11*s_r))*-0.239316,CHOOSE(INDEX(lk_kind,12),(g_oy-eq_c2/2)+((s_0+11*s_r))*-0.258819,g_oy-eq_c2/2-(s_0+11*s_r),0,0)),NA())</f>
        <v/>
      </c>
      <c r="DN31">
        <f>IF(AND(AND(links_on,12&lt;=n_per),INDEX(lk_kind,12)=1,28&lt;INDEX(lk_legs,12)),g_ox+IF(((28+0.5)*(4*IF(circ_int,0,eq_c1/2)+4*IF(circ_int,0,eq_c2/2)+2*PI()*(s_0+11*s_r+IF(circ_int,eq_c1/2,0)))/INDEX(lk_legs,12))&lt;(2*IF(circ_int,0,eq_c2/2)),IF(circ_int,0,eq_c1/2)+(s_0+11*s_r+IF(circ_int,eq_c1/2,0)),IF(((28+0.5)*(4*IF(circ_int,0,eq_c1/2)+4*IF(circ_int,0,eq_c2/2)+2*PI()*(s_0+11*s_r+IF(circ_int,eq_c1/2,0)))/INDEX(lk_legs,12))&lt;((2*IF(circ_int,0,eq_c2/2))+(PI()*(s_0+11*s_r+IF(circ_int,eq_c1/2,0))/2)),IF(circ_int,0,eq_c1/2)+(s_0+11*s_r+IF(circ_int,eq_c1/2,0))*COS((((28+0.5)*(4*IF(circ_int,0,eq_c1/2)+4*IF(circ_int,0,eq_c2/2)+2*PI()*(s_0+11*s_r+IF(circ_int,eq_c1/2,0)))/INDEX(lk_legs,12))-(2*IF(circ_int,0,eq_c2/2)))/(s_0+11*s_r+IF(circ_int,eq_c1/2,0))),IF(((28+0.5)*(4*IF(circ_int,0,eq_c1/2)+4*IF(circ_int,0,eq_c2/2)+2*PI()*(s_0+11*s_r+IF(circ_int,eq_c1/2,0)))/INDEX(lk_legs,12))&lt;(((2*IF(circ_int,0,eq_c2/2))+(PI()*(s_0+11*s_r+IF(circ_int,eq_c1/2,0))/2))+2*IF(circ_int,0,eq_c1/2)),IF(circ_int,0,eq_c1/2)-(((28+0.5)*(4*IF(circ_int,0,eq_c1/2)+4*IF(circ_int,0,eq_c2/2)+2*PI()*(s_0+11*s_r+IF(circ_int,eq_c1/2,0)))/INDEX(lk_legs,12))-((2*IF(circ_int,0,eq_c2/2))+(PI()*(s_0+11*s_r+IF(circ_int,eq_c1/2,0))/2))),IF(((28+0.5)*(4*IF(circ_int,0,eq_c1/2)+4*IF(circ_int,0,eq_c2/2)+2*PI()*(s_0+11*s_r+IF(circ_int,eq_c1/2,0)))/INDEX(lk_legs,12))&lt;((((2*IF(circ_int,0,eq_c2/2))+(PI()*(s_0+11*s_r+IF(circ_int,eq_c1/2,0))/2))+2*IF(circ_int,0,eq_c1/2))+(PI()*(s_0+11*s_r+IF(circ_int,eq_c1/2,0))/2)),-IF(circ_int,0,eq_c1/2)+(s_0+11*s_r+IF(circ_int,eq_c1/2,0))*COS(PI()/2+(((28+0.5)*(4*IF(circ_int,0,eq_c1/2)+4*IF(circ_int,0,eq_c2/2)+2*PI()*(s_0+11*s_r+IF(circ_int,eq_c1/2,0)))/INDEX(lk_legs,12))-(((2*IF(circ_int,0,eq_c2/2))+(PI()*(s_0+11*s_r+IF(circ_int,eq_c1/2,0))/2))+2*IF(circ_int,0,eq_c1/2)))/(s_0+11*s_r+IF(circ_int,eq_c1/2,0))),IF(((28+0.5)*(4*IF(circ_int,0,eq_c1/2)+4*IF(circ_int,0,eq_c2/2)+2*PI()*(s_0+11*s_r+IF(circ_int,eq_c1/2,0)))/INDEX(lk_legs,12))&lt;(((((2*IF(circ_int,0,eq_c2/2))+(PI()*(s_0+11*s_r+IF(circ_int,eq_c1/2,0))/2))+2*IF(circ_int,0,eq_c1/2))+(PI()*(s_0+11*s_r+IF(circ_int,eq_c1/2,0))/2))+2*IF(circ_int,0,eq_c2/2)),-IF(circ_int,0,eq_c1/2)-(s_0+11*s_r+IF(circ_int,eq_c1/2,0)),IF(((28+0.5)*(4*IF(circ_int,0,eq_c1/2)+4*IF(circ_int,0,eq_c2/2)+2*PI()*(s_0+11*s_r+IF(circ_int,eq_c1/2,0)))/INDEX(lk_legs,12))&lt;((((((2*IF(circ_int,0,eq_c2/2))+(PI()*(s_0+11*s_r+IF(circ_int,eq_c1/2,0))/2))+2*IF(circ_int,0,eq_c1/2))+(PI()*(s_0+11*s_r+IF(circ_int,eq_c1/2,0))/2))+2*IF(circ_int,0,eq_c2/2))+(PI()*(s_0+11*s_r+IF(circ_int,eq_c1/2,0))/2)),-IF(circ_int,0,eq_c1/2)+(s_0+11*s_r+IF(circ_int,eq_c1/2,0))*COS(PI()+(((28+0.5)*(4*IF(circ_int,0,eq_c1/2)+4*IF(circ_int,0,eq_c2/2)+2*PI()*(s_0+11*s_r+IF(circ_int,eq_c1/2,0)))/INDEX(lk_legs,12))-(((((2*IF(circ_int,0,eq_c2/2))+(PI()*(s_0+11*s_r+IF(circ_int,eq_c1/2,0))/2))+2*IF(circ_int,0,eq_c1/2))+(PI()*(s_0+11*s_r+IF(circ_int,eq_c1/2,0))/2))+2*IF(circ_int,0,eq_c2/2)))/(s_0+11*s_r+IF(circ_int,eq_c1/2,0))),IF(((28+0.5)*(4*IF(circ_int,0,eq_c1/2)+4*IF(circ_int,0,eq_c2/2)+2*PI()*(s_0+11*s_r+IF(circ_int,eq_c1/2,0)))/INDEX(lk_legs,12))&lt;(((((((2*IF(circ_int,0,eq_c2/2))+(PI()*(s_0+11*s_r+IF(circ_int,eq_c1/2,0))/2))+2*IF(circ_int,0,eq_c1/2))+(PI()*(s_0+11*s_r+IF(circ_int,eq_c1/2,0))/2))+2*IF(circ_int,0,eq_c2/2))+(PI()*(s_0+11*s_r+IF(circ_int,eq_c1/2,0))/2))+2*IF(circ_int,0,eq_c1/2)),-IF(circ_int,0,eq_c1/2)+(((28+0.5)*(4*IF(circ_int,0,eq_c1/2)+4*IF(circ_int,0,eq_c2/2)+2*PI()*(s_0+11*s_r+IF(circ_int,eq_c1/2,0)))/INDEX(lk_legs,12))-((((((2*IF(circ_int,0,eq_c2/2))+(PI()*(s_0+11*s_r+IF(circ_int,eq_c1/2,0))/2))+2*IF(circ_int,0,eq_c1/2))+(PI()*(s_0+11*s_r+IF(circ_int,eq_c1/2,0))/2))+2*IF(circ_int,0,eq_c2/2))+(PI()*(s_0+11*s_r+IF(circ_int,eq_c1/2,0))/2))),IF(circ_int,0,eq_c1/2)+(s_0+11*s_r+IF(circ_int,eq_c1/2,0))*COS(3*PI()/2+(((28+0.5)*(4*IF(circ_int,0,eq_c1/2)+4*IF(circ_int,0,eq_c2/2)+2*PI()*(s_0+11*s_r+IF(circ_int,eq_c1/2,0)))/INDEX(lk_legs,12))-(((((((2*IF(circ_int,0,eq_c2/2))+(PI()*(s_0+11*s_r+IF(circ_int,eq_c1/2,0))/2))+2*IF(circ_int,0,eq_c1/2))+(PI()*(s_0+11*s_r+IF(circ_int,eq_c1/2,0))/2))+2*IF(circ_int,0,eq_c2/2))+(PI()*(s_0+11*s_r+IF(circ_int,eq_c1/2,0))/2))+2*IF(circ_int,0,eq_c1/2)))/(s_0+11*s_r+IF(circ_int,eq_c1/2,0)))))))))),NA())</f>
        <v/>
      </c>
      <c r="DO31">
        <f>IF(AND(AND(links_on,12&lt;=n_per),INDEX(lk_kind,12)=1,28&lt;INDEX(lk_legs,12)),g_oy+IF(((28+0.5)*(4*IF(circ_int,0,eq_c1/2)+4*IF(circ_int,0,eq_c2/2)+2*PI()*(s_0+11*s_r+IF(circ_int,eq_c1/2,0)))/INDEX(lk_legs,12))&lt;(2*IF(circ_int,0,eq_c2/2)),-IF(circ_int,0,eq_c2/2)+((28+0.5)*(4*IF(circ_int,0,eq_c1/2)+4*IF(circ_int,0,eq_c2/2)+2*PI()*(s_0+11*s_r+IF(circ_int,eq_c1/2,0)))/INDEX(lk_legs,12)),IF(((28+0.5)*(4*IF(circ_int,0,eq_c1/2)+4*IF(circ_int,0,eq_c2/2)+2*PI()*(s_0+11*s_r+IF(circ_int,eq_c1/2,0)))/INDEX(lk_legs,12))&lt;((2*IF(circ_int,0,eq_c2/2))+(PI()*(s_0+11*s_r+IF(circ_int,eq_c1/2,0))/2)),IF(circ_int,0,eq_c2/2)+(s_0+11*s_r+IF(circ_int,eq_c1/2,0))*SIN((((28+0.5)*(4*IF(circ_int,0,eq_c1/2)+4*IF(circ_int,0,eq_c2/2)+2*PI()*(s_0+11*s_r+IF(circ_int,eq_c1/2,0)))/INDEX(lk_legs,12))-(2*IF(circ_int,0,eq_c2/2)))/(s_0+11*s_r+IF(circ_int,eq_c1/2,0))),IF(((28+0.5)*(4*IF(circ_int,0,eq_c1/2)+4*IF(circ_int,0,eq_c2/2)+2*PI()*(s_0+11*s_r+IF(circ_int,eq_c1/2,0)))/INDEX(lk_legs,12))&lt;(((2*IF(circ_int,0,eq_c2/2))+(PI()*(s_0+11*s_r+IF(circ_int,eq_c1/2,0))/2))+2*IF(circ_int,0,eq_c1/2)),IF(circ_int,0,eq_c2/2)+(s_0+11*s_r+IF(circ_int,eq_c1/2,0)),IF(((28+0.5)*(4*IF(circ_int,0,eq_c1/2)+4*IF(circ_int,0,eq_c2/2)+2*PI()*(s_0+11*s_r+IF(circ_int,eq_c1/2,0)))/INDEX(lk_legs,12))&lt;((((2*IF(circ_int,0,eq_c2/2))+(PI()*(s_0+11*s_r+IF(circ_int,eq_c1/2,0))/2))+2*IF(circ_int,0,eq_c1/2))+(PI()*(s_0+11*s_r+IF(circ_int,eq_c1/2,0))/2)),IF(circ_int,0,eq_c2/2)+(s_0+11*s_r+IF(circ_int,eq_c1/2,0))*SIN(PI()/2+(((28+0.5)*(4*IF(circ_int,0,eq_c1/2)+4*IF(circ_int,0,eq_c2/2)+2*PI()*(s_0+11*s_r+IF(circ_int,eq_c1/2,0)))/INDEX(lk_legs,12))-(((2*IF(circ_int,0,eq_c2/2))+(PI()*(s_0+11*s_r+IF(circ_int,eq_c1/2,0))/2))+2*IF(circ_int,0,eq_c1/2)))/(s_0+11*s_r+IF(circ_int,eq_c1/2,0))),IF(((28+0.5)*(4*IF(circ_int,0,eq_c1/2)+4*IF(circ_int,0,eq_c2/2)+2*PI()*(s_0+11*s_r+IF(circ_int,eq_c1/2,0)))/INDEX(lk_legs,12))&lt;(((((2*IF(circ_int,0,eq_c2/2))+(PI()*(s_0+11*s_r+IF(circ_int,eq_c1/2,0))/2))+2*IF(circ_int,0,eq_c1/2))+(PI()*(s_0+11*s_r+IF(circ_int,eq_c1/2,0))/2))+2*IF(circ_int,0,eq_c2/2)),IF(circ_int,0,eq_c2/2)-(((28+0.5)*(4*IF(circ_int,0,eq_c1/2)+4*IF(circ_int,0,eq_c2/2)+2*PI()*(s_0+11*s_r+IF(circ_int,eq_c1/2,0)))/INDEX(lk_legs,12))-((((2*IF(circ_int,0,eq_c2/2))+(PI()*(s_0+11*s_r+IF(circ_int,eq_c1/2,0))/2))+2*IF(circ_int,0,eq_c1/2))+(PI()*(s_0+11*s_r+IF(circ_int,eq_c1/2,0))/2))),IF(((28+0.5)*(4*IF(circ_int,0,eq_c1/2)+4*IF(circ_int,0,eq_c2/2)+2*PI()*(s_0+11*s_r+IF(circ_int,eq_c1/2,0)))/INDEX(lk_legs,12))&lt;((((((2*IF(circ_int,0,eq_c2/2))+(PI()*(s_0+11*s_r+IF(circ_int,eq_c1/2,0))/2))+2*IF(circ_int,0,eq_c1/2))+(PI()*(s_0+11*s_r+IF(circ_int,eq_c1/2,0))/2))+2*IF(circ_int,0,eq_c2/2))+(PI()*(s_0+11*s_r+IF(circ_int,eq_c1/2,0))/2)),-IF(circ_int,0,eq_c2/2)+(s_0+11*s_r+IF(circ_int,eq_c1/2,0))*SIN(PI()+(((28+0.5)*(4*IF(circ_int,0,eq_c1/2)+4*IF(circ_int,0,eq_c2/2)+2*PI()*(s_0+11*s_r+IF(circ_int,eq_c1/2,0)))/INDEX(lk_legs,12))-(((((2*IF(circ_int,0,eq_c2/2))+(PI()*(s_0+11*s_r+IF(circ_int,eq_c1/2,0))/2))+2*IF(circ_int,0,eq_c1/2))+(PI()*(s_0+11*s_r+IF(circ_int,eq_c1/2,0))/2))+2*IF(circ_int,0,eq_c2/2)))/(s_0+11*s_r+IF(circ_int,eq_c1/2,0))),IF(((28+0.5)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(28+0.5)*(4*IF(circ_int,0,eq_c1/2)+4*IF(circ_int,0,eq_c2/2)+2*PI()*(s_0+11*s_r+IF(circ_int,eq_c1/2,0)))/INDEX(lk_legs,12))-(((((((2*IF(circ_int,0,eq_c2/2))+(PI()*(s_0+11*s_r+IF(circ_int,eq_c1/2,0))/2))+2*IF(circ_int,0,eq_c1/2))+(PI()*(s_0+11*s_r+IF(circ_int,eq_c1/2,0))/2))+2*IF(circ_int,0,eq_c2/2))+(PI()*(s_0+11*s_r+IF(circ_int,eq_c1/2,0))/2))+2*IF(circ_int,0,eq_c1/2)))/(s_0+11*s_r+IF(circ_int,eq_c1/2,0)))))))))),NA())</f>
        <v/>
      </c>
    </row>
    <row r="32">
      <c r="A32">
        <f>IF(shape="Circular",(g_ox)+(c_1/2+0)*-0.935016,CHOOSE(1,(g_ox-eq_c1/2)+(0)*-0.923880,0,eq_a1+eq_c1+0,eq_a1+eq_c1+0))</f>
        <v/>
      </c>
      <c r="B32">
        <f>IF(shape="Circular",(g_oy)+(c_1/2+0)*-0.354605,CHOOSE(1,(g_oy-eq_c2/2)+(0)*-0.382683,g_oy-eq_c2/2-0,0,0))</f>
        <v/>
      </c>
      <c r="D32">
        <f>IF(circ_int,(g_ox)+(c_1/2+2*d_eff)*-0.935016,CHOOSE(geo_idx,(g_ox-eq_c1/2)+(2*d_eff)*-0.923880,0,eq_a1+eq_c1+2*d_eff,eq_a1+eq_c1+2*d_eff))</f>
        <v/>
      </c>
      <c r="E32">
        <f>IF(circ_int,(g_oy)+(c_1/2+2*d_eff)*-0.354605,CHOOSE(geo_idx,(g_oy-eq_c2/2)+(2*d_eff)*-0.382683,g_oy-eq_c2/2-2*d_eff,0,0))</f>
        <v/>
      </c>
      <c r="G32">
        <f>IF(AND(inputs_ok,punch_ok,A_sw&gt;0),IF(circ_int,(g_ox)+(c_1/2+r_out)*-0.935016,CHOOSE(kind_out,(g_ox-eq_c1/2)+(r_out)*-0.923880,0,eq_a1+eq_c1+r_out,eq_a1+eq_c1+r_out)),NA())</f>
        <v/>
      </c>
      <c r="H32">
        <f>IF(AND(inputs_ok,punch_ok,A_sw&gt;0),IF(circ_int,(g_oy)+(c_1/2+r_out)*-0.354605,CHOOSE(kind_out,(g_oy-eq_c2/2)+(r_out)*-0.382683,g_oy-eq_c2/2-r_out,0,0)),NA())</f>
        <v/>
      </c>
      <c r="AW32">
        <f>IF(AND(links_on,1&lt;=n_per),IF(circ_int,(g_ox)+(c_1/2+(s_0+0*s_r))*-0.935016,CHOOSE(INDEX(lk_kind,1),(g_ox-eq_c1/2)+((s_0+0*s_r))*-0.923880,0,eq_a1+eq_c1+(s_0+0*s_r),eq_a1+eq_c1+(s_0+0*s_r))),NA())</f>
        <v/>
      </c>
      <c r="AX32">
        <f>IF(AND(links_on,1&lt;=n_per),IF(circ_int,(g_oy)+(c_1/2+(s_0+0*s_r))*-0.354605,CHOOSE(INDEX(lk_kind,1),(g_oy-eq_c2/2)+((s_0+0*s_r))*-0.382683,g_oy-eq_c2/2-(s_0+0*s_r),0,0)),NA())</f>
        <v/>
      </c>
      <c r="AZ32">
        <f>IF(AND(AND(links_on,1&lt;=n_per),INDEX(lk_kind,1)=1,29&lt;INDEX(lk_legs,1)),g_ox+IF(((29+0.5)*(4*IF(circ_int,0,eq_c1/2)+4*IF(circ_int,0,eq_c2/2)+2*PI()*(s_0+0*s_r+IF(circ_int,eq_c1/2,0)))/INDEX(lk_legs,1))&lt;(2*IF(circ_int,0,eq_c2/2)),IF(circ_int,0,eq_c1/2)+(s_0+0*s_r+IF(circ_int,eq_c1/2,0)),IF(((29+0.5)*(4*IF(circ_int,0,eq_c1/2)+4*IF(circ_int,0,eq_c2/2)+2*PI()*(s_0+0*s_r+IF(circ_int,eq_c1/2,0)))/INDEX(lk_legs,1))&lt;((2*IF(circ_int,0,eq_c2/2))+(PI()*(s_0+0*s_r+IF(circ_int,eq_c1/2,0))/2)),IF(circ_int,0,eq_c1/2)+(s_0+0*s_r+IF(circ_int,eq_c1/2,0))*COS((((29+0.5)*(4*IF(circ_int,0,eq_c1/2)+4*IF(circ_int,0,eq_c2/2)+2*PI()*(s_0+0*s_r+IF(circ_int,eq_c1/2,0)))/INDEX(lk_legs,1))-(2*IF(circ_int,0,eq_c2/2)))/(s_0+0*s_r+IF(circ_int,eq_c1/2,0))),IF(((29+0.5)*(4*IF(circ_int,0,eq_c1/2)+4*IF(circ_int,0,eq_c2/2)+2*PI()*(s_0+0*s_r+IF(circ_int,eq_c1/2,0)))/INDEX(lk_legs,1))&lt;(((2*IF(circ_int,0,eq_c2/2))+(PI()*(s_0+0*s_r+IF(circ_int,eq_c1/2,0))/2))+2*IF(circ_int,0,eq_c1/2)),IF(circ_int,0,eq_c1/2)-(((29+0.5)*(4*IF(circ_int,0,eq_c1/2)+4*IF(circ_int,0,eq_c2/2)+2*PI()*(s_0+0*s_r+IF(circ_int,eq_c1/2,0)))/INDEX(lk_legs,1))-((2*IF(circ_int,0,eq_c2/2))+(PI()*(s_0+0*s_r+IF(circ_int,eq_c1/2,0))/2))),IF(((29+0.5)*(4*IF(circ_int,0,eq_c1/2)+4*IF(circ_int,0,eq_c2/2)+2*PI()*(s_0+0*s_r+IF(circ_int,eq_c1/2,0)))/INDEX(lk_legs,1))&lt;((((2*IF(circ_int,0,eq_c2/2))+(PI()*(s_0+0*s_r+IF(circ_int,eq_c1/2,0))/2))+2*IF(circ_int,0,eq_c1/2))+(PI()*(s_0+0*s_r+IF(circ_int,eq_c1/2,0))/2)),-IF(circ_int,0,eq_c1/2)+(s_0+0*s_r+IF(circ_int,eq_c1/2,0))*COS(PI()/2+(((29+0.5)*(4*IF(circ_int,0,eq_c1/2)+4*IF(circ_int,0,eq_c2/2)+2*PI()*(s_0+0*s_r+IF(circ_int,eq_c1/2,0)))/INDEX(lk_legs,1))-(((2*IF(circ_int,0,eq_c2/2))+(PI()*(s_0+0*s_r+IF(circ_int,eq_c1/2,0))/2))+2*IF(circ_int,0,eq_c1/2)))/(s_0+0*s_r+IF(circ_int,eq_c1/2,0))),IF(((29+0.5)*(4*IF(circ_int,0,eq_c1/2)+4*IF(circ_int,0,eq_c2/2)+2*PI()*(s_0+0*s_r+IF(circ_int,eq_c1/2,0)))/INDEX(lk_legs,1))&lt;(((((2*IF(circ_int,0,eq_c2/2))+(PI()*(s_0+0*s_r+IF(circ_int,eq_c1/2,0))/2))+2*IF(circ_int,0,eq_c1/2))+(PI()*(s_0+0*s_r+IF(circ_int,eq_c1/2,0))/2))+2*IF(circ_int,0,eq_c2/2)),-IF(circ_int,0,eq_c1/2)-(s_0+0*s_r+IF(circ_int,eq_c1/2,0)),IF(((29+0.5)*(4*IF(circ_int,0,eq_c1/2)+4*IF(circ_int,0,eq_c2/2)+2*PI()*(s_0+0*s_r+IF(circ_int,eq_c1/2,0)))/INDEX(lk_legs,1))&lt;((((((2*IF(circ_int,0,eq_c2/2))+(PI()*(s_0+0*s_r+IF(circ_int,eq_c1/2,0))/2))+2*IF(circ_int,0,eq_c1/2))+(PI()*(s_0+0*s_r+IF(circ_int,eq_c1/2,0))/2))+2*IF(circ_int,0,eq_c2/2))+(PI()*(s_0+0*s_r+IF(circ_int,eq_c1/2,0))/2)),-IF(circ_int,0,eq_c1/2)+(s_0+0*s_r+IF(circ_int,eq_c1/2,0))*COS(PI()+(((29+0.5)*(4*IF(circ_int,0,eq_c1/2)+4*IF(circ_int,0,eq_c2/2)+2*PI()*(s_0+0*s_r+IF(circ_int,eq_c1/2,0)))/INDEX(lk_legs,1))-(((((2*IF(circ_int,0,eq_c2/2))+(PI()*(s_0+0*s_r+IF(circ_int,eq_c1/2,0))/2))+2*IF(circ_int,0,eq_c1/2))+(PI()*(s_0+0*s_r+IF(circ_int,eq_c1/2,0))/2))+2*IF(circ_int,0,eq_c2/2)))/(s_0+0*s_r+IF(circ_int,eq_c1/2,0))),IF(((29+0.5)*(4*IF(circ_int,0,eq_c1/2)+4*IF(circ_int,0,eq_c2/2)+2*PI()*(s_0+0*s_r+IF(circ_int,eq_c1/2,0)))/INDEX(lk_legs,1))&lt;(((((((2*IF(circ_int,0,eq_c2/2))+(PI()*(s_0+0*s_r+IF(circ_int,eq_c1/2,0))/2))+2*IF(circ_int,0,eq_c1/2))+(PI()*(s_0+0*s_r+IF(circ_int,eq_c1/2,0))/2))+2*IF(circ_int,0,eq_c2/2))+(PI()*(s_0+0*s_r+IF(circ_int,eq_c1/2,0))/2))+2*IF(circ_int,0,eq_c1/2)),-IF(circ_int,0,eq_c1/2)+(((29+0.5)*(4*IF(circ_int,0,eq_c1/2)+4*IF(circ_int,0,eq_c2/2)+2*PI()*(s_0+0*s_r+IF(circ_int,eq_c1/2,0)))/INDEX(lk_legs,1))-((((((2*IF(circ_int,0,eq_c2/2))+(PI()*(s_0+0*s_r+IF(circ_int,eq_c1/2,0))/2))+2*IF(circ_int,0,eq_c1/2))+(PI()*(s_0+0*s_r+IF(circ_int,eq_c1/2,0))/2))+2*IF(circ_int,0,eq_c2/2))+(PI()*(s_0+0*s_r+IF(circ_int,eq_c1/2,0))/2))),IF(circ_int,0,eq_c1/2)+(s_0+0*s_r+IF(circ_int,eq_c1/2,0))*COS(3*PI()/2+(((29+0.5)*(4*IF(circ_int,0,eq_c1/2)+4*IF(circ_int,0,eq_c2/2)+2*PI()*(s_0+0*s_r+IF(circ_int,eq_c1/2,0)))/INDEX(lk_legs,1))-(((((((2*IF(circ_int,0,eq_c2/2))+(PI()*(s_0+0*s_r+IF(circ_int,eq_c1/2,0))/2))+2*IF(circ_int,0,eq_c1/2))+(PI()*(s_0+0*s_r+IF(circ_int,eq_c1/2,0))/2))+2*IF(circ_int,0,eq_c2/2))+(PI()*(s_0+0*s_r+IF(circ_int,eq_c1/2,0))/2))+2*IF(circ_int,0,eq_c1/2)))/(s_0+0*s_r+IF(circ_int,eq_c1/2,0)))))))))),NA())</f>
        <v/>
      </c>
      <c r="BA32">
        <f>IF(AND(AND(links_on,1&lt;=n_per),INDEX(lk_kind,1)=1,29&lt;INDEX(lk_legs,1)),g_oy+IF(((29+0.5)*(4*IF(circ_int,0,eq_c1/2)+4*IF(circ_int,0,eq_c2/2)+2*PI()*(s_0+0*s_r+IF(circ_int,eq_c1/2,0)))/INDEX(lk_legs,1))&lt;(2*IF(circ_int,0,eq_c2/2)),-IF(circ_int,0,eq_c2/2)+((29+0.5)*(4*IF(circ_int,0,eq_c1/2)+4*IF(circ_int,0,eq_c2/2)+2*PI()*(s_0+0*s_r+IF(circ_int,eq_c1/2,0)))/INDEX(lk_legs,1)),IF(((29+0.5)*(4*IF(circ_int,0,eq_c1/2)+4*IF(circ_int,0,eq_c2/2)+2*PI()*(s_0+0*s_r+IF(circ_int,eq_c1/2,0)))/INDEX(lk_legs,1))&lt;((2*IF(circ_int,0,eq_c2/2))+(PI()*(s_0+0*s_r+IF(circ_int,eq_c1/2,0))/2)),IF(circ_int,0,eq_c2/2)+(s_0+0*s_r+IF(circ_int,eq_c1/2,0))*SIN((((29+0.5)*(4*IF(circ_int,0,eq_c1/2)+4*IF(circ_int,0,eq_c2/2)+2*PI()*(s_0+0*s_r+IF(circ_int,eq_c1/2,0)))/INDEX(lk_legs,1))-(2*IF(circ_int,0,eq_c2/2)))/(s_0+0*s_r+IF(circ_int,eq_c1/2,0))),IF(((29+0.5)*(4*IF(circ_int,0,eq_c1/2)+4*IF(circ_int,0,eq_c2/2)+2*PI()*(s_0+0*s_r+IF(circ_int,eq_c1/2,0)))/INDEX(lk_legs,1))&lt;(((2*IF(circ_int,0,eq_c2/2))+(PI()*(s_0+0*s_r+IF(circ_int,eq_c1/2,0))/2))+2*IF(circ_int,0,eq_c1/2)),IF(circ_int,0,eq_c2/2)+(s_0+0*s_r+IF(circ_int,eq_c1/2,0)),IF(((29+0.5)*(4*IF(circ_int,0,eq_c1/2)+4*IF(circ_int,0,eq_c2/2)+2*PI()*(s_0+0*s_r+IF(circ_int,eq_c1/2,0)))/INDEX(lk_legs,1))&lt;((((2*IF(circ_int,0,eq_c2/2))+(PI()*(s_0+0*s_r+IF(circ_int,eq_c1/2,0))/2))+2*IF(circ_int,0,eq_c1/2))+(PI()*(s_0+0*s_r+IF(circ_int,eq_c1/2,0))/2)),IF(circ_int,0,eq_c2/2)+(s_0+0*s_r+IF(circ_int,eq_c1/2,0))*SIN(PI()/2+(((29+0.5)*(4*IF(circ_int,0,eq_c1/2)+4*IF(circ_int,0,eq_c2/2)+2*PI()*(s_0+0*s_r+IF(circ_int,eq_c1/2,0)))/INDEX(lk_legs,1))-(((2*IF(circ_int,0,eq_c2/2))+(PI()*(s_0+0*s_r+IF(circ_int,eq_c1/2,0))/2))+2*IF(circ_int,0,eq_c1/2)))/(s_0+0*s_r+IF(circ_int,eq_c1/2,0))),IF(((29+0.5)*(4*IF(circ_int,0,eq_c1/2)+4*IF(circ_int,0,eq_c2/2)+2*PI()*(s_0+0*s_r+IF(circ_int,eq_c1/2,0)))/INDEX(lk_legs,1))&lt;(((((2*IF(circ_int,0,eq_c2/2))+(PI()*(s_0+0*s_r+IF(circ_int,eq_c1/2,0))/2))+2*IF(circ_int,0,eq_c1/2))+(PI()*(s_0+0*s_r+IF(circ_int,eq_c1/2,0))/2))+2*IF(circ_int,0,eq_c2/2)),IF(circ_int,0,eq_c2/2)-(((29+0.5)*(4*IF(circ_int,0,eq_c1/2)+4*IF(circ_int,0,eq_c2/2)+2*PI()*(s_0+0*s_r+IF(circ_int,eq_c1/2,0)))/INDEX(lk_legs,1))-((((2*IF(circ_int,0,eq_c2/2))+(PI()*(s_0+0*s_r+IF(circ_int,eq_c1/2,0))/2))+2*IF(circ_int,0,eq_c1/2))+(PI()*(s_0+0*s_r+IF(circ_int,eq_c1/2,0))/2))),IF(((29+0.5)*(4*IF(circ_int,0,eq_c1/2)+4*IF(circ_int,0,eq_c2/2)+2*PI()*(s_0+0*s_r+IF(circ_int,eq_c1/2,0)))/INDEX(lk_legs,1))&lt;((((((2*IF(circ_int,0,eq_c2/2))+(PI()*(s_0+0*s_r+IF(circ_int,eq_c1/2,0))/2))+2*IF(circ_int,0,eq_c1/2))+(PI()*(s_0+0*s_r+IF(circ_int,eq_c1/2,0))/2))+2*IF(circ_int,0,eq_c2/2))+(PI()*(s_0+0*s_r+IF(circ_int,eq_c1/2,0))/2)),-IF(circ_int,0,eq_c2/2)+(s_0+0*s_r+IF(circ_int,eq_c1/2,0))*SIN(PI()+(((29+0.5)*(4*IF(circ_int,0,eq_c1/2)+4*IF(circ_int,0,eq_c2/2)+2*PI()*(s_0+0*s_r+IF(circ_int,eq_c1/2,0)))/INDEX(lk_legs,1))-(((((2*IF(circ_int,0,eq_c2/2))+(PI()*(s_0+0*s_r+IF(circ_int,eq_c1/2,0))/2))+2*IF(circ_int,0,eq_c1/2))+(PI()*(s_0+0*s_r+IF(circ_int,eq_c1/2,0))/2))+2*IF(circ_int,0,eq_c2/2)))/(s_0+0*s_r+IF(circ_int,eq_c1/2,0))),IF(((29+0.5)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(29+0.5)*(4*IF(circ_int,0,eq_c1/2)+4*IF(circ_int,0,eq_c2/2)+2*PI()*(s_0+0*s_r+IF(circ_int,eq_c1/2,0)))/INDEX(lk_legs,1))-(((((((2*IF(circ_int,0,eq_c2/2))+(PI()*(s_0+0*s_r+IF(circ_int,eq_c1/2,0))/2))+2*IF(circ_int,0,eq_c1/2))+(PI()*(s_0+0*s_r+IF(circ_int,eq_c1/2,0))/2))+2*IF(circ_int,0,eq_c2/2))+(PI()*(s_0+0*s_r+IF(circ_int,eq_c1/2,0))/2))+2*IF(circ_int,0,eq_c1/2)))/(s_0+0*s_r+IF(circ_int,eq_c1/2,0)))))))))),NA())</f>
        <v/>
      </c>
      <c r="BC32">
        <f>IF(AND(links_on,2&lt;=n_per),IF(circ_int,(g_ox)+(c_1/2+(s_0+1*s_r))*-0.935016,CHOOSE(INDEX(lk_kind,2),(g_ox-eq_c1/2)+((s_0+1*s_r))*-0.923880,0,eq_a1+eq_c1+(s_0+1*s_r),eq_a1+eq_c1+(s_0+1*s_r))),NA())</f>
        <v/>
      </c>
      <c r="BD32">
        <f>IF(AND(links_on,2&lt;=n_per),IF(circ_int,(g_oy)+(c_1/2+(s_0+1*s_r))*-0.354605,CHOOSE(INDEX(lk_kind,2),(g_oy-eq_c2/2)+((s_0+1*s_r))*-0.382683,g_oy-eq_c2/2-(s_0+1*s_r),0,0)),NA())</f>
        <v/>
      </c>
      <c r="BF32">
        <f>IF(AND(AND(links_on,2&lt;=n_per),INDEX(lk_kind,2)=1,29&lt;INDEX(lk_legs,2)),g_ox+IF(((29+0.5)*(4*IF(circ_int,0,eq_c1/2)+4*IF(circ_int,0,eq_c2/2)+2*PI()*(s_0+1*s_r+IF(circ_int,eq_c1/2,0)))/INDEX(lk_legs,2))&lt;(2*IF(circ_int,0,eq_c2/2)),IF(circ_int,0,eq_c1/2)+(s_0+1*s_r+IF(circ_int,eq_c1/2,0)),IF(((29+0.5)*(4*IF(circ_int,0,eq_c1/2)+4*IF(circ_int,0,eq_c2/2)+2*PI()*(s_0+1*s_r+IF(circ_int,eq_c1/2,0)))/INDEX(lk_legs,2))&lt;((2*IF(circ_int,0,eq_c2/2))+(PI()*(s_0+1*s_r+IF(circ_int,eq_c1/2,0))/2)),IF(circ_int,0,eq_c1/2)+(s_0+1*s_r+IF(circ_int,eq_c1/2,0))*COS((((29+0.5)*(4*IF(circ_int,0,eq_c1/2)+4*IF(circ_int,0,eq_c2/2)+2*PI()*(s_0+1*s_r+IF(circ_int,eq_c1/2,0)))/INDEX(lk_legs,2))-(2*IF(circ_int,0,eq_c2/2)))/(s_0+1*s_r+IF(circ_int,eq_c1/2,0))),IF(((29+0.5)*(4*IF(circ_int,0,eq_c1/2)+4*IF(circ_int,0,eq_c2/2)+2*PI()*(s_0+1*s_r+IF(circ_int,eq_c1/2,0)))/INDEX(lk_legs,2))&lt;(((2*IF(circ_int,0,eq_c2/2))+(PI()*(s_0+1*s_r+IF(circ_int,eq_c1/2,0))/2))+2*IF(circ_int,0,eq_c1/2)),IF(circ_int,0,eq_c1/2)-(((29+0.5)*(4*IF(circ_int,0,eq_c1/2)+4*IF(circ_int,0,eq_c2/2)+2*PI()*(s_0+1*s_r+IF(circ_int,eq_c1/2,0)))/INDEX(lk_legs,2))-((2*IF(circ_int,0,eq_c2/2))+(PI()*(s_0+1*s_r+IF(circ_int,eq_c1/2,0))/2))),IF(((29+0.5)*(4*IF(circ_int,0,eq_c1/2)+4*IF(circ_int,0,eq_c2/2)+2*PI()*(s_0+1*s_r+IF(circ_int,eq_c1/2,0)))/INDEX(lk_legs,2))&lt;((((2*IF(circ_int,0,eq_c2/2))+(PI()*(s_0+1*s_r+IF(circ_int,eq_c1/2,0))/2))+2*IF(circ_int,0,eq_c1/2))+(PI()*(s_0+1*s_r+IF(circ_int,eq_c1/2,0))/2)),-IF(circ_int,0,eq_c1/2)+(s_0+1*s_r+IF(circ_int,eq_c1/2,0))*COS(PI()/2+(((29+0.5)*(4*IF(circ_int,0,eq_c1/2)+4*IF(circ_int,0,eq_c2/2)+2*PI()*(s_0+1*s_r+IF(circ_int,eq_c1/2,0)))/INDEX(lk_legs,2))-(((2*IF(circ_int,0,eq_c2/2))+(PI()*(s_0+1*s_r+IF(circ_int,eq_c1/2,0))/2))+2*IF(circ_int,0,eq_c1/2)))/(s_0+1*s_r+IF(circ_int,eq_c1/2,0))),IF(((29+0.5)*(4*IF(circ_int,0,eq_c1/2)+4*IF(circ_int,0,eq_c2/2)+2*PI()*(s_0+1*s_r+IF(circ_int,eq_c1/2,0)))/INDEX(lk_legs,2))&lt;(((((2*IF(circ_int,0,eq_c2/2))+(PI()*(s_0+1*s_r+IF(circ_int,eq_c1/2,0))/2))+2*IF(circ_int,0,eq_c1/2))+(PI()*(s_0+1*s_r+IF(circ_int,eq_c1/2,0))/2))+2*IF(circ_int,0,eq_c2/2)),-IF(circ_int,0,eq_c1/2)-(s_0+1*s_r+IF(circ_int,eq_c1/2,0)),IF(((29+0.5)*(4*IF(circ_int,0,eq_c1/2)+4*IF(circ_int,0,eq_c2/2)+2*PI()*(s_0+1*s_r+IF(circ_int,eq_c1/2,0)))/INDEX(lk_legs,2))&lt;((((((2*IF(circ_int,0,eq_c2/2))+(PI()*(s_0+1*s_r+IF(circ_int,eq_c1/2,0))/2))+2*IF(circ_int,0,eq_c1/2))+(PI()*(s_0+1*s_r+IF(circ_int,eq_c1/2,0))/2))+2*IF(circ_int,0,eq_c2/2))+(PI()*(s_0+1*s_r+IF(circ_int,eq_c1/2,0))/2)),-IF(circ_int,0,eq_c1/2)+(s_0+1*s_r+IF(circ_int,eq_c1/2,0))*COS(PI()+(((29+0.5)*(4*IF(circ_int,0,eq_c1/2)+4*IF(circ_int,0,eq_c2/2)+2*PI()*(s_0+1*s_r+IF(circ_int,eq_c1/2,0)))/INDEX(lk_legs,2))-(((((2*IF(circ_int,0,eq_c2/2))+(PI()*(s_0+1*s_r+IF(circ_int,eq_c1/2,0))/2))+2*IF(circ_int,0,eq_c1/2))+(PI()*(s_0+1*s_r+IF(circ_int,eq_c1/2,0))/2))+2*IF(circ_int,0,eq_c2/2)))/(s_0+1*s_r+IF(circ_int,eq_c1/2,0))),IF(((29+0.5)*(4*IF(circ_int,0,eq_c1/2)+4*IF(circ_int,0,eq_c2/2)+2*PI()*(s_0+1*s_r+IF(circ_int,eq_c1/2,0)))/INDEX(lk_legs,2))&lt;(((((((2*IF(circ_int,0,eq_c2/2))+(PI()*(s_0+1*s_r+IF(circ_int,eq_c1/2,0))/2))+2*IF(circ_int,0,eq_c1/2))+(PI()*(s_0+1*s_r+IF(circ_int,eq_c1/2,0))/2))+2*IF(circ_int,0,eq_c2/2))+(PI()*(s_0+1*s_r+IF(circ_int,eq_c1/2,0))/2))+2*IF(circ_int,0,eq_c1/2)),-IF(circ_int,0,eq_c1/2)+(((29+0.5)*(4*IF(circ_int,0,eq_c1/2)+4*IF(circ_int,0,eq_c2/2)+2*PI()*(s_0+1*s_r+IF(circ_int,eq_c1/2,0)))/INDEX(lk_legs,2))-((((((2*IF(circ_int,0,eq_c2/2))+(PI()*(s_0+1*s_r+IF(circ_int,eq_c1/2,0))/2))+2*IF(circ_int,0,eq_c1/2))+(PI()*(s_0+1*s_r+IF(circ_int,eq_c1/2,0))/2))+2*IF(circ_int,0,eq_c2/2))+(PI()*(s_0+1*s_r+IF(circ_int,eq_c1/2,0))/2))),IF(circ_int,0,eq_c1/2)+(s_0+1*s_r+IF(circ_int,eq_c1/2,0))*COS(3*PI()/2+(((29+0.5)*(4*IF(circ_int,0,eq_c1/2)+4*IF(circ_int,0,eq_c2/2)+2*PI()*(s_0+1*s_r+IF(circ_int,eq_c1/2,0)))/INDEX(lk_legs,2))-(((((((2*IF(circ_int,0,eq_c2/2))+(PI()*(s_0+1*s_r+IF(circ_int,eq_c1/2,0))/2))+2*IF(circ_int,0,eq_c1/2))+(PI()*(s_0+1*s_r+IF(circ_int,eq_c1/2,0))/2))+2*IF(circ_int,0,eq_c2/2))+(PI()*(s_0+1*s_r+IF(circ_int,eq_c1/2,0))/2))+2*IF(circ_int,0,eq_c1/2)))/(s_0+1*s_r+IF(circ_int,eq_c1/2,0)))))))))),NA())</f>
        <v/>
      </c>
      <c r="BG32">
        <f>IF(AND(AND(links_on,2&lt;=n_per),INDEX(lk_kind,2)=1,29&lt;INDEX(lk_legs,2)),g_oy+IF(((29+0.5)*(4*IF(circ_int,0,eq_c1/2)+4*IF(circ_int,0,eq_c2/2)+2*PI()*(s_0+1*s_r+IF(circ_int,eq_c1/2,0)))/INDEX(lk_legs,2))&lt;(2*IF(circ_int,0,eq_c2/2)),-IF(circ_int,0,eq_c2/2)+((29+0.5)*(4*IF(circ_int,0,eq_c1/2)+4*IF(circ_int,0,eq_c2/2)+2*PI()*(s_0+1*s_r+IF(circ_int,eq_c1/2,0)))/INDEX(lk_legs,2)),IF(((29+0.5)*(4*IF(circ_int,0,eq_c1/2)+4*IF(circ_int,0,eq_c2/2)+2*PI()*(s_0+1*s_r+IF(circ_int,eq_c1/2,0)))/INDEX(lk_legs,2))&lt;((2*IF(circ_int,0,eq_c2/2))+(PI()*(s_0+1*s_r+IF(circ_int,eq_c1/2,0))/2)),IF(circ_int,0,eq_c2/2)+(s_0+1*s_r+IF(circ_int,eq_c1/2,0))*SIN((((29+0.5)*(4*IF(circ_int,0,eq_c1/2)+4*IF(circ_int,0,eq_c2/2)+2*PI()*(s_0+1*s_r+IF(circ_int,eq_c1/2,0)))/INDEX(lk_legs,2))-(2*IF(circ_int,0,eq_c2/2)))/(s_0+1*s_r+IF(circ_int,eq_c1/2,0))),IF(((29+0.5)*(4*IF(circ_int,0,eq_c1/2)+4*IF(circ_int,0,eq_c2/2)+2*PI()*(s_0+1*s_r+IF(circ_int,eq_c1/2,0)))/INDEX(lk_legs,2))&lt;(((2*IF(circ_int,0,eq_c2/2))+(PI()*(s_0+1*s_r+IF(circ_int,eq_c1/2,0))/2))+2*IF(circ_int,0,eq_c1/2)),IF(circ_int,0,eq_c2/2)+(s_0+1*s_r+IF(circ_int,eq_c1/2,0)),IF(((29+0.5)*(4*IF(circ_int,0,eq_c1/2)+4*IF(circ_int,0,eq_c2/2)+2*PI()*(s_0+1*s_r+IF(circ_int,eq_c1/2,0)))/INDEX(lk_legs,2))&lt;((((2*IF(circ_int,0,eq_c2/2))+(PI()*(s_0+1*s_r+IF(circ_int,eq_c1/2,0))/2))+2*IF(circ_int,0,eq_c1/2))+(PI()*(s_0+1*s_r+IF(circ_int,eq_c1/2,0))/2)),IF(circ_int,0,eq_c2/2)+(s_0+1*s_r+IF(circ_int,eq_c1/2,0))*SIN(PI()/2+(((29+0.5)*(4*IF(circ_int,0,eq_c1/2)+4*IF(circ_int,0,eq_c2/2)+2*PI()*(s_0+1*s_r+IF(circ_int,eq_c1/2,0)))/INDEX(lk_legs,2))-(((2*IF(circ_int,0,eq_c2/2))+(PI()*(s_0+1*s_r+IF(circ_int,eq_c1/2,0))/2))+2*IF(circ_int,0,eq_c1/2)))/(s_0+1*s_r+IF(circ_int,eq_c1/2,0))),IF(((29+0.5)*(4*IF(circ_int,0,eq_c1/2)+4*IF(circ_int,0,eq_c2/2)+2*PI()*(s_0+1*s_r+IF(circ_int,eq_c1/2,0)))/INDEX(lk_legs,2))&lt;(((((2*IF(circ_int,0,eq_c2/2))+(PI()*(s_0+1*s_r+IF(circ_int,eq_c1/2,0))/2))+2*IF(circ_int,0,eq_c1/2))+(PI()*(s_0+1*s_r+IF(circ_int,eq_c1/2,0))/2))+2*IF(circ_int,0,eq_c2/2)),IF(circ_int,0,eq_c2/2)-(((29+0.5)*(4*IF(circ_int,0,eq_c1/2)+4*IF(circ_int,0,eq_c2/2)+2*PI()*(s_0+1*s_r+IF(circ_int,eq_c1/2,0)))/INDEX(lk_legs,2))-((((2*IF(circ_int,0,eq_c2/2))+(PI()*(s_0+1*s_r+IF(circ_int,eq_c1/2,0))/2))+2*IF(circ_int,0,eq_c1/2))+(PI()*(s_0+1*s_r+IF(circ_int,eq_c1/2,0))/2))),IF(((29+0.5)*(4*IF(circ_int,0,eq_c1/2)+4*IF(circ_int,0,eq_c2/2)+2*PI()*(s_0+1*s_r+IF(circ_int,eq_c1/2,0)))/INDEX(lk_legs,2))&lt;((((((2*IF(circ_int,0,eq_c2/2))+(PI()*(s_0+1*s_r+IF(circ_int,eq_c1/2,0))/2))+2*IF(circ_int,0,eq_c1/2))+(PI()*(s_0+1*s_r+IF(circ_int,eq_c1/2,0))/2))+2*IF(circ_int,0,eq_c2/2))+(PI()*(s_0+1*s_r+IF(circ_int,eq_c1/2,0))/2)),-IF(circ_int,0,eq_c2/2)+(s_0+1*s_r+IF(circ_int,eq_c1/2,0))*SIN(PI()+(((29+0.5)*(4*IF(circ_int,0,eq_c1/2)+4*IF(circ_int,0,eq_c2/2)+2*PI()*(s_0+1*s_r+IF(circ_int,eq_c1/2,0)))/INDEX(lk_legs,2))-(((((2*IF(circ_int,0,eq_c2/2))+(PI()*(s_0+1*s_r+IF(circ_int,eq_c1/2,0))/2))+2*IF(circ_int,0,eq_c1/2))+(PI()*(s_0+1*s_r+IF(circ_int,eq_c1/2,0))/2))+2*IF(circ_int,0,eq_c2/2)))/(s_0+1*s_r+IF(circ_int,eq_c1/2,0))),IF(((29+0.5)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(29+0.5)*(4*IF(circ_int,0,eq_c1/2)+4*IF(circ_int,0,eq_c2/2)+2*PI()*(s_0+1*s_r+IF(circ_int,eq_c1/2,0)))/INDEX(lk_legs,2))-(((((((2*IF(circ_int,0,eq_c2/2))+(PI()*(s_0+1*s_r+IF(circ_int,eq_c1/2,0))/2))+2*IF(circ_int,0,eq_c1/2))+(PI()*(s_0+1*s_r+IF(circ_int,eq_c1/2,0))/2))+2*IF(circ_int,0,eq_c2/2))+(PI()*(s_0+1*s_r+IF(circ_int,eq_c1/2,0))/2))+2*IF(circ_int,0,eq_c1/2)))/(s_0+1*s_r+IF(circ_int,eq_c1/2,0)))))))))),NA())</f>
        <v/>
      </c>
      <c r="BI32">
        <f>IF(AND(links_on,3&lt;=n_per),IF(circ_int,(g_ox)+(c_1/2+(s_0+2*s_r))*-0.935016,CHOOSE(INDEX(lk_kind,3),(g_ox-eq_c1/2)+((s_0+2*s_r))*-0.923880,0,eq_a1+eq_c1+(s_0+2*s_r),eq_a1+eq_c1+(s_0+2*s_r))),NA())</f>
        <v/>
      </c>
      <c r="BJ32">
        <f>IF(AND(links_on,3&lt;=n_per),IF(circ_int,(g_oy)+(c_1/2+(s_0+2*s_r))*-0.354605,CHOOSE(INDEX(lk_kind,3),(g_oy-eq_c2/2)+((s_0+2*s_r))*-0.382683,g_oy-eq_c2/2-(s_0+2*s_r),0,0)),NA())</f>
        <v/>
      </c>
      <c r="BL32">
        <f>IF(AND(AND(links_on,3&lt;=n_per),INDEX(lk_kind,3)=1,29&lt;INDEX(lk_legs,3)),g_ox+IF(((29+0.5)*(4*IF(circ_int,0,eq_c1/2)+4*IF(circ_int,0,eq_c2/2)+2*PI()*(s_0+2*s_r+IF(circ_int,eq_c1/2,0)))/INDEX(lk_legs,3))&lt;(2*IF(circ_int,0,eq_c2/2)),IF(circ_int,0,eq_c1/2)+(s_0+2*s_r+IF(circ_int,eq_c1/2,0)),IF(((29+0.5)*(4*IF(circ_int,0,eq_c1/2)+4*IF(circ_int,0,eq_c2/2)+2*PI()*(s_0+2*s_r+IF(circ_int,eq_c1/2,0)))/INDEX(lk_legs,3))&lt;((2*IF(circ_int,0,eq_c2/2))+(PI()*(s_0+2*s_r+IF(circ_int,eq_c1/2,0))/2)),IF(circ_int,0,eq_c1/2)+(s_0+2*s_r+IF(circ_int,eq_c1/2,0))*COS((((29+0.5)*(4*IF(circ_int,0,eq_c1/2)+4*IF(circ_int,0,eq_c2/2)+2*PI()*(s_0+2*s_r+IF(circ_int,eq_c1/2,0)))/INDEX(lk_legs,3))-(2*IF(circ_int,0,eq_c2/2)))/(s_0+2*s_r+IF(circ_int,eq_c1/2,0))),IF(((29+0.5)*(4*IF(circ_int,0,eq_c1/2)+4*IF(circ_int,0,eq_c2/2)+2*PI()*(s_0+2*s_r+IF(circ_int,eq_c1/2,0)))/INDEX(lk_legs,3))&lt;(((2*IF(circ_int,0,eq_c2/2))+(PI()*(s_0+2*s_r+IF(circ_int,eq_c1/2,0))/2))+2*IF(circ_int,0,eq_c1/2)),IF(circ_int,0,eq_c1/2)-(((29+0.5)*(4*IF(circ_int,0,eq_c1/2)+4*IF(circ_int,0,eq_c2/2)+2*PI()*(s_0+2*s_r+IF(circ_int,eq_c1/2,0)))/INDEX(lk_legs,3))-((2*IF(circ_int,0,eq_c2/2))+(PI()*(s_0+2*s_r+IF(circ_int,eq_c1/2,0))/2))),IF(((29+0.5)*(4*IF(circ_int,0,eq_c1/2)+4*IF(circ_int,0,eq_c2/2)+2*PI()*(s_0+2*s_r+IF(circ_int,eq_c1/2,0)))/INDEX(lk_legs,3))&lt;((((2*IF(circ_int,0,eq_c2/2))+(PI()*(s_0+2*s_r+IF(circ_int,eq_c1/2,0))/2))+2*IF(circ_int,0,eq_c1/2))+(PI()*(s_0+2*s_r+IF(circ_int,eq_c1/2,0))/2)),-IF(circ_int,0,eq_c1/2)+(s_0+2*s_r+IF(circ_int,eq_c1/2,0))*COS(PI()/2+(((29+0.5)*(4*IF(circ_int,0,eq_c1/2)+4*IF(circ_int,0,eq_c2/2)+2*PI()*(s_0+2*s_r+IF(circ_int,eq_c1/2,0)))/INDEX(lk_legs,3))-(((2*IF(circ_int,0,eq_c2/2))+(PI()*(s_0+2*s_r+IF(circ_int,eq_c1/2,0))/2))+2*IF(circ_int,0,eq_c1/2)))/(s_0+2*s_r+IF(circ_int,eq_c1/2,0))),IF(((29+0.5)*(4*IF(circ_int,0,eq_c1/2)+4*IF(circ_int,0,eq_c2/2)+2*PI()*(s_0+2*s_r+IF(circ_int,eq_c1/2,0)))/INDEX(lk_legs,3))&lt;(((((2*IF(circ_int,0,eq_c2/2))+(PI()*(s_0+2*s_r+IF(circ_int,eq_c1/2,0))/2))+2*IF(circ_int,0,eq_c1/2))+(PI()*(s_0+2*s_r+IF(circ_int,eq_c1/2,0))/2))+2*IF(circ_int,0,eq_c2/2)),-IF(circ_int,0,eq_c1/2)-(s_0+2*s_r+IF(circ_int,eq_c1/2,0)),IF(((29+0.5)*(4*IF(circ_int,0,eq_c1/2)+4*IF(circ_int,0,eq_c2/2)+2*PI()*(s_0+2*s_r+IF(circ_int,eq_c1/2,0)))/INDEX(lk_legs,3))&lt;((((((2*IF(circ_int,0,eq_c2/2))+(PI()*(s_0+2*s_r+IF(circ_int,eq_c1/2,0))/2))+2*IF(circ_int,0,eq_c1/2))+(PI()*(s_0+2*s_r+IF(circ_int,eq_c1/2,0))/2))+2*IF(circ_int,0,eq_c2/2))+(PI()*(s_0+2*s_r+IF(circ_int,eq_c1/2,0))/2)),-IF(circ_int,0,eq_c1/2)+(s_0+2*s_r+IF(circ_int,eq_c1/2,0))*COS(PI()+(((29+0.5)*(4*IF(circ_int,0,eq_c1/2)+4*IF(circ_int,0,eq_c2/2)+2*PI()*(s_0+2*s_r+IF(circ_int,eq_c1/2,0)))/INDEX(lk_legs,3))-(((((2*IF(circ_int,0,eq_c2/2))+(PI()*(s_0+2*s_r+IF(circ_int,eq_c1/2,0))/2))+2*IF(circ_int,0,eq_c1/2))+(PI()*(s_0+2*s_r+IF(circ_int,eq_c1/2,0))/2))+2*IF(circ_int,0,eq_c2/2)))/(s_0+2*s_r+IF(circ_int,eq_c1/2,0))),IF(((29+0.5)*(4*IF(circ_int,0,eq_c1/2)+4*IF(circ_int,0,eq_c2/2)+2*PI()*(s_0+2*s_r+IF(circ_int,eq_c1/2,0)))/INDEX(lk_legs,3))&lt;(((((((2*IF(circ_int,0,eq_c2/2))+(PI()*(s_0+2*s_r+IF(circ_int,eq_c1/2,0))/2))+2*IF(circ_int,0,eq_c1/2))+(PI()*(s_0+2*s_r+IF(circ_int,eq_c1/2,0))/2))+2*IF(circ_int,0,eq_c2/2))+(PI()*(s_0+2*s_r+IF(circ_int,eq_c1/2,0))/2))+2*IF(circ_int,0,eq_c1/2)),-IF(circ_int,0,eq_c1/2)+(((29+0.5)*(4*IF(circ_int,0,eq_c1/2)+4*IF(circ_int,0,eq_c2/2)+2*PI()*(s_0+2*s_r+IF(circ_int,eq_c1/2,0)))/INDEX(lk_legs,3))-((((((2*IF(circ_int,0,eq_c2/2))+(PI()*(s_0+2*s_r+IF(circ_int,eq_c1/2,0))/2))+2*IF(circ_int,0,eq_c1/2))+(PI()*(s_0+2*s_r+IF(circ_int,eq_c1/2,0))/2))+2*IF(circ_int,0,eq_c2/2))+(PI()*(s_0+2*s_r+IF(circ_int,eq_c1/2,0))/2))),IF(circ_int,0,eq_c1/2)+(s_0+2*s_r+IF(circ_int,eq_c1/2,0))*COS(3*PI()/2+(((29+0.5)*(4*IF(circ_int,0,eq_c1/2)+4*IF(circ_int,0,eq_c2/2)+2*PI()*(s_0+2*s_r+IF(circ_int,eq_c1/2,0)))/INDEX(lk_legs,3))-(((((((2*IF(circ_int,0,eq_c2/2))+(PI()*(s_0+2*s_r+IF(circ_int,eq_c1/2,0))/2))+2*IF(circ_int,0,eq_c1/2))+(PI()*(s_0+2*s_r+IF(circ_int,eq_c1/2,0))/2))+2*IF(circ_int,0,eq_c2/2))+(PI()*(s_0+2*s_r+IF(circ_int,eq_c1/2,0))/2))+2*IF(circ_int,0,eq_c1/2)))/(s_0+2*s_r+IF(circ_int,eq_c1/2,0)))))))))),NA())</f>
        <v/>
      </c>
      <c r="BM32">
        <f>IF(AND(AND(links_on,3&lt;=n_per),INDEX(lk_kind,3)=1,29&lt;INDEX(lk_legs,3)),g_oy+IF(((29+0.5)*(4*IF(circ_int,0,eq_c1/2)+4*IF(circ_int,0,eq_c2/2)+2*PI()*(s_0+2*s_r+IF(circ_int,eq_c1/2,0)))/INDEX(lk_legs,3))&lt;(2*IF(circ_int,0,eq_c2/2)),-IF(circ_int,0,eq_c2/2)+((29+0.5)*(4*IF(circ_int,0,eq_c1/2)+4*IF(circ_int,0,eq_c2/2)+2*PI()*(s_0+2*s_r+IF(circ_int,eq_c1/2,0)))/INDEX(lk_legs,3)),IF(((29+0.5)*(4*IF(circ_int,0,eq_c1/2)+4*IF(circ_int,0,eq_c2/2)+2*PI()*(s_0+2*s_r+IF(circ_int,eq_c1/2,0)))/INDEX(lk_legs,3))&lt;((2*IF(circ_int,0,eq_c2/2))+(PI()*(s_0+2*s_r+IF(circ_int,eq_c1/2,0))/2)),IF(circ_int,0,eq_c2/2)+(s_0+2*s_r+IF(circ_int,eq_c1/2,0))*SIN((((29+0.5)*(4*IF(circ_int,0,eq_c1/2)+4*IF(circ_int,0,eq_c2/2)+2*PI()*(s_0+2*s_r+IF(circ_int,eq_c1/2,0)))/INDEX(lk_legs,3))-(2*IF(circ_int,0,eq_c2/2)))/(s_0+2*s_r+IF(circ_int,eq_c1/2,0))),IF(((29+0.5)*(4*IF(circ_int,0,eq_c1/2)+4*IF(circ_int,0,eq_c2/2)+2*PI()*(s_0+2*s_r+IF(circ_int,eq_c1/2,0)))/INDEX(lk_legs,3))&lt;(((2*IF(circ_int,0,eq_c2/2))+(PI()*(s_0+2*s_r+IF(circ_int,eq_c1/2,0))/2))+2*IF(circ_int,0,eq_c1/2)),IF(circ_int,0,eq_c2/2)+(s_0+2*s_r+IF(circ_int,eq_c1/2,0)),IF(((29+0.5)*(4*IF(circ_int,0,eq_c1/2)+4*IF(circ_int,0,eq_c2/2)+2*PI()*(s_0+2*s_r+IF(circ_int,eq_c1/2,0)))/INDEX(lk_legs,3))&lt;((((2*IF(circ_int,0,eq_c2/2))+(PI()*(s_0+2*s_r+IF(circ_int,eq_c1/2,0))/2))+2*IF(circ_int,0,eq_c1/2))+(PI()*(s_0+2*s_r+IF(circ_int,eq_c1/2,0))/2)),IF(circ_int,0,eq_c2/2)+(s_0+2*s_r+IF(circ_int,eq_c1/2,0))*SIN(PI()/2+(((29+0.5)*(4*IF(circ_int,0,eq_c1/2)+4*IF(circ_int,0,eq_c2/2)+2*PI()*(s_0+2*s_r+IF(circ_int,eq_c1/2,0)))/INDEX(lk_legs,3))-(((2*IF(circ_int,0,eq_c2/2))+(PI()*(s_0+2*s_r+IF(circ_int,eq_c1/2,0))/2))+2*IF(circ_int,0,eq_c1/2)))/(s_0+2*s_r+IF(circ_int,eq_c1/2,0))),IF(((29+0.5)*(4*IF(circ_int,0,eq_c1/2)+4*IF(circ_int,0,eq_c2/2)+2*PI()*(s_0+2*s_r+IF(circ_int,eq_c1/2,0)))/INDEX(lk_legs,3))&lt;(((((2*IF(circ_int,0,eq_c2/2))+(PI()*(s_0+2*s_r+IF(circ_int,eq_c1/2,0))/2))+2*IF(circ_int,0,eq_c1/2))+(PI()*(s_0+2*s_r+IF(circ_int,eq_c1/2,0))/2))+2*IF(circ_int,0,eq_c2/2)),IF(circ_int,0,eq_c2/2)-(((29+0.5)*(4*IF(circ_int,0,eq_c1/2)+4*IF(circ_int,0,eq_c2/2)+2*PI()*(s_0+2*s_r+IF(circ_int,eq_c1/2,0)))/INDEX(lk_legs,3))-((((2*IF(circ_int,0,eq_c2/2))+(PI()*(s_0+2*s_r+IF(circ_int,eq_c1/2,0))/2))+2*IF(circ_int,0,eq_c1/2))+(PI()*(s_0+2*s_r+IF(circ_int,eq_c1/2,0))/2))),IF(((29+0.5)*(4*IF(circ_int,0,eq_c1/2)+4*IF(circ_int,0,eq_c2/2)+2*PI()*(s_0+2*s_r+IF(circ_int,eq_c1/2,0)))/INDEX(lk_legs,3))&lt;((((((2*IF(circ_int,0,eq_c2/2))+(PI()*(s_0+2*s_r+IF(circ_int,eq_c1/2,0))/2))+2*IF(circ_int,0,eq_c1/2))+(PI()*(s_0+2*s_r+IF(circ_int,eq_c1/2,0))/2))+2*IF(circ_int,0,eq_c2/2))+(PI()*(s_0+2*s_r+IF(circ_int,eq_c1/2,0))/2)),-IF(circ_int,0,eq_c2/2)+(s_0+2*s_r+IF(circ_int,eq_c1/2,0))*SIN(PI()+(((29+0.5)*(4*IF(circ_int,0,eq_c1/2)+4*IF(circ_int,0,eq_c2/2)+2*PI()*(s_0+2*s_r+IF(circ_int,eq_c1/2,0)))/INDEX(lk_legs,3))-(((((2*IF(circ_int,0,eq_c2/2))+(PI()*(s_0+2*s_r+IF(circ_int,eq_c1/2,0))/2))+2*IF(circ_int,0,eq_c1/2))+(PI()*(s_0+2*s_r+IF(circ_int,eq_c1/2,0))/2))+2*IF(circ_int,0,eq_c2/2)))/(s_0+2*s_r+IF(circ_int,eq_c1/2,0))),IF(((29+0.5)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(29+0.5)*(4*IF(circ_int,0,eq_c1/2)+4*IF(circ_int,0,eq_c2/2)+2*PI()*(s_0+2*s_r+IF(circ_int,eq_c1/2,0)))/INDEX(lk_legs,3))-(((((((2*IF(circ_int,0,eq_c2/2))+(PI()*(s_0+2*s_r+IF(circ_int,eq_c1/2,0))/2))+2*IF(circ_int,0,eq_c1/2))+(PI()*(s_0+2*s_r+IF(circ_int,eq_c1/2,0))/2))+2*IF(circ_int,0,eq_c2/2))+(PI()*(s_0+2*s_r+IF(circ_int,eq_c1/2,0))/2))+2*IF(circ_int,0,eq_c1/2)))/(s_0+2*s_r+IF(circ_int,eq_c1/2,0)))))))))),NA())</f>
        <v/>
      </c>
      <c r="BO32">
        <f>IF(AND(links_on,4&lt;=n_per),IF(circ_int,(g_ox)+(c_1/2+(s_0+3*s_r))*-0.935016,CHOOSE(INDEX(lk_kind,4),(g_ox-eq_c1/2)+((s_0+3*s_r))*-0.923880,0,eq_a1+eq_c1+(s_0+3*s_r),eq_a1+eq_c1+(s_0+3*s_r))),NA())</f>
        <v/>
      </c>
      <c r="BP32">
        <f>IF(AND(links_on,4&lt;=n_per),IF(circ_int,(g_oy)+(c_1/2+(s_0+3*s_r))*-0.354605,CHOOSE(INDEX(lk_kind,4),(g_oy-eq_c2/2)+((s_0+3*s_r))*-0.382683,g_oy-eq_c2/2-(s_0+3*s_r),0,0)),NA())</f>
        <v/>
      </c>
      <c r="BR32">
        <f>IF(AND(AND(links_on,4&lt;=n_per),INDEX(lk_kind,4)=1,29&lt;INDEX(lk_legs,4)),g_ox+IF(((29+0.5)*(4*IF(circ_int,0,eq_c1/2)+4*IF(circ_int,0,eq_c2/2)+2*PI()*(s_0+3*s_r+IF(circ_int,eq_c1/2,0)))/INDEX(lk_legs,4))&lt;(2*IF(circ_int,0,eq_c2/2)),IF(circ_int,0,eq_c1/2)+(s_0+3*s_r+IF(circ_int,eq_c1/2,0)),IF(((29+0.5)*(4*IF(circ_int,0,eq_c1/2)+4*IF(circ_int,0,eq_c2/2)+2*PI()*(s_0+3*s_r+IF(circ_int,eq_c1/2,0)))/INDEX(lk_legs,4))&lt;((2*IF(circ_int,0,eq_c2/2))+(PI()*(s_0+3*s_r+IF(circ_int,eq_c1/2,0))/2)),IF(circ_int,0,eq_c1/2)+(s_0+3*s_r+IF(circ_int,eq_c1/2,0))*COS((((29+0.5)*(4*IF(circ_int,0,eq_c1/2)+4*IF(circ_int,0,eq_c2/2)+2*PI()*(s_0+3*s_r+IF(circ_int,eq_c1/2,0)))/INDEX(lk_legs,4))-(2*IF(circ_int,0,eq_c2/2)))/(s_0+3*s_r+IF(circ_int,eq_c1/2,0))),IF(((29+0.5)*(4*IF(circ_int,0,eq_c1/2)+4*IF(circ_int,0,eq_c2/2)+2*PI()*(s_0+3*s_r+IF(circ_int,eq_c1/2,0)))/INDEX(lk_legs,4))&lt;(((2*IF(circ_int,0,eq_c2/2))+(PI()*(s_0+3*s_r+IF(circ_int,eq_c1/2,0))/2))+2*IF(circ_int,0,eq_c1/2)),IF(circ_int,0,eq_c1/2)-(((29+0.5)*(4*IF(circ_int,0,eq_c1/2)+4*IF(circ_int,0,eq_c2/2)+2*PI()*(s_0+3*s_r+IF(circ_int,eq_c1/2,0)))/INDEX(lk_legs,4))-((2*IF(circ_int,0,eq_c2/2))+(PI()*(s_0+3*s_r+IF(circ_int,eq_c1/2,0))/2))),IF(((29+0.5)*(4*IF(circ_int,0,eq_c1/2)+4*IF(circ_int,0,eq_c2/2)+2*PI()*(s_0+3*s_r+IF(circ_int,eq_c1/2,0)))/INDEX(lk_legs,4))&lt;((((2*IF(circ_int,0,eq_c2/2))+(PI()*(s_0+3*s_r+IF(circ_int,eq_c1/2,0))/2))+2*IF(circ_int,0,eq_c1/2))+(PI()*(s_0+3*s_r+IF(circ_int,eq_c1/2,0))/2)),-IF(circ_int,0,eq_c1/2)+(s_0+3*s_r+IF(circ_int,eq_c1/2,0))*COS(PI()/2+(((29+0.5)*(4*IF(circ_int,0,eq_c1/2)+4*IF(circ_int,0,eq_c2/2)+2*PI()*(s_0+3*s_r+IF(circ_int,eq_c1/2,0)))/INDEX(lk_legs,4))-(((2*IF(circ_int,0,eq_c2/2))+(PI()*(s_0+3*s_r+IF(circ_int,eq_c1/2,0))/2))+2*IF(circ_int,0,eq_c1/2)))/(s_0+3*s_r+IF(circ_int,eq_c1/2,0))),IF(((29+0.5)*(4*IF(circ_int,0,eq_c1/2)+4*IF(circ_int,0,eq_c2/2)+2*PI()*(s_0+3*s_r+IF(circ_int,eq_c1/2,0)))/INDEX(lk_legs,4))&lt;(((((2*IF(circ_int,0,eq_c2/2))+(PI()*(s_0+3*s_r+IF(circ_int,eq_c1/2,0))/2))+2*IF(circ_int,0,eq_c1/2))+(PI()*(s_0+3*s_r+IF(circ_int,eq_c1/2,0))/2))+2*IF(circ_int,0,eq_c2/2)),-IF(circ_int,0,eq_c1/2)-(s_0+3*s_r+IF(circ_int,eq_c1/2,0)),IF(((29+0.5)*(4*IF(circ_int,0,eq_c1/2)+4*IF(circ_int,0,eq_c2/2)+2*PI()*(s_0+3*s_r+IF(circ_int,eq_c1/2,0)))/INDEX(lk_legs,4))&lt;((((((2*IF(circ_int,0,eq_c2/2))+(PI()*(s_0+3*s_r+IF(circ_int,eq_c1/2,0))/2))+2*IF(circ_int,0,eq_c1/2))+(PI()*(s_0+3*s_r+IF(circ_int,eq_c1/2,0))/2))+2*IF(circ_int,0,eq_c2/2))+(PI()*(s_0+3*s_r+IF(circ_int,eq_c1/2,0))/2)),-IF(circ_int,0,eq_c1/2)+(s_0+3*s_r+IF(circ_int,eq_c1/2,0))*COS(PI()+(((29+0.5)*(4*IF(circ_int,0,eq_c1/2)+4*IF(circ_int,0,eq_c2/2)+2*PI()*(s_0+3*s_r+IF(circ_int,eq_c1/2,0)))/INDEX(lk_legs,4))-(((((2*IF(circ_int,0,eq_c2/2))+(PI()*(s_0+3*s_r+IF(circ_int,eq_c1/2,0))/2))+2*IF(circ_int,0,eq_c1/2))+(PI()*(s_0+3*s_r+IF(circ_int,eq_c1/2,0))/2))+2*IF(circ_int,0,eq_c2/2)))/(s_0+3*s_r+IF(circ_int,eq_c1/2,0))),IF(((29+0.5)*(4*IF(circ_int,0,eq_c1/2)+4*IF(circ_int,0,eq_c2/2)+2*PI()*(s_0+3*s_r+IF(circ_int,eq_c1/2,0)))/INDEX(lk_legs,4))&lt;(((((((2*IF(circ_int,0,eq_c2/2))+(PI()*(s_0+3*s_r+IF(circ_int,eq_c1/2,0))/2))+2*IF(circ_int,0,eq_c1/2))+(PI()*(s_0+3*s_r+IF(circ_int,eq_c1/2,0))/2))+2*IF(circ_int,0,eq_c2/2))+(PI()*(s_0+3*s_r+IF(circ_int,eq_c1/2,0))/2))+2*IF(circ_int,0,eq_c1/2)),-IF(circ_int,0,eq_c1/2)+(((29+0.5)*(4*IF(circ_int,0,eq_c1/2)+4*IF(circ_int,0,eq_c2/2)+2*PI()*(s_0+3*s_r+IF(circ_int,eq_c1/2,0)))/INDEX(lk_legs,4))-((((((2*IF(circ_int,0,eq_c2/2))+(PI()*(s_0+3*s_r+IF(circ_int,eq_c1/2,0))/2))+2*IF(circ_int,0,eq_c1/2))+(PI()*(s_0+3*s_r+IF(circ_int,eq_c1/2,0))/2))+2*IF(circ_int,0,eq_c2/2))+(PI()*(s_0+3*s_r+IF(circ_int,eq_c1/2,0))/2))),IF(circ_int,0,eq_c1/2)+(s_0+3*s_r+IF(circ_int,eq_c1/2,0))*COS(3*PI()/2+(((29+0.5)*(4*IF(circ_int,0,eq_c1/2)+4*IF(circ_int,0,eq_c2/2)+2*PI()*(s_0+3*s_r+IF(circ_int,eq_c1/2,0)))/INDEX(lk_legs,4))-(((((((2*IF(circ_int,0,eq_c2/2))+(PI()*(s_0+3*s_r+IF(circ_int,eq_c1/2,0))/2))+2*IF(circ_int,0,eq_c1/2))+(PI()*(s_0+3*s_r+IF(circ_int,eq_c1/2,0))/2))+2*IF(circ_int,0,eq_c2/2))+(PI()*(s_0+3*s_r+IF(circ_int,eq_c1/2,0))/2))+2*IF(circ_int,0,eq_c1/2)))/(s_0+3*s_r+IF(circ_int,eq_c1/2,0)))))))))),NA())</f>
        <v/>
      </c>
      <c r="BS32">
        <f>IF(AND(AND(links_on,4&lt;=n_per),INDEX(lk_kind,4)=1,29&lt;INDEX(lk_legs,4)),g_oy+IF(((29+0.5)*(4*IF(circ_int,0,eq_c1/2)+4*IF(circ_int,0,eq_c2/2)+2*PI()*(s_0+3*s_r+IF(circ_int,eq_c1/2,0)))/INDEX(lk_legs,4))&lt;(2*IF(circ_int,0,eq_c2/2)),-IF(circ_int,0,eq_c2/2)+((29+0.5)*(4*IF(circ_int,0,eq_c1/2)+4*IF(circ_int,0,eq_c2/2)+2*PI()*(s_0+3*s_r+IF(circ_int,eq_c1/2,0)))/INDEX(lk_legs,4)),IF(((29+0.5)*(4*IF(circ_int,0,eq_c1/2)+4*IF(circ_int,0,eq_c2/2)+2*PI()*(s_0+3*s_r+IF(circ_int,eq_c1/2,0)))/INDEX(lk_legs,4))&lt;((2*IF(circ_int,0,eq_c2/2))+(PI()*(s_0+3*s_r+IF(circ_int,eq_c1/2,0))/2)),IF(circ_int,0,eq_c2/2)+(s_0+3*s_r+IF(circ_int,eq_c1/2,0))*SIN((((29+0.5)*(4*IF(circ_int,0,eq_c1/2)+4*IF(circ_int,0,eq_c2/2)+2*PI()*(s_0+3*s_r+IF(circ_int,eq_c1/2,0)))/INDEX(lk_legs,4))-(2*IF(circ_int,0,eq_c2/2)))/(s_0+3*s_r+IF(circ_int,eq_c1/2,0))),IF(((29+0.5)*(4*IF(circ_int,0,eq_c1/2)+4*IF(circ_int,0,eq_c2/2)+2*PI()*(s_0+3*s_r+IF(circ_int,eq_c1/2,0)))/INDEX(lk_legs,4))&lt;(((2*IF(circ_int,0,eq_c2/2))+(PI()*(s_0+3*s_r+IF(circ_int,eq_c1/2,0))/2))+2*IF(circ_int,0,eq_c1/2)),IF(circ_int,0,eq_c2/2)+(s_0+3*s_r+IF(circ_int,eq_c1/2,0)),IF(((29+0.5)*(4*IF(circ_int,0,eq_c1/2)+4*IF(circ_int,0,eq_c2/2)+2*PI()*(s_0+3*s_r+IF(circ_int,eq_c1/2,0)))/INDEX(lk_legs,4))&lt;((((2*IF(circ_int,0,eq_c2/2))+(PI()*(s_0+3*s_r+IF(circ_int,eq_c1/2,0))/2))+2*IF(circ_int,0,eq_c1/2))+(PI()*(s_0+3*s_r+IF(circ_int,eq_c1/2,0))/2)),IF(circ_int,0,eq_c2/2)+(s_0+3*s_r+IF(circ_int,eq_c1/2,0))*SIN(PI()/2+(((29+0.5)*(4*IF(circ_int,0,eq_c1/2)+4*IF(circ_int,0,eq_c2/2)+2*PI()*(s_0+3*s_r+IF(circ_int,eq_c1/2,0)))/INDEX(lk_legs,4))-(((2*IF(circ_int,0,eq_c2/2))+(PI()*(s_0+3*s_r+IF(circ_int,eq_c1/2,0))/2))+2*IF(circ_int,0,eq_c1/2)))/(s_0+3*s_r+IF(circ_int,eq_c1/2,0))),IF(((29+0.5)*(4*IF(circ_int,0,eq_c1/2)+4*IF(circ_int,0,eq_c2/2)+2*PI()*(s_0+3*s_r+IF(circ_int,eq_c1/2,0)))/INDEX(lk_legs,4))&lt;(((((2*IF(circ_int,0,eq_c2/2))+(PI()*(s_0+3*s_r+IF(circ_int,eq_c1/2,0))/2))+2*IF(circ_int,0,eq_c1/2))+(PI()*(s_0+3*s_r+IF(circ_int,eq_c1/2,0))/2))+2*IF(circ_int,0,eq_c2/2)),IF(circ_int,0,eq_c2/2)-(((29+0.5)*(4*IF(circ_int,0,eq_c1/2)+4*IF(circ_int,0,eq_c2/2)+2*PI()*(s_0+3*s_r+IF(circ_int,eq_c1/2,0)))/INDEX(lk_legs,4))-((((2*IF(circ_int,0,eq_c2/2))+(PI()*(s_0+3*s_r+IF(circ_int,eq_c1/2,0))/2))+2*IF(circ_int,0,eq_c1/2))+(PI()*(s_0+3*s_r+IF(circ_int,eq_c1/2,0))/2))),IF(((29+0.5)*(4*IF(circ_int,0,eq_c1/2)+4*IF(circ_int,0,eq_c2/2)+2*PI()*(s_0+3*s_r+IF(circ_int,eq_c1/2,0)))/INDEX(lk_legs,4))&lt;((((((2*IF(circ_int,0,eq_c2/2))+(PI()*(s_0+3*s_r+IF(circ_int,eq_c1/2,0))/2))+2*IF(circ_int,0,eq_c1/2))+(PI()*(s_0+3*s_r+IF(circ_int,eq_c1/2,0))/2))+2*IF(circ_int,0,eq_c2/2))+(PI()*(s_0+3*s_r+IF(circ_int,eq_c1/2,0))/2)),-IF(circ_int,0,eq_c2/2)+(s_0+3*s_r+IF(circ_int,eq_c1/2,0))*SIN(PI()+(((29+0.5)*(4*IF(circ_int,0,eq_c1/2)+4*IF(circ_int,0,eq_c2/2)+2*PI()*(s_0+3*s_r+IF(circ_int,eq_c1/2,0)))/INDEX(lk_legs,4))-(((((2*IF(circ_int,0,eq_c2/2))+(PI()*(s_0+3*s_r+IF(circ_int,eq_c1/2,0))/2))+2*IF(circ_int,0,eq_c1/2))+(PI()*(s_0+3*s_r+IF(circ_int,eq_c1/2,0))/2))+2*IF(circ_int,0,eq_c2/2)))/(s_0+3*s_r+IF(circ_int,eq_c1/2,0))),IF(((29+0.5)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(29+0.5)*(4*IF(circ_int,0,eq_c1/2)+4*IF(circ_int,0,eq_c2/2)+2*PI()*(s_0+3*s_r+IF(circ_int,eq_c1/2,0)))/INDEX(lk_legs,4))-(((((((2*IF(circ_int,0,eq_c2/2))+(PI()*(s_0+3*s_r+IF(circ_int,eq_c1/2,0))/2))+2*IF(circ_int,0,eq_c1/2))+(PI()*(s_0+3*s_r+IF(circ_int,eq_c1/2,0))/2))+2*IF(circ_int,0,eq_c2/2))+(PI()*(s_0+3*s_r+IF(circ_int,eq_c1/2,0))/2))+2*IF(circ_int,0,eq_c1/2)))/(s_0+3*s_r+IF(circ_int,eq_c1/2,0)))))))))),NA())</f>
        <v/>
      </c>
      <c r="BU32">
        <f>IF(AND(links_on,5&lt;=n_per),IF(circ_int,(g_ox)+(c_1/2+(s_0+4*s_r))*-0.935016,CHOOSE(INDEX(lk_kind,5),(g_ox-eq_c1/2)+((s_0+4*s_r))*-0.923880,0,eq_a1+eq_c1+(s_0+4*s_r),eq_a1+eq_c1+(s_0+4*s_r))),NA())</f>
        <v/>
      </c>
      <c r="BV32">
        <f>IF(AND(links_on,5&lt;=n_per),IF(circ_int,(g_oy)+(c_1/2+(s_0+4*s_r))*-0.354605,CHOOSE(INDEX(lk_kind,5),(g_oy-eq_c2/2)+((s_0+4*s_r))*-0.382683,g_oy-eq_c2/2-(s_0+4*s_r),0,0)),NA())</f>
        <v/>
      </c>
      <c r="BX32">
        <f>IF(AND(AND(links_on,5&lt;=n_per),INDEX(lk_kind,5)=1,29&lt;INDEX(lk_legs,5)),g_ox+IF(((29+0.5)*(4*IF(circ_int,0,eq_c1/2)+4*IF(circ_int,0,eq_c2/2)+2*PI()*(s_0+4*s_r+IF(circ_int,eq_c1/2,0)))/INDEX(lk_legs,5))&lt;(2*IF(circ_int,0,eq_c2/2)),IF(circ_int,0,eq_c1/2)+(s_0+4*s_r+IF(circ_int,eq_c1/2,0)),IF(((29+0.5)*(4*IF(circ_int,0,eq_c1/2)+4*IF(circ_int,0,eq_c2/2)+2*PI()*(s_0+4*s_r+IF(circ_int,eq_c1/2,0)))/INDEX(lk_legs,5))&lt;((2*IF(circ_int,0,eq_c2/2))+(PI()*(s_0+4*s_r+IF(circ_int,eq_c1/2,0))/2)),IF(circ_int,0,eq_c1/2)+(s_0+4*s_r+IF(circ_int,eq_c1/2,0))*COS((((29+0.5)*(4*IF(circ_int,0,eq_c1/2)+4*IF(circ_int,0,eq_c2/2)+2*PI()*(s_0+4*s_r+IF(circ_int,eq_c1/2,0)))/INDEX(lk_legs,5))-(2*IF(circ_int,0,eq_c2/2)))/(s_0+4*s_r+IF(circ_int,eq_c1/2,0))),IF(((29+0.5)*(4*IF(circ_int,0,eq_c1/2)+4*IF(circ_int,0,eq_c2/2)+2*PI()*(s_0+4*s_r+IF(circ_int,eq_c1/2,0)))/INDEX(lk_legs,5))&lt;(((2*IF(circ_int,0,eq_c2/2))+(PI()*(s_0+4*s_r+IF(circ_int,eq_c1/2,0))/2))+2*IF(circ_int,0,eq_c1/2)),IF(circ_int,0,eq_c1/2)-(((29+0.5)*(4*IF(circ_int,0,eq_c1/2)+4*IF(circ_int,0,eq_c2/2)+2*PI()*(s_0+4*s_r+IF(circ_int,eq_c1/2,0)))/INDEX(lk_legs,5))-((2*IF(circ_int,0,eq_c2/2))+(PI()*(s_0+4*s_r+IF(circ_int,eq_c1/2,0))/2))),IF(((29+0.5)*(4*IF(circ_int,0,eq_c1/2)+4*IF(circ_int,0,eq_c2/2)+2*PI()*(s_0+4*s_r+IF(circ_int,eq_c1/2,0)))/INDEX(lk_legs,5))&lt;((((2*IF(circ_int,0,eq_c2/2))+(PI()*(s_0+4*s_r+IF(circ_int,eq_c1/2,0))/2))+2*IF(circ_int,0,eq_c1/2))+(PI()*(s_0+4*s_r+IF(circ_int,eq_c1/2,0))/2)),-IF(circ_int,0,eq_c1/2)+(s_0+4*s_r+IF(circ_int,eq_c1/2,0))*COS(PI()/2+(((29+0.5)*(4*IF(circ_int,0,eq_c1/2)+4*IF(circ_int,0,eq_c2/2)+2*PI()*(s_0+4*s_r+IF(circ_int,eq_c1/2,0)))/INDEX(lk_legs,5))-(((2*IF(circ_int,0,eq_c2/2))+(PI()*(s_0+4*s_r+IF(circ_int,eq_c1/2,0))/2))+2*IF(circ_int,0,eq_c1/2)))/(s_0+4*s_r+IF(circ_int,eq_c1/2,0))),IF(((29+0.5)*(4*IF(circ_int,0,eq_c1/2)+4*IF(circ_int,0,eq_c2/2)+2*PI()*(s_0+4*s_r+IF(circ_int,eq_c1/2,0)))/INDEX(lk_legs,5))&lt;(((((2*IF(circ_int,0,eq_c2/2))+(PI()*(s_0+4*s_r+IF(circ_int,eq_c1/2,0))/2))+2*IF(circ_int,0,eq_c1/2))+(PI()*(s_0+4*s_r+IF(circ_int,eq_c1/2,0))/2))+2*IF(circ_int,0,eq_c2/2)),-IF(circ_int,0,eq_c1/2)-(s_0+4*s_r+IF(circ_int,eq_c1/2,0)),IF(((29+0.5)*(4*IF(circ_int,0,eq_c1/2)+4*IF(circ_int,0,eq_c2/2)+2*PI()*(s_0+4*s_r+IF(circ_int,eq_c1/2,0)))/INDEX(lk_legs,5))&lt;((((((2*IF(circ_int,0,eq_c2/2))+(PI()*(s_0+4*s_r+IF(circ_int,eq_c1/2,0))/2))+2*IF(circ_int,0,eq_c1/2))+(PI()*(s_0+4*s_r+IF(circ_int,eq_c1/2,0))/2))+2*IF(circ_int,0,eq_c2/2))+(PI()*(s_0+4*s_r+IF(circ_int,eq_c1/2,0))/2)),-IF(circ_int,0,eq_c1/2)+(s_0+4*s_r+IF(circ_int,eq_c1/2,0))*COS(PI()+(((29+0.5)*(4*IF(circ_int,0,eq_c1/2)+4*IF(circ_int,0,eq_c2/2)+2*PI()*(s_0+4*s_r+IF(circ_int,eq_c1/2,0)))/INDEX(lk_legs,5))-(((((2*IF(circ_int,0,eq_c2/2))+(PI()*(s_0+4*s_r+IF(circ_int,eq_c1/2,0))/2))+2*IF(circ_int,0,eq_c1/2))+(PI()*(s_0+4*s_r+IF(circ_int,eq_c1/2,0))/2))+2*IF(circ_int,0,eq_c2/2)))/(s_0+4*s_r+IF(circ_int,eq_c1/2,0))),IF(((29+0.5)*(4*IF(circ_int,0,eq_c1/2)+4*IF(circ_int,0,eq_c2/2)+2*PI()*(s_0+4*s_r+IF(circ_int,eq_c1/2,0)))/INDEX(lk_legs,5))&lt;(((((((2*IF(circ_int,0,eq_c2/2))+(PI()*(s_0+4*s_r+IF(circ_int,eq_c1/2,0))/2))+2*IF(circ_int,0,eq_c1/2))+(PI()*(s_0+4*s_r+IF(circ_int,eq_c1/2,0))/2))+2*IF(circ_int,0,eq_c2/2))+(PI()*(s_0+4*s_r+IF(circ_int,eq_c1/2,0))/2))+2*IF(circ_int,0,eq_c1/2)),-IF(circ_int,0,eq_c1/2)+(((29+0.5)*(4*IF(circ_int,0,eq_c1/2)+4*IF(circ_int,0,eq_c2/2)+2*PI()*(s_0+4*s_r+IF(circ_int,eq_c1/2,0)))/INDEX(lk_legs,5))-((((((2*IF(circ_int,0,eq_c2/2))+(PI()*(s_0+4*s_r+IF(circ_int,eq_c1/2,0))/2))+2*IF(circ_int,0,eq_c1/2))+(PI()*(s_0+4*s_r+IF(circ_int,eq_c1/2,0))/2))+2*IF(circ_int,0,eq_c2/2))+(PI()*(s_0+4*s_r+IF(circ_int,eq_c1/2,0))/2))),IF(circ_int,0,eq_c1/2)+(s_0+4*s_r+IF(circ_int,eq_c1/2,0))*COS(3*PI()/2+(((29+0.5)*(4*IF(circ_int,0,eq_c1/2)+4*IF(circ_int,0,eq_c2/2)+2*PI()*(s_0+4*s_r+IF(circ_int,eq_c1/2,0)))/INDEX(lk_legs,5))-(((((((2*IF(circ_int,0,eq_c2/2))+(PI()*(s_0+4*s_r+IF(circ_int,eq_c1/2,0))/2))+2*IF(circ_int,0,eq_c1/2))+(PI()*(s_0+4*s_r+IF(circ_int,eq_c1/2,0))/2))+2*IF(circ_int,0,eq_c2/2))+(PI()*(s_0+4*s_r+IF(circ_int,eq_c1/2,0))/2))+2*IF(circ_int,0,eq_c1/2)))/(s_0+4*s_r+IF(circ_int,eq_c1/2,0)))))))))),NA())</f>
        <v/>
      </c>
      <c r="BY32">
        <f>IF(AND(AND(links_on,5&lt;=n_per),INDEX(lk_kind,5)=1,29&lt;INDEX(lk_legs,5)),g_oy+IF(((29+0.5)*(4*IF(circ_int,0,eq_c1/2)+4*IF(circ_int,0,eq_c2/2)+2*PI()*(s_0+4*s_r+IF(circ_int,eq_c1/2,0)))/INDEX(lk_legs,5))&lt;(2*IF(circ_int,0,eq_c2/2)),-IF(circ_int,0,eq_c2/2)+((29+0.5)*(4*IF(circ_int,0,eq_c1/2)+4*IF(circ_int,0,eq_c2/2)+2*PI()*(s_0+4*s_r+IF(circ_int,eq_c1/2,0)))/INDEX(lk_legs,5)),IF(((29+0.5)*(4*IF(circ_int,0,eq_c1/2)+4*IF(circ_int,0,eq_c2/2)+2*PI()*(s_0+4*s_r+IF(circ_int,eq_c1/2,0)))/INDEX(lk_legs,5))&lt;((2*IF(circ_int,0,eq_c2/2))+(PI()*(s_0+4*s_r+IF(circ_int,eq_c1/2,0))/2)),IF(circ_int,0,eq_c2/2)+(s_0+4*s_r+IF(circ_int,eq_c1/2,0))*SIN((((29+0.5)*(4*IF(circ_int,0,eq_c1/2)+4*IF(circ_int,0,eq_c2/2)+2*PI()*(s_0+4*s_r+IF(circ_int,eq_c1/2,0)))/INDEX(lk_legs,5))-(2*IF(circ_int,0,eq_c2/2)))/(s_0+4*s_r+IF(circ_int,eq_c1/2,0))),IF(((29+0.5)*(4*IF(circ_int,0,eq_c1/2)+4*IF(circ_int,0,eq_c2/2)+2*PI()*(s_0+4*s_r+IF(circ_int,eq_c1/2,0)))/INDEX(lk_legs,5))&lt;(((2*IF(circ_int,0,eq_c2/2))+(PI()*(s_0+4*s_r+IF(circ_int,eq_c1/2,0))/2))+2*IF(circ_int,0,eq_c1/2)),IF(circ_int,0,eq_c2/2)+(s_0+4*s_r+IF(circ_int,eq_c1/2,0)),IF(((29+0.5)*(4*IF(circ_int,0,eq_c1/2)+4*IF(circ_int,0,eq_c2/2)+2*PI()*(s_0+4*s_r+IF(circ_int,eq_c1/2,0)))/INDEX(lk_legs,5))&lt;((((2*IF(circ_int,0,eq_c2/2))+(PI()*(s_0+4*s_r+IF(circ_int,eq_c1/2,0))/2))+2*IF(circ_int,0,eq_c1/2))+(PI()*(s_0+4*s_r+IF(circ_int,eq_c1/2,0))/2)),IF(circ_int,0,eq_c2/2)+(s_0+4*s_r+IF(circ_int,eq_c1/2,0))*SIN(PI()/2+(((29+0.5)*(4*IF(circ_int,0,eq_c1/2)+4*IF(circ_int,0,eq_c2/2)+2*PI()*(s_0+4*s_r+IF(circ_int,eq_c1/2,0)))/INDEX(lk_legs,5))-(((2*IF(circ_int,0,eq_c2/2))+(PI()*(s_0+4*s_r+IF(circ_int,eq_c1/2,0))/2))+2*IF(circ_int,0,eq_c1/2)))/(s_0+4*s_r+IF(circ_int,eq_c1/2,0))),IF(((29+0.5)*(4*IF(circ_int,0,eq_c1/2)+4*IF(circ_int,0,eq_c2/2)+2*PI()*(s_0+4*s_r+IF(circ_int,eq_c1/2,0)))/INDEX(lk_legs,5))&lt;(((((2*IF(circ_int,0,eq_c2/2))+(PI()*(s_0+4*s_r+IF(circ_int,eq_c1/2,0))/2))+2*IF(circ_int,0,eq_c1/2))+(PI()*(s_0+4*s_r+IF(circ_int,eq_c1/2,0))/2))+2*IF(circ_int,0,eq_c2/2)),IF(circ_int,0,eq_c2/2)-(((29+0.5)*(4*IF(circ_int,0,eq_c1/2)+4*IF(circ_int,0,eq_c2/2)+2*PI()*(s_0+4*s_r+IF(circ_int,eq_c1/2,0)))/INDEX(lk_legs,5))-((((2*IF(circ_int,0,eq_c2/2))+(PI()*(s_0+4*s_r+IF(circ_int,eq_c1/2,0))/2))+2*IF(circ_int,0,eq_c1/2))+(PI()*(s_0+4*s_r+IF(circ_int,eq_c1/2,0))/2))),IF(((29+0.5)*(4*IF(circ_int,0,eq_c1/2)+4*IF(circ_int,0,eq_c2/2)+2*PI()*(s_0+4*s_r+IF(circ_int,eq_c1/2,0)))/INDEX(lk_legs,5))&lt;((((((2*IF(circ_int,0,eq_c2/2))+(PI()*(s_0+4*s_r+IF(circ_int,eq_c1/2,0))/2))+2*IF(circ_int,0,eq_c1/2))+(PI()*(s_0+4*s_r+IF(circ_int,eq_c1/2,0))/2))+2*IF(circ_int,0,eq_c2/2))+(PI()*(s_0+4*s_r+IF(circ_int,eq_c1/2,0))/2)),-IF(circ_int,0,eq_c2/2)+(s_0+4*s_r+IF(circ_int,eq_c1/2,0))*SIN(PI()+(((29+0.5)*(4*IF(circ_int,0,eq_c1/2)+4*IF(circ_int,0,eq_c2/2)+2*PI()*(s_0+4*s_r+IF(circ_int,eq_c1/2,0)))/INDEX(lk_legs,5))-(((((2*IF(circ_int,0,eq_c2/2))+(PI()*(s_0+4*s_r+IF(circ_int,eq_c1/2,0))/2))+2*IF(circ_int,0,eq_c1/2))+(PI()*(s_0+4*s_r+IF(circ_int,eq_c1/2,0))/2))+2*IF(circ_int,0,eq_c2/2)))/(s_0+4*s_r+IF(circ_int,eq_c1/2,0))),IF(((29+0.5)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(29+0.5)*(4*IF(circ_int,0,eq_c1/2)+4*IF(circ_int,0,eq_c2/2)+2*PI()*(s_0+4*s_r+IF(circ_int,eq_c1/2,0)))/INDEX(lk_legs,5))-(((((((2*IF(circ_int,0,eq_c2/2))+(PI()*(s_0+4*s_r+IF(circ_int,eq_c1/2,0))/2))+2*IF(circ_int,0,eq_c1/2))+(PI()*(s_0+4*s_r+IF(circ_int,eq_c1/2,0))/2))+2*IF(circ_int,0,eq_c2/2))+(PI()*(s_0+4*s_r+IF(circ_int,eq_c1/2,0))/2))+2*IF(circ_int,0,eq_c1/2)))/(s_0+4*s_r+IF(circ_int,eq_c1/2,0)))))))))),NA())</f>
        <v/>
      </c>
      <c r="CA32">
        <f>IF(AND(links_on,6&lt;=n_per),IF(circ_int,(g_ox)+(c_1/2+(s_0+5*s_r))*-0.935016,CHOOSE(INDEX(lk_kind,6),(g_ox-eq_c1/2)+((s_0+5*s_r))*-0.923880,0,eq_a1+eq_c1+(s_0+5*s_r),eq_a1+eq_c1+(s_0+5*s_r))),NA())</f>
        <v/>
      </c>
      <c r="CB32">
        <f>IF(AND(links_on,6&lt;=n_per),IF(circ_int,(g_oy)+(c_1/2+(s_0+5*s_r))*-0.354605,CHOOSE(INDEX(lk_kind,6),(g_oy-eq_c2/2)+((s_0+5*s_r))*-0.382683,g_oy-eq_c2/2-(s_0+5*s_r),0,0)),NA())</f>
        <v/>
      </c>
      <c r="CD32">
        <f>IF(AND(AND(links_on,6&lt;=n_per),INDEX(lk_kind,6)=1,29&lt;INDEX(lk_legs,6)),g_ox+IF(((29+0.5)*(4*IF(circ_int,0,eq_c1/2)+4*IF(circ_int,0,eq_c2/2)+2*PI()*(s_0+5*s_r+IF(circ_int,eq_c1/2,0)))/INDEX(lk_legs,6))&lt;(2*IF(circ_int,0,eq_c2/2)),IF(circ_int,0,eq_c1/2)+(s_0+5*s_r+IF(circ_int,eq_c1/2,0)),IF(((29+0.5)*(4*IF(circ_int,0,eq_c1/2)+4*IF(circ_int,0,eq_c2/2)+2*PI()*(s_0+5*s_r+IF(circ_int,eq_c1/2,0)))/INDEX(lk_legs,6))&lt;((2*IF(circ_int,0,eq_c2/2))+(PI()*(s_0+5*s_r+IF(circ_int,eq_c1/2,0))/2)),IF(circ_int,0,eq_c1/2)+(s_0+5*s_r+IF(circ_int,eq_c1/2,0))*COS((((29+0.5)*(4*IF(circ_int,0,eq_c1/2)+4*IF(circ_int,0,eq_c2/2)+2*PI()*(s_0+5*s_r+IF(circ_int,eq_c1/2,0)))/INDEX(lk_legs,6))-(2*IF(circ_int,0,eq_c2/2)))/(s_0+5*s_r+IF(circ_int,eq_c1/2,0))),IF(((29+0.5)*(4*IF(circ_int,0,eq_c1/2)+4*IF(circ_int,0,eq_c2/2)+2*PI()*(s_0+5*s_r+IF(circ_int,eq_c1/2,0)))/INDEX(lk_legs,6))&lt;(((2*IF(circ_int,0,eq_c2/2))+(PI()*(s_0+5*s_r+IF(circ_int,eq_c1/2,0))/2))+2*IF(circ_int,0,eq_c1/2)),IF(circ_int,0,eq_c1/2)-(((29+0.5)*(4*IF(circ_int,0,eq_c1/2)+4*IF(circ_int,0,eq_c2/2)+2*PI()*(s_0+5*s_r+IF(circ_int,eq_c1/2,0)))/INDEX(lk_legs,6))-((2*IF(circ_int,0,eq_c2/2))+(PI()*(s_0+5*s_r+IF(circ_int,eq_c1/2,0))/2))),IF(((29+0.5)*(4*IF(circ_int,0,eq_c1/2)+4*IF(circ_int,0,eq_c2/2)+2*PI()*(s_0+5*s_r+IF(circ_int,eq_c1/2,0)))/INDEX(lk_legs,6))&lt;((((2*IF(circ_int,0,eq_c2/2))+(PI()*(s_0+5*s_r+IF(circ_int,eq_c1/2,0))/2))+2*IF(circ_int,0,eq_c1/2))+(PI()*(s_0+5*s_r+IF(circ_int,eq_c1/2,0))/2)),-IF(circ_int,0,eq_c1/2)+(s_0+5*s_r+IF(circ_int,eq_c1/2,0))*COS(PI()/2+(((29+0.5)*(4*IF(circ_int,0,eq_c1/2)+4*IF(circ_int,0,eq_c2/2)+2*PI()*(s_0+5*s_r+IF(circ_int,eq_c1/2,0)))/INDEX(lk_legs,6))-(((2*IF(circ_int,0,eq_c2/2))+(PI()*(s_0+5*s_r+IF(circ_int,eq_c1/2,0))/2))+2*IF(circ_int,0,eq_c1/2)))/(s_0+5*s_r+IF(circ_int,eq_c1/2,0))),IF(((29+0.5)*(4*IF(circ_int,0,eq_c1/2)+4*IF(circ_int,0,eq_c2/2)+2*PI()*(s_0+5*s_r+IF(circ_int,eq_c1/2,0)))/INDEX(lk_legs,6))&lt;(((((2*IF(circ_int,0,eq_c2/2))+(PI()*(s_0+5*s_r+IF(circ_int,eq_c1/2,0))/2))+2*IF(circ_int,0,eq_c1/2))+(PI()*(s_0+5*s_r+IF(circ_int,eq_c1/2,0))/2))+2*IF(circ_int,0,eq_c2/2)),-IF(circ_int,0,eq_c1/2)-(s_0+5*s_r+IF(circ_int,eq_c1/2,0)),IF(((29+0.5)*(4*IF(circ_int,0,eq_c1/2)+4*IF(circ_int,0,eq_c2/2)+2*PI()*(s_0+5*s_r+IF(circ_int,eq_c1/2,0)))/INDEX(lk_legs,6))&lt;((((((2*IF(circ_int,0,eq_c2/2))+(PI()*(s_0+5*s_r+IF(circ_int,eq_c1/2,0))/2))+2*IF(circ_int,0,eq_c1/2))+(PI()*(s_0+5*s_r+IF(circ_int,eq_c1/2,0))/2))+2*IF(circ_int,0,eq_c2/2))+(PI()*(s_0+5*s_r+IF(circ_int,eq_c1/2,0))/2)),-IF(circ_int,0,eq_c1/2)+(s_0+5*s_r+IF(circ_int,eq_c1/2,0))*COS(PI()+(((29+0.5)*(4*IF(circ_int,0,eq_c1/2)+4*IF(circ_int,0,eq_c2/2)+2*PI()*(s_0+5*s_r+IF(circ_int,eq_c1/2,0)))/INDEX(lk_legs,6))-(((((2*IF(circ_int,0,eq_c2/2))+(PI()*(s_0+5*s_r+IF(circ_int,eq_c1/2,0))/2))+2*IF(circ_int,0,eq_c1/2))+(PI()*(s_0+5*s_r+IF(circ_int,eq_c1/2,0))/2))+2*IF(circ_int,0,eq_c2/2)))/(s_0+5*s_r+IF(circ_int,eq_c1/2,0))),IF(((29+0.5)*(4*IF(circ_int,0,eq_c1/2)+4*IF(circ_int,0,eq_c2/2)+2*PI()*(s_0+5*s_r+IF(circ_int,eq_c1/2,0)))/INDEX(lk_legs,6))&lt;(((((((2*IF(circ_int,0,eq_c2/2))+(PI()*(s_0+5*s_r+IF(circ_int,eq_c1/2,0))/2))+2*IF(circ_int,0,eq_c1/2))+(PI()*(s_0+5*s_r+IF(circ_int,eq_c1/2,0))/2))+2*IF(circ_int,0,eq_c2/2))+(PI()*(s_0+5*s_r+IF(circ_int,eq_c1/2,0))/2))+2*IF(circ_int,0,eq_c1/2)),-IF(circ_int,0,eq_c1/2)+(((29+0.5)*(4*IF(circ_int,0,eq_c1/2)+4*IF(circ_int,0,eq_c2/2)+2*PI()*(s_0+5*s_r+IF(circ_int,eq_c1/2,0)))/INDEX(lk_legs,6))-((((((2*IF(circ_int,0,eq_c2/2))+(PI()*(s_0+5*s_r+IF(circ_int,eq_c1/2,0))/2))+2*IF(circ_int,0,eq_c1/2))+(PI()*(s_0+5*s_r+IF(circ_int,eq_c1/2,0))/2))+2*IF(circ_int,0,eq_c2/2))+(PI()*(s_0+5*s_r+IF(circ_int,eq_c1/2,0))/2))),IF(circ_int,0,eq_c1/2)+(s_0+5*s_r+IF(circ_int,eq_c1/2,0))*COS(3*PI()/2+(((29+0.5)*(4*IF(circ_int,0,eq_c1/2)+4*IF(circ_int,0,eq_c2/2)+2*PI()*(s_0+5*s_r+IF(circ_int,eq_c1/2,0)))/INDEX(lk_legs,6))-(((((((2*IF(circ_int,0,eq_c2/2))+(PI()*(s_0+5*s_r+IF(circ_int,eq_c1/2,0))/2))+2*IF(circ_int,0,eq_c1/2))+(PI()*(s_0+5*s_r+IF(circ_int,eq_c1/2,0))/2))+2*IF(circ_int,0,eq_c2/2))+(PI()*(s_0+5*s_r+IF(circ_int,eq_c1/2,0))/2))+2*IF(circ_int,0,eq_c1/2)))/(s_0+5*s_r+IF(circ_int,eq_c1/2,0)))))))))),NA())</f>
        <v/>
      </c>
      <c r="CE32">
        <f>IF(AND(AND(links_on,6&lt;=n_per),INDEX(lk_kind,6)=1,29&lt;INDEX(lk_legs,6)),g_oy+IF(((29+0.5)*(4*IF(circ_int,0,eq_c1/2)+4*IF(circ_int,0,eq_c2/2)+2*PI()*(s_0+5*s_r+IF(circ_int,eq_c1/2,0)))/INDEX(lk_legs,6))&lt;(2*IF(circ_int,0,eq_c2/2)),-IF(circ_int,0,eq_c2/2)+((29+0.5)*(4*IF(circ_int,0,eq_c1/2)+4*IF(circ_int,0,eq_c2/2)+2*PI()*(s_0+5*s_r+IF(circ_int,eq_c1/2,0)))/INDEX(lk_legs,6)),IF(((29+0.5)*(4*IF(circ_int,0,eq_c1/2)+4*IF(circ_int,0,eq_c2/2)+2*PI()*(s_0+5*s_r+IF(circ_int,eq_c1/2,0)))/INDEX(lk_legs,6))&lt;((2*IF(circ_int,0,eq_c2/2))+(PI()*(s_0+5*s_r+IF(circ_int,eq_c1/2,0))/2)),IF(circ_int,0,eq_c2/2)+(s_0+5*s_r+IF(circ_int,eq_c1/2,0))*SIN((((29+0.5)*(4*IF(circ_int,0,eq_c1/2)+4*IF(circ_int,0,eq_c2/2)+2*PI()*(s_0+5*s_r+IF(circ_int,eq_c1/2,0)))/INDEX(lk_legs,6))-(2*IF(circ_int,0,eq_c2/2)))/(s_0+5*s_r+IF(circ_int,eq_c1/2,0))),IF(((29+0.5)*(4*IF(circ_int,0,eq_c1/2)+4*IF(circ_int,0,eq_c2/2)+2*PI()*(s_0+5*s_r+IF(circ_int,eq_c1/2,0)))/INDEX(lk_legs,6))&lt;(((2*IF(circ_int,0,eq_c2/2))+(PI()*(s_0+5*s_r+IF(circ_int,eq_c1/2,0))/2))+2*IF(circ_int,0,eq_c1/2)),IF(circ_int,0,eq_c2/2)+(s_0+5*s_r+IF(circ_int,eq_c1/2,0)),IF(((29+0.5)*(4*IF(circ_int,0,eq_c1/2)+4*IF(circ_int,0,eq_c2/2)+2*PI()*(s_0+5*s_r+IF(circ_int,eq_c1/2,0)))/INDEX(lk_legs,6))&lt;((((2*IF(circ_int,0,eq_c2/2))+(PI()*(s_0+5*s_r+IF(circ_int,eq_c1/2,0))/2))+2*IF(circ_int,0,eq_c1/2))+(PI()*(s_0+5*s_r+IF(circ_int,eq_c1/2,0))/2)),IF(circ_int,0,eq_c2/2)+(s_0+5*s_r+IF(circ_int,eq_c1/2,0))*SIN(PI()/2+(((29+0.5)*(4*IF(circ_int,0,eq_c1/2)+4*IF(circ_int,0,eq_c2/2)+2*PI()*(s_0+5*s_r+IF(circ_int,eq_c1/2,0)))/INDEX(lk_legs,6))-(((2*IF(circ_int,0,eq_c2/2))+(PI()*(s_0+5*s_r+IF(circ_int,eq_c1/2,0))/2))+2*IF(circ_int,0,eq_c1/2)))/(s_0+5*s_r+IF(circ_int,eq_c1/2,0))),IF(((29+0.5)*(4*IF(circ_int,0,eq_c1/2)+4*IF(circ_int,0,eq_c2/2)+2*PI()*(s_0+5*s_r+IF(circ_int,eq_c1/2,0)))/INDEX(lk_legs,6))&lt;(((((2*IF(circ_int,0,eq_c2/2))+(PI()*(s_0+5*s_r+IF(circ_int,eq_c1/2,0))/2))+2*IF(circ_int,0,eq_c1/2))+(PI()*(s_0+5*s_r+IF(circ_int,eq_c1/2,0))/2))+2*IF(circ_int,0,eq_c2/2)),IF(circ_int,0,eq_c2/2)-(((29+0.5)*(4*IF(circ_int,0,eq_c1/2)+4*IF(circ_int,0,eq_c2/2)+2*PI()*(s_0+5*s_r+IF(circ_int,eq_c1/2,0)))/INDEX(lk_legs,6))-((((2*IF(circ_int,0,eq_c2/2))+(PI()*(s_0+5*s_r+IF(circ_int,eq_c1/2,0))/2))+2*IF(circ_int,0,eq_c1/2))+(PI()*(s_0+5*s_r+IF(circ_int,eq_c1/2,0))/2))),IF(((29+0.5)*(4*IF(circ_int,0,eq_c1/2)+4*IF(circ_int,0,eq_c2/2)+2*PI()*(s_0+5*s_r+IF(circ_int,eq_c1/2,0)))/INDEX(lk_legs,6))&lt;((((((2*IF(circ_int,0,eq_c2/2))+(PI()*(s_0+5*s_r+IF(circ_int,eq_c1/2,0))/2))+2*IF(circ_int,0,eq_c1/2))+(PI()*(s_0+5*s_r+IF(circ_int,eq_c1/2,0))/2))+2*IF(circ_int,0,eq_c2/2))+(PI()*(s_0+5*s_r+IF(circ_int,eq_c1/2,0))/2)),-IF(circ_int,0,eq_c2/2)+(s_0+5*s_r+IF(circ_int,eq_c1/2,0))*SIN(PI()+(((29+0.5)*(4*IF(circ_int,0,eq_c1/2)+4*IF(circ_int,0,eq_c2/2)+2*PI()*(s_0+5*s_r+IF(circ_int,eq_c1/2,0)))/INDEX(lk_legs,6))-(((((2*IF(circ_int,0,eq_c2/2))+(PI()*(s_0+5*s_r+IF(circ_int,eq_c1/2,0))/2))+2*IF(circ_int,0,eq_c1/2))+(PI()*(s_0+5*s_r+IF(circ_int,eq_c1/2,0))/2))+2*IF(circ_int,0,eq_c2/2)))/(s_0+5*s_r+IF(circ_int,eq_c1/2,0))),IF(((29+0.5)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(29+0.5)*(4*IF(circ_int,0,eq_c1/2)+4*IF(circ_int,0,eq_c2/2)+2*PI()*(s_0+5*s_r+IF(circ_int,eq_c1/2,0)))/INDEX(lk_legs,6))-(((((((2*IF(circ_int,0,eq_c2/2))+(PI()*(s_0+5*s_r+IF(circ_int,eq_c1/2,0))/2))+2*IF(circ_int,0,eq_c1/2))+(PI()*(s_0+5*s_r+IF(circ_int,eq_c1/2,0))/2))+2*IF(circ_int,0,eq_c2/2))+(PI()*(s_0+5*s_r+IF(circ_int,eq_c1/2,0))/2))+2*IF(circ_int,0,eq_c1/2)))/(s_0+5*s_r+IF(circ_int,eq_c1/2,0)))))))))),NA())</f>
        <v/>
      </c>
      <c r="CG32">
        <f>IF(AND(links_on,7&lt;=n_per),IF(circ_int,(g_ox)+(c_1/2+(s_0+6*s_r))*-0.935016,CHOOSE(INDEX(lk_kind,7),(g_ox-eq_c1/2)+((s_0+6*s_r))*-0.923880,0,eq_a1+eq_c1+(s_0+6*s_r),eq_a1+eq_c1+(s_0+6*s_r))),NA())</f>
        <v/>
      </c>
      <c r="CH32">
        <f>IF(AND(links_on,7&lt;=n_per),IF(circ_int,(g_oy)+(c_1/2+(s_0+6*s_r))*-0.354605,CHOOSE(INDEX(lk_kind,7),(g_oy-eq_c2/2)+((s_0+6*s_r))*-0.382683,g_oy-eq_c2/2-(s_0+6*s_r),0,0)),NA())</f>
        <v/>
      </c>
      <c r="CJ32">
        <f>IF(AND(AND(links_on,7&lt;=n_per),INDEX(lk_kind,7)=1,29&lt;INDEX(lk_legs,7)),g_ox+IF(((29+0.5)*(4*IF(circ_int,0,eq_c1/2)+4*IF(circ_int,0,eq_c2/2)+2*PI()*(s_0+6*s_r+IF(circ_int,eq_c1/2,0)))/INDEX(lk_legs,7))&lt;(2*IF(circ_int,0,eq_c2/2)),IF(circ_int,0,eq_c1/2)+(s_0+6*s_r+IF(circ_int,eq_c1/2,0)),IF(((29+0.5)*(4*IF(circ_int,0,eq_c1/2)+4*IF(circ_int,0,eq_c2/2)+2*PI()*(s_0+6*s_r+IF(circ_int,eq_c1/2,0)))/INDEX(lk_legs,7))&lt;((2*IF(circ_int,0,eq_c2/2))+(PI()*(s_0+6*s_r+IF(circ_int,eq_c1/2,0))/2)),IF(circ_int,0,eq_c1/2)+(s_0+6*s_r+IF(circ_int,eq_c1/2,0))*COS((((29+0.5)*(4*IF(circ_int,0,eq_c1/2)+4*IF(circ_int,0,eq_c2/2)+2*PI()*(s_0+6*s_r+IF(circ_int,eq_c1/2,0)))/INDEX(lk_legs,7))-(2*IF(circ_int,0,eq_c2/2)))/(s_0+6*s_r+IF(circ_int,eq_c1/2,0))),IF(((29+0.5)*(4*IF(circ_int,0,eq_c1/2)+4*IF(circ_int,0,eq_c2/2)+2*PI()*(s_0+6*s_r+IF(circ_int,eq_c1/2,0)))/INDEX(lk_legs,7))&lt;(((2*IF(circ_int,0,eq_c2/2))+(PI()*(s_0+6*s_r+IF(circ_int,eq_c1/2,0))/2))+2*IF(circ_int,0,eq_c1/2)),IF(circ_int,0,eq_c1/2)-(((29+0.5)*(4*IF(circ_int,0,eq_c1/2)+4*IF(circ_int,0,eq_c2/2)+2*PI()*(s_0+6*s_r+IF(circ_int,eq_c1/2,0)))/INDEX(lk_legs,7))-((2*IF(circ_int,0,eq_c2/2))+(PI()*(s_0+6*s_r+IF(circ_int,eq_c1/2,0))/2))),IF(((29+0.5)*(4*IF(circ_int,0,eq_c1/2)+4*IF(circ_int,0,eq_c2/2)+2*PI()*(s_0+6*s_r+IF(circ_int,eq_c1/2,0)))/INDEX(lk_legs,7))&lt;((((2*IF(circ_int,0,eq_c2/2))+(PI()*(s_0+6*s_r+IF(circ_int,eq_c1/2,0))/2))+2*IF(circ_int,0,eq_c1/2))+(PI()*(s_0+6*s_r+IF(circ_int,eq_c1/2,0))/2)),-IF(circ_int,0,eq_c1/2)+(s_0+6*s_r+IF(circ_int,eq_c1/2,0))*COS(PI()/2+(((29+0.5)*(4*IF(circ_int,0,eq_c1/2)+4*IF(circ_int,0,eq_c2/2)+2*PI()*(s_0+6*s_r+IF(circ_int,eq_c1/2,0)))/INDEX(lk_legs,7))-(((2*IF(circ_int,0,eq_c2/2))+(PI()*(s_0+6*s_r+IF(circ_int,eq_c1/2,0))/2))+2*IF(circ_int,0,eq_c1/2)))/(s_0+6*s_r+IF(circ_int,eq_c1/2,0))),IF(((29+0.5)*(4*IF(circ_int,0,eq_c1/2)+4*IF(circ_int,0,eq_c2/2)+2*PI()*(s_0+6*s_r+IF(circ_int,eq_c1/2,0)))/INDEX(lk_legs,7))&lt;(((((2*IF(circ_int,0,eq_c2/2))+(PI()*(s_0+6*s_r+IF(circ_int,eq_c1/2,0))/2))+2*IF(circ_int,0,eq_c1/2))+(PI()*(s_0+6*s_r+IF(circ_int,eq_c1/2,0))/2))+2*IF(circ_int,0,eq_c2/2)),-IF(circ_int,0,eq_c1/2)-(s_0+6*s_r+IF(circ_int,eq_c1/2,0)),IF(((29+0.5)*(4*IF(circ_int,0,eq_c1/2)+4*IF(circ_int,0,eq_c2/2)+2*PI()*(s_0+6*s_r+IF(circ_int,eq_c1/2,0)))/INDEX(lk_legs,7))&lt;((((((2*IF(circ_int,0,eq_c2/2))+(PI()*(s_0+6*s_r+IF(circ_int,eq_c1/2,0))/2))+2*IF(circ_int,0,eq_c1/2))+(PI()*(s_0+6*s_r+IF(circ_int,eq_c1/2,0))/2))+2*IF(circ_int,0,eq_c2/2))+(PI()*(s_0+6*s_r+IF(circ_int,eq_c1/2,0))/2)),-IF(circ_int,0,eq_c1/2)+(s_0+6*s_r+IF(circ_int,eq_c1/2,0))*COS(PI()+(((29+0.5)*(4*IF(circ_int,0,eq_c1/2)+4*IF(circ_int,0,eq_c2/2)+2*PI()*(s_0+6*s_r+IF(circ_int,eq_c1/2,0)))/INDEX(lk_legs,7))-(((((2*IF(circ_int,0,eq_c2/2))+(PI()*(s_0+6*s_r+IF(circ_int,eq_c1/2,0))/2))+2*IF(circ_int,0,eq_c1/2))+(PI()*(s_0+6*s_r+IF(circ_int,eq_c1/2,0))/2))+2*IF(circ_int,0,eq_c2/2)))/(s_0+6*s_r+IF(circ_int,eq_c1/2,0))),IF(((29+0.5)*(4*IF(circ_int,0,eq_c1/2)+4*IF(circ_int,0,eq_c2/2)+2*PI()*(s_0+6*s_r+IF(circ_int,eq_c1/2,0)))/INDEX(lk_legs,7))&lt;(((((((2*IF(circ_int,0,eq_c2/2))+(PI()*(s_0+6*s_r+IF(circ_int,eq_c1/2,0))/2))+2*IF(circ_int,0,eq_c1/2))+(PI()*(s_0+6*s_r+IF(circ_int,eq_c1/2,0))/2))+2*IF(circ_int,0,eq_c2/2))+(PI()*(s_0+6*s_r+IF(circ_int,eq_c1/2,0))/2))+2*IF(circ_int,0,eq_c1/2)),-IF(circ_int,0,eq_c1/2)+(((29+0.5)*(4*IF(circ_int,0,eq_c1/2)+4*IF(circ_int,0,eq_c2/2)+2*PI()*(s_0+6*s_r+IF(circ_int,eq_c1/2,0)))/INDEX(lk_legs,7))-((((((2*IF(circ_int,0,eq_c2/2))+(PI()*(s_0+6*s_r+IF(circ_int,eq_c1/2,0))/2))+2*IF(circ_int,0,eq_c1/2))+(PI()*(s_0+6*s_r+IF(circ_int,eq_c1/2,0))/2))+2*IF(circ_int,0,eq_c2/2))+(PI()*(s_0+6*s_r+IF(circ_int,eq_c1/2,0))/2))),IF(circ_int,0,eq_c1/2)+(s_0+6*s_r+IF(circ_int,eq_c1/2,0))*COS(3*PI()/2+(((29+0.5)*(4*IF(circ_int,0,eq_c1/2)+4*IF(circ_int,0,eq_c2/2)+2*PI()*(s_0+6*s_r+IF(circ_int,eq_c1/2,0)))/INDEX(lk_legs,7))-(((((((2*IF(circ_int,0,eq_c2/2))+(PI()*(s_0+6*s_r+IF(circ_int,eq_c1/2,0))/2))+2*IF(circ_int,0,eq_c1/2))+(PI()*(s_0+6*s_r+IF(circ_int,eq_c1/2,0))/2))+2*IF(circ_int,0,eq_c2/2))+(PI()*(s_0+6*s_r+IF(circ_int,eq_c1/2,0))/2))+2*IF(circ_int,0,eq_c1/2)))/(s_0+6*s_r+IF(circ_int,eq_c1/2,0)))))))))),NA())</f>
        <v/>
      </c>
      <c r="CK32">
        <f>IF(AND(AND(links_on,7&lt;=n_per),INDEX(lk_kind,7)=1,29&lt;INDEX(lk_legs,7)),g_oy+IF(((29+0.5)*(4*IF(circ_int,0,eq_c1/2)+4*IF(circ_int,0,eq_c2/2)+2*PI()*(s_0+6*s_r+IF(circ_int,eq_c1/2,0)))/INDEX(lk_legs,7))&lt;(2*IF(circ_int,0,eq_c2/2)),-IF(circ_int,0,eq_c2/2)+((29+0.5)*(4*IF(circ_int,0,eq_c1/2)+4*IF(circ_int,0,eq_c2/2)+2*PI()*(s_0+6*s_r+IF(circ_int,eq_c1/2,0)))/INDEX(lk_legs,7)),IF(((29+0.5)*(4*IF(circ_int,0,eq_c1/2)+4*IF(circ_int,0,eq_c2/2)+2*PI()*(s_0+6*s_r+IF(circ_int,eq_c1/2,0)))/INDEX(lk_legs,7))&lt;((2*IF(circ_int,0,eq_c2/2))+(PI()*(s_0+6*s_r+IF(circ_int,eq_c1/2,0))/2)),IF(circ_int,0,eq_c2/2)+(s_0+6*s_r+IF(circ_int,eq_c1/2,0))*SIN((((29+0.5)*(4*IF(circ_int,0,eq_c1/2)+4*IF(circ_int,0,eq_c2/2)+2*PI()*(s_0+6*s_r+IF(circ_int,eq_c1/2,0)))/INDEX(lk_legs,7))-(2*IF(circ_int,0,eq_c2/2)))/(s_0+6*s_r+IF(circ_int,eq_c1/2,0))),IF(((29+0.5)*(4*IF(circ_int,0,eq_c1/2)+4*IF(circ_int,0,eq_c2/2)+2*PI()*(s_0+6*s_r+IF(circ_int,eq_c1/2,0)))/INDEX(lk_legs,7))&lt;(((2*IF(circ_int,0,eq_c2/2))+(PI()*(s_0+6*s_r+IF(circ_int,eq_c1/2,0))/2))+2*IF(circ_int,0,eq_c1/2)),IF(circ_int,0,eq_c2/2)+(s_0+6*s_r+IF(circ_int,eq_c1/2,0)),IF(((29+0.5)*(4*IF(circ_int,0,eq_c1/2)+4*IF(circ_int,0,eq_c2/2)+2*PI()*(s_0+6*s_r+IF(circ_int,eq_c1/2,0)))/INDEX(lk_legs,7))&lt;((((2*IF(circ_int,0,eq_c2/2))+(PI()*(s_0+6*s_r+IF(circ_int,eq_c1/2,0))/2))+2*IF(circ_int,0,eq_c1/2))+(PI()*(s_0+6*s_r+IF(circ_int,eq_c1/2,0))/2)),IF(circ_int,0,eq_c2/2)+(s_0+6*s_r+IF(circ_int,eq_c1/2,0))*SIN(PI()/2+(((29+0.5)*(4*IF(circ_int,0,eq_c1/2)+4*IF(circ_int,0,eq_c2/2)+2*PI()*(s_0+6*s_r+IF(circ_int,eq_c1/2,0)))/INDEX(lk_legs,7))-(((2*IF(circ_int,0,eq_c2/2))+(PI()*(s_0+6*s_r+IF(circ_int,eq_c1/2,0))/2))+2*IF(circ_int,0,eq_c1/2)))/(s_0+6*s_r+IF(circ_int,eq_c1/2,0))),IF(((29+0.5)*(4*IF(circ_int,0,eq_c1/2)+4*IF(circ_int,0,eq_c2/2)+2*PI()*(s_0+6*s_r+IF(circ_int,eq_c1/2,0)))/INDEX(lk_legs,7))&lt;(((((2*IF(circ_int,0,eq_c2/2))+(PI()*(s_0+6*s_r+IF(circ_int,eq_c1/2,0))/2))+2*IF(circ_int,0,eq_c1/2))+(PI()*(s_0+6*s_r+IF(circ_int,eq_c1/2,0))/2))+2*IF(circ_int,0,eq_c2/2)),IF(circ_int,0,eq_c2/2)-(((29+0.5)*(4*IF(circ_int,0,eq_c1/2)+4*IF(circ_int,0,eq_c2/2)+2*PI()*(s_0+6*s_r+IF(circ_int,eq_c1/2,0)))/INDEX(lk_legs,7))-((((2*IF(circ_int,0,eq_c2/2))+(PI()*(s_0+6*s_r+IF(circ_int,eq_c1/2,0))/2))+2*IF(circ_int,0,eq_c1/2))+(PI()*(s_0+6*s_r+IF(circ_int,eq_c1/2,0))/2))),IF(((29+0.5)*(4*IF(circ_int,0,eq_c1/2)+4*IF(circ_int,0,eq_c2/2)+2*PI()*(s_0+6*s_r+IF(circ_int,eq_c1/2,0)))/INDEX(lk_legs,7))&lt;((((((2*IF(circ_int,0,eq_c2/2))+(PI()*(s_0+6*s_r+IF(circ_int,eq_c1/2,0))/2))+2*IF(circ_int,0,eq_c1/2))+(PI()*(s_0+6*s_r+IF(circ_int,eq_c1/2,0))/2))+2*IF(circ_int,0,eq_c2/2))+(PI()*(s_0+6*s_r+IF(circ_int,eq_c1/2,0))/2)),-IF(circ_int,0,eq_c2/2)+(s_0+6*s_r+IF(circ_int,eq_c1/2,0))*SIN(PI()+(((29+0.5)*(4*IF(circ_int,0,eq_c1/2)+4*IF(circ_int,0,eq_c2/2)+2*PI()*(s_0+6*s_r+IF(circ_int,eq_c1/2,0)))/INDEX(lk_legs,7))-(((((2*IF(circ_int,0,eq_c2/2))+(PI()*(s_0+6*s_r+IF(circ_int,eq_c1/2,0))/2))+2*IF(circ_int,0,eq_c1/2))+(PI()*(s_0+6*s_r+IF(circ_int,eq_c1/2,0))/2))+2*IF(circ_int,0,eq_c2/2)))/(s_0+6*s_r+IF(circ_int,eq_c1/2,0))),IF(((29+0.5)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(29+0.5)*(4*IF(circ_int,0,eq_c1/2)+4*IF(circ_int,0,eq_c2/2)+2*PI()*(s_0+6*s_r+IF(circ_int,eq_c1/2,0)))/INDEX(lk_legs,7))-(((((((2*IF(circ_int,0,eq_c2/2))+(PI()*(s_0+6*s_r+IF(circ_int,eq_c1/2,0))/2))+2*IF(circ_int,0,eq_c1/2))+(PI()*(s_0+6*s_r+IF(circ_int,eq_c1/2,0))/2))+2*IF(circ_int,0,eq_c2/2))+(PI()*(s_0+6*s_r+IF(circ_int,eq_c1/2,0))/2))+2*IF(circ_int,0,eq_c1/2)))/(s_0+6*s_r+IF(circ_int,eq_c1/2,0)))))))))),NA())</f>
        <v/>
      </c>
      <c r="CM32">
        <f>IF(AND(links_on,8&lt;=n_per),IF(circ_int,(g_ox)+(c_1/2+(s_0+7*s_r))*-0.935016,CHOOSE(INDEX(lk_kind,8),(g_ox-eq_c1/2)+((s_0+7*s_r))*-0.923880,0,eq_a1+eq_c1+(s_0+7*s_r),eq_a1+eq_c1+(s_0+7*s_r))),NA())</f>
        <v/>
      </c>
      <c r="CN32">
        <f>IF(AND(links_on,8&lt;=n_per),IF(circ_int,(g_oy)+(c_1/2+(s_0+7*s_r))*-0.354605,CHOOSE(INDEX(lk_kind,8),(g_oy-eq_c2/2)+((s_0+7*s_r))*-0.382683,g_oy-eq_c2/2-(s_0+7*s_r),0,0)),NA())</f>
        <v/>
      </c>
      <c r="CP32">
        <f>IF(AND(AND(links_on,8&lt;=n_per),INDEX(lk_kind,8)=1,29&lt;INDEX(lk_legs,8)),g_ox+IF(((29+0.5)*(4*IF(circ_int,0,eq_c1/2)+4*IF(circ_int,0,eq_c2/2)+2*PI()*(s_0+7*s_r+IF(circ_int,eq_c1/2,0)))/INDEX(lk_legs,8))&lt;(2*IF(circ_int,0,eq_c2/2)),IF(circ_int,0,eq_c1/2)+(s_0+7*s_r+IF(circ_int,eq_c1/2,0)),IF(((29+0.5)*(4*IF(circ_int,0,eq_c1/2)+4*IF(circ_int,0,eq_c2/2)+2*PI()*(s_0+7*s_r+IF(circ_int,eq_c1/2,0)))/INDEX(lk_legs,8))&lt;((2*IF(circ_int,0,eq_c2/2))+(PI()*(s_0+7*s_r+IF(circ_int,eq_c1/2,0))/2)),IF(circ_int,0,eq_c1/2)+(s_0+7*s_r+IF(circ_int,eq_c1/2,0))*COS((((29+0.5)*(4*IF(circ_int,0,eq_c1/2)+4*IF(circ_int,0,eq_c2/2)+2*PI()*(s_0+7*s_r+IF(circ_int,eq_c1/2,0)))/INDEX(lk_legs,8))-(2*IF(circ_int,0,eq_c2/2)))/(s_0+7*s_r+IF(circ_int,eq_c1/2,0))),IF(((29+0.5)*(4*IF(circ_int,0,eq_c1/2)+4*IF(circ_int,0,eq_c2/2)+2*PI()*(s_0+7*s_r+IF(circ_int,eq_c1/2,0)))/INDEX(lk_legs,8))&lt;(((2*IF(circ_int,0,eq_c2/2))+(PI()*(s_0+7*s_r+IF(circ_int,eq_c1/2,0))/2))+2*IF(circ_int,0,eq_c1/2)),IF(circ_int,0,eq_c1/2)-(((29+0.5)*(4*IF(circ_int,0,eq_c1/2)+4*IF(circ_int,0,eq_c2/2)+2*PI()*(s_0+7*s_r+IF(circ_int,eq_c1/2,0)))/INDEX(lk_legs,8))-((2*IF(circ_int,0,eq_c2/2))+(PI()*(s_0+7*s_r+IF(circ_int,eq_c1/2,0))/2))),IF(((29+0.5)*(4*IF(circ_int,0,eq_c1/2)+4*IF(circ_int,0,eq_c2/2)+2*PI()*(s_0+7*s_r+IF(circ_int,eq_c1/2,0)))/INDEX(lk_legs,8))&lt;((((2*IF(circ_int,0,eq_c2/2))+(PI()*(s_0+7*s_r+IF(circ_int,eq_c1/2,0))/2))+2*IF(circ_int,0,eq_c1/2))+(PI()*(s_0+7*s_r+IF(circ_int,eq_c1/2,0))/2)),-IF(circ_int,0,eq_c1/2)+(s_0+7*s_r+IF(circ_int,eq_c1/2,0))*COS(PI()/2+(((29+0.5)*(4*IF(circ_int,0,eq_c1/2)+4*IF(circ_int,0,eq_c2/2)+2*PI()*(s_0+7*s_r+IF(circ_int,eq_c1/2,0)))/INDEX(lk_legs,8))-(((2*IF(circ_int,0,eq_c2/2))+(PI()*(s_0+7*s_r+IF(circ_int,eq_c1/2,0))/2))+2*IF(circ_int,0,eq_c1/2)))/(s_0+7*s_r+IF(circ_int,eq_c1/2,0))),IF(((29+0.5)*(4*IF(circ_int,0,eq_c1/2)+4*IF(circ_int,0,eq_c2/2)+2*PI()*(s_0+7*s_r+IF(circ_int,eq_c1/2,0)))/INDEX(lk_legs,8))&lt;(((((2*IF(circ_int,0,eq_c2/2))+(PI()*(s_0+7*s_r+IF(circ_int,eq_c1/2,0))/2))+2*IF(circ_int,0,eq_c1/2))+(PI()*(s_0+7*s_r+IF(circ_int,eq_c1/2,0))/2))+2*IF(circ_int,0,eq_c2/2)),-IF(circ_int,0,eq_c1/2)-(s_0+7*s_r+IF(circ_int,eq_c1/2,0)),IF(((29+0.5)*(4*IF(circ_int,0,eq_c1/2)+4*IF(circ_int,0,eq_c2/2)+2*PI()*(s_0+7*s_r+IF(circ_int,eq_c1/2,0)))/INDEX(lk_legs,8))&lt;((((((2*IF(circ_int,0,eq_c2/2))+(PI()*(s_0+7*s_r+IF(circ_int,eq_c1/2,0))/2))+2*IF(circ_int,0,eq_c1/2))+(PI()*(s_0+7*s_r+IF(circ_int,eq_c1/2,0))/2))+2*IF(circ_int,0,eq_c2/2))+(PI()*(s_0+7*s_r+IF(circ_int,eq_c1/2,0))/2)),-IF(circ_int,0,eq_c1/2)+(s_0+7*s_r+IF(circ_int,eq_c1/2,0))*COS(PI()+(((29+0.5)*(4*IF(circ_int,0,eq_c1/2)+4*IF(circ_int,0,eq_c2/2)+2*PI()*(s_0+7*s_r+IF(circ_int,eq_c1/2,0)))/INDEX(lk_legs,8))-(((((2*IF(circ_int,0,eq_c2/2))+(PI()*(s_0+7*s_r+IF(circ_int,eq_c1/2,0))/2))+2*IF(circ_int,0,eq_c1/2))+(PI()*(s_0+7*s_r+IF(circ_int,eq_c1/2,0))/2))+2*IF(circ_int,0,eq_c2/2)))/(s_0+7*s_r+IF(circ_int,eq_c1/2,0))),IF(((29+0.5)*(4*IF(circ_int,0,eq_c1/2)+4*IF(circ_int,0,eq_c2/2)+2*PI()*(s_0+7*s_r+IF(circ_int,eq_c1/2,0)))/INDEX(lk_legs,8))&lt;(((((((2*IF(circ_int,0,eq_c2/2))+(PI()*(s_0+7*s_r+IF(circ_int,eq_c1/2,0))/2))+2*IF(circ_int,0,eq_c1/2))+(PI()*(s_0+7*s_r+IF(circ_int,eq_c1/2,0))/2))+2*IF(circ_int,0,eq_c2/2))+(PI()*(s_0+7*s_r+IF(circ_int,eq_c1/2,0))/2))+2*IF(circ_int,0,eq_c1/2)),-IF(circ_int,0,eq_c1/2)+(((29+0.5)*(4*IF(circ_int,0,eq_c1/2)+4*IF(circ_int,0,eq_c2/2)+2*PI()*(s_0+7*s_r+IF(circ_int,eq_c1/2,0)))/INDEX(lk_legs,8))-((((((2*IF(circ_int,0,eq_c2/2))+(PI()*(s_0+7*s_r+IF(circ_int,eq_c1/2,0))/2))+2*IF(circ_int,0,eq_c1/2))+(PI()*(s_0+7*s_r+IF(circ_int,eq_c1/2,0))/2))+2*IF(circ_int,0,eq_c2/2))+(PI()*(s_0+7*s_r+IF(circ_int,eq_c1/2,0))/2))),IF(circ_int,0,eq_c1/2)+(s_0+7*s_r+IF(circ_int,eq_c1/2,0))*COS(3*PI()/2+(((29+0.5)*(4*IF(circ_int,0,eq_c1/2)+4*IF(circ_int,0,eq_c2/2)+2*PI()*(s_0+7*s_r+IF(circ_int,eq_c1/2,0)))/INDEX(lk_legs,8))-(((((((2*IF(circ_int,0,eq_c2/2))+(PI()*(s_0+7*s_r+IF(circ_int,eq_c1/2,0))/2))+2*IF(circ_int,0,eq_c1/2))+(PI()*(s_0+7*s_r+IF(circ_int,eq_c1/2,0))/2))+2*IF(circ_int,0,eq_c2/2))+(PI()*(s_0+7*s_r+IF(circ_int,eq_c1/2,0))/2))+2*IF(circ_int,0,eq_c1/2)))/(s_0+7*s_r+IF(circ_int,eq_c1/2,0)))))))))),NA())</f>
        <v/>
      </c>
      <c r="CQ32">
        <f>IF(AND(AND(links_on,8&lt;=n_per),INDEX(lk_kind,8)=1,29&lt;INDEX(lk_legs,8)),g_oy+IF(((29+0.5)*(4*IF(circ_int,0,eq_c1/2)+4*IF(circ_int,0,eq_c2/2)+2*PI()*(s_0+7*s_r+IF(circ_int,eq_c1/2,0)))/INDEX(lk_legs,8))&lt;(2*IF(circ_int,0,eq_c2/2)),-IF(circ_int,0,eq_c2/2)+((29+0.5)*(4*IF(circ_int,0,eq_c1/2)+4*IF(circ_int,0,eq_c2/2)+2*PI()*(s_0+7*s_r+IF(circ_int,eq_c1/2,0)))/INDEX(lk_legs,8)),IF(((29+0.5)*(4*IF(circ_int,0,eq_c1/2)+4*IF(circ_int,0,eq_c2/2)+2*PI()*(s_0+7*s_r+IF(circ_int,eq_c1/2,0)))/INDEX(lk_legs,8))&lt;((2*IF(circ_int,0,eq_c2/2))+(PI()*(s_0+7*s_r+IF(circ_int,eq_c1/2,0))/2)),IF(circ_int,0,eq_c2/2)+(s_0+7*s_r+IF(circ_int,eq_c1/2,0))*SIN((((29+0.5)*(4*IF(circ_int,0,eq_c1/2)+4*IF(circ_int,0,eq_c2/2)+2*PI()*(s_0+7*s_r+IF(circ_int,eq_c1/2,0)))/INDEX(lk_legs,8))-(2*IF(circ_int,0,eq_c2/2)))/(s_0+7*s_r+IF(circ_int,eq_c1/2,0))),IF(((29+0.5)*(4*IF(circ_int,0,eq_c1/2)+4*IF(circ_int,0,eq_c2/2)+2*PI()*(s_0+7*s_r+IF(circ_int,eq_c1/2,0)))/INDEX(lk_legs,8))&lt;(((2*IF(circ_int,0,eq_c2/2))+(PI()*(s_0+7*s_r+IF(circ_int,eq_c1/2,0))/2))+2*IF(circ_int,0,eq_c1/2)),IF(circ_int,0,eq_c2/2)+(s_0+7*s_r+IF(circ_int,eq_c1/2,0)),IF(((29+0.5)*(4*IF(circ_int,0,eq_c1/2)+4*IF(circ_int,0,eq_c2/2)+2*PI()*(s_0+7*s_r+IF(circ_int,eq_c1/2,0)))/INDEX(lk_legs,8))&lt;((((2*IF(circ_int,0,eq_c2/2))+(PI()*(s_0+7*s_r+IF(circ_int,eq_c1/2,0))/2))+2*IF(circ_int,0,eq_c1/2))+(PI()*(s_0+7*s_r+IF(circ_int,eq_c1/2,0))/2)),IF(circ_int,0,eq_c2/2)+(s_0+7*s_r+IF(circ_int,eq_c1/2,0))*SIN(PI()/2+(((29+0.5)*(4*IF(circ_int,0,eq_c1/2)+4*IF(circ_int,0,eq_c2/2)+2*PI()*(s_0+7*s_r+IF(circ_int,eq_c1/2,0)))/INDEX(lk_legs,8))-(((2*IF(circ_int,0,eq_c2/2))+(PI()*(s_0+7*s_r+IF(circ_int,eq_c1/2,0))/2))+2*IF(circ_int,0,eq_c1/2)))/(s_0+7*s_r+IF(circ_int,eq_c1/2,0))),IF(((29+0.5)*(4*IF(circ_int,0,eq_c1/2)+4*IF(circ_int,0,eq_c2/2)+2*PI()*(s_0+7*s_r+IF(circ_int,eq_c1/2,0)))/INDEX(lk_legs,8))&lt;(((((2*IF(circ_int,0,eq_c2/2))+(PI()*(s_0+7*s_r+IF(circ_int,eq_c1/2,0))/2))+2*IF(circ_int,0,eq_c1/2))+(PI()*(s_0+7*s_r+IF(circ_int,eq_c1/2,0))/2))+2*IF(circ_int,0,eq_c2/2)),IF(circ_int,0,eq_c2/2)-(((29+0.5)*(4*IF(circ_int,0,eq_c1/2)+4*IF(circ_int,0,eq_c2/2)+2*PI()*(s_0+7*s_r+IF(circ_int,eq_c1/2,0)))/INDEX(lk_legs,8))-((((2*IF(circ_int,0,eq_c2/2))+(PI()*(s_0+7*s_r+IF(circ_int,eq_c1/2,0))/2))+2*IF(circ_int,0,eq_c1/2))+(PI()*(s_0+7*s_r+IF(circ_int,eq_c1/2,0))/2))),IF(((29+0.5)*(4*IF(circ_int,0,eq_c1/2)+4*IF(circ_int,0,eq_c2/2)+2*PI()*(s_0+7*s_r+IF(circ_int,eq_c1/2,0)))/INDEX(lk_legs,8))&lt;((((((2*IF(circ_int,0,eq_c2/2))+(PI()*(s_0+7*s_r+IF(circ_int,eq_c1/2,0))/2))+2*IF(circ_int,0,eq_c1/2))+(PI()*(s_0+7*s_r+IF(circ_int,eq_c1/2,0))/2))+2*IF(circ_int,0,eq_c2/2))+(PI()*(s_0+7*s_r+IF(circ_int,eq_c1/2,0))/2)),-IF(circ_int,0,eq_c2/2)+(s_0+7*s_r+IF(circ_int,eq_c1/2,0))*SIN(PI()+(((29+0.5)*(4*IF(circ_int,0,eq_c1/2)+4*IF(circ_int,0,eq_c2/2)+2*PI()*(s_0+7*s_r+IF(circ_int,eq_c1/2,0)))/INDEX(lk_legs,8))-(((((2*IF(circ_int,0,eq_c2/2))+(PI()*(s_0+7*s_r+IF(circ_int,eq_c1/2,0))/2))+2*IF(circ_int,0,eq_c1/2))+(PI()*(s_0+7*s_r+IF(circ_int,eq_c1/2,0))/2))+2*IF(circ_int,0,eq_c2/2)))/(s_0+7*s_r+IF(circ_int,eq_c1/2,0))),IF(((29+0.5)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(29+0.5)*(4*IF(circ_int,0,eq_c1/2)+4*IF(circ_int,0,eq_c2/2)+2*PI()*(s_0+7*s_r+IF(circ_int,eq_c1/2,0)))/INDEX(lk_legs,8))-(((((((2*IF(circ_int,0,eq_c2/2))+(PI()*(s_0+7*s_r+IF(circ_int,eq_c1/2,0))/2))+2*IF(circ_int,0,eq_c1/2))+(PI()*(s_0+7*s_r+IF(circ_int,eq_c1/2,0))/2))+2*IF(circ_int,0,eq_c2/2))+(PI()*(s_0+7*s_r+IF(circ_int,eq_c1/2,0))/2))+2*IF(circ_int,0,eq_c1/2)))/(s_0+7*s_r+IF(circ_int,eq_c1/2,0)))))))))),NA())</f>
        <v/>
      </c>
      <c r="CS32">
        <f>IF(AND(links_on,9&lt;=n_per),IF(circ_int,(g_ox)+(c_1/2+(s_0+8*s_r))*-0.935016,CHOOSE(INDEX(lk_kind,9),(g_ox-eq_c1/2)+((s_0+8*s_r))*-0.923880,0,eq_a1+eq_c1+(s_0+8*s_r),eq_a1+eq_c1+(s_0+8*s_r))),NA())</f>
        <v/>
      </c>
      <c r="CT32">
        <f>IF(AND(links_on,9&lt;=n_per),IF(circ_int,(g_oy)+(c_1/2+(s_0+8*s_r))*-0.354605,CHOOSE(INDEX(lk_kind,9),(g_oy-eq_c2/2)+((s_0+8*s_r))*-0.382683,g_oy-eq_c2/2-(s_0+8*s_r),0,0)),NA())</f>
        <v/>
      </c>
      <c r="CV32">
        <f>IF(AND(AND(links_on,9&lt;=n_per),INDEX(lk_kind,9)=1,29&lt;INDEX(lk_legs,9)),g_ox+IF(((29+0.5)*(4*IF(circ_int,0,eq_c1/2)+4*IF(circ_int,0,eq_c2/2)+2*PI()*(s_0+8*s_r+IF(circ_int,eq_c1/2,0)))/INDEX(lk_legs,9))&lt;(2*IF(circ_int,0,eq_c2/2)),IF(circ_int,0,eq_c1/2)+(s_0+8*s_r+IF(circ_int,eq_c1/2,0)),IF(((29+0.5)*(4*IF(circ_int,0,eq_c1/2)+4*IF(circ_int,0,eq_c2/2)+2*PI()*(s_0+8*s_r+IF(circ_int,eq_c1/2,0)))/INDEX(lk_legs,9))&lt;((2*IF(circ_int,0,eq_c2/2))+(PI()*(s_0+8*s_r+IF(circ_int,eq_c1/2,0))/2)),IF(circ_int,0,eq_c1/2)+(s_0+8*s_r+IF(circ_int,eq_c1/2,0))*COS((((29+0.5)*(4*IF(circ_int,0,eq_c1/2)+4*IF(circ_int,0,eq_c2/2)+2*PI()*(s_0+8*s_r+IF(circ_int,eq_c1/2,0)))/INDEX(lk_legs,9))-(2*IF(circ_int,0,eq_c2/2)))/(s_0+8*s_r+IF(circ_int,eq_c1/2,0))),IF(((29+0.5)*(4*IF(circ_int,0,eq_c1/2)+4*IF(circ_int,0,eq_c2/2)+2*PI()*(s_0+8*s_r+IF(circ_int,eq_c1/2,0)))/INDEX(lk_legs,9))&lt;(((2*IF(circ_int,0,eq_c2/2))+(PI()*(s_0+8*s_r+IF(circ_int,eq_c1/2,0))/2))+2*IF(circ_int,0,eq_c1/2)),IF(circ_int,0,eq_c1/2)-(((29+0.5)*(4*IF(circ_int,0,eq_c1/2)+4*IF(circ_int,0,eq_c2/2)+2*PI()*(s_0+8*s_r+IF(circ_int,eq_c1/2,0)))/INDEX(lk_legs,9))-((2*IF(circ_int,0,eq_c2/2))+(PI()*(s_0+8*s_r+IF(circ_int,eq_c1/2,0))/2))),IF(((29+0.5)*(4*IF(circ_int,0,eq_c1/2)+4*IF(circ_int,0,eq_c2/2)+2*PI()*(s_0+8*s_r+IF(circ_int,eq_c1/2,0)))/INDEX(lk_legs,9))&lt;((((2*IF(circ_int,0,eq_c2/2))+(PI()*(s_0+8*s_r+IF(circ_int,eq_c1/2,0))/2))+2*IF(circ_int,0,eq_c1/2))+(PI()*(s_0+8*s_r+IF(circ_int,eq_c1/2,0))/2)),-IF(circ_int,0,eq_c1/2)+(s_0+8*s_r+IF(circ_int,eq_c1/2,0))*COS(PI()/2+(((29+0.5)*(4*IF(circ_int,0,eq_c1/2)+4*IF(circ_int,0,eq_c2/2)+2*PI()*(s_0+8*s_r+IF(circ_int,eq_c1/2,0)))/INDEX(lk_legs,9))-(((2*IF(circ_int,0,eq_c2/2))+(PI()*(s_0+8*s_r+IF(circ_int,eq_c1/2,0))/2))+2*IF(circ_int,0,eq_c1/2)))/(s_0+8*s_r+IF(circ_int,eq_c1/2,0))),IF(((29+0.5)*(4*IF(circ_int,0,eq_c1/2)+4*IF(circ_int,0,eq_c2/2)+2*PI()*(s_0+8*s_r+IF(circ_int,eq_c1/2,0)))/INDEX(lk_legs,9))&lt;(((((2*IF(circ_int,0,eq_c2/2))+(PI()*(s_0+8*s_r+IF(circ_int,eq_c1/2,0))/2))+2*IF(circ_int,0,eq_c1/2))+(PI()*(s_0+8*s_r+IF(circ_int,eq_c1/2,0))/2))+2*IF(circ_int,0,eq_c2/2)),-IF(circ_int,0,eq_c1/2)-(s_0+8*s_r+IF(circ_int,eq_c1/2,0)),IF(((29+0.5)*(4*IF(circ_int,0,eq_c1/2)+4*IF(circ_int,0,eq_c2/2)+2*PI()*(s_0+8*s_r+IF(circ_int,eq_c1/2,0)))/INDEX(lk_legs,9))&lt;((((((2*IF(circ_int,0,eq_c2/2))+(PI()*(s_0+8*s_r+IF(circ_int,eq_c1/2,0))/2))+2*IF(circ_int,0,eq_c1/2))+(PI()*(s_0+8*s_r+IF(circ_int,eq_c1/2,0))/2))+2*IF(circ_int,0,eq_c2/2))+(PI()*(s_0+8*s_r+IF(circ_int,eq_c1/2,0))/2)),-IF(circ_int,0,eq_c1/2)+(s_0+8*s_r+IF(circ_int,eq_c1/2,0))*COS(PI()+(((29+0.5)*(4*IF(circ_int,0,eq_c1/2)+4*IF(circ_int,0,eq_c2/2)+2*PI()*(s_0+8*s_r+IF(circ_int,eq_c1/2,0)))/INDEX(lk_legs,9))-(((((2*IF(circ_int,0,eq_c2/2))+(PI()*(s_0+8*s_r+IF(circ_int,eq_c1/2,0))/2))+2*IF(circ_int,0,eq_c1/2))+(PI()*(s_0+8*s_r+IF(circ_int,eq_c1/2,0))/2))+2*IF(circ_int,0,eq_c2/2)))/(s_0+8*s_r+IF(circ_int,eq_c1/2,0))),IF(((29+0.5)*(4*IF(circ_int,0,eq_c1/2)+4*IF(circ_int,0,eq_c2/2)+2*PI()*(s_0+8*s_r+IF(circ_int,eq_c1/2,0)))/INDEX(lk_legs,9))&lt;(((((((2*IF(circ_int,0,eq_c2/2))+(PI()*(s_0+8*s_r+IF(circ_int,eq_c1/2,0))/2))+2*IF(circ_int,0,eq_c1/2))+(PI()*(s_0+8*s_r+IF(circ_int,eq_c1/2,0))/2))+2*IF(circ_int,0,eq_c2/2))+(PI()*(s_0+8*s_r+IF(circ_int,eq_c1/2,0))/2))+2*IF(circ_int,0,eq_c1/2)),-IF(circ_int,0,eq_c1/2)+(((29+0.5)*(4*IF(circ_int,0,eq_c1/2)+4*IF(circ_int,0,eq_c2/2)+2*PI()*(s_0+8*s_r+IF(circ_int,eq_c1/2,0)))/INDEX(lk_legs,9))-((((((2*IF(circ_int,0,eq_c2/2))+(PI()*(s_0+8*s_r+IF(circ_int,eq_c1/2,0))/2))+2*IF(circ_int,0,eq_c1/2))+(PI()*(s_0+8*s_r+IF(circ_int,eq_c1/2,0))/2))+2*IF(circ_int,0,eq_c2/2))+(PI()*(s_0+8*s_r+IF(circ_int,eq_c1/2,0))/2))),IF(circ_int,0,eq_c1/2)+(s_0+8*s_r+IF(circ_int,eq_c1/2,0))*COS(3*PI()/2+(((29+0.5)*(4*IF(circ_int,0,eq_c1/2)+4*IF(circ_int,0,eq_c2/2)+2*PI()*(s_0+8*s_r+IF(circ_int,eq_c1/2,0)))/INDEX(lk_legs,9))-(((((((2*IF(circ_int,0,eq_c2/2))+(PI()*(s_0+8*s_r+IF(circ_int,eq_c1/2,0))/2))+2*IF(circ_int,0,eq_c1/2))+(PI()*(s_0+8*s_r+IF(circ_int,eq_c1/2,0))/2))+2*IF(circ_int,0,eq_c2/2))+(PI()*(s_0+8*s_r+IF(circ_int,eq_c1/2,0))/2))+2*IF(circ_int,0,eq_c1/2)))/(s_0+8*s_r+IF(circ_int,eq_c1/2,0)))))))))),NA())</f>
        <v/>
      </c>
      <c r="CW32">
        <f>IF(AND(AND(links_on,9&lt;=n_per),INDEX(lk_kind,9)=1,29&lt;INDEX(lk_legs,9)),g_oy+IF(((29+0.5)*(4*IF(circ_int,0,eq_c1/2)+4*IF(circ_int,0,eq_c2/2)+2*PI()*(s_0+8*s_r+IF(circ_int,eq_c1/2,0)))/INDEX(lk_legs,9))&lt;(2*IF(circ_int,0,eq_c2/2)),-IF(circ_int,0,eq_c2/2)+((29+0.5)*(4*IF(circ_int,0,eq_c1/2)+4*IF(circ_int,0,eq_c2/2)+2*PI()*(s_0+8*s_r+IF(circ_int,eq_c1/2,0)))/INDEX(lk_legs,9)),IF(((29+0.5)*(4*IF(circ_int,0,eq_c1/2)+4*IF(circ_int,0,eq_c2/2)+2*PI()*(s_0+8*s_r+IF(circ_int,eq_c1/2,0)))/INDEX(lk_legs,9))&lt;((2*IF(circ_int,0,eq_c2/2))+(PI()*(s_0+8*s_r+IF(circ_int,eq_c1/2,0))/2)),IF(circ_int,0,eq_c2/2)+(s_0+8*s_r+IF(circ_int,eq_c1/2,0))*SIN((((29+0.5)*(4*IF(circ_int,0,eq_c1/2)+4*IF(circ_int,0,eq_c2/2)+2*PI()*(s_0+8*s_r+IF(circ_int,eq_c1/2,0)))/INDEX(lk_legs,9))-(2*IF(circ_int,0,eq_c2/2)))/(s_0+8*s_r+IF(circ_int,eq_c1/2,0))),IF(((29+0.5)*(4*IF(circ_int,0,eq_c1/2)+4*IF(circ_int,0,eq_c2/2)+2*PI()*(s_0+8*s_r+IF(circ_int,eq_c1/2,0)))/INDEX(lk_legs,9))&lt;(((2*IF(circ_int,0,eq_c2/2))+(PI()*(s_0+8*s_r+IF(circ_int,eq_c1/2,0))/2))+2*IF(circ_int,0,eq_c1/2)),IF(circ_int,0,eq_c2/2)+(s_0+8*s_r+IF(circ_int,eq_c1/2,0)),IF(((29+0.5)*(4*IF(circ_int,0,eq_c1/2)+4*IF(circ_int,0,eq_c2/2)+2*PI()*(s_0+8*s_r+IF(circ_int,eq_c1/2,0)))/INDEX(lk_legs,9))&lt;((((2*IF(circ_int,0,eq_c2/2))+(PI()*(s_0+8*s_r+IF(circ_int,eq_c1/2,0))/2))+2*IF(circ_int,0,eq_c1/2))+(PI()*(s_0+8*s_r+IF(circ_int,eq_c1/2,0))/2)),IF(circ_int,0,eq_c2/2)+(s_0+8*s_r+IF(circ_int,eq_c1/2,0))*SIN(PI()/2+(((29+0.5)*(4*IF(circ_int,0,eq_c1/2)+4*IF(circ_int,0,eq_c2/2)+2*PI()*(s_0+8*s_r+IF(circ_int,eq_c1/2,0)))/INDEX(lk_legs,9))-(((2*IF(circ_int,0,eq_c2/2))+(PI()*(s_0+8*s_r+IF(circ_int,eq_c1/2,0))/2))+2*IF(circ_int,0,eq_c1/2)))/(s_0+8*s_r+IF(circ_int,eq_c1/2,0))),IF(((29+0.5)*(4*IF(circ_int,0,eq_c1/2)+4*IF(circ_int,0,eq_c2/2)+2*PI()*(s_0+8*s_r+IF(circ_int,eq_c1/2,0)))/INDEX(lk_legs,9))&lt;(((((2*IF(circ_int,0,eq_c2/2))+(PI()*(s_0+8*s_r+IF(circ_int,eq_c1/2,0))/2))+2*IF(circ_int,0,eq_c1/2))+(PI()*(s_0+8*s_r+IF(circ_int,eq_c1/2,0))/2))+2*IF(circ_int,0,eq_c2/2)),IF(circ_int,0,eq_c2/2)-(((29+0.5)*(4*IF(circ_int,0,eq_c1/2)+4*IF(circ_int,0,eq_c2/2)+2*PI()*(s_0+8*s_r+IF(circ_int,eq_c1/2,0)))/INDEX(lk_legs,9))-((((2*IF(circ_int,0,eq_c2/2))+(PI()*(s_0+8*s_r+IF(circ_int,eq_c1/2,0))/2))+2*IF(circ_int,0,eq_c1/2))+(PI()*(s_0+8*s_r+IF(circ_int,eq_c1/2,0))/2))),IF(((29+0.5)*(4*IF(circ_int,0,eq_c1/2)+4*IF(circ_int,0,eq_c2/2)+2*PI()*(s_0+8*s_r+IF(circ_int,eq_c1/2,0)))/INDEX(lk_legs,9))&lt;((((((2*IF(circ_int,0,eq_c2/2))+(PI()*(s_0+8*s_r+IF(circ_int,eq_c1/2,0))/2))+2*IF(circ_int,0,eq_c1/2))+(PI()*(s_0+8*s_r+IF(circ_int,eq_c1/2,0))/2))+2*IF(circ_int,0,eq_c2/2))+(PI()*(s_0+8*s_r+IF(circ_int,eq_c1/2,0))/2)),-IF(circ_int,0,eq_c2/2)+(s_0+8*s_r+IF(circ_int,eq_c1/2,0))*SIN(PI()+(((29+0.5)*(4*IF(circ_int,0,eq_c1/2)+4*IF(circ_int,0,eq_c2/2)+2*PI()*(s_0+8*s_r+IF(circ_int,eq_c1/2,0)))/INDEX(lk_legs,9))-(((((2*IF(circ_int,0,eq_c2/2))+(PI()*(s_0+8*s_r+IF(circ_int,eq_c1/2,0))/2))+2*IF(circ_int,0,eq_c1/2))+(PI()*(s_0+8*s_r+IF(circ_int,eq_c1/2,0))/2))+2*IF(circ_int,0,eq_c2/2)))/(s_0+8*s_r+IF(circ_int,eq_c1/2,0))),IF(((29+0.5)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(29+0.5)*(4*IF(circ_int,0,eq_c1/2)+4*IF(circ_int,0,eq_c2/2)+2*PI()*(s_0+8*s_r+IF(circ_int,eq_c1/2,0)))/INDEX(lk_legs,9))-(((((((2*IF(circ_int,0,eq_c2/2))+(PI()*(s_0+8*s_r+IF(circ_int,eq_c1/2,0))/2))+2*IF(circ_int,0,eq_c1/2))+(PI()*(s_0+8*s_r+IF(circ_int,eq_c1/2,0))/2))+2*IF(circ_int,0,eq_c2/2))+(PI()*(s_0+8*s_r+IF(circ_int,eq_c1/2,0))/2))+2*IF(circ_int,0,eq_c1/2)))/(s_0+8*s_r+IF(circ_int,eq_c1/2,0)))))))))),NA())</f>
        <v/>
      </c>
      <c r="CY32">
        <f>IF(AND(links_on,10&lt;=n_per),IF(circ_int,(g_ox)+(c_1/2+(s_0+9*s_r))*-0.935016,CHOOSE(INDEX(lk_kind,10),(g_ox-eq_c1/2)+((s_0+9*s_r))*-0.923880,0,eq_a1+eq_c1+(s_0+9*s_r),eq_a1+eq_c1+(s_0+9*s_r))),NA())</f>
        <v/>
      </c>
      <c r="CZ32">
        <f>IF(AND(links_on,10&lt;=n_per),IF(circ_int,(g_oy)+(c_1/2+(s_0+9*s_r))*-0.354605,CHOOSE(INDEX(lk_kind,10),(g_oy-eq_c2/2)+((s_0+9*s_r))*-0.382683,g_oy-eq_c2/2-(s_0+9*s_r),0,0)),NA())</f>
        <v/>
      </c>
      <c r="DB32">
        <f>IF(AND(AND(links_on,10&lt;=n_per),INDEX(lk_kind,10)=1,29&lt;INDEX(lk_legs,10)),g_ox+IF(((29+0.5)*(4*IF(circ_int,0,eq_c1/2)+4*IF(circ_int,0,eq_c2/2)+2*PI()*(s_0+9*s_r+IF(circ_int,eq_c1/2,0)))/INDEX(lk_legs,10))&lt;(2*IF(circ_int,0,eq_c2/2)),IF(circ_int,0,eq_c1/2)+(s_0+9*s_r+IF(circ_int,eq_c1/2,0)),IF(((29+0.5)*(4*IF(circ_int,0,eq_c1/2)+4*IF(circ_int,0,eq_c2/2)+2*PI()*(s_0+9*s_r+IF(circ_int,eq_c1/2,0)))/INDEX(lk_legs,10))&lt;((2*IF(circ_int,0,eq_c2/2))+(PI()*(s_0+9*s_r+IF(circ_int,eq_c1/2,0))/2)),IF(circ_int,0,eq_c1/2)+(s_0+9*s_r+IF(circ_int,eq_c1/2,0))*COS((((29+0.5)*(4*IF(circ_int,0,eq_c1/2)+4*IF(circ_int,0,eq_c2/2)+2*PI()*(s_0+9*s_r+IF(circ_int,eq_c1/2,0)))/INDEX(lk_legs,10))-(2*IF(circ_int,0,eq_c2/2)))/(s_0+9*s_r+IF(circ_int,eq_c1/2,0))),IF(((29+0.5)*(4*IF(circ_int,0,eq_c1/2)+4*IF(circ_int,0,eq_c2/2)+2*PI()*(s_0+9*s_r+IF(circ_int,eq_c1/2,0)))/INDEX(lk_legs,10))&lt;(((2*IF(circ_int,0,eq_c2/2))+(PI()*(s_0+9*s_r+IF(circ_int,eq_c1/2,0))/2))+2*IF(circ_int,0,eq_c1/2)),IF(circ_int,0,eq_c1/2)-(((29+0.5)*(4*IF(circ_int,0,eq_c1/2)+4*IF(circ_int,0,eq_c2/2)+2*PI()*(s_0+9*s_r+IF(circ_int,eq_c1/2,0)))/INDEX(lk_legs,10))-((2*IF(circ_int,0,eq_c2/2))+(PI()*(s_0+9*s_r+IF(circ_int,eq_c1/2,0))/2))),IF(((29+0.5)*(4*IF(circ_int,0,eq_c1/2)+4*IF(circ_int,0,eq_c2/2)+2*PI()*(s_0+9*s_r+IF(circ_int,eq_c1/2,0)))/INDEX(lk_legs,10))&lt;((((2*IF(circ_int,0,eq_c2/2))+(PI()*(s_0+9*s_r+IF(circ_int,eq_c1/2,0))/2))+2*IF(circ_int,0,eq_c1/2))+(PI()*(s_0+9*s_r+IF(circ_int,eq_c1/2,0))/2)),-IF(circ_int,0,eq_c1/2)+(s_0+9*s_r+IF(circ_int,eq_c1/2,0))*COS(PI()/2+(((29+0.5)*(4*IF(circ_int,0,eq_c1/2)+4*IF(circ_int,0,eq_c2/2)+2*PI()*(s_0+9*s_r+IF(circ_int,eq_c1/2,0)))/INDEX(lk_legs,10))-(((2*IF(circ_int,0,eq_c2/2))+(PI()*(s_0+9*s_r+IF(circ_int,eq_c1/2,0))/2))+2*IF(circ_int,0,eq_c1/2)))/(s_0+9*s_r+IF(circ_int,eq_c1/2,0))),IF(((29+0.5)*(4*IF(circ_int,0,eq_c1/2)+4*IF(circ_int,0,eq_c2/2)+2*PI()*(s_0+9*s_r+IF(circ_int,eq_c1/2,0)))/INDEX(lk_legs,10))&lt;(((((2*IF(circ_int,0,eq_c2/2))+(PI()*(s_0+9*s_r+IF(circ_int,eq_c1/2,0))/2))+2*IF(circ_int,0,eq_c1/2))+(PI()*(s_0+9*s_r+IF(circ_int,eq_c1/2,0))/2))+2*IF(circ_int,0,eq_c2/2)),-IF(circ_int,0,eq_c1/2)-(s_0+9*s_r+IF(circ_int,eq_c1/2,0)),IF(((29+0.5)*(4*IF(circ_int,0,eq_c1/2)+4*IF(circ_int,0,eq_c2/2)+2*PI()*(s_0+9*s_r+IF(circ_int,eq_c1/2,0)))/INDEX(lk_legs,10))&lt;((((((2*IF(circ_int,0,eq_c2/2))+(PI()*(s_0+9*s_r+IF(circ_int,eq_c1/2,0))/2))+2*IF(circ_int,0,eq_c1/2))+(PI()*(s_0+9*s_r+IF(circ_int,eq_c1/2,0))/2))+2*IF(circ_int,0,eq_c2/2))+(PI()*(s_0+9*s_r+IF(circ_int,eq_c1/2,0))/2)),-IF(circ_int,0,eq_c1/2)+(s_0+9*s_r+IF(circ_int,eq_c1/2,0))*COS(PI()+(((29+0.5)*(4*IF(circ_int,0,eq_c1/2)+4*IF(circ_int,0,eq_c2/2)+2*PI()*(s_0+9*s_r+IF(circ_int,eq_c1/2,0)))/INDEX(lk_legs,10))-(((((2*IF(circ_int,0,eq_c2/2))+(PI()*(s_0+9*s_r+IF(circ_int,eq_c1/2,0))/2))+2*IF(circ_int,0,eq_c1/2))+(PI()*(s_0+9*s_r+IF(circ_int,eq_c1/2,0))/2))+2*IF(circ_int,0,eq_c2/2)))/(s_0+9*s_r+IF(circ_int,eq_c1/2,0))),IF(((29+0.5)*(4*IF(circ_int,0,eq_c1/2)+4*IF(circ_int,0,eq_c2/2)+2*PI()*(s_0+9*s_r+IF(circ_int,eq_c1/2,0)))/INDEX(lk_legs,10))&lt;(((((((2*IF(circ_int,0,eq_c2/2))+(PI()*(s_0+9*s_r+IF(circ_int,eq_c1/2,0))/2))+2*IF(circ_int,0,eq_c1/2))+(PI()*(s_0+9*s_r+IF(circ_int,eq_c1/2,0))/2))+2*IF(circ_int,0,eq_c2/2))+(PI()*(s_0+9*s_r+IF(circ_int,eq_c1/2,0))/2))+2*IF(circ_int,0,eq_c1/2)),-IF(circ_int,0,eq_c1/2)+(((29+0.5)*(4*IF(circ_int,0,eq_c1/2)+4*IF(circ_int,0,eq_c2/2)+2*PI()*(s_0+9*s_r+IF(circ_int,eq_c1/2,0)))/INDEX(lk_legs,10))-((((((2*IF(circ_int,0,eq_c2/2))+(PI()*(s_0+9*s_r+IF(circ_int,eq_c1/2,0))/2))+2*IF(circ_int,0,eq_c1/2))+(PI()*(s_0+9*s_r+IF(circ_int,eq_c1/2,0))/2))+2*IF(circ_int,0,eq_c2/2))+(PI()*(s_0+9*s_r+IF(circ_int,eq_c1/2,0))/2))),IF(circ_int,0,eq_c1/2)+(s_0+9*s_r+IF(circ_int,eq_c1/2,0))*COS(3*PI()/2+(((29+0.5)*(4*IF(circ_int,0,eq_c1/2)+4*IF(circ_int,0,eq_c2/2)+2*PI()*(s_0+9*s_r+IF(circ_int,eq_c1/2,0)))/INDEX(lk_legs,10))-(((((((2*IF(circ_int,0,eq_c2/2))+(PI()*(s_0+9*s_r+IF(circ_int,eq_c1/2,0))/2))+2*IF(circ_int,0,eq_c1/2))+(PI()*(s_0+9*s_r+IF(circ_int,eq_c1/2,0))/2))+2*IF(circ_int,0,eq_c2/2))+(PI()*(s_0+9*s_r+IF(circ_int,eq_c1/2,0))/2))+2*IF(circ_int,0,eq_c1/2)))/(s_0+9*s_r+IF(circ_int,eq_c1/2,0)))))))))),NA())</f>
        <v/>
      </c>
      <c r="DC32">
        <f>IF(AND(AND(links_on,10&lt;=n_per),INDEX(lk_kind,10)=1,29&lt;INDEX(lk_legs,10)),g_oy+IF(((29+0.5)*(4*IF(circ_int,0,eq_c1/2)+4*IF(circ_int,0,eq_c2/2)+2*PI()*(s_0+9*s_r+IF(circ_int,eq_c1/2,0)))/INDEX(lk_legs,10))&lt;(2*IF(circ_int,0,eq_c2/2)),-IF(circ_int,0,eq_c2/2)+((29+0.5)*(4*IF(circ_int,0,eq_c1/2)+4*IF(circ_int,0,eq_c2/2)+2*PI()*(s_0+9*s_r+IF(circ_int,eq_c1/2,0)))/INDEX(lk_legs,10)),IF(((29+0.5)*(4*IF(circ_int,0,eq_c1/2)+4*IF(circ_int,0,eq_c2/2)+2*PI()*(s_0+9*s_r+IF(circ_int,eq_c1/2,0)))/INDEX(lk_legs,10))&lt;((2*IF(circ_int,0,eq_c2/2))+(PI()*(s_0+9*s_r+IF(circ_int,eq_c1/2,0))/2)),IF(circ_int,0,eq_c2/2)+(s_0+9*s_r+IF(circ_int,eq_c1/2,0))*SIN((((29+0.5)*(4*IF(circ_int,0,eq_c1/2)+4*IF(circ_int,0,eq_c2/2)+2*PI()*(s_0+9*s_r+IF(circ_int,eq_c1/2,0)))/INDEX(lk_legs,10))-(2*IF(circ_int,0,eq_c2/2)))/(s_0+9*s_r+IF(circ_int,eq_c1/2,0))),IF(((29+0.5)*(4*IF(circ_int,0,eq_c1/2)+4*IF(circ_int,0,eq_c2/2)+2*PI()*(s_0+9*s_r+IF(circ_int,eq_c1/2,0)))/INDEX(lk_legs,10))&lt;(((2*IF(circ_int,0,eq_c2/2))+(PI()*(s_0+9*s_r+IF(circ_int,eq_c1/2,0))/2))+2*IF(circ_int,0,eq_c1/2)),IF(circ_int,0,eq_c2/2)+(s_0+9*s_r+IF(circ_int,eq_c1/2,0)),IF(((29+0.5)*(4*IF(circ_int,0,eq_c1/2)+4*IF(circ_int,0,eq_c2/2)+2*PI()*(s_0+9*s_r+IF(circ_int,eq_c1/2,0)))/INDEX(lk_legs,10))&lt;((((2*IF(circ_int,0,eq_c2/2))+(PI()*(s_0+9*s_r+IF(circ_int,eq_c1/2,0))/2))+2*IF(circ_int,0,eq_c1/2))+(PI()*(s_0+9*s_r+IF(circ_int,eq_c1/2,0))/2)),IF(circ_int,0,eq_c2/2)+(s_0+9*s_r+IF(circ_int,eq_c1/2,0))*SIN(PI()/2+(((29+0.5)*(4*IF(circ_int,0,eq_c1/2)+4*IF(circ_int,0,eq_c2/2)+2*PI()*(s_0+9*s_r+IF(circ_int,eq_c1/2,0)))/INDEX(lk_legs,10))-(((2*IF(circ_int,0,eq_c2/2))+(PI()*(s_0+9*s_r+IF(circ_int,eq_c1/2,0))/2))+2*IF(circ_int,0,eq_c1/2)))/(s_0+9*s_r+IF(circ_int,eq_c1/2,0))),IF(((29+0.5)*(4*IF(circ_int,0,eq_c1/2)+4*IF(circ_int,0,eq_c2/2)+2*PI()*(s_0+9*s_r+IF(circ_int,eq_c1/2,0)))/INDEX(lk_legs,10))&lt;(((((2*IF(circ_int,0,eq_c2/2))+(PI()*(s_0+9*s_r+IF(circ_int,eq_c1/2,0))/2))+2*IF(circ_int,0,eq_c1/2))+(PI()*(s_0+9*s_r+IF(circ_int,eq_c1/2,0))/2))+2*IF(circ_int,0,eq_c2/2)),IF(circ_int,0,eq_c2/2)-(((29+0.5)*(4*IF(circ_int,0,eq_c1/2)+4*IF(circ_int,0,eq_c2/2)+2*PI()*(s_0+9*s_r+IF(circ_int,eq_c1/2,0)))/INDEX(lk_legs,10))-((((2*IF(circ_int,0,eq_c2/2))+(PI()*(s_0+9*s_r+IF(circ_int,eq_c1/2,0))/2))+2*IF(circ_int,0,eq_c1/2))+(PI()*(s_0+9*s_r+IF(circ_int,eq_c1/2,0))/2))),IF(((29+0.5)*(4*IF(circ_int,0,eq_c1/2)+4*IF(circ_int,0,eq_c2/2)+2*PI()*(s_0+9*s_r+IF(circ_int,eq_c1/2,0)))/INDEX(lk_legs,10))&lt;((((((2*IF(circ_int,0,eq_c2/2))+(PI()*(s_0+9*s_r+IF(circ_int,eq_c1/2,0))/2))+2*IF(circ_int,0,eq_c1/2))+(PI()*(s_0+9*s_r+IF(circ_int,eq_c1/2,0))/2))+2*IF(circ_int,0,eq_c2/2))+(PI()*(s_0+9*s_r+IF(circ_int,eq_c1/2,0))/2)),-IF(circ_int,0,eq_c2/2)+(s_0+9*s_r+IF(circ_int,eq_c1/2,0))*SIN(PI()+(((29+0.5)*(4*IF(circ_int,0,eq_c1/2)+4*IF(circ_int,0,eq_c2/2)+2*PI()*(s_0+9*s_r+IF(circ_int,eq_c1/2,0)))/INDEX(lk_legs,10))-(((((2*IF(circ_int,0,eq_c2/2))+(PI()*(s_0+9*s_r+IF(circ_int,eq_c1/2,0))/2))+2*IF(circ_int,0,eq_c1/2))+(PI()*(s_0+9*s_r+IF(circ_int,eq_c1/2,0))/2))+2*IF(circ_int,0,eq_c2/2)))/(s_0+9*s_r+IF(circ_int,eq_c1/2,0))),IF(((29+0.5)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(29+0.5)*(4*IF(circ_int,0,eq_c1/2)+4*IF(circ_int,0,eq_c2/2)+2*PI()*(s_0+9*s_r+IF(circ_int,eq_c1/2,0)))/INDEX(lk_legs,10))-(((((((2*IF(circ_int,0,eq_c2/2))+(PI()*(s_0+9*s_r+IF(circ_int,eq_c1/2,0))/2))+2*IF(circ_int,0,eq_c1/2))+(PI()*(s_0+9*s_r+IF(circ_int,eq_c1/2,0))/2))+2*IF(circ_int,0,eq_c2/2))+(PI()*(s_0+9*s_r+IF(circ_int,eq_c1/2,0))/2))+2*IF(circ_int,0,eq_c1/2)))/(s_0+9*s_r+IF(circ_int,eq_c1/2,0)))))))))),NA())</f>
        <v/>
      </c>
      <c r="DE32">
        <f>IF(AND(links_on,11&lt;=n_per),IF(circ_int,(g_ox)+(c_1/2+(s_0+10*s_r))*-0.935016,CHOOSE(INDEX(lk_kind,11),(g_ox-eq_c1/2)+((s_0+10*s_r))*-0.923880,0,eq_a1+eq_c1+(s_0+10*s_r),eq_a1+eq_c1+(s_0+10*s_r))),NA())</f>
        <v/>
      </c>
      <c r="DF32">
        <f>IF(AND(links_on,11&lt;=n_per),IF(circ_int,(g_oy)+(c_1/2+(s_0+10*s_r))*-0.354605,CHOOSE(INDEX(lk_kind,11),(g_oy-eq_c2/2)+((s_0+10*s_r))*-0.382683,g_oy-eq_c2/2-(s_0+10*s_r),0,0)),NA())</f>
        <v/>
      </c>
      <c r="DH32">
        <f>IF(AND(AND(links_on,11&lt;=n_per),INDEX(lk_kind,11)=1,29&lt;INDEX(lk_legs,11)),g_ox+IF(((29+0.5)*(4*IF(circ_int,0,eq_c1/2)+4*IF(circ_int,0,eq_c2/2)+2*PI()*(s_0+10*s_r+IF(circ_int,eq_c1/2,0)))/INDEX(lk_legs,11))&lt;(2*IF(circ_int,0,eq_c2/2)),IF(circ_int,0,eq_c1/2)+(s_0+10*s_r+IF(circ_int,eq_c1/2,0)),IF(((29+0.5)*(4*IF(circ_int,0,eq_c1/2)+4*IF(circ_int,0,eq_c2/2)+2*PI()*(s_0+10*s_r+IF(circ_int,eq_c1/2,0)))/INDEX(lk_legs,11))&lt;((2*IF(circ_int,0,eq_c2/2))+(PI()*(s_0+10*s_r+IF(circ_int,eq_c1/2,0))/2)),IF(circ_int,0,eq_c1/2)+(s_0+10*s_r+IF(circ_int,eq_c1/2,0))*COS((((29+0.5)*(4*IF(circ_int,0,eq_c1/2)+4*IF(circ_int,0,eq_c2/2)+2*PI()*(s_0+10*s_r+IF(circ_int,eq_c1/2,0)))/INDEX(lk_legs,11))-(2*IF(circ_int,0,eq_c2/2)))/(s_0+10*s_r+IF(circ_int,eq_c1/2,0))),IF(((29+0.5)*(4*IF(circ_int,0,eq_c1/2)+4*IF(circ_int,0,eq_c2/2)+2*PI()*(s_0+10*s_r+IF(circ_int,eq_c1/2,0)))/INDEX(lk_legs,11))&lt;(((2*IF(circ_int,0,eq_c2/2))+(PI()*(s_0+10*s_r+IF(circ_int,eq_c1/2,0))/2))+2*IF(circ_int,0,eq_c1/2)),IF(circ_int,0,eq_c1/2)-(((29+0.5)*(4*IF(circ_int,0,eq_c1/2)+4*IF(circ_int,0,eq_c2/2)+2*PI()*(s_0+10*s_r+IF(circ_int,eq_c1/2,0)))/INDEX(lk_legs,11))-((2*IF(circ_int,0,eq_c2/2))+(PI()*(s_0+10*s_r+IF(circ_int,eq_c1/2,0))/2))),IF(((29+0.5)*(4*IF(circ_int,0,eq_c1/2)+4*IF(circ_int,0,eq_c2/2)+2*PI()*(s_0+10*s_r+IF(circ_int,eq_c1/2,0)))/INDEX(lk_legs,11))&lt;((((2*IF(circ_int,0,eq_c2/2))+(PI()*(s_0+10*s_r+IF(circ_int,eq_c1/2,0))/2))+2*IF(circ_int,0,eq_c1/2))+(PI()*(s_0+10*s_r+IF(circ_int,eq_c1/2,0))/2)),-IF(circ_int,0,eq_c1/2)+(s_0+10*s_r+IF(circ_int,eq_c1/2,0))*COS(PI()/2+(((29+0.5)*(4*IF(circ_int,0,eq_c1/2)+4*IF(circ_int,0,eq_c2/2)+2*PI()*(s_0+10*s_r+IF(circ_int,eq_c1/2,0)))/INDEX(lk_legs,11))-(((2*IF(circ_int,0,eq_c2/2))+(PI()*(s_0+10*s_r+IF(circ_int,eq_c1/2,0))/2))+2*IF(circ_int,0,eq_c1/2)))/(s_0+10*s_r+IF(circ_int,eq_c1/2,0))),IF(((29+0.5)*(4*IF(circ_int,0,eq_c1/2)+4*IF(circ_int,0,eq_c2/2)+2*PI()*(s_0+10*s_r+IF(circ_int,eq_c1/2,0)))/INDEX(lk_legs,11))&lt;(((((2*IF(circ_int,0,eq_c2/2))+(PI()*(s_0+10*s_r+IF(circ_int,eq_c1/2,0))/2))+2*IF(circ_int,0,eq_c1/2))+(PI()*(s_0+10*s_r+IF(circ_int,eq_c1/2,0))/2))+2*IF(circ_int,0,eq_c2/2)),-IF(circ_int,0,eq_c1/2)-(s_0+10*s_r+IF(circ_int,eq_c1/2,0)),IF(((29+0.5)*(4*IF(circ_int,0,eq_c1/2)+4*IF(circ_int,0,eq_c2/2)+2*PI()*(s_0+10*s_r+IF(circ_int,eq_c1/2,0)))/INDEX(lk_legs,11))&lt;((((((2*IF(circ_int,0,eq_c2/2))+(PI()*(s_0+10*s_r+IF(circ_int,eq_c1/2,0))/2))+2*IF(circ_int,0,eq_c1/2))+(PI()*(s_0+10*s_r+IF(circ_int,eq_c1/2,0))/2))+2*IF(circ_int,0,eq_c2/2))+(PI()*(s_0+10*s_r+IF(circ_int,eq_c1/2,0))/2)),-IF(circ_int,0,eq_c1/2)+(s_0+10*s_r+IF(circ_int,eq_c1/2,0))*COS(PI()+(((29+0.5)*(4*IF(circ_int,0,eq_c1/2)+4*IF(circ_int,0,eq_c2/2)+2*PI()*(s_0+10*s_r+IF(circ_int,eq_c1/2,0)))/INDEX(lk_legs,11))-(((((2*IF(circ_int,0,eq_c2/2))+(PI()*(s_0+10*s_r+IF(circ_int,eq_c1/2,0))/2))+2*IF(circ_int,0,eq_c1/2))+(PI()*(s_0+10*s_r+IF(circ_int,eq_c1/2,0))/2))+2*IF(circ_int,0,eq_c2/2)))/(s_0+10*s_r+IF(circ_int,eq_c1/2,0))),IF(((29+0.5)*(4*IF(circ_int,0,eq_c1/2)+4*IF(circ_int,0,eq_c2/2)+2*PI()*(s_0+10*s_r+IF(circ_int,eq_c1/2,0)))/INDEX(lk_legs,11))&lt;(((((((2*IF(circ_int,0,eq_c2/2))+(PI()*(s_0+10*s_r+IF(circ_int,eq_c1/2,0))/2))+2*IF(circ_int,0,eq_c1/2))+(PI()*(s_0+10*s_r+IF(circ_int,eq_c1/2,0))/2))+2*IF(circ_int,0,eq_c2/2))+(PI()*(s_0+10*s_r+IF(circ_int,eq_c1/2,0))/2))+2*IF(circ_int,0,eq_c1/2)),-IF(circ_int,0,eq_c1/2)+(((29+0.5)*(4*IF(circ_int,0,eq_c1/2)+4*IF(circ_int,0,eq_c2/2)+2*PI()*(s_0+10*s_r+IF(circ_int,eq_c1/2,0)))/INDEX(lk_legs,11))-((((((2*IF(circ_int,0,eq_c2/2))+(PI()*(s_0+10*s_r+IF(circ_int,eq_c1/2,0))/2))+2*IF(circ_int,0,eq_c1/2))+(PI()*(s_0+10*s_r+IF(circ_int,eq_c1/2,0))/2))+2*IF(circ_int,0,eq_c2/2))+(PI()*(s_0+10*s_r+IF(circ_int,eq_c1/2,0))/2))),IF(circ_int,0,eq_c1/2)+(s_0+10*s_r+IF(circ_int,eq_c1/2,0))*COS(3*PI()/2+(((29+0.5)*(4*IF(circ_int,0,eq_c1/2)+4*IF(circ_int,0,eq_c2/2)+2*PI()*(s_0+10*s_r+IF(circ_int,eq_c1/2,0)))/INDEX(lk_legs,11))-(((((((2*IF(circ_int,0,eq_c2/2))+(PI()*(s_0+10*s_r+IF(circ_int,eq_c1/2,0))/2))+2*IF(circ_int,0,eq_c1/2))+(PI()*(s_0+10*s_r+IF(circ_int,eq_c1/2,0))/2))+2*IF(circ_int,0,eq_c2/2))+(PI()*(s_0+10*s_r+IF(circ_int,eq_c1/2,0))/2))+2*IF(circ_int,0,eq_c1/2)))/(s_0+10*s_r+IF(circ_int,eq_c1/2,0)))))))))),NA())</f>
        <v/>
      </c>
      <c r="DI32">
        <f>IF(AND(AND(links_on,11&lt;=n_per),INDEX(lk_kind,11)=1,29&lt;INDEX(lk_legs,11)),g_oy+IF(((29+0.5)*(4*IF(circ_int,0,eq_c1/2)+4*IF(circ_int,0,eq_c2/2)+2*PI()*(s_0+10*s_r+IF(circ_int,eq_c1/2,0)))/INDEX(lk_legs,11))&lt;(2*IF(circ_int,0,eq_c2/2)),-IF(circ_int,0,eq_c2/2)+((29+0.5)*(4*IF(circ_int,0,eq_c1/2)+4*IF(circ_int,0,eq_c2/2)+2*PI()*(s_0+10*s_r+IF(circ_int,eq_c1/2,0)))/INDEX(lk_legs,11)),IF(((29+0.5)*(4*IF(circ_int,0,eq_c1/2)+4*IF(circ_int,0,eq_c2/2)+2*PI()*(s_0+10*s_r+IF(circ_int,eq_c1/2,0)))/INDEX(lk_legs,11))&lt;((2*IF(circ_int,0,eq_c2/2))+(PI()*(s_0+10*s_r+IF(circ_int,eq_c1/2,0))/2)),IF(circ_int,0,eq_c2/2)+(s_0+10*s_r+IF(circ_int,eq_c1/2,0))*SIN((((29+0.5)*(4*IF(circ_int,0,eq_c1/2)+4*IF(circ_int,0,eq_c2/2)+2*PI()*(s_0+10*s_r+IF(circ_int,eq_c1/2,0)))/INDEX(lk_legs,11))-(2*IF(circ_int,0,eq_c2/2)))/(s_0+10*s_r+IF(circ_int,eq_c1/2,0))),IF(((29+0.5)*(4*IF(circ_int,0,eq_c1/2)+4*IF(circ_int,0,eq_c2/2)+2*PI()*(s_0+10*s_r+IF(circ_int,eq_c1/2,0)))/INDEX(lk_legs,11))&lt;(((2*IF(circ_int,0,eq_c2/2))+(PI()*(s_0+10*s_r+IF(circ_int,eq_c1/2,0))/2))+2*IF(circ_int,0,eq_c1/2)),IF(circ_int,0,eq_c2/2)+(s_0+10*s_r+IF(circ_int,eq_c1/2,0)),IF(((29+0.5)*(4*IF(circ_int,0,eq_c1/2)+4*IF(circ_int,0,eq_c2/2)+2*PI()*(s_0+10*s_r+IF(circ_int,eq_c1/2,0)))/INDEX(lk_legs,11))&lt;((((2*IF(circ_int,0,eq_c2/2))+(PI()*(s_0+10*s_r+IF(circ_int,eq_c1/2,0))/2))+2*IF(circ_int,0,eq_c1/2))+(PI()*(s_0+10*s_r+IF(circ_int,eq_c1/2,0))/2)),IF(circ_int,0,eq_c2/2)+(s_0+10*s_r+IF(circ_int,eq_c1/2,0))*SIN(PI()/2+(((29+0.5)*(4*IF(circ_int,0,eq_c1/2)+4*IF(circ_int,0,eq_c2/2)+2*PI()*(s_0+10*s_r+IF(circ_int,eq_c1/2,0)))/INDEX(lk_legs,11))-(((2*IF(circ_int,0,eq_c2/2))+(PI()*(s_0+10*s_r+IF(circ_int,eq_c1/2,0))/2))+2*IF(circ_int,0,eq_c1/2)))/(s_0+10*s_r+IF(circ_int,eq_c1/2,0))),IF(((29+0.5)*(4*IF(circ_int,0,eq_c1/2)+4*IF(circ_int,0,eq_c2/2)+2*PI()*(s_0+10*s_r+IF(circ_int,eq_c1/2,0)))/INDEX(lk_legs,11))&lt;(((((2*IF(circ_int,0,eq_c2/2))+(PI()*(s_0+10*s_r+IF(circ_int,eq_c1/2,0))/2))+2*IF(circ_int,0,eq_c1/2))+(PI()*(s_0+10*s_r+IF(circ_int,eq_c1/2,0))/2))+2*IF(circ_int,0,eq_c2/2)),IF(circ_int,0,eq_c2/2)-(((29+0.5)*(4*IF(circ_int,0,eq_c1/2)+4*IF(circ_int,0,eq_c2/2)+2*PI()*(s_0+10*s_r+IF(circ_int,eq_c1/2,0)))/INDEX(lk_legs,11))-((((2*IF(circ_int,0,eq_c2/2))+(PI()*(s_0+10*s_r+IF(circ_int,eq_c1/2,0))/2))+2*IF(circ_int,0,eq_c1/2))+(PI()*(s_0+10*s_r+IF(circ_int,eq_c1/2,0))/2))),IF(((29+0.5)*(4*IF(circ_int,0,eq_c1/2)+4*IF(circ_int,0,eq_c2/2)+2*PI()*(s_0+10*s_r+IF(circ_int,eq_c1/2,0)))/INDEX(lk_legs,11))&lt;((((((2*IF(circ_int,0,eq_c2/2))+(PI()*(s_0+10*s_r+IF(circ_int,eq_c1/2,0))/2))+2*IF(circ_int,0,eq_c1/2))+(PI()*(s_0+10*s_r+IF(circ_int,eq_c1/2,0))/2))+2*IF(circ_int,0,eq_c2/2))+(PI()*(s_0+10*s_r+IF(circ_int,eq_c1/2,0))/2)),-IF(circ_int,0,eq_c2/2)+(s_0+10*s_r+IF(circ_int,eq_c1/2,0))*SIN(PI()+(((29+0.5)*(4*IF(circ_int,0,eq_c1/2)+4*IF(circ_int,0,eq_c2/2)+2*PI()*(s_0+10*s_r+IF(circ_int,eq_c1/2,0)))/INDEX(lk_legs,11))-(((((2*IF(circ_int,0,eq_c2/2))+(PI()*(s_0+10*s_r+IF(circ_int,eq_c1/2,0))/2))+2*IF(circ_int,0,eq_c1/2))+(PI()*(s_0+10*s_r+IF(circ_int,eq_c1/2,0))/2))+2*IF(circ_int,0,eq_c2/2)))/(s_0+10*s_r+IF(circ_int,eq_c1/2,0))),IF(((29+0.5)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(29+0.5)*(4*IF(circ_int,0,eq_c1/2)+4*IF(circ_int,0,eq_c2/2)+2*PI()*(s_0+10*s_r+IF(circ_int,eq_c1/2,0)))/INDEX(lk_legs,11))-(((((((2*IF(circ_int,0,eq_c2/2))+(PI()*(s_0+10*s_r+IF(circ_int,eq_c1/2,0))/2))+2*IF(circ_int,0,eq_c1/2))+(PI()*(s_0+10*s_r+IF(circ_int,eq_c1/2,0))/2))+2*IF(circ_int,0,eq_c2/2))+(PI()*(s_0+10*s_r+IF(circ_int,eq_c1/2,0))/2))+2*IF(circ_int,0,eq_c1/2)))/(s_0+10*s_r+IF(circ_int,eq_c1/2,0)))))))))),NA())</f>
        <v/>
      </c>
      <c r="DK32">
        <f>IF(AND(links_on,12&lt;=n_per),IF(circ_int,(g_ox)+(c_1/2+(s_0+11*s_r))*-0.935016,CHOOSE(INDEX(lk_kind,12),(g_ox-eq_c1/2)+((s_0+11*s_r))*-0.923880,0,eq_a1+eq_c1+(s_0+11*s_r),eq_a1+eq_c1+(s_0+11*s_r))),NA())</f>
        <v/>
      </c>
      <c r="DL32">
        <f>IF(AND(links_on,12&lt;=n_per),IF(circ_int,(g_oy)+(c_1/2+(s_0+11*s_r))*-0.354605,CHOOSE(INDEX(lk_kind,12),(g_oy-eq_c2/2)+((s_0+11*s_r))*-0.382683,g_oy-eq_c2/2-(s_0+11*s_r),0,0)),NA())</f>
        <v/>
      </c>
      <c r="DN32">
        <f>IF(AND(AND(links_on,12&lt;=n_per),INDEX(lk_kind,12)=1,29&lt;INDEX(lk_legs,12)),g_ox+IF(((29+0.5)*(4*IF(circ_int,0,eq_c1/2)+4*IF(circ_int,0,eq_c2/2)+2*PI()*(s_0+11*s_r+IF(circ_int,eq_c1/2,0)))/INDEX(lk_legs,12))&lt;(2*IF(circ_int,0,eq_c2/2)),IF(circ_int,0,eq_c1/2)+(s_0+11*s_r+IF(circ_int,eq_c1/2,0)),IF(((29+0.5)*(4*IF(circ_int,0,eq_c1/2)+4*IF(circ_int,0,eq_c2/2)+2*PI()*(s_0+11*s_r+IF(circ_int,eq_c1/2,0)))/INDEX(lk_legs,12))&lt;((2*IF(circ_int,0,eq_c2/2))+(PI()*(s_0+11*s_r+IF(circ_int,eq_c1/2,0))/2)),IF(circ_int,0,eq_c1/2)+(s_0+11*s_r+IF(circ_int,eq_c1/2,0))*COS((((29+0.5)*(4*IF(circ_int,0,eq_c1/2)+4*IF(circ_int,0,eq_c2/2)+2*PI()*(s_0+11*s_r+IF(circ_int,eq_c1/2,0)))/INDEX(lk_legs,12))-(2*IF(circ_int,0,eq_c2/2)))/(s_0+11*s_r+IF(circ_int,eq_c1/2,0))),IF(((29+0.5)*(4*IF(circ_int,0,eq_c1/2)+4*IF(circ_int,0,eq_c2/2)+2*PI()*(s_0+11*s_r+IF(circ_int,eq_c1/2,0)))/INDEX(lk_legs,12))&lt;(((2*IF(circ_int,0,eq_c2/2))+(PI()*(s_0+11*s_r+IF(circ_int,eq_c1/2,0))/2))+2*IF(circ_int,0,eq_c1/2)),IF(circ_int,0,eq_c1/2)-(((29+0.5)*(4*IF(circ_int,0,eq_c1/2)+4*IF(circ_int,0,eq_c2/2)+2*PI()*(s_0+11*s_r+IF(circ_int,eq_c1/2,0)))/INDEX(lk_legs,12))-((2*IF(circ_int,0,eq_c2/2))+(PI()*(s_0+11*s_r+IF(circ_int,eq_c1/2,0))/2))),IF(((29+0.5)*(4*IF(circ_int,0,eq_c1/2)+4*IF(circ_int,0,eq_c2/2)+2*PI()*(s_0+11*s_r+IF(circ_int,eq_c1/2,0)))/INDEX(lk_legs,12))&lt;((((2*IF(circ_int,0,eq_c2/2))+(PI()*(s_0+11*s_r+IF(circ_int,eq_c1/2,0))/2))+2*IF(circ_int,0,eq_c1/2))+(PI()*(s_0+11*s_r+IF(circ_int,eq_c1/2,0))/2)),-IF(circ_int,0,eq_c1/2)+(s_0+11*s_r+IF(circ_int,eq_c1/2,0))*COS(PI()/2+(((29+0.5)*(4*IF(circ_int,0,eq_c1/2)+4*IF(circ_int,0,eq_c2/2)+2*PI()*(s_0+11*s_r+IF(circ_int,eq_c1/2,0)))/INDEX(lk_legs,12))-(((2*IF(circ_int,0,eq_c2/2))+(PI()*(s_0+11*s_r+IF(circ_int,eq_c1/2,0))/2))+2*IF(circ_int,0,eq_c1/2)))/(s_0+11*s_r+IF(circ_int,eq_c1/2,0))),IF(((29+0.5)*(4*IF(circ_int,0,eq_c1/2)+4*IF(circ_int,0,eq_c2/2)+2*PI()*(s_0+11*s_r+IF(circ_int,eq_c1/2,0)))/INDEX(lk_legs,12))&lt;(((((2*IF(circ_int,0,eq_c2/2))+(PI()*(s_0+11*s_r+IF(circ_int,eq_c1/2,0))/2))+2*IF(circ_int,0,eq_c1/2))+(PI()*(s_0+11*s_r+IF(circ_int,eq_c1/2,0))/2))+2*IF(circ_int,0,eq_c2/2)),-IF(circ_int,0,eq_c1/2)-(s_0+11*s_r+IF(circ_int,eq_c1/2,0)),IF(((29+0.5)*(4*IF(circ_int,0,eq_c1/2)+4*IF(circ_int,0,eq_c2/2)+2*PI()*(s_0+11*s_r+IF(circ_int,eq_c1/2,0)))/INDEX(lk_legs,12))&lt;((((((2*IF(circ_int,0,eq_c2/2))+(PI()*(s_0+11*s_r+IF(circ_int,eq_c1/2,0))/2))+2*IF(circ_int,0,eq_c1/2))+(PI()*(s_0+11*s_r+IF(circ_int,eq_c1/2,0))/2))+2*IF(circ_int,0,eq_c2/2))+(PI()*(s_0+11*s_r+IF(circ_int,eq_c1/2,0))/2)),-IF(circ_int,0,eq_c1/2)+(s_0+11*s_r+IF(circ_int,eq_c1/2,0))*COS(PI()+(((29+0.5)*(4*IF(circ_int,0,eq_c1/2)+4*IF(circ_int,0,eq_c2/2)+2*PI()*(s_0+11*s_r+IF(circ_int,eq_c1/2,0)))/INDEX(lk_legs,12))-(((((2*IF(circ_int,0,eq_c2/2))+(PI()*(s_0+11*s_r+IF(circ_int,eq_c1/2,0))/2))+2*IF(circ_int,0,eq_c1/2))+(PI()*(s_0+11*s_r+IF(circ_int,eq_c1/2,0))/2))+2*IF(circ_int,0,eq_c2/2)))/(s_0+11*s_r+IF(circ_int,eq_c1/2,0))),IF(((29+0.5)*(4*IF(circ_int,0,eq_c1/2)+4*IF(circ_int,0,eq_c2/2)+2*PI()*(s_0+11*s_r+IF(circ_int,eq_c1/2,0)))/INDEX(lk_legs,12))&lt;(((((((2*IF(circ_int,0,eq_c2/2))+(PI()*(s_0+11*s_r+IF(circ_int,eq_c1/2,0))/2))+2*IF(circ_int,0,eq_c1/2))+(PI()*(s_0+11*s_r+IF(circ_int,eq_c1/2,0))/2))+2*IF(circ_int,0,eq_c2/2))+(PI()*(s_0+11*s_r+IF(circ_int,eq_c1/2,0))/2))+2*IF(circ_int,0,eq_c1/2)),-IF(circ_int,0,eq_c1/2)+(((29+0.5)*(4*IF(circ_int,0,eq_c1/2)+4*IF(circ_int,0,eq_c2/2)+2*PI()*(s_0+11*s_r+IF(circ_int,eq_c1/2,0)))/INDEX(lk_legs,12))-((((((2*IF(circ_int,0,eq_c2/2))+(PI()*(s_0+11*s_r+IF(circ_int,eq_c1/2,0))/2))+2*IF(circ_int,0,eq_c1/2))+(PI()*(s_0+11*s_r+IF(circ_int,eq_c1/2,0))/2))+2*IF(circ_int,0,eq_c2/2))+(PI()*(s_0+11*s_r+IF(circ_int,eq_c1/2,0))/2))),IF(circ_int,0,eq_c1/2)+(s_0+11*s_r+IF(circ_int,eq_c1/2,0))*COS(3*PI()/2+(((29+0.5)*(4*IF(circ_int,0,eq_c1/2)+4*IF(circ_int,0,eq_c2/2)+2*PI()*(s_0+11*s_r+IF(circ_int,eq_c1/2,0)))/INDEX(lk_legs,12))-(((((((2*IF(circ_int,0,eq_c2/2))+(PI()*(s_0+11*s_r+IF(circ_int,eq_c1/2,0))/2))+2*IF(circ_int,0,eq_c1/2))+(PI()*(s_0+11*s_r+IF(circ_int,eq_c1/2,0))/2))+2*IF(circ_int,0,eq_c2/2))+(PI()*(s_0+11*s_r+IF(circ_int,eq_c1/2,0))/2))+2*IF(circ_int,0,eq_c1/2)))/(s_0+11*s_r+IF(circ_int,eq_c1/2,0)))))))))),NA())</f>
        <v/>
      </c>
      <c r="DO32">
        <f>IF(AND(AND(links_on,12&lt;=n_per),INDEX(lk_kind,12)=1,29&lt;INDEX(lk_legs,12)),g_oy+IF(((29+0.5)*(4*IF(circ_int,0,eq_c1/2)+4*IF(circ_int,0,eq_c2/2)+2*PI()*(s_0+11*s_r+IF(circ_int,eq_c1/2,0)))/INDEX(lk_legs,12))&lt;(2*IF(circ_int,0,eq_c2/2)),-IF(circ_int,0,eq_c2/2)+((29+0.5)*(4*IF(circ_int,0,eq_c1/2)+4*IF(circ_int,0,eq_c2/2)+2*PI()*(s_0+11*s_r+IF(circ_int,eq_c1/2,0)))/INDEX(lk_legs,12)),IF(((29+0.5)*(4*IF(circ_int,0,eq_c1/2)+4*IF(circ_int,0,eq_c2/2)+2*PI()*(s_0+11*s_r+IF(circ_int,eq_c1/2,0)))/INDEX(lk_legs,12))&lt;((2*IF(circ_int,0,eq_c2/2))+(PI()*(s_0+11*s_r+IF(circ_int,eq_c1/2,0))/2)),IF(circ_int,0,eq_c2/2)+(s_0+11*s_r+IF(circ_int,eq_c1/2,0))*SIN((((29+0.5)*(4*IF(circ_int,0,eq_c1/2)+4*IF(circ_int,0,eq_c2/2)+2*PI()*(s_0+11*s_r+IF(circ_int,eq_c1/2,0)))/INDEX(lk_legs,12))-(2*IF(circ_int,0,eq_c2/2)))/(s_0+11*s_r+IF(circ_int,eq_c1/2,0))),IF(((29+0.5)*(4*IF(circ_int,0,eq_c1/2)+4*IF(circ_int,0,eq_c2/2)+2*PI()*(s_0+11*s_r+IF(circ_int,eq_c1/2,0)))/INDEX(lk_legs,12))&lt;(((2*IF(circ_int,0,eq_c2/2))+(PI()*(s_0+11*s_r+IF(circ_int,eq_c1/2,0))/2))+2*IF(circ_int,0,eq_c1/2)),IF(circ_int,0,eq_c2/2)+(s_0+11*s_r+IF(circ_int,eq_c1/2,0)),IF(((29+0.5)*(4*IF(circ_int,0,eq_c1/2)+4*IF(circ_int,0,eq_c2/2)+2*PI()*(s_0+11*s_r+IF(circ_int,eq_c1/2,0)))/INDEX(lk_legs,12))&lt;((((2*IF(circ_int,0,eq_c2/2))+(PI()*(s_0+11*s_r+IF(circ_int,eq_c1/2,0))/2))+2*IF(circ_int,0,eq_c1/2))+(PI()*(s_0+11*s_r+IF(circ_int,eq_c1/2,0))/2)),IF(circ_int,0,eq_c2/2)+(s_0+11*s_r+IF(circ_int,eq_c1/2,0))*SIN(PI()/2+(((29+0.5)*(4*IF(circ_int,0,eq_c1/2)+4*IF(circ_int,0,eq_c2/2)+2*PI()*(s_0+11*s_r+IF(circ_int,eq_c1/2,0)))/INDEX(lk_legs,12))-(((2*IF(circ_int,0,eq_c2/2))+(PI()*(s_0+11*s_r+IF(circ_int,eq_c1/2,0))/2))+2*IF(circ_int,0,eq_c1/2)))/(s_0+11*s_r+IF(circ_int,eq_c1/2,0))),IF(((29+0.5)*(4*IF(circ_int,0,eq_c1/2)+4*IF(circ_int,0,eq_c2/2)+2*PI()*(s_0+11*s_r+IF(circ_int,eq_c1/2,0)))/INDEX(lk_legs,12))&lt;(((((2*IF(circ_int,0,eq_c2/2))+(PI()*(s_0+11*s_r+IF(circ_int,eq_c1/2,0))/2))+2*IF(circ_int,0,eq_c1/2))+(PI()*(s_0+11*s_r+IF(circ_int,eq_c1/2,0))/2))+2*IF(circ_int,0,eq_c2/2)),IF(circ_int,0,eq_c2/2)-(((29+0.5)*(4*IF(circ_int,0,eq_c1/2)+4*IF(circ_int,0,eq_c2/2)+2*PI()*(s_0+11*s_r+IF(circ_int,eq_c1/2,0)))/INDEX(lk_legs,12))-((((2*IF(circ_int,0,eq_c2/2))+(PI()*(s_0+11*s_r+IF(circ_int,eq_c1/2,0))/2))+2*IF(circ_int,0,eq_c1/2))+(PI()*(s_0+11*s_r+IF(circ_int,eq_c1/2,0))/2))),IF(((29+0.5)*(4*IF(circ_int,0,eq_c1/2)+4*IF(circ_int,0,eq_c2/2)+2*PI()*(s_0+11*s_r+IF(circ_int,eq_c1/2,0)))/INDEX(lk_legs,12))&lt;((((((2*IF(circ_int,0,eq_c2/2))+(PI()*(s_0+11*s_r+IF(circ_int,eq_c1/2,0))/2))+2*IF(circ_int,0,eq_c1/2))+(PI()*(s_0+11*s_r+IF(circ_int,eq_c1/2,0))/2))+2*IF(circ_int,0,eq_c2/2))+(PI()*(s_0+11*s_r+IF(circ_int,eq_c1/2,0))/2)),-IF(circ_int,0,eq_c2/2)+(s_0+11*s_r+IF(circ_int,eq_c1/2,0))*SIN(PI()+(((29+0.5)*(4*IF(circ_int,0,eq_c1/2)+4*IF(circ_int,0,eq_c2/2)+2*PI()*(s_0+11*s_r+IF(circ_int,eq_c1/2,0)))/INDEX(lk_legs,12))-(((((2*IF(circ_int,0,eq_c2/2))+(PI()*(s_0+11*s_r+IF(circ_int,eq_c1/2,0))/2))+2*IF(circ_int,0,eq_c1/2))+(PI()*(s_0+11*s_r+IF(circ_int,eq_c1/2,0))/2))+2*IF(circ_int,0,eq_c2/2)))/(s_0+11*s_r+IF(circ_int,eq_c1/2,0))),IF(((29+0.5)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(29+0.5)*(4*IF(circ_int,0,eq_c1/2)+4*IF(circ_int,0,eq_c2/2)+2*PI()*(s_0+11*s_r+IF(circ_int,eq_c1/2,0)))/INDEX(lk_legs,12))-(((((((2*IF(circ_int,0,eq_c2/2))+(PI()*(s_0+11*s_r+IF(circ_int,eq_c1/2,0))/2))+2*IF(circ_int,0,eq_c1/2))+(PI()*(s_0+11*s_r+IF(circ_int,eq_c1/2,0))/2))+2*IF(circ_int,0,eq_c2/2))+(PI()*(s_0+11*s_r+IF(circ_int,eq_c1/2,0))/2))+2*IF(circ_int,0,eq_c1/2)))/(s_0+11*s_r+IF(circ_int,eq_c1/2,0)))))))))),NA())</f>
        <v/>
      </c>
    </row>
    <row r="33">
      <c r="A33">
        <f>IF(shape="Circular",(g_ox)+(c_1/2+0)*-0.885456,CHOOSE(1,(g_ox-eq_c1/2)+(0)*-0.866025,0,eq_a1+eq_c1+0,eq_a1+eq_c1+0))</f>
        <v/>
      </c>
      <c r="B33">
        <f>IF(shape="Circular",(g_oy)+(c_1/2+0)*-0.464723,CHOOSE(1,(g_oy-eq_c2/2)+(0)*-0.500000,g_oy-eq_c2/2-0,0,0))</f>
        <v/>
      </c>
      <c r="D33">
        <f>IF(circ_int,(g_ox)+(c_1/2+2*d_eff)*-0.885456,CHOOSE(geo_idx,(g_ox-eq_c1/2)+(2*d_eff)*-0.866025,0,eq_a1+eq_c1+2*d_eff,eq_a1+eq_c1+2*d_eff))</f>
        <v/>
      </c>
      <c r="E33">
        <f>IF(circ_int,(g_oy)+(c_1/2+2*d_eff)*-0.464723,CHOOSE(geo_idx,(g_oy-eq_c2/2)+(2*d_eff)*-0.500000,g_oy-eq_c2/2-2*d_eff,0,0))</f>
        <v/>
      </c>
      <c r="G33">
        <f>IF(AND(inputs_ok,punch_ok,A_sw&gt;0),IF(circ_int,(g_ox)+(c_1/2+r_out)*-0.885456,CHOOSE(kind_out,(g_ox-eq_c1/2)+(r_out)*-0.866025,0,eq_a1+eq_c1+r_out,eq_a1+eq_c1+r_out)),NA())</f>
        <v/>
      </c>
      <c r="H33">
        <f>IF(AND(inputs_ok,punch_ok,A_sw&gt;0),IF(circ_int,(g_oy)+(c_1/2+r_out)*-0.464723,CHOOSE(kind_out,(g_oy-eq_c2/2)+(r_out)*-0.500000,g_oy-eq_c2/2-r_out,0,0)),NA())</f>
        <v/>
      </c>
      <c r="AW33">
        <f>IF(AND(links_on,1&lt;=n_per),IF(circ_int,(g_ox)+(c_1/2+(s_0+0*s_r))*-0.885456,CHOOSE(INDEX(lk_kind,1),(g_ox-eq_c1/2)+((s_0+0*s_r))*-0.866025,0,eq_a1+eq_c1+(s_0+0*s_r),eq_a1+eq_c1+(s_0+0*s_r))),NA())</f>
        <v/>
      </c>
      <c r="AX33">
        <f>IF(AND(links_on,1&lt;=n_per),IF(circ_int,(g_oy)+(c_1/2+(s_0+0*s_r))*-0.464723,CHOOSE(INDEX(lk_kind,1),(g_oy-eq_c2/2)+((s_0+0*s_r))*-0.500000,g_oy-eq_c2/2-(s_0+0*s_r),0,0)),NA())</f>
        <v/>
      </c>
      <c r="AZ33">
        <f>IF(AND(AND(links_on,1&lt;=n_per),INDEX(lk_kind,1)=1,30&lt;INDEX(lk_legs,1)),g_ox+IF(((30+0.5)*(4*IF(circ_int,0,eq_c1/2)+4*IF(circ_int,0,eq_c2/2)+2*PI()*(s_0+0*s_r+IF(circ_int,eq_c1/2,0)))/INDEX(lk_legs,1))&lt;(2*IF(circ_int,0,eq_c2/2)),IF(circ_int,0,eq_c1/2)+(s_0+0*s_r+IF(circ_int,eq_c1/2,0)),IF(((30+0.5)*(4*IF(circ_int,0,eq_c1/2)+4*IF(circ_int,0,eq_c2/2)+2*PI()*(s_0+0*s_r+IF(circ_int,eq_c1/2,0)))/INDEX(lk_legs,1))&lt;((2*IF(circ_int,0,eq_c2/2))+(PI()*(s_0+0*s_r+IF(circ_int,eq_c1/2,0))/2)),IF(circ_int,0,eq_c1/2)+(s_0+0*s_r+IF(circ_int,eq_c1/2,0))*COS((((30+0.5)*(4*IF(circ_int,0,eq_c1/2)+4*IF(circ_int,0,eq_c2/2)+2*PI()*(s_0+0*s_r+IF(circ_int,eq_c1/2,0)))/INDEX(lk_legs,1))-(2*IF(circ_int,0,eq_c2/2)))/(s_0+0*s_r+IF(circ_int,eq_c1/2,0))),IF(((30+0.5)*(4*IF(circ_int,0,eq_c1/2)+4*IF(circ_int,0,eq_c2/2)+2*PI()*(s_0+0*s_r+IF(circ_int,eq_c1/2,0)))/INDEX(lk_legs,1))&lt;(((2*IF(circ_int,0,eq_c2/2))+(PI()*(s_0+0*s_r+IF(circ_int,eq_c1/2,0))/2))+2*IF(circ_int,0,eq_c1/2)),IF(circ_int,0,eq_c1/2)-(((30+0.5)*(4*IF(circ_int,0,eq_c1/2)+4*IF(circ_int,0,eq_c2/2)+2*PI()*(s_0+0*s_r+IF(circ_int,eq_c1/2,0)))/INDEX(lk_legs,1))-((2*IF(circ_int,0,eq_c2/2))+(PI()*(s_0+0*s_r+IF(circ_int,eq_c1/2,0))/2))),IF(((30+0.5)*(4*IF(circ_int,0,eq_c1/2)+4*IF(circ_int,0,eq_c2/2)+2*PI()*(s_0+0*s_r+IF(circ_int,eq_c1/2,0)))/INDEX(lk_legs,1))&lt;((((2*IF(circ_int,0,eq_c2/2))+(PI()*(s_0+0*s_r+IF(circ_int,eq_c1/2,0))/2))+2*IF(circ_int,0,eq_c1/2))+(PI()*(s_0+0*s_r+IF(circ_int,eq_c1/2,0))/2)),-IF(circ_int,0,eq_c1/2)+(s_0+0*s_r+IF(circ_int,eq_c1/2,0))*COS(PI()/2+(((30+0.5)*(4*IF(circ_int,0,eq_c1/2)+4*IF(circ_int,0,eq_c2/2)+2*PI()*(s_0+0*s_r+IF(circ_int,eq_c1/2,0)))/INDEX(lk_legs,1))-(((2*IF(circ_int,0,eq_c2/2))+(PI()*(s_0+0*s_r+IF(circ_int,eq_c1/2,0))/2))+2*IF(circ_int,0,eq_c1/2)))/(s_0+0*s_r+IF(circ_int,eq_c1/2,0))),IF(((30+0.5)*(4*IF(circ_int,0,eq_c1/2)+4*IF(circ_int,0,eq_c2/2)+2*PI()*(s_0+0*s_r+IF(circ_int,eq_c1/2,0)))/INDEX(lk_legs,1))&lt;(((((2*IF(circ_int,0,eq_c2/2))+(PI()*(s_0+0*s_r+IF(circ_int,eq_c1/2,0))/2))+2*IF(circ_int,0,eq_c1/2))+(PI()*(s_0+0*s_r+IF(circ_int,eq_c1/2,0))/2))+2*IF(circ_int,0,eq_c2/2)),-IF(circ_int,0,eq_c1/2)-(s_0+0*s_r+IF(circ_int,eq_c1/2,0)),IF(((30+0.5)*(4*IF(circ_int,0,eq_c1/2)+4*IF(circ_int,0,eq_c2/2)+2*PI()*(s_0+0*s_r+IF(circ_int,eq_c1/2,0)))/INDEX(lk_legs,1))&lt;((((((2*IF(circ_int,0,eq_c2/2))+(PI()*(s_0+0*s_r+IF(circ_int,eq_c1/2,0))/2))+2*IF(circ_int,0,eq_c1/2))+(PI()*(s_0+0*s_r+IF(circ_int,eq_c1/2,0))/2))+2*IF(circ_int,0,eq_c2/2))+(PI()*(s_0+0*s_r+IF(circ_int,eq_c1/2,0))/2)),-IF(circ_int,0,eq_c1/2)+(s_0+0*s_r+IF(circ_int,eq_c1/2,0))*COS(PI()+(((30+0.5)*(4*IF(circ_int,0,eq_c1/2)+4*IF(circ_int,0,eq_c2/2)+2*PI()*(s_0+0*s_r+IF(circ_int,eq_c1/2,0)))/INDEX(lk_legs,1))-(((((2*IF(circ_int,0,eq_c2/2))+(PI()*(s_0+0*s_r+IF(circ_int,eq_c1/2,0))/2))+2*IF(circ_int,0,eq_c1/2))+(PI()*(s_0+0*s_r+IF(circ_int,eq_c1/2,0))/2))+2*IF(circ_int,0,eq_c2/2)))/(s_0+0*s_r+IF(circ_int,eq_c1/2,0))),IF(((30+0.5)*(4*IF(circ_int,0,eq_c1/2)+4*IF(circ_int,0,eq_c2/2)+2*PI()*(s_0+0*s_r+IF(circ_int,eq_c1/2,0)))/INDEX(lk_legs,1))&lt;(((((((2*IF(circ_int,0,eq_c2/2))+(PI()*(s_0+0*s_r+IF(circ_int,eq_c1/2,0))/2))+2*IF(circ_int,0,eq_c1/2))+(PI()*(s_0+0*s_r+IF(circ_int,eq_c1/2,0))/2))+2*IF(circ_int,0,eq_c2/2))+(PI()*(s_0+0*s_r+IF(circ_int,eq_c1/2,0))/2))+2*IF(circ_int,0,eq_c1/2)),-IF(circ_int,0,eq_c1/2)+(((30+0.5)*(4*IF(circ_int,0,eq_c1/2)+4*IF(circ_int,0,eq_c2/2)+2*PI()*(s_0+0*s_r+IF(circ_int,eq_c1/2,0)))/INDEX(lk_legs,1))-((((((2*IF(circ_int,0,eq_c2/2))+(PI()*(s_0+0*s_r+IF(circ_int,eq_c1/2,0))/2))+2*IF(circ_int,0,eq_c1/2))+(PI()*(s_0+0*s_r+IF(circ_int,eq_c1/2,0))/2))+2*IF(circ_int,0,eq_c2/2))+(PI()*(s_0+0*s_r+IF(circ_int,eq_c1/2,0))/2))),IF(circ_int,0,eq_c1/2)+(s_0+0*s_r+IF(circ_int,eq_c1/2,0))*COS(3*PI()/2+(((30+0.5)*(4*IF(circ_int,0,eq_c1/2)+4*IF(circ_int,0,eq_c2/2)+2*PI()*(s_0+0*s_r+IF(circ_int,eq_c1/2,0)))/INDEX(lk_legs,1))-(((((((2*IF(circ_int,0,eq_c2/2))+(PI()*(s_0+0*s_r+IF(circ_int,eq_c1/2,0))/2))+2*IF(circ_int,0,eq_c1/2))+(PI()*(s_0+0*s_r+IF(circ_int,eq_c1/2,0))/2))+2*IF(circ_int,0,eq_c2/2))+(PI()*(s_0+0*s_r+IF(circ_int,eq_c1/2,0))/2))+2*IF(circ_int,0,eq_c1/2)))/(s_0+0*s_r+IF(circ_int,eq_c1/2,0)))))))))),NA())</f>
        <v/>
      </c>
      <c r="BA33">
        <f>IF(AND(AND(links_on,1&lt;=n_per),INDEX(lk_kind,1)=1,30&lt;INDEX(lk_legs,1)),g_oy+IF(((30+0.5)*(4*IF(circ_int,0,eq_c1/2)+4*IF(circ_int,0,eq_c2/2)+2*PI()*(s_0+0*s_r+IF(circ_int,eq_c1/2,0)))/INDEX(lk_legs,1))&lt;(2*IF(circ_int,0,eq_c2/2)),-IF(circ_int,0,eq_c2/2)+((30+0.5)*(4*IF(circ_int,0,eq_c1/2)+4*IF(circ_int,0,eq_c2/2)+2*PI()*(s_0+0*s_r+IF(circ_int,eq_c1/2,0)))/INDEX(lk_legs,1)),IF(((30+0.5)*(4*IF(circ_int,0,eq_c1/2)+4*IF(circ_int,0,eq_c2/2)+2*PI()*(s_0+0*s_r+IF(circ_int,eq_c1/2,0)))/INDEX(lk_legs,1))&lt;((2*IF(circ_int,0,eq_c2/2))+(PI()*(s_0+0*s_r+IF(circ_int,eq_c1/2,0))/2)),IF(circ_int,0,eq_c2/2)+(s_0+0*s_r+IF(circ_int,eq_c1/2,0))*SIN((((30+0.5)*(4*IF(circ_int,0,eq_c1/2)+4*IF(circ_int,0,eq_c2/2)+2*PI()*(s_0+0*s_r+IF(circ_int,eq_c1/2,0)))/INDEX(lk_legs,1))-(2*IF(circ_int,0,eq_c2/2)))/(s_0+0*s_r+IF(circ_int,eq_c1/2,0))),IF(((30+0.5)*(4*IF(circ_int,0,eq_c1/2)+4*IF(circ_int,0,eq_c2/2)+2*PI()*(s_0+0*s_r+IF(circ_int,eq_c1/2,0)))/INDEX(lk_legs,1))&lt;(((2*IF(circ_int,0,eq_c2/2))+(PI()*(s_0+0*s_r+IF(circ_int,eq_c1/2,0))/2))+2*IF(circ_int,0,eq_c1/2)),IF(circ_int,0,eq_c2/2)+(s_0+0*s_r+IF(circ_int,eq_c1/2,0)),IF(((30+0.5)*(4*IF(circ_int,0,eq_c1/2)+4*IF(circ_int,0,eq_c2/2)+2*PI()*(s_0+0*s_r+IF(circ_int,eq_c1/2,0)))/INDEX(lk_legs,1))&lt;((((2*IF(circ_int,0,eq_c2/2))+(PI()*(s_0+0*s_r+IF(circ_int,eq_c1/2,0))/2))+2*IF(circ_int,0,eq_c1/2))+(PI()*(s_0+0*s_r+IF(circ_int,eq_c1/2,0))/2)),IF(circ_int,0,eq_c2/2)+(s_0+0*s_r+IF(circ_int,eq_c1/2,0))*SIN(PI()/2+(((30+0.5)*(4*IF(circ_int,0,eq_c1/2)+4*IF(circ_int,0,eq_c2/2)+2*PI()*(s_0+0*s_r+IF(circ_int,eq_c1/2,0)))/INDEX(lk_legs,1))-(((2*IF(circ_int,0,eq_c2/2))+(PI()*(s_0+0*s_r+IF(circ_int,eq_c1/2,0))/2))+2*IF(circ_int,0,eq_c1/2)))/(s_0+0*s_r+IF(circ_int,eq_c1/2,0))),IF(((30+0.5)*(4*IF(circ_int,0,eq_c1/2)+4*IF(circ_int,0,eq_c2/2)+2*PI()*(s_0+0*s_r+IF(circ_int,eq_c1/2,0)))/INDEX(lk_legs,1))&lt;(((((2*IF(circ_int,0,eq_c2/2))+(PI()*(s_0+0*s_r+IF(circ_int,eq_c1/2,0))/2))+2*IF(circ_int,0,eq_c1/2))+(PI()*(s_0+0*s_r+IF(circ_int,eq_c1/2,0))/2))+2*IF(circ_int,0,eq_c2/2)),IF(circ_int,0,eq_c2/2)-(((30+0.5)*(4*IF(circ_int,0,eq_c1/2)+4*IF(circ_int,0,eq_c2/2)+2*PI()*(s_0+0*s_r+IF(circ_int,eq_c1/2,0)))/INDEX(lk_legs,1))-((((2*IF(circ_int,0,eq_c2/2))+(PI()*(s_0+0*s_r+IF(circ_int,eq_c1/2,0))/2))+2*IF(circ_int,0,eq_c1/2))+(PI()*(s_0+0*s_r+IF(circ_int,eq_c1/2,0))/2))),IF(((30+0.5)*(4*IF(circ_int,0,eq_c1/2)+4*IF(circ_int,0,eq_c2/2)+2*PI()*(s_0+0*s_r+IF(circ_int,eq_c1/2,0)))/INDEX(lk_legs,1))&lt;((((((2*IF(circ_int,0,eq_c2/2))+(PI()*(s_0+0*s_r+IF(circ_int,eq_c1/2,0))/2))+2*IF(circ_int,0,eq_c1/2))+(PI()*(s_0+0*s_r+IF(circ_int,eq_c1/2,0))/2))+2*IF(circ_int,0,eq_c2/2))+(PI()*(s_0+0*s_r+IF(circ_int,eq_c1/2,0))/2)),-IF(circ_int,0,eq_c2/2)+(s_0+0*s_r+IF(circ_int,eq_c1/2,0))*SIN(PI()+(((30+0.5)*(4*IF(circ_int,0,eq_c1/2)+4*IF(circ_int,0,eq_c2/2)+2*PI()*(s_0+0*s_r+IF(circ_int,eq_c1/2,0)))/INDEX(lk_legs,1))-(((((2*IF(circ_int,0,eq_c2/2))+(PI()*(s_0+0*s_r+IF(circ_int,eq_c1/2,0))/2))+2*IF(circ_int,0,eq_c1/2))+(PI()*(s_0+0*s_r+IF(circ_int,eq_c1/2,0))/2))+2*IF(circ_int,0,eq_c2/2)))/(s_0+0*s_r+IF(circ_int,eq_c1/2,0))),IF(((30+0.5)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(30+0.5)*(4*IF(circ_int,0,eq_c1/2)+4*IF(circ_int,0,eq_c2/2)+2*PI()*(s_0+0*s_r+IF(circ_int,eq_c1/2,0)))/INDEX(lk_legs,1))-(((((((2*IF(circ_int,0,eq_c2/2))+(PI()*(s_0+0*s_r+IF(circ_int,eq_c1/2,0))/2))+2*IF(circ_int,0,eq_c1/2))+(PI()*(s_0+0*s_r+IF(circ_int,eq_c1/2,0))/2))+2*IF(circ_int,0,eq_c2/2))+(PI()*(s_0+0*s_r+IF(circ_int,eq_c1/2,0))/2))+2*IF(circ_int,0,eq_c1/2)))/(s_0+0*s_r+IF(circ_int,eq_c1/2,0)))))))))),NA())</f>
        <v/>
      </c>
      <c r="BC33">
        <f>IF(AND(links_on,2&lt;=n_per),IF(circ_int,(g_ox)+(c_1/2+(s_0+1*s_r))*-0.885456,CHOOSE(INDEX(lk_kind,2),(g_ox-eq_c1/2)+((s_0+1*s_r))*-0.866025,0,eq_a1+eq_c1+(s_0+1*s_r),eq_a1+eq_c1+(s_0+1*s_r))),NA())</f>
        <v/>
      </c>
      <c r="BD33">
        <f>IF(AND(links_on,2&lt;=n_per),IF(circ_int,(g_oy)+(c_1/2+(s_0+1*s_r))*-0.464723,CHOOSE(INDEX(lk_kind,2),(g_oy-eq_c2/2)+((s_0+1*s_r))*-0.500000,g_oy-eq_c2/2-(s_0+1*s_r),0,0)),NA())</f>
        <v/>
      </c>
      <c r="BF33">
        <f>IF(AND(AND(links_on,2&lt;=n_per),INDEX(lk_kind,2)=1,30&lt;INDEX(lk_legs,2)),g_ox+IF(((30+0.5)*(4*IF(circ_int,0,eq_c1/2)+4*IF(circ_int,0,eq_c2/2)+2*PI()*(s_0+1*s_r+IF(circ_int,eq_c1/2,0)))/INDEX(lk_legs,2))&lt;(2*IF(circ_int,0,eq_c2/2)),IF(circ_int,0,eq_c1/2)+(s_0+1*s_r+IF(circ_int,eq_c1/2,0)),IF(((30+0.5)*(4*IF(circ_int,0,eq_c1/2)+4*IF(circ_int,0,eq_c2/2)+2*PI()*(s_0+1*s_r+IF(circ_int,eq_c1/2,0)))/INDEX(lk_legs,2))&lt;((2*IF(circ_int,0,eq_c2/2))+(PI()*(s_0+1*s_r+IF(circ_int,eq_c1/2,0))/2)),IF(circ_int,0,eq_c1/2)+(s_0+1*s_r+IF(circ_int,eq_c1/2,0))*COS((((30+0.5)*(4*IF(circ_int,0,eq_c1/2)+4*IF(circ_int,0,eq_c2/2)+2*PI()*(s_0+1*s_r+IF(circ_int,eq_c1/2,0)))/INDEX(lk_legs,2))-(2*IF(circ_int,0,eq_c2/2)))/(s_0+1*s_r+IF(circ_int,eq_c1/2,0))),IF(((30+0.5)*(4*IF(circ_int,0,eq_c1/2)+4*IF(circ_int,0,eq_c2/2)+2*PI()*(s_0+1*s_r+IF(circ_int,eq_c1/2,0)))/INDEX(lk_legs,2))&lt;(((2*IF(circ_int,0,eq_c2/2))+(PI()*(s_0+1*s_r+IF(circ_int,eq_c1/2,0))/2))+2*IF(circ_int,0,eq_c1/2)),IF(circ_int,0,eq_c1/2)-(((30+0.5)*(4*IF(circ_int,0,eq_c1/2)+4*IF(circ_int,0,eq_c2/2)+2*PI()*(s_0+1*s_r+IF(circ_int,eq_c1/2,0)))/INDEX(lk_legs,2))-((2*IF(circ_int,0,eq_c2/2))+(PI()*(s_0+1*s_r+IF(circ_int,eq_c1/2,0))/2))),IF(((30+0.5)*(4*IF(circ_int,0,eq_c1/2)+4*IF(circ_int,0,eq_c2/2)+2*PI()*(s_0+1*s_r+IF(circ_int,eq_c1/2,0)))/INDEX(lk_legs,2))&lt;((((2*IF(circ_int,0,eq_c2/2))+(PI()*(s_0+1*s_r+IF(circ_int,eq_c1/2,0))/2))+2*IF(circ_int,0,eq_c1/2))+(PI()*(s_0+1*s_r+IF(circ_int,eq_c1/2,0))/2)),-IF(circ_int,0,eq_c1/2)+(s_0+1*s_r+IF(circ_int,eq_c1/2,0))*COS(PI()/2+(((30+0.5)*(4*IF(circ_int,0,eq_c1/2)+4*IF(circ_int,0,eq_c2/2)+2*PI()*(s_0+1*s_r+IF(circ_int,eq_c1/2,0)))/INDEX(lk_legs,2))-(((2*IF(circ_int,0,eq_c2/2))+(PI()*(s_0+1*s_r+IF(circ_int,eq_c1/2,0))/2))+2*IF(circ_int,0,eq_c1/2)))/(s_0+1*s_r+IF(circ_int,eq_c1/2,0))),IF(((30+0.5)*(4*IF(circ_int,0,eq_c1/2)+4*IF(circ_int,0,eq_c2/2)+2*PI()*(s_0+1*s_r+IF(circ_int,eq_c1/2,0)))/INDEX(lk_legs,2))&lt;(((((2*IF(circ_int,0,eq_c2/2))+(PI()*(s_0+1*s_r+IF(circ_int,eq_c1/2,0))/2))+2*IF(circ_int,0,eq_c1/2))+(PI()*(s_0+1*s_r+IF(circ_int,eq_c1/2,0))/2))+2*IF(circ_int,0,eq_c2/2)),-IF(circ_int,0,eq_c1/2)-(s_0+1*s_r+IF(circ_int,eq_c1/2,0)),IF(((30+0.5)*(4*IF(circ_int,0,eq_c1/2)+4*IF(circ_int,0,eq_c2/2)+2*PI()*(s_0+1*s_r+IF(circ_int,eq_c1/2,0)))/INDEX(lk_legs,2))&lt;((((((2*IF(circ_int,0,eq_c2/2))+(PI()*(s_0+1*s_r+IF(circ_int,eq_c1/2,0))/2))+2*IF(circ_int,0,eq_c1/2))+(PI()*(s_0+1*s_r+IF(circ_int,eq_c1/2,0))/2))+2*IF(circ_int,0,eq_c2/2))+(PI()*(s_0+1*s_r+IF(circ_int,eq_c1/2,0))/2)),-IF(circ_int,0,eq_c1/2)+(s_0+1*s_r+IF(circ_int,eq_c1/2,0))*COS(PI()+(((30+0.5)*(4*IF(circ_int,0,eq_c1/2)+4*IF(circ_int,0,eq_c2/2)+2*PI()*(s_0+1*s_r+IF(circ_int,eq_c1/2,0)))/INDEX(lk_legs,2))-(((((2*IF(circ_int,0,eq_c2/2))+(PI()*(s_0+1*s_r+IF(circ_int,eq_c1/2,0))/2))+2*IF(circ_int,0,eq_c1/2))+(PI()*(s_0+1*s_r+IF(circ_int,eq_c1/2,0))/2))+2*IF(circ_int,0,eq_c2/2)))/(s_0+1*s_r+IF(circ_int,eq_c1/2,0))),IF(((30+0.5)*(4*IF(circ_int,0,eq_c1/2)+4*IF(circ_int,0,eq_c2/2)+2*PI()*(s_0+1*s_r+IF(circ_int,eq_c1/2,0)))/INDEX(lk_legs,2))&lt;(((((((2*IF(circ_int,0,eq_c2/2))+(PI()*(s_0+1*s_r+IF(circ_int,eq_c1/2,0))/2))+2*IF(circ_int,0,eq_c1/2))+(PI()*(s_0+1*s_r+IF(circ_int,eq_c1/2,0))/2))+2*IF(circ_int,0,eq_c2/2))+(PI()*(s_0+1*s_r+IF(circ_int,eq_c1/2,0))/2))+2*IF(circ_int,0,eq_c1/2)),-IF(circ_int,0,eq_c1/2)+(((30+0.5)*(4*IF(circ_int,0,eq_c1/2)+4*IF(circ_int,0,eq_c2/2)+2*PI()*(s_0+1*s_r+IF(circ_int,eq_c1/2,0)))/INDEX(lk_legs,2))-((((((2*IF(circ_int,0,eq_c2/2))+(PI()*(s_0+1*s_r+IF(circ_int,eq_c1/2,0))/2))+2*IF(circ_int,0,eq_c1/2))+(PI()*(s_0+1*s_r+IF(circ_int,eq_c1/2,0))/2))+2*IF(circ_int,0,eq_c2/2))+(PI()*(s_0+1*s_r+IF(circ_int,eq_c1/2,0))/2))),IF(circ_int,0,eq_c1/2)+(s_0+1*s_r+IF(circ_int,eq_c1/2,0))*COS(3*PI()/2+(((30+0.5)*(4*IF(circ_int,0,eq_c1/2)+4*IF(circ_int,0,eq_c2/2)+2*PI()*(s_0+1*s_r+IF(circ_int,eq_c1/2,0)))/INDEX(lk_legs,2))-(((((((2*IF(circ_int,0,eq_c2/2))+(PI()*(s_0+1*s_r+IF(circ_int,eq_c1/2,0))/2))+2*IF(circ_int,0,eq_c1/2))+(PI()*(s_0+1*s_r+IF(circ_int,eq_c1/2,0))/2))+2*IF(circ_int,0,eq_c2/2))+(PI()*(s_0+1*s_r+IF(circ_int,eq_c1/2,0))/2))+2*IF(circ_int,0,eq_c1/2)))/(s_0+1*s_r+IF(circ_int,eq_c1/2,0)))))))))),NA())</f>
        <v/>
      </c>
      <c r="BG33">
        <f>IF(AND(AND(links_on,2&lt;=n_per),INDEX(lk_kind,2)=1,30&lt;INDEX(lk_legs,2)),g_oy+IF(((30+0.5)*(4*IF(circ_int,0,eq_c1/2)+4*IF(circ_int,0,eq_c2/2)+2*PI()*(s_0+1*s_r+IF(circ_int,eq_c1/2,0)))/INDEX(lk_legs,2))&lt;(2*IF(circ_int,0,eq_c2/2)),-IF(circ_int,0,eq_c2/2)+((30+0.5)*(4*IF(circ_int,0,eq_c1/2)+4*IF(circ_int,0,eq_c2/2)+2*PI()*(s_0+1*s_r+IF(circ_int,eq_c1/2,0)))/INDEX(lk_legs,2)),IF(((30+0.5)*(4*IF(circ_int,0,eq_c1/2)+4*IF(circ_int,0,eq_c2/2)+2*PI()*(s_0+1*s_r+IF(circ_int,eq_c1/2,0)))/INDEX(lk_legs,2))&lt;((2*IF(circ_int,0,eq_c2/2))+(PI()*(s_0+1*s_r+IF(circ_int,eq_c1/2,0))/2)),IF(circ_int,0,eq_c2/2)+(s_0+1*s_r+IF(circ_int,eq_c1/2,0))*SIN((((30+0.5)*(4*IF(circ_int,0,eq_c1/2)+4*IF(circ_int,0,eq_c2/2)+2*PI()*(s_0+1*s_r+IF(circ_int,eq_c1/2,0)))/INDEX(lk_legs,2))-(2*IF(circ_int,0,eq_c2/2)))/(s_0+1*s_r+IF(circ_int,eq_c1/2,0))),IF(((30+0.5)*(4*IF(circ_int,0,eq_c1/2)+4*IF(circ_int,0,eq_c2/2)+2*PI()*(s_0+1*s_r+IF(circ_int,eq_c1/2,0)))/INDEX(lk_legs,2))&lt;(((2*IF(circ_int,0,eq_c2/2))+(PI()*(s_0+1*s_r+IF(circ_int,eq_c1/2,0))/2))+2*IF(circ_int,0,eq_c1/2)),IF(circ_int,0,eq_c2/2)+(s_0+1*s_r+IF(circ_int,eq_c1/2,0)),IF(((30+0.5)*(4*IF(circ_int,0,eq_c1/2)+4*IF(circ_int,0,eq_c2/2)+2*PI()*(s_0+1*s_r+IF(circ_int,eq_c1/2,0)))/INDEX(lk_legs,2))&lt;((((2*IF(circ_int,0,eq_c2/2))+(PI()*(s_0+1*s_r+IF(circ_int,eq_c1/2,0))/2))+2*IF(circ_int,0,eq_c1/2))+(PI()*(s_0+1*s_r+IF(circ_int,eq_c1/2,0))/2)),IF(circ_int,0,eq_c2/2)+(s_0+1*s_r+IF(circ_int,eq_c1/2,0))*SIN(PI()/2+(((30+0.5)*(4*IF(circ_int,0,eq_c1/2)+4*IF(circ_int,0,eq_c2/2)+2*PI()*(s_0+1*s_r+IF(circ_int,eq_c1/2,0)))/INDEX(lk_legs,2))-(((2*IF(circ_int,0,eq_c2/2))+(PI()*(s_0+1*s_r+IF(circ_int,eq_c1/2,0))/2))+2*IF(circ_int,0,eq_c1/2)))/(s_0+1*s_r+IF(circ_int,eq_c1/2,0))),IF(((30+0.5)*(4*IF(circ_int,0,eq_c1/2)+4*IF(circ_int,0,eq_c2/2)+2*PI()*(s_0+1*s_r+IF(circ_int,eq_c1/2,0)))/INDEX(lk_legs,2))&lt;(((((2*IF(circ_int,0,eq_c2/2))+(PI()*(s_0+1*s_r+IF(circ_int,eq_c1/2,0))/2))+2*IF(circ_int,0,eq_c1/2))+(PI()*(s_0+1*s_r+IF(circ_int,eq_c1/2,0))/2))+2*IF(circ_int,0,eq_c2/2)),IF(circ_int,0,eq_c2/2)-(((30+0.5)*(4*IF(circ_int,0,eq_c1/2)+4*IF(circ_int,0,eq_c2/2)+2*PI()*(s_0+1*s_r+IF(circ_int,eq_c1/2,0)))/INDEX(lk_legs,2))-((((2*IF(circ_int,0,eq_c2/2))+(PI()*(s_0+1*s_r+IF(circ_int,eq_c1/2,0))/2))+2*IF(circ_int,0,eq_c1/2))+(PI()*(s_0+1*s_r+IF(circ_int,eq_c1/2,0))/2))),IF(((30+0.5)*(4*IF(circ_int,0,eq_c1/2)+4*IF(circ_int,0,eq_c2/2)+2*PI()*(s_0+1*s_r+IF(circ_int,eq_c1/2,0)))/INDEX(lk_legs,2))&lt;((((((2*IF(circ_int,0,eq_c2/2))+(PI()*(s_0+1*s_r+IF(circ_int,eq_c1/2,0))/2))+2*IF(circ_int,0,eq_c1/2))+(PI()*(s_0+1*s_r+IF(circ_int,eq_c1/2,0))/2))+2*IF(circ_int,0,eq_c2/2))+(PI()*(s_0+1*s_r+IF(circ_int,eq_c1/2,0))/2)),-IF(circ_int,0,eq_c2/2)+(s_0+1*s_r+IF(circ_int,eq_c1/2,0))*SIN(PI()+(((30+0.5)*(4*IF(circ_int,0,eq_c1/2)+4*IF(circ_int,0,eq_c2/2)+2*PI()*(s_0+1*s_r+IF(circ_int,eq_c1/2,0)))/INDEX(lk_legs,2))-(((((2*IF(circ_int,0,eq_c2/2))+(PI()*(s_0+1*s_r+IF(circ_int,eq_c1/2,0))/2))+2*IF(circ_int,0,eq_c1/2))+(PI()*(s_0+1*s_r+IF(circ_int,eq_c1/2,0))/2))+2*IF(circ_int,0,eq_c2/2)))/(s_0+1*s_r+IF(circ_int,eq_c1/2,0))),IF(((30+0.5)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(30+0.5)*(4*IF(circ_int,0,eq_c1/2)+4*IF(circ_int,0,eq_c2/2)+2*PI()*(s_0+1*s_r+IF(circ_int,eq_c1/2,0)))/INDEX(lk_legs,2))-(((((((2*IF(circ_int,0,eq_c2/2))+(PI()*(s_0+1*s_r+IF(circ_int,eq_c1/2,0))/2))+2*IF(circ_int,0,eq_c1/2))+(PI()*(s_0+1*s_r+IF(circ_int,eq_c1/2,0))/2))+2*IF(circ_int,0,eq_c2/2))+(PI()*(s_0+1*s_r+IF(circ_int,eq_c1/2,0))/2))+2*IF(circ_int,0,eq_c1/2)))/(s_0+1*s_r+IF(circ_int,eq_c1/2,0)))))))))),NA())</f>
        <v/>
      </c>
      <c r="BI33">
        <f>IF(AND(links_on,3&lt;=n_per),IF(circ_int,(g_ox)+(c_1/2+(s_0+2*s_r))*-0.885456,CHOOSE(INDEX(lk_kind,3),(g_ox-eq_c1/2)+((s_0+2*s_r))*-0.866025,0,eq_a1+eq_c1+(s_0+2*s_r),eq_a1+eq_c1+(s_0+2*s_r))),NA())</f>
        <v/>
      </c>
      <c r="BJ33">
        <f>IF(AND(links_on,3&lt;=n_per),IF(circ_int,(g_oy)+(c_1/2+(s_0+2*s_r))*-0.464723,CHOOSE(INDEX(lk_kind,3),(g_oy-eq_c2/2)+((s_0+2*s_r))*-0.500000,g_oy-eq_c2/2-(s_0+2*s_r),0,0)),NA())</f>
        <v/>
      </c>
      <c r="BL33">
        <f>IF(AND(AND(links_on,3&lt;=n_per),INDEX(lk_kind,3)=1,30&lt;INDEX(lk_legs,3)),g_ox+IF(((30+0.5)*(4*IF(circ_int,0,eq_c1/2)+4*IF(circ_int,0,eq_c2/2)+2*PI()*(s_0+2*s_r+IF(circ_int,eq_c1/2,0)))/INDEX(lk_legs,3))&lt;(2*IF(circ_int,0,eq_c2/2)),IF(circ_int,0,eq_c1/2)+(s_0+2*s_r+IF(circ_int,eq_c1/2,0)),IF(((30+0.5)*(4*IF(circ_int,0,eq_c1/2)+4*IF(circ_int,0,eq_c2/2)+2*PI()*(s_0+2*s_r+IF(circ_int,eq_c1/2,0)))/INDEX(lk_legs,3))&lt;((2*IF(circ_int,0,eq_c2/2))+(PI()*(s_0+2*s_r+IF(circ_int,eq_c1/2,0))/2)),IF(circ_int,0,eq_c1/2)+(s_0+2*s_r+IF(circ_int,eq_c1/2,0))*COS((((30+0.5)*(4*IF(circ_int,0,eq_c1/2)+4*IF(circ_int,0,eq_c2/2)+2*PI()*(s_0+2*s_r+IF(circ_int,eq_c1/2,0)))/INDEX(lk_legs,3))-(2*IF(circ_int,0,eq_c2/2)))/(s_0+2*s_r+IF(circ_int,eq_c1/2,0))),IF(((30+0.5)*(4*IF(circ_int,0,eq_c1/2)+4*IF(circ_int,0,eq_c2/2)+2*PI()*(s_0+2*s_r+IF(circ_int,eq_c1/2,0)))/INDEX(lk_legs,3))&lt;(((2*IF(circ_int,0,eq_c2/2))+(PI()*(s_0+2*s_r+IF(circ_int,eq_c1/2,0))/2))+2*IF(circ_int,0,eq_c1/2)),IF(circ_int,0,eq_c1/2)-(((30+0.5)*(4*IF(circ_int,0,eq_c1/2)+4*IF(circ_int,0,eq_c2/2)+2*PI()*(s_0+2*s_r+IF(circ_int,eq_c1/2,0)))/INDEX(lk_legs,3))-((2*IF(circ_int,0,eq_c2/2))+(PI()*(s_0+2*s_r+IF(circ_int,eq_c1/2,0))/2))),IF(((30+0.5)*(4*IF(circ_int,0,eq_c1/2)+4*IF(circ_int,0,eq_c2/2)+2*PI()*(s_0+2*s_r+IF(circ_int,eq_c1/2,0)))/INDEX(lk_legs,3))&lt;((((2*IF(circ_int,0,eq_c2/2))+(PI()*(s_0+2*s_r+IF(circ_int,eq_c1/2,0))/2))+2*IF(circ_int,0,eq_c1/2))+(PI()*(s_0+2*s_r+IF(circ_int,eq_c1/2,0))/2)),-IF(circ_int,0,eq_c1/2)+(s_0+2*s_r+IF(circ_int,eq_c1/2,0))*COS(PI()/2+(((30+0.5)*(4*IF(circ_int,0,eq_c1/2)+4*IF(circ_int,0,eq_c2/2)+2*PI()*(s_0+2*s_r+IF(circ_int,eq_c1/2,0)))/INDEX(lk_legs,3))-(((2*IF(circ_int,0,eq_c2/2))+(PI()*(s_0+2*s_r+IF(circ_int,eq_c1/2,0))/2))+2*IF(circ_int,0,eq_c1/2)))/(s_0+2*s_r+IF(circ_int,eq_c1/2,0))),IF(((30+0.5)*(4*IF(circ_int,0,eq_c1/2)+4*IF(circ_int,0,eq_c2/2)+2*PI()*(s_0+2*s_r+IF(circ_int,eq_c1/2,0)))/INDEX(lk_legs,3))&lt;(((((2*IF(circ_int,0,eq_c2/2))+(PI()*(s_0+2*s_r+IF(circ_int,eq_c1/2,0))/2))+2*IF(circ_int,0,eq_c1/2))+(PI()*(s_0+2*s_r+IF(circ_int,eq_c1/2,0))/2))+2*IF(circ_int,0,eq_c2/2)),-IF(circ_int,0,eq_c1/2)-(s_0+2*s_r+IF(circ_int,eq_c1/2,0)),IF(((30+0.5)*(4*IF(circ_int,0,eq_c1/2)+4*IF(circ_int,0,eq_c2/2)+2*PI()*(s_0+2*s_r+IF(circ_int,eq_c1/2,0)))/INDEX(lk_legs,3))&lt;((((((2*IF(circ_int,0,eq_c2/2))+(PI()*(s_0+2*s_r+IF(circ_int,eq_c1/2,0))/2))+2*IF(circ_int,0,eq_c1/2))+(PI()*(s_0+2*s_r+IF(circ_int,eq_c1/2,0))/2))+2*IF(circ_int,0,eq_c2/2))+(PI()*(s_0+2*s_r+IF(circ_int,eq_c1/2,0))/2)),-IF(circ_int,0,eq_c1/2)+(s_0+2*s_r+IF(circ_int,eq_c1/2,0))*COS(PI()+(((30+0.5)*(4*IF(circ_int,0,eq_c1/2)+4*IF(circ_int,0,eq_c2/2)+2*PI()*(s_0+2*s_r+IF(circ_int,eq_c1/2,0)))/INDEX(lk_legs,3))-(((((2*IF(circ_int,0,eq_c2/2))+(PI()*(s_0+2*s_r+IF(circ_int,eq_c1/2,0))/2))+2*IF(circ_int,0,eq_c1/2))+(PI()*(s_0+2*s_r+IF(circ_int,eq_c1/2,0))/2))+2*IF(circ_int,0,eq_c2/2)))/(s_0+2*s_r+IF(circ_int,eq_c1/2,0))),IF(((30+0.5)*(4*IF(circ_int,0,eq_c1/2)+4*IF(circ_int,0,eq_c2/2)+2*PI()*(s_0+2*s_r+IF(circ_int,eq_c1/2,0)))/INDEX(lk_legs,3))&lt;(((((((2*IF(circ_int,0,eq_c2/2))+(PI()*(s_0+2*s_r+IF(circ_int,eq_c1/2,0))/2))+2*IF(circ_int,0,eq_c1/2))+(PI()*(s_0+2*s_r+IF(circ_int,eq_c1/2,0))/2))+2*IF(circ_int,0,eq_c2/2))+(PI()*(s_0+2*s_r+IF(circ_int,eq_c1/2,0))/2))+2*IF(circ_int,0,eq_c1/2)),-IF(circ_int,0,eq_c1/2)+(((30+0.5)*(4*IF(circ_int,0,eq_c1/2)+4*IF(circ_int,0,eq_c2/2)+2*PI()*(s_0+2*s_r+IF(circ_int,eq_c1/2,0)))/INDEX(lk_legs,3))-((((((2*IF(circ_int,0,eq_c2/2))+(PI()*(s_0+2*s_r+IF(circ_int,eq_c1/2,0))/2))+2*IF(circ_int,0,eq_c1/2))+(PI()*(s_0+2*s_r+IF(circ_int,eq_c1/2,0))/2))+2*IF(circ_int,0,eq_c2/2))+(PI()*(s_0+2*s_r+IF(circ_int,eq_c1/2,0))/2))),IF(circ_int,0,eq_c1/2)+(s_0+2*s_r+IF(circ_int,eq_c1/2,0))*COS(3*PI()/2+(((30+0.5)*(4*IF(circ_int,0,eq_c1/2)+4*IF(circ_int,0,eq_c2/2)+2*PI()*(s_0+2*s_r+IF(circ_int,eq_c1/2,0)))/INDEX(lk_legs,3))-(((((((2*IF(circ_int,0,eq_c2/2))+(PI()*(s_0+2*s_r+IF(circ_int,eq_c1/2,0))/2))+2*IF(circ_int,0,eq_c1/2))+(PI()*(s_0+2*s_r+IF(circ_int,eq_c1/2,0))/2))+2*IF(circ_int,0,eq_c2/2))+(PI()*(s_0+2*s_r+IF(circ_int,eq_c1/2,0))/2))+2*IF(circ_int,0,eq_c1/2)))/(s_0+2*s_r+IF(circ_int,eq_c1/2,0)))))))))),NA())</f>
        <v/>
      </c>
      <c r="BM33">
        <f>IF(AND(AND(links_on,3&lt;=n_per),INDEX(lk_kind,3)=1,30&lt;INDEX(lk_legs,3)),g_oy+IF(((30+0.5)*(4*IF(circ_int,0,eq_c1/2)+4*IF(circ_int,0,eq_c2/2)+2*PI()*(s_0+2*s_r+IF(circ_int,eq_c1/2,0)))/INDEX(lk_legs,3))&lt;(2*IF(circ_int,0,eq_c2/2)),-IF(circ_int,0,eq_c2/2)+((30+0.5)*(4*IF(circ_int,0,eq_c1/2)+4*IF(circ_int,0,eq_c2/2)+2*PI()*(s_0+2*s_r+IF(circ_int,eq_c1/2,0)))/INDEX(lk_legs,3)),IF(((30+0.5)*(4*IF(circ_int,0,eq_c1/2)+4*IF(circ_int,0,eq_c2/2)+2*PI()*(s_0+2*s_r+IF(circ_int,eq_c1/2,0)))/INDEX(lk_legs,3))&lt;((2*IF(circ_int,0,eq_c2/2))+(PI()*(s_0+2*s_r+IF(circ_int,eq_c1/2,0))/2)),IF(circ_int,0,eq_c2/2)+(s_0+2*s_r+IF(circ_int,eq_c1/2,0))*SIN((((30+0.5)*(4*IF(circ_int,0,eq_c1/2)+4*IF(circ_int,0,eq_c2/2)+2*PI()*(s_0+2*s_r+IF(circ_int,eq_c1/2,0)))/INDEX(lk_legs,3))-(2*IF(circ_int,0,eq_c2/2)))/(s_0+2*s_r+IF(circ_int,eq_c1/2,0))),IF(((30+0.5)*(4*IF(circ_int,0,eq_c1/2)+4*IF(circ_int,0,eq_c2/2)+2*PI()*(s_0+2*s_r+IF(circ_int,eq_c1/2,0)))/INDEX(lk_legs,3))&lt;(((2*IF(circ_int,0,eq_c2/2))+(PI()*(s_0+2*s_r+IF(circ_int,eq_c1/2,0))/2))+2*IF(circ_int,0,eq_c1/2)),IF(circ_int,0,eq_c2/2)+(s_0+2*s_r+IF(circ_int,eq_c1/2,0)),IF(((30+0.5)*(4*IF(circ_int,0,eq_c1/2)+4*IF(circ_int,0,eq_c2/2)+2*PI()*(s_0+2*s_r+IF(circ_int,eq_c1/2,0)))/INDEX(lk_legs,3))&lt;((((2*IF(circ_int,0,eq_c2/2))+(PI()*(s_0+2*s_r+IF(circ_int,eq_c1/2,0))/2))+2*IF(circ_int,0,eq_c1/2))+(PI()*(s_0+2*s_r+IF(circ_int,eq_c1/2,0))/2)),IF(circ_int,0,eq_c2/2)+(s_0+2*s_r+IF(circ_int,eq_c1/2,0))*SIN(PI()/2+(((30+0.5)*(4*IF(circ_int,0,eq_c1/2)+4*IF(circ_int,0,eq_c2/2)+2*PI()*(s_0+2*s_r+IF(circ_int,eq_c1/2,0)))/INDEX(lk_legs,3))-(((2*IF(circ_int,0,eq_c2/2))+(PI()*(s_0+2*s_r+IF(circ_int,eq_c1/2,0))/2))+2*IF(circ_int,0,eq_c1/2)))/(s_0+2*s_r+IF(circ_int,eq_c1/2,0))),IF(((30+0.5)*(4*IF(circ_int,0,eq_c1/2)+4*IF(circ_int,0,eq_c2/2)+2*PI()*(s_0+2*s_r+IF(circ_int,eq_c1/2,0)))/INDEX(lk_legs,3))&lt;(((((2*IF(circ_int,0,eq_c2/2))+(PI()*(s_0+2*s_r+IF(circ_int,eq_c1/2,0))/2))+2*IF(circ_int,0,eq_c1/2))+(PI()*(s_0+2*s_r+IF(circ_int,eq_c1/2,0))/2))+2*IF(circ_int,0,eq_c2/2)),IF(circ_int,0,eq_c2/2)-(((30+0.5)*(4*IF(circ_int,0,eq_c1/2)+4*IF(circ_int,0,eq_c2/2)+2*PI()*(s_0+2*s_r+IF(circ_int,eq_c1/2,0)))/INDEX(lk_legs,3))-((((2*IF(circ_int,0,eq_c2/2))+(PI()*(s_0+2*s_r+IF(circ_int,eq_c1/2,0))/2))+2*IF(circ_int,0,eq_c1/2))+(PI()*(s_0+2*s_r+IF(circ_int,eq_c1/2,0))/2))),IF(((30+0.5)*(4*IF(circ_int,0,eq_c1/2)+4*IF(circ_int,0,eq_c2/2)+2*PI()*(s_0+2*s_r+IF(circ_int,eq_c1/2,0)))/INDEX(lk_legs,3))&lt;((((((2*IF(circ_int,0,eq_c2/2))+(PI()*(s_0+2*s_r+IF(circ_int,eq_c1/2,0))/2))+2*IF(circ_int,0,eq_c1/2))+(PI()*(s_0+2*s_r+IF(circ_int,eq_c1/2,0))/2))+2*IF(circ_int,0,eq_c2/2))+(PI()*(s_0+2*s_r+IF(circ_int,eq_c1/2,0))/2)),-IF(circ_int,0,eq_c2/2)+(s_0+2*s_r+IF(circ_int,eq_c1/2,0))*SIN(PI()+(((30+0.5)*(4*IF(circ_int,0,eq_c1/2)+4*IF(circ_int,0,eq_c2/2)+2*PI()*(s_0+2*s_r+IF(circ_int,eq_c1/2,0)))/INDEX(lk_legs,3))-(((((2*IF(circ_int,0,eq_c2/2))+(PI()*(s_0+2*s_r+IF(circ_int,eq_c1/2,0))/2))+2*IF(circ_int,0,eq_c1/2))+(PI()*(s_0+2*s_r+IF(circ_int,eq_c1/2,0))/2))+2*IF(circ_int,0,eq_c2/2)))/(s_0+2*s_r+IF(circ_int,eq_c1/2,0))),IF(((30+0.5)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(30+0.5)*(4*IF(circ_int,0,eq_c1/2)+4*IF(circ_int,0,eq_c2/2)+2*PI()*(s_0+2*s_r+IF(circ_int,eq_c1/2,0)))/INDEX(lk_legs,3))-(((((((2*IF(circ_int,0,eq_c2/2))+(PI()*(s_0+2*s_r+IF(circ_int,eq_c1/2,0))/2))+2*IF(circ_int,0,eq_c1/2))+(PI()*(s_0+2*s_r+IF(circ_int,eq_c1/2,0))/2))+2*IF(circ_int,0,eq_c2/2))+(PI()*(s_0+2*s_r+IF(circ_int,eq_c1/2,0))/2))+2*IF(circ_int,0,eq_c1/2)))/(s_0+2*s_r+IF(circ_int,eq_c1/2,0)))))))))),NA())</f>
        <v/>
      </c>
      <c r="BO33">
        <f>IF(AND(links_on,4&lt;=n_per),IF(circ_int,(g_ox)+(c_1/2+(s_0+3*s_r))*-0.885456,CHOOSE(INDEX(lk_kind,4),(g_ox-eq_c1/2)+((s_0+3*s_r))*-0.866025,0,eq_a1+eq_c1+(s_0+3*s_r),eq_a1+eq_c1+(s_0+3*s_r))),NA())</f>
        <v/>
      </c>
      <c r="BP33">
        <f>IF(AND(links_on,4&lt;=n_per),IF(circ_int,(g_oy)+(c_1/2+(s_0+3*s_r))*-0.464723,CHOOSE(INDEX(lk_kind,4),(g_oy-eq_c2/2)+((s_0+3*s_r))*-0.500000,g_oy-eq_c2/2-(s_0+3*s_r),0,0)),NA())</f>
        <v/>
      </c>
      <c r="BR33">
        <f>IF(AND(AND(links_on,4&lt;=n_per),INDEX(lk_kind,4)=1,30&lt;INDEX(lk_legs,4)),g_ox+IF(((30+0.5)*(4*IF(circ_int,0,eq_c1/2)+4*IF(circ_int,0,eq_c2/2)+2*PI()*(s_0+3*s_r+IF(circ_int,eq_c1/2,0)))/INDEX(lk_legs,4))&lt;(2*IF(circ_int,0,eq_c2/2)),IF(circ_int,0,eq_c1/2)+(s_0+3*s_r+IF(circ_int,eq_c1/2,0)),IF(((30+0.5)*(4*IF(circ_int,0,eq_c1/2)+4*IF(circ_int,0,eq_c2/2)+2*PI()*(s_0+3*s_r+IF(circ_int,eq_c1/2,0)))/INDEX(lk_legs,4))&lt;((2*IF(circ_int,0,eq_c2/2))+(PI()*(s_0+3*s_r+IF(circ_int,eq_c1/2,0))/2)),IF(circ_int,0,eq_c1/2)+(s_0+3*s_r+IF(circ_int,eq_c1/2,0))*COS((((30+0.5)*(4*IF(circ_int,0,eq_c1/2)+4*IF(circ_int,0,eq_c2/2)+2*PI()*(s_0+3*s_r+IF(circ_int,eq_c1/2,0)))/INDEX(lk_legs,4))-(2*IF(circ_int,0,eq_c2/2)))/(s_0+3*s_r+IF(circ_int,eq_c1/2,0))),IF(((30+0.5)*(4*IF(circ_int,0,eq_c1/2)+4*IF(circ_int,0,eq_c2/2)+2*PI()*(s_0+3*s_r+IF(circ_int,eq_c1/2,0)))/INDEX(lk_legs,4))&lt;(((2*IF(circ_int,0,eq_c2/2))+(PI()*(s_0+3*s_r+IF(circ_int,eq_c1/2,0))/2))+2*IF(circ_int,0,eq_c1/2)),IF(circ_int,0,eq_c1/2)-(((30+0.5)*(4*IF(circ_int,0,eq_c1/2)+4*IF(circ_int,0,eq_c2/2)+2*PI()*(s_0+3*s_r+IF(circ_int,eq_c1/2,0)))/INDEX(lk_legs,4))-((2*IF(circ_int,0,eq_c2/2))+(PI()*(s_0+3*s_r+IF(circ_int,eq_c1/2,0))/2))),IF(((30+0.5)*(4*IF(circ_int,0,eq_c1/2)+4*IF(circ_int,0,eq_c2/2)+2*PI()*(s_0+3*s_r+IF(circ_int,eq_c1/2,0)))/INDEX(lk_legs,4))&lt;((((2*IF(circ_int,0,eq_c2/2))+(PI()*(s_0+3*s_r+IF(circ_int,eq_c1/2,0))/2))+2*IF(circ_int,0,eq_c1/2))+(PI()*(s_0+3*s_r+IF(circ_int,eq_c1/2,0))/2)),-IF(circ_int,0,eq_c1/2)+(s_0+3*s_r+IF(circ_int,eq_c1/2,0))*COS(PI()/2+(((30+0.5)*(4*IF(circ_int,0,eq_c1/2)+4*IF(circ_int,0,eq_c2/2)+2*PI()*(s_0+3*s_r+IF(circ_int,eq_c1/2,0)))/INDEX(lk_legs,4))-(((2*IF(circ_int,0,eq_c2/2))+(PI()*(s_0+3*s_r+IF(circ_int,eq_c1/2,0))/2))+2*IF(circ_int,0,eq_c1/2)))/(s_0+3*s_r+IF(circ_int,eq_c1/2,0))),IF(((30+0.5)*(4*IF(circ_int,0,eq_c1/2)+4*IF(circ_int,0,eq_c2/2)+2*PI()*(s_0+3*s_r+IF(circ_int,eq_c1/2,0)))/INDEX(lk_legs,4))&lt;(((((2*IF(circ_int,0,eq_c2/2))+(PI()*(s_0+3*s_r+IF(circ_int,eq_c1/2,0))/2))+2*IF(circ_int,0,eq_c1/2))+(PI()*(s_0+3*s_r+IF(circ_int,eq_c1/2,0))/2))+2*IF(circ_int,0,eq_c2/2)),-IF(circ_int,0,eq_c1/2)-(s_0+3*s_r+IF(circ_int,eq_c1/2,0)),IF(((30+0.5)*(4*IF(circ_int,0,eq_c1/2)+4*IF(circ_int,0,eq_c2/2)+2*PI()*(s_0+3*s_r+IF(circ_int,eq_c1/2,0)))/INDEX(lk_legs,4))&lt;((((((2*IF(circ_int,0,eq_c2/2))+(PI()*(s_0+3*s_r+IF(circ_int,eq_c1/2,0))/2))+2*IF(circ_int,0,eq_c1/2))+(PI()*(s_0+3*s_r+IF(circ_int,eq_c1/2,0))/2))+2*IF(circ_int,0,eq_c2/2))+(PI()*(s_0+3*s_r+IF(circ_int,eq_c1/2,0))/2)),-IF(circ_int,0,eq_c1/2)+(s_0+3*s_r+IF(circ_int,eq_c1/2,0))*COS(PI()+(((30+0.5)*(4*IF(circ_int,0,eq_c1/2)+4*IF(circ_int,0,eq_c2/2)+2*PI()*(s_0+3*s_r+IF(circ_int,eq_c1/2,0)))/INDEX(lk_legs,4))-(((((2*IF(circ_int,0,eq_c2/2))+(PI()*(s_0+3*s_r+IF(circ_int,eq_c1/2,0))/2))+2*IF(circ_int,0,eq_c1/2))+(PI()*(s_0+3*s_r+IF(circ_int,eq_c1/2,0))/2))+2*IF(circ_int,0,eq_c2/2)))/(s_0+3*s_r+IF(circ_int,eq_c1/2,0))),IF(((30+0.5)*(4*IF(circ_int,0,eq_c1/2)+4*IF(circ_int,0,eq_c2/2)+2*PI()*(s_0+3*s_r+IF(circ_int,eq_c1/2,0)))/INDEX(lk_legs,4))&lt;(((((((2*IF(circ_int,0,eq_c2/2))+(PI()*(s_0+3*s_r+IF(circ_int,eq_c1/2,0))/2))+2*IF(circ_int,0,eq_c1/2))+(PI()*(s_0+3*s_r+IF(circ_int,eq_c1/2,0))/2))+2*IF(circ_int,0,eq_c2/2))+(PI()*(s_0+3*s_r+IF(circ_int,eq_c1/2,0))/2))+2*IF(circ_int,0,eq_c1/2)),-IF(circ_int,0,eq_c1/2)+(((30+0.5)*(4*IF(circ_int,0,eq_c1/2)+4*IF(circ_int,0,eq_c2/2)+2*PI()*(s_0+3*s_r+IF(circ_int,eq_c1/2,0)))/INDEX(lk_legs,4))-((((((2*IF(circ_int,0,eq_c2/2))+(PI()*(s_0+3*s_r+IF(circ_int,eq_c1/2,0))/2))+2*IF(circ_int,0,eq_c1/2))+(PI()*(s_0+3*s_r+IF(circ_int,eq_c1/2,0))/2))+2*IF(circ_int,0,eq_c2/2))+(PI()*(s_0+3*s_r+IF(circ_int,eq_c1/2,0))/2))),IF(circ_int,0,eq_c1/2)+(s_0+3*s_r+IF(circ_int,eq_c1/2,0))*COS(3*PI()/2+(((30+0.5)*(4*IF(circ_int,0,eq_c1/2)+4*IF(circ_int,0,eq_c2/2)+2*PI()*(s_0+3*s_r+IF(circ_int,eq_c1/2,0)))/INDEX(lk_legs,4))-(((((((2*IF(circ_int,0,eq_c2/2))+(PI()*(s_0+3*s_r+IF(circ_int,eq_c1/2,0))/2))+2*IF(circ_int,0,eq_c1/2))+(PI()*(s_0+3*s_r+IF(circ_int,eq_c1/2,0))/2))+2*IF(circ_int,0,eq_c2/2))+(PI()*(s_0+3*s_r+IF(circ_int,eq_c1/2,0))/2))+2*IF(circ_int,0,eq_c1/2)))/(s_0+3*s_r+IF(circ_int,eq_c1/2,0)))))))))),NA())</f>
        <v/>
      </c>
      <c r="BS33">
        <f>IF(AND(AND(links_on,4&lt;=n_per),INDEX(lk_kind,4)=1,30&lt;INDEX(lk_legs,4)),g_oy+IF(((30+0.5)*(4*IF(circ_int,0,eq_c1/2)+4*IF(circ_int,0,eq_c2/2)+2*PI()*(s_0+3*s_r+IF(circ_int,eq_c1/2,0)))/INDEX(lk_legs,4))&lt;(2*IF(circ_int,0,eq_c2/2)),-IF(circ_int,0,eq_c2/2)+((30+0.5)*(4*IF(circ_int,0,eq_c1/2)+4*IF(circ_int,0,eq_c2/2)+2*PI()*(s_0+3*s_r+IF(circ_int,eq_c1/2,0)))/INDEX(lk_legs,4)),IF(((30+0.5)*(4*IF(circ_int,0,eq_c1/2)+4*IF(circ_int,0,eq_c2/2)+2*PI()*(s_0+3*s_r+IF(circ_int,eq_c1/2,0)))/INDEX(lk_legs,4))&lt;((2*IF(circ_int,0,eq_c2/2))+(PI()*(s_0+3*s_r+IF(circ_int,eq_c1/2,0))/2)),IF(circ_int,0,eq_c2/2)+(s_0+3*s_r+IF(circ_int,eq_c1/2,0))*SIN((((30+0.5)*(4*IF(circ_int,0,eq_c1/2)+4*IF(circ_int,0,eq_c2/2)+2*PI()*(s_0+3*s_r+IF(circ_int,eq_c1/2,0)))/INDEX(lk_legs,4))-(2*IF(circ_int,0,eq_c2/2)))/(s_0+3*s_r+IF(circ_int,eq_c1/2,0))),IF(((30+0.5)*(4*IF(circ_int,0,eq_c1/2)+4*IF(circ_int,0,eq_c2/2)+2*PI()*(s_0+3*s_r+IF(circ_int,eq_c1/2,0)))/INDEX(lk_legs,4))&lt;(((2*IF(circ_int,0,eq_c2/2))+(PI()*(s_0+3*s_r+IF(circ_int,eq_c1/2,0))/2))+2*IF(circ_int,0,eq_c1/2)),IF(circ_int,0,eq_c2/2)+(s_0+3*s_r+IF(circ_int,eq_c1/2,0)),IF(((30+0.5)*(4*IF(circ_int,0,eq_c1/2)+4*IF(circ_int,0,eq_c2/2)+2*PI()*(s_0+3*s_r+IF(circ_int,eq_c1/2,0)))/INDEX(lk_legs,4))&lt;((((2*IF(circ_int,0,eq_c2/2))+(PI()*(s_0+3*s_r+IF(circ_int,eq_c1/2,0))/2))+2*IF(circ_int,0,eq_c1/2))+(PI()*(s_0+3*s_r+IF(circ_int,eq_c1/2,0))/2)),IF(circ_int,0,eq_c2/2)+(s_0+3*s_r+IF(circ_int,eq_c1/2,0))*SIN(PI()/2+(((30+0.5)*(4*IF(circ_int,0,eq_c1/2)+4*IF(circ_int,0,eq_c2/2)+2*PI()*(s_0+3*s_r+IF(circ_int,eq_c1/2,0)))/INDEX(lk_legs,4))-(((2*IF(circ_int,0,eq_c2/2))+(PI()*(s_0+3*s_r+IF(circ_int,eq_c1/2,0))/2))+2*IF(circ_int,0,eq_c1/2)))/(s_0+3*s_r+IF(circ_int,eq_c1/2,0))),IF(((30+0.5)*(4*IF(circ_int,0,eq_c1/2)+4*IF(circ_int,0,eq_c2/2)+2*PI()*(s_0+3*s_r+IF(circ_int,eq_c1/2,0)))/INDEX(lk_legs,4))&lt;(((((2*IF(circ_int,0,eq_c2/2))+(PI()*(s_0+3*s_r+IF(circ_int,eq_c1/2,0))/2))+2*IF(circ_int,0,eq_c1/2))+(PI()*(s_0+3*s_r+IF(circ_int,eq_c1/2,0))/2))+2*IF(circ_int,0,eq_c2/2)),IF(circ_int,0,eq_c2/2)-(((30+0.5)*(4*IF(circ_int,0,eq_c1/2)+4*IF(circ_int,0,eq_c2/2)+2*PI()*(s_0+3*s_r+IF(circ_int,eq_c1/2,0)))/INDEX(lk_legs,4))-((((2*IF(circ_int,0,eq_c2/2))+(PI()*(s_0+3*s_r+IF(circ_int,eq_c1/2,0))/2))+2*IF(circ_int,0,eq_c1/2))+(PI()*(s_0+3*s_r+IF(circ_int,eq_c1/2,0))/2))),IF(((30+0.5)*(4*IF(circ_int,0,eq_c1/2)+4*IF(circ_int,0,eq_c2/2)+2*PI()*(s_0+3*s_r+IF(circ_int,eq_c1/2,0)))/INDEX(lk_legs,4))&lt;((((((2*IF(circ_int,0,eq_c2/2))+(PI()*(s_0+3*s_r+IF(circ_int,eq_c1/2,0))/2))+2*IF(circ_int,0,eq_c1/2))+(PI()*(s_0+3*s_r+IF(circ_int,eq_c1/2,0))/2))+2*IF(circ_int,0,eq_c2/2))+(PI()*(s_0+3*s_r+IF(circ_int,eq_c1/2,0))/2)),-IF(circ_int,0,eq_c2/2)+(s_0+3*s_r+IF(circ_int,eq_c1/2,0))*SIN(PI()+(((30+0.5)*(4*IF(circ_int,0,eq_c1/2)+4*IF(circ_int,0,eq_c2/2)+2*PI()*(s_0+3*s_r+IF(circ_int,eq_c1/2,0)))/INDEX(lk_legs,4))-(((((2*IF(circ_int,0,eq_c2/2))+(PI()*(s_0+3*s_r+IF(circ_int,eq_c1/2,0))/2))+2*IF(circ_int,0,eq_c1/2))+(PI()*(s_0+3*s_r+IF(circ_int,eq_c1/2,0))/2))+2*IF(circ_int,0,eq_c2/2)))/(s_0+3*s_r+IF(circ_int,eq_c1/2,0))),IF(((30+0.5)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(30+0.5)*(4*IF(circ_int,0,eq_c1/2)+4*IF(circ_int,0,eq_c2/2)+2*PI()*(s_0+3*s_r+IF(circ_int,eq_c1/2,0)))/INDEX(lk_legs,4))-(((((((2*IF(circ_int,0,eq_c2/2))+(PI()*(s_0+3*s_r+IF(circ_int,eq_c1/2,0))/2))+2*IF(circ_int,0,eq_c1/2))+(PI()*(s_0+3*s_r+IF(circ_int,eq_c1/2,0))/2))+2*IF(circ_int,0,eq_c2/2))+(PI()*(s_0+3*s_r+IF(circ_int,eq_c1/2,0))/2))+2*IF(circ_int,0,eq_c1/2)))/(s_0+3*s_r+IF(circ_int,eq_c1/2,0)))))))))),NA())</f>
        <v/>
      </c>
      <c r="BU33">
        <f>IF(AND(links_on,5&lt;=n_per),IF(circ_int,(g_ox)+(c_1/2+(s_0+4*s_r))*-0.885456,CHOOSE(INDEX(lk_kind,5),(g_ox-eq_c1/2)+((s_0+4*s_r))*-0.866025,0,eq_a1+eq_c1+(s_0+4*s_r),eq_a1+eq_c1+(s_0+4*s_r))),NA())</f>
        <v/>
      </c>
      <c r="BV33">
        <f>IF(AND(links_on,5&lt;=n_per),IF(circ_int,(g_oy)+(c_1/2+(s_0+4*s_r))*-0.464723,CHOOSE(INDEX(lk_kind,5),(g_oy-eq_c2/2)+((s_0+4*s_r))*-0.500000,g_oy-eq_c2/2-(s_0+4*s_r),0,0)),NA())</f>
        <v/>
      </c>
      <c r="BX33">
        <f>IF(AND(AND(links_on,5&lt;=n_per),INDEX(lk_kind,5)=1,30&lt;INDEX(lk_legs,5)),g_ox+IF(((30+0.5)*(4*IF(circ_int,0,eq_c1/2)+4*IF(circ_int,0,eq_c2/2)+2*PI()*(s_0+4*s_r+IF(circ_int,eq_c1/2,0)))/INDEX(lk_legs,5))&lt;(2*IF(circ_int,0,eq_c2/2)),IF(circ_int,0,eq_c1/2)+(s_0+4*s_r+IF(circ_int,eq_c1/2,0)),IF(((30+0.5)*(4*IF(circ_int,0,eq_c1/2)+4*IF(circ_int,0,eq_c2/2)+2*PI()*(s_0+4*s_r+IF(circ_int,eq_c1/2,0)))/INDEX(lk_legs,5))&lt;((2*IF(circ_int,0,eq_c2/2))+(PI()*(s_0+4*s_r+IF(circ_int,eq_c1/2,0))/2)),IF(circ_int,0,eq_c1/2)+(s_0+4*s_r+IF(circ_int,eq_c1/2,0))*COS((((30+0.5)*(4*IF(circ_int,0,eq_c1/2)+4*IF(circ_int,0,eq_c2/2)+2*PI()*(s_0+4*s_r+IF(circ_int,eq_c1/2,0)))/INDEX(lk_legs,5))-(2*IF(circ_int,0,eq_c2/2)))/(s_0+4*s_r+IF(circ_int,eq_c1/2,0))),IF(((30+0.5)*(4*IF(circ_int,0,eq_c1/2)+4*IF(circ_int,0,eq_c2/2)+2*PI()*(s_0+4*s_r+IF(circ_int,eq_c1/2,0)))/INDEX(lk_legs,5))&lt;(((2*IF(circ_int,0,eq_c2/2))+(PI()*(s_0+4*s_r+IF(circ_int,eq_c1/2,0))/2))+2*IF(circ_int,0,eq_c1/2)),IF(circ_int,0,eq_c1/2)-(((30+0.5)*(4*IF(circ_int,0,eq_c1/2)+4*IF(circ_int,0,eq_c2/2)+2*PI()*(s_0+4*s_r+IF(circ_int,eq_c1/2,0)))/INDEX(lk_legs,5))-((2*IF(circ_int,0,eq_c2/2))+(PI()*(s_0+4*s_r+IF(circ_int,eq_c1/2,0))/2))),IF(((30+0.5)*(4*IF(circ_int,0,eq_c1/2)+4*IF(circ_int,0,eq_c2/2)+2*PI()*(s_0+4*s_r+IF(circ_int,eq_c1/2,0)))/INDEX(lk_legs,5))&lt;((((2*IF(circ_int,0,eq_c2/2))+(PI()*(s_0+4*s_r+IF(circ_int,eq_c1/2,0))/2))+2*IF(circ_int,0,eq_c1/2))+(PI()*(s_0+4*s_r+IF(circ_int,eq_c1/2,0))/2)),-IF(circ_int,0,eq_c1/2)+(s_0+4*s_r+IF(circ_int,eq_c1/2,0))*COS(PI()/2+(((30+0.5)*(4*IF(circ_int,0,eq_c1/2)+4*IF(circ_int,0,eq_c2/2)+2*PI()*(s_0+4*s_r+IF(circ_int,eq_c1/2,0)))/INDEX(lk_legs,5))-(((2*IF(circ_int,0,eq_c2/2))+(PI()*(s_0+4*s_r+IF(circ_int,eq_c1/2,0))/2))+2*IF(circ_int,0,eq_c1/2)))/(s_0+4*s_r+IF(circ_int,eq_c1/2,0))),IF(((30+0.5)*(4*IF(circ_int,0,eq_c1/2)+4*IF(circ_int,0,eq_c2/2)+2*PI()*(s_0+4*s_r+IF(circ_int,eq_c1/2,0)))/INDEX(lk_legs,5))&lt;(((((2*IF(circ_int,0,eq_c2/2))+(PI()*(s_0+4*s_r+IF(circ_int,eq_c1/2,0))/2))+2*IF(circ_int,0,eq_c1/2))+(PI()*(s_0+4*s_r+IF(circ_int,eq_c1/2,0))/2))+2*IF(circ_int,0,eq_c2/2)),-IF(circ_int,0,eq_c1/2)-(s_0+4*s_r+IF(circ_int,eq_c1/2,0)),IF(((30+0.5)*(4*IF(circ_int,0,eq_c1/2)+4*IF(circ_int,0,eq_c2/2)+2*PI()*(s_0+4*s_r+IF(circ_int,eq_c1/2,0)))/INDEX(lk_legs,5))&lt;((((((2*IF(circ_int,0,eq_c2/2))+(PI()*(s_0+4*s_r+IF(circ_int,eq_c1/2,0))/2))+2*IF(circ_int,0,eq_c1/2))+(PI()*(s_0+4*s_r+IF(circ_int,eq_c1/2,0))/2))+2*IF(circ_int,0,eq_c2/2))+(PI()*(s_0+4*s_r+IF(circ_int,eq_c1/2,0))/2)),-IF(circ_int,0,eq_c1/2)+(s_0+4*s_r+IF(circ_int,eq_c1/2,0))*COS(PI()+(((30+0.5)*(4*IF(circ_int,0,eq_c1/2)+4*IF(circ_int,0,eq_c2/2)+2*PI()*(s_0+4*s_r+IF(circ_int,eq_c1/2,0)))/INDEX(lk_legs,5))-(((((2*IF(circ_int,0,eq_c2/2))+(PI()*(s_0+4*s_r+IF(circ_int,eq_c1/2,0))/2))+2*IF(circ_int,0,eq_c1/2))+(PI()*(s_0+4*s_r+IF(circ_int,eq_c1/2,0))/2))+2*IF(circ_int,0,eq_c2/2)))/(s_0+4*s_r+IF(circ_int,eq_c1/2,0))),IF(((30+0.5)*(4*IF(circ_int,0,eq_c1/2)+4*IF(circ_int,0,eq_c2/2)+2*PI()*(s_0+4*s_r+IF(circ_int,eq_c1/2,0)))/INDEX(lk_legs,5))&lt;(((((((2*IF(circ_int,0,eq_c2/2))+(PI()*(s_0+4*s_r+IF(circ_int,eq_c1/2,0))/2))+2*IF(circ_int,0,eq_c1/2))+(PI()*(s_0+4*s_r+IF(circ_int,eq_c1/2,0))/2))+2*IF(circ_int,0,eq_c2/2))+(PI()*(s_0+4*s_r+IF(circ_int,eq_c1/2,0))/2))+2*IF(circ_int,0,eq_c1/2)),-IF(circ_int,0,eq_c1/2)+(((30+0.5)*(4*IF(circ_int,0,eq_c1/2)+4*IF(circ_int,0,eq_c2/2)+2*PI()*(s_0+4*s_r+IF(circ_int,eq_c1/2,0)))/INDEX(lk_legs,5))-((((((2*IF(circ_int,0,eq_c2/2))+(PI()*(s_0+4*s_r+IF(circ_int,eq_c1/2,0))/2))+2*IF(circ_int,0,eq_c1/2))+(PI()*(s_0+4*s_r+IF(circ_int,eq_c1/2,0))/2))+2*IF(circ_int,0,eq_c2/2))+(PI()*(s_0+4*s_r+IF(circ_int,eq_c1/2,0))/2))),IF(circ_int,0,eq_c1/2)+(s_0+4*s_r+IF(circ_int,eq_c1/2,0))*COS(3*PI()/2+(((30+0.5)*(4*IF(circ_int,0,eq_c1/2)+4*IF(circ_int,0,eq_c2/2)+2*PI()*(s_0+4*s_r+IF(circ_int,eq_c1/2,0)))/INDEX(lk_legs,5))-(((((((2*IF(circ_int,0,eq_c2/2))+(PI()*(s_0+4*s_r+IF(circ_int,eq_c1/2,0))/2))+2*IF(circ_int,0,eq_c1/2))+(PI()*(s_0+4*s_r+IF(circ_int,eq_c1/2,0))/2))+2*IF(circ_int,0,eq_c2/2))+(PI()*(s_0+4*s_r+IF(circ_int,eq_c1/2,0))/2))+2*IF(circ_int,0,eq_c1/2)))/(s_0+4*s_r+IF(circ_int,eq_c1/2,0)))))))))),NA())</f>
        <v/>
      </c>
      <c r="BY33">
        <f>IF(AND(AND(links_on,5&lt;=n_per),INDEX(lk_kind,5)=1,30&lt;INDEX(lk_legs,5)),g_oy+IF(((30+0.5)*(4*IF(circ_int,0,eq_c1/2)+4*IF(circ_int,0,eq_c2/2)+2*PI()*(s_0+4*s_r+IF(circ_int,eq_c1/2,0)))/INDEX(lk_legs,5))&lt;(2*IF(circ_int,0,eq_c2/2)),-IF(circ_int,0,eq_c2/2)+((30+0.5)*(4*IF(circ_int,0,eq_c1/2)+4*IF(circ_int,0,eq_c2/2)+2*PI()*(s_0+4*s_r+IF(circ_int,eq_c1/2,0)))/INDEX(lk_legs,5)),IF(((30+0.5)*(4*IF(circ_int,0,eq_c1/2)+4*IF(circ_int,0,eq_c2/2)+2*PI()*(s_0+4*s_r+IF(circ_int,eq_c1/2,0)))/INDEX(lk_legs,5))&lt;((2*IF(circ_int,0,eq_c2/2))+(PI()*(s_0+4*s_r+IF(circ_int,eq_c1/2,0))/2)),IF(circ_int,0,eq_c2/2)+(s_0+4*s_r+IF(circ_int,eq_c1/2,0))*SIN((((30+0.5)*(4*IF(circ_int,0,eq_c1/2)+4*IF(circ_int,0,eq_c2/2)+2*PI()*(s_0+4*s_r+IF(circ_int,eq_c1/2,0)))/INDEX(lk_legs,5))-(2*IF(circ_int,0,eq_c2/2)))/(s_0+4*s_r+IF(circ_int,eq_c1/2,0))),IF(((30+0.5)*(4*IF(circ_int,0,eq_c1/2)+4*IF(circ_int,0,eq_c2/2)+2*PI()*(s_0+4*s_r+IF(circ_int,eq_c1/2,0)))/INDEX(lk_legs,5))&lt;(((2*IF(circ_int,0,eq_c2/2))+(PI()*(s_0+4*s_r+IF(circ_int,eq_c1/2,0))/2))+2*IF(circ_int,0,eq_c1/2)),IF(circ_int,0,eq_c2/2)+(s_0+4*s_r+IF(circ_int,eq_c1/2,0)),IF(((30+0.5)*(4*IF(circ_int,0,eq_c1/2)+4*IF(circ_int,0,eq_c2/2)+2*PI()*(s_0+4*s_r+IF(circ_int,eq_c1/2,0)))/INDEX(lk_legs,5))&lt;((((2*IF(circ_int,0,eq_c2/2))+(PI()*(s_0+4*s_r+IF(circ_int,eq_c1/2,0))/2))+2*IF(circ_int,0,eq_c1/2))+(PI()*(s_0+4*s_r+IF(circ_int,eq_c1/2,0))/2)),IF(circ_int,0,eq_c2/2)+(s_0+4*s_r+IF(circ_int,eq_c1/2,0))*SIN(PI()/2+(((30+0.5)*(4*IF(circ_int,0,eq_c1/2)+4*IF(circ_int,0,eq_c2/2)+2*PI()*(s_0+4*s_r+IF(circ_int,eq_c1/2,0)))/INDEX(lk_legs,5))-(((2*IF(circ_int,0,eq_c2/2))+(PI()*(s_0+4*s_r+IF(circ_int,eq_c1/2,0))/2))+2*IF(circ_int,0,eq_c1/2)))/(s_0+4*s_r+IF(circ_int,eq_c1/2,0))),IF(((30+0.5)*(4*IF(circ_int,0,eq_c1/2)+4*IF(circ_int,0,eq_c2/2)+2*PI()*(s_0+4*s_r+IF(circ_int,eq_c1/2,0)))/INDEX(lk_legs,5))&lt;(((((2*IF(circ_int,0,eq_c2/2))+(PI()*(s_0+4*s_r+IF(circ_int,eq_c1/2,0))/2))+2*IF(circ_int,0,eq_c1/2))+(PI()*(s_0+4*s_r+IF(circ_int,eq_c1/2,0))/2))+2*IF(circ_int,0,eq_c2/2)),IF(circ_int,0,eq_c2/2)-(((30+0.5)*(4*IF(circ_int,0,eq_c1/2)+4*IF(circ_int,0,eq_c2/2)+2*PI()*(s_0+4*s_r+IF(circ_int,eq_c1/2,0)))/INDEX(lk_legs,5))-((((2*IF(circ_int,0,eq_c2/2))+(PI()*(s_0+4*s_r+IF(circ_int,eq_c1/2,0))/2))+2*IF(circ_int,0,eq_c1/2))+(PI()*(s_0+4*s_r+IF(circ_int,eq_c1/2,0))/2))),IF(((30+0.5)*(4*IF(circ_int,0,eq_c1/2)+4*IF(circ_int,0,eq_c2/2)+2*PI()*(s_0+4*s_r+IF(circ_int,eq_c1/2,0)))/INDEX(lk_legs,5))&lt;((((((2*IF(circ_int,0,eq_c2/2))+(PI()*(s_0+4*s_r+IF(circ_int,eq_c1/2,0))/2))+2*IF(circ_int,0,eq_c1/2))+(PI()*(s_0+4*s_r+IF(circ_int,eq_c1/2,0))/2))+2*IF(circ_int,0,eq_c2/2))+(PI()*(s_0+4*s_r+IF(circ_int,eq_c1/2,0))/2)),-IF(circ_int,0,eq_c2/2)+(s_0+4*s_r+IF(circ_int,eq_c1/2,0))*SIN(PI()+(((30+0.5)*(4*IF(circ_int,0,eq_c1/2)+4*IF(circ_int,0,eq_c2/2)+2*PI()*(s_0+4*s_r+IF(circ_int,eq_c1/2,0)))/INDEX(lk_legs,5))-(((((2*IF(circ_int,0,eq_c2/2))+(PI()*(s_0+4*s_r+IF(circ_int,eq_c1/2,0))/2))+2*IF(circ_int,0,eq_c1/2))+(PI()*(s_0+4*s_r+IF(circ_int,eq_c1/2,0))/2))+2*IF(circ_int,0,eq_c2/2)))/(s_0+4*s_r+IF(circ_int,eq_c1/2,0))),IF(((30+0.5)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(30+0.5)*(4*IF(circ_int,0,eq_c1/2)+4*IF(circ_int,0,eq_c2/2)+2*PI()*(s_0+4*s_r+IF(circ_int,eq_c1/2,0)))/INDEX(lk_legs,5))-(((((((2*IF(circ_int,0,eq_c2/2))+(PI()*(s_0+4*s_r+IF(circ_int,eq_c1/2,0))/2))+2*IF(circ_int,0,eq_c1/2))+(PI()*(s_0+4*s_r+IF(circ_int,eq_c1/2,0))/2))+2*IF(circ_int,0,eq_c2/2))+(PI()*(s_0+4*s_r+IF(circ_int,eq_c1/2,0))/2))+2*IF(circ_int,0,eq_c1/2)))/(s_0+4*s_r+IF(circ_int,eq_c1/2,0)))))))))),NA())</f>
        <v/>
      </c>
      <c r="CA33">
        <f>IF(AND(links_on,6&lt;=n_per),IF(circ_int,(g_ox)+(c_1/2+(s_0+5*s_r))*-0.885456,CHOOSE(INDEX(lk_kind,6),(g_ox-eq_c1/2)+((s_0+5*s_r))*-0.866025,0,eq_a1+eq_c1+(s_0+5*s_r),eq_a1+eq_c1+(s_0+5*s_r))),NA())</f>
        <v/>
      </c>
      <c r="CB33">
        <f>IF(AND(links_on,6&lt;=n_per),IF(circ_int,(g_oy)+(c_1/2+(s_0+5*s_r))*-0.464723,CHOOSE(INDEX(lk_kind,6),(g_oy-eq_c2/2)+((s_0+5*s_r))*-0.500000,g_oy-eq_c2/2-(s_0+5*s_r),0,0)),NA())</f>
        <v/>
      </c>
      <c r="CD33">
        <f>IF(AND(AND(links_on,6&lt;=n_per),INDEX(lk_kind,6)=1,30&lt;INDEX(lk_legs,6)),g_ox+IF(((30+0.5)*(4*IF(circ_int,0,eq_c1/2)+4*IF(circ_int,0,eq_c2/2)+2*PI()*(s_0+5*s_r+IF(circ_int,eq_c1/2,0)))/INDEX(lk_legs,6))&lt;(2*IF(circ_int,0,eq_c2/2)),IF(circ_int,0,eq_c1/2)+(s_0+5*s_r+IF(circ_int,eq_c1/2,0)),IF(((30+0.5)*(4*IF(circ_int,0,eq_c1/2)+4*IF(circ_int,0,eq_c2/2)+2*PI()*(s_0+5*s_r+IF(circ_int,eq_c1/2,0)))/INDEX(lk_legs,6))&lt;((2*IF(circ_int,0,eq_c2/2))+(PI()*(s_0+5*s_r+IF(circ_int,eq_c1/2,0))/2)),IF(circ_int,0,eq_c1/2)+(s_0+5*s_r+IF(circ_int,eq_c1/2,0))*COS((((30+0.5)*(4*IF(circ_int,0,eq_c1/2)+4*IF(circ_int,0,eq_c2/2)+2*PI()*(s_0+5*s_r+IF(circ_int,eq_c1/2,0)))/INDEX(lk_legs,6))-(2*IF(circ_int,0,eq_c2/2)))/(s_0+5*s_r+IF(circ_int,eq_c1/2,0))),IF(((30+0.5)*(4*IF(circ_int,0,eq_c1/2)+4*IF(circ_int,0,eq_c2/2)+2*PI()*(s_0+5*s_r+IF(circ_int,eq_c1/2,0)))/INDEX(lk_legs,6))&lt;(((2*IF(circ_int,0,eq_c2/2))+(PI()*(s_0+5*s_r+IF(circ_int,eq_c1/2,0))/2))+2*IF(circ_int,0,eq_c1/2)),IF(circ_int,0,eq_c1/2)-(((30+0.5)*(4*IF(circ_int,0,eq_c1/2)+4*IF(circ_int,0,eq_c2/2)+2*PI()*(s_0+5*s_r+IF(circ_int,eq_c1/2,0)))/INDEX(lk_legs,6))-((2*IF(circ_int,0,eq_c2/2))+(PI()*(s_0+5*s_r+IF(circ_int,eq_c1/2,0))/2))),IF(((30+0.5)*(4*IF(circ_int,0,eq_c1/2)+4*IF(circ_int,0,eq_c2/2)+2*PI()*(s_0+5*s_r+IF(circ_int,eq_c1/2,0)))/INDEX(lk_legs,6))&lt;((((2*IF(circ_int,0,eq_c2/2))+(PI()*(s_0+5*s_r+IF(circ_int,eq_c1/2,0))/2))+2*IF(circ_int,0,eq_c1/2))+(PI()*(s_0+5*s_r+IF(circ_int,eq_c1/2,0))/2)),-IF(circ_int,0,eq_c1/2)+(s_0+5*s_r+IF(circ_int,eq_c1/2,0))*COS(PI()/2+(((30+0.5)*(4*IF(circ_int,0,eq_c1/2)+4*IF(circ_int,0,eq_c2/2)+2*PI()*(s_0+5*s_r+IF(circ_int,eq_c1/2,0)))/INDEX(lk_legs,6))-(((2*IF(circ_int,0,eq_c2/2))+(PI()*(s_0+5*s_r+IF(circ_int,eq_c1/2,0))/2))+2*IF(circ_int,0,eq_c1/2)))/(s_0+5*s_r+IF(circ_int,eq_c1/2,0))),IF(((30+0.5)*(4*IF(circ_int,0,eq_c1/2)+4*IF(circ_int,0,eq_c2/2)+2*PI()*(s_0+5*s_r+IF(circ_int,eq_c1/2,0)))/INDEX(lk_legs,6))&lt;(((((2*IF(circ_int,0,eq_c2/2))+(PI()*(s_0+5*s_r+IF(circ_int,eq_c1/2,0))/2))+2*IF(circ_int,0,eq_c1/2))+(PI()*(s_0+5*s_r+IF(circ_int,eq_c1/2,0))/2))+2*IF(circ_int,0,eq_c2/2)),-IF(circ_int,0,eq_c1/2)-(s_0+5*s_r+IF(circ_int,eq_c1/2,0)),IF(((30+0.5)*(4*IF(circ_int,0,eq_c1/2)+4*IF(circ_int,0,eq_c2/2)+2*PI()*(s_0+5*s_r+IF(circ_int,eq_c1/2,0)))/INDEX(lk_legs,6))&lt;((((((2*IF(circ_int,0,eq_c2/2))+(PI()*(s_0+5*s_r+IF(circ_int,eq_c1/2,0))/2))+2*IF(circ_int,0,eq_c1/2))+(PI()*(s_0+5*s_r+IF(circ_int,eq_c1/2,0))/2))+2*IF(circ_int,0,eq_c2/2))+(PI()*(s_0+5*s_r+IF(circ_int,eq_c1/2,0))/2)),-IF(circ_int,0,eq_c1/2)+(s_0+5*s_r+IF(circ_int,eq_c1/2,0))*COS(PI()+(((30+0.5)*(4*IF(circ_int,0,eq_c1/2)+4*IF(circ_int,0,eq_c2/2)+2*PI()*(s_0+5*s_r+IF(circ_int,eq_c1/2,0)))/INDEX(lk_legs,6))-(((((2*IF(circ_int,0,eq_c2/2))+(PI()*(s_0+5*s_r+IF(circ_int,eq_c1/2,0))/2))+2*IF(circ_int,0,eq_c1/2))+(PI()*(s_0+5*s_r+IF(circ_int,eq_c1/2,0))/2))+2*IF(circ_int,0,eq_c2/2)))/(s_0+5*s_r+IF(circ_int,eq_c1/2,0))),IF(((30+0.5)*(4*IF(circ_int,0,eq_c1/2)+4*IF(circ_int,0,eq_c2/2)+2*PI()*(s_0+5*s_r+IF(circ_int,eq_c1/2,0)))/INDEX(lk_legs,6))&lt;(((((((2*IF(circ_int,0,eq_c2/2))+(PI()*(s_0+5*s_r+IF(circ_int,eq_c1/2,0))/2))+2*IF(circ_int,0,eq_c1/2))+(PI()*(s_0+5*s_r+IF(circ_int,eq_c1/2,0))/2))+2*IF(circ_int,0,eq_c2/2))+(PI()*(s_0+5*s_r+IF(circ_int,eq_c1/2,0))/2))+2*IF(circ_int,0,eq_c1/2)),-IF(circ_int,0,eq_c1/2)+(((30+0.5)*(4*IF(circ_int,0,eq_c1/2)+4*IF(circ_int,0,eq_c2/2)+2*PI()*(s_0+5*s_r+IF(circ_int,eq_c1/2,0)))/INDEX(lk_legs,6))-((((((2*IF(circ_int,0,eq_c2/2))+(PI()*(s_0+5*s_r+IF(circ_int,eq_c1/2,0))/2))+2*IF(circ_int,0,eq_c1/2))+(PI()*(s_0+5*s_r+IF(circ_int,eq_c1/2,0))/2))+2*IF(circ_int,0,eq_c2/2))+(PI()*(s_0+5*s_r+IF(circ_int,eq_c1/2,0))/2))),IF(circ_int,0,eq_c1/2)+(s_0+5*s_r+IF(circ_int,eq_c1/2,0))*COS(3*PI()/2+(((30+0.5)*(4*IF(circ_int,0,eq_c1/2)+4*IF(circ_int,0,eq_c2/2)+2*PI()*(s_0+5*s_r+IF(circ_int,eq_c1/2,0)))/INDEX(lk_legs,6))-(((((((2*IF(circ_int,0,eq_c2/2))+(PI()*(s_0+5*s_r+IF(circ_int,eq_c1/2,0))/2))+2*IF(circ_int,0,eq_c1/2))+(PI()*(s_0+5*s_r+IF(circ_int,eq_c1/2,0))/2))+2*IF(circ_int,0,eq_c2/2))+(PI()*(s_0+5*s_r+IF(circ_int,eq_c1/2,0))/2))+2*IF(circ_int,0,eq_c1/2)))/(s_0+5*s_r+IF(circ_int,eq_c1/2,0)))))))))),NA())</f>
        <v/>
      </c>
      <c r="CE33">
        <f>IF(AND(AND(links_on,6&lt;=n_per),INDEX(lk_kind,6)=1,30&lt;INDEX(lk_legs,6)),g_oy+IF(((30+0.5)*(4*IF(circ_int,0,eq_c1/2)+4*IF(circ_int,0,eq_c2/2)+2*PI()*(s_0+5*s_r+IF(circ_int,eq_c1/2,0)))/INDEX(lk_legs,6))&lt;(2*IF(circ_int,0,eq_c2/2)),-IF(circ_int,0,eq_c2/2)+((30+0.5)*(4*IF(circ_int,0,eq_c1/2)+4*IF(circ_int,0,eq_c2/2)+2*PI()*(s_0+5*s_r+IF(circ_int,eq_c1/2,0)))/INDEX(lk_legs,6)),IF(((30+0.5)*(4*IF(circ_int,0,eq_c1/2)+4*IF(circ_int,0,eq_c2/2)+2*PI()*(s_0+5*s_r+IF(circ_int,eq_c1/2,0)))/INDEX(lk_legs,6))&lt;((2*IF(circ_int,0,eq_c2/2))+(PI()*(s_0+5*s_r+IF(circ_int,eq_c1/2,0))/2)),IF(circ_int,0,eq_c2/2)+(s_0+5*s_r+IF(circ_int,eq_c1/2,0))*SIN((((30+0.5)*(4*IF(circ_int,0,eq_c1/2)+4*IF(circ_int,0,eq_c2/2)+2*PI()*(s_0+5*s_r+IF(circ_int,eq_c1/2,0)))/INDEX(lk_legs,6))-(2*IF(circ_int,0,eq_c2/2)))/(s_0+5*s_r+IF(circ_int,eq_c1/2,0))),IF(((30+0.5)*(4*IF(circ_int,0,eq_c1/2)+4*IF(circ_int,0,eq_c2/2)+2*PI()*(s_0+5*s_r+IF(circ_int,eq_c1/2,0)))/INDEX(lk_legs,6))&lt;(((2*IF(circ_int,0,eq_c2/2))+(PI()*(s_0+5*s_r+IF(circ_int,eq_c1/2,0))/2))+2*IF(circ_int,0,eq_c1/2)),IF(circ_int,0,eq_c2/2)+(s_0+5*s_r+IF(circ_int,eq_c1/2,0)),IF(((30+0.5)*(4*IF(circ_int,0,eq_c1/2)+4*IF(circ_int,0,eq_c2/2)+2*PI()*(s_0+5*s_r+IF(circ_int,eq_c1/2,0)))/INDEX(lk_legs,6))&lt;((((2*IF(circ_int,0,eq_c2/2))+(PI()*(s_0+5*s_r+IF(circ_int,eq_c1/2,0))/2))+2*IF(circ_int,0,eq_c1/2))+(PI()*(s_0+5*s_r+IF(circ_int,eq_c1/2,0))/2)),IF(circ_int,0,eq_c2/2)+(s_0+5*s_r+IF(circ_int,eq_c1/2,0))*SIN(PI()/2+(((30+0.5)*(4*IF(circ_int,0,eq_c1/2)+4*IF(circ_int,0,eq_c2/2)+2*PI()*(s_0+5*s_r+IF(circ_int,eq_c1/2,0)))/INDEX(lk_legs,6))-(((2*IF(circ_int,0,eq_c2/2))+(PI()*(s_0+5*s_r+IF(circ_int,eq_c1/2,0))/2))+2*IF(circ_int,0,eq_c1/2)))/(s_0+5*s_r+IF(circ_int,eq_c1/2,0))),IF(((30+0.5)*(4*IF(circ_int,0,eq_c1/2)+4*IF(circ_int,0,eq_c2/2)+2*PI()*(s_0+5*s_r+IF(circ_int,eq_c1/2,0)))/INDEX(lk_legs,6))&lt;(((((2*IF(circ_int,0,eq_c2/2))+(PI()*(s_0+5*s_r+IF(circ_int,eq_c1/2,0))/2))+2*IF(circ_int,0,eq_c1/2))+(PI()*(s_0+5*s_r+IF(circ_int,eq_c1/2,0))/2))+2*IF(circ_int,0,eq_c2/2)),IF(circ_int,0,eq_c2/2)-(((30+0.5)*(4*IF(circ_int,0,eq_c1/2)+4*IF(circ_int,0,eq_c2/2)+2*PI()*(s_0+5*s_r+IF(circ_int,eq_c1/2,0)))/INDEX(lk_legs,6))-((((2*IF(circ_int,0,eq_c2/2))+(PI()*(s_0+5*s_r+IF(circ_int,eq_c1/2,0))/2))+2*IF(circ_int,0,eq_c1/2))+(PI()*(s_0+5*s_r+IF(circ_int,eq_c1/2,0))/2))),IF(((30+0.5)*(4*IF(circ_int,0,eq_c1/2)+4*IF(circ_int,0,eq_c2/2)+2*PI()*(s_0+5*s_r+IF(circ_int,eq_c1/2,0)))/INDEX(lk_legs,6))&lt;((((((2*IF(circ_int,0,eq_c2/2))+(PI()*(s_0+5*s_r+IF(circ_int,eq_c1/2,0))/2))+2*IF(circ_int,0,eq_c1/2))+(PI()*(s_0+5*s_r+IF(circ_int,eq_c1/2,0))/2))+2*IF(circ_int,0,eq_c2/2))+(PI()*(s_0+5*s_r+IF(circ_int,eq_c1/2,0))/2)),-IF(circ_int,0,eq_c2/2)+(s_0+5*s_r+IF(circ_int,eq_c1/2,0))*SIN(PI()+(((30+0.5)*(4*IF(circ_int,0,eq_c1/2)+4*IF(circ_int,0,eq_c2/2)+2*PI()*(s_0+5*s_r+IF(circ_int,eq_c1/2,0)))/INDEX(lk_legs,6))-(((((2*IF(circ_int,0,eq_c2/2))+(PI()*(s_0+5*s_r+IF(circ_int,eq_c1/2,0))/2))+2*IF(circ_int,0,eq_c1/2))+(PI()*(s_0+5*s_r+IF(circ_int,eq_c1/2,0))/2))+2*IF(circ_int,0,eq_c2/2)))/(s_0+5*s_r+IF(circ_int,eq_c1/2,0))),IF(((30+0.5)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(30+0.5)*(4*IF(circ_int,0,eq_c1/2)+4*IF(circ_int,0,eq_c2/2)+2*PI()*(s_0+5*s_r+IF(circ_int,eq_c1/2,0)))/INDEX(lk_legs,6))-(((((((2*IF(circ_int,0,eq_c2/2))+(PI()*(s_0+5*s_r+IF(circ_int,eq_c1/2,0))/2))+2*IF(circ_int,0,eq_c1/2))+(PI()*(s_0+5*s_r+IF(circ_int,eq_c1/2,0))/2))+2*IF(circ_int,0,eq_c2/2))+(PI()*(s_0+5*s_r+IF(circ_int,eq_c1/2,0))/2))+2*IF(circ_int,0,eq_c1/2)))/(s_0+5*s_r+IF(circ_int,eq_c1/2,0)))))))))),NA())</f>
        <v/>
      </c>
      <c r="CG33">
        <f>IF(AND(links_on,7&lt;=n_per),IF(circ_int,(g_ox)+(c_1/2+(s_0+6*s_r))*-0.885456,CHOOSE(INDEX(lk_kind,7),(g_ox-eq_c1/2)+((s_0+6*s_r))*-0.866025,0,eq_a1+eq_c1+(s_0+6*s_r),eq_a1+eq_c1+(s_0+6*s_r))),NA())</f>
        <v/>
      </c>
      <c r="CH33">
        <f>IF(AND(links_on,7&lt;=n_per),IF(circ_int,(g_oy)+(c_1/2+(s_0+6*s_r))*-0.464723,CHOOSE(INDEX(lk_kind,7),(g_oy-eq_c2/2)+((s_0+6*s_r))*-0.500000,g_oy-eq_c2/2-(s_0+6*s_r),0,0)),NA())</f>
        <v/>
      </c>
      <c r="CJ33">
        <f>IF(AND(AND(links_on,7&lt;=n_per),INDEX(lk_kind,7)=1,30&lt;INDEX(lk_legs,7)),g_ox+IF(((30+0.5)*(4*IF(circ_int,0,eq_c1/2)+4*IF(circ_int,0,eq_c2/2)+2*PI()*(s_0+6*s_r+IF(circ_int,eq_c1/2,0)))/INDEX(lk_legs,7))&lt;(2*IF(circ_int,0,eq_c2/2)),IF(circ_int,0,eq_c1/2)+(s_0+6*s_r+IF(circ_int,eq_c1/2,0)),IF(((30+0.5)*(4*IF(circ_int,0,eq_c1/2)+4*IF(circ_int,0,eq_c2/2)+2*PI()*(s_0+6*s_r+IF(circ_int,eq_c1/2,0)))/INDEX(lk_legs,7))&lt;((2*IF(circ_int,0,eq_c2/2))+(PI()*(s_0+6*s_r+IF(circ_int,eq_c1/2,0))/2)),IF(circ_int,0,eq_c1/2)+(s_0+6*s_r+IF(circ_int,eq_c1/2,0))*COS((((30+0.5)*(4*IF(circ_int,0,eq_c1/2)+4*IF(circ_int,0,eq_c2/2)+2*PI()*(s_0+6*s_r+IF(circ_int,eq_c1/2,0)))/INDEX(lk_legs,7))-(2*IF(circ_int,0,eq_c2/2)))/(s_0+6*s_r+IF(circ_int,eq_c1/2,0))),IF(((30+0.5)*(4*IF(circ_int,0,eq_c1/2)+4*IF(circ_int,0,eq_c2/2)+2*PI()*(s_0+6*s_r+IF(circ_int,eq_c1/2,0)))/INDEX(lk_legs,7))&lt;(((2*IF(circ_int,0,eq_c2/2))+(PI()*(s_0+6*s_r+IF(circ_int,eq_c1/2,0))/2))+2*IF(circ_int,0,eq_c1/2)),IF(circ_int,0,eq_c1/2)-(((30+0.5)*(4*IF(circ_int,0,eq_c1/2)+4*IF(circ_int,0,eq_c2/2)+2*PI()*(s_0+6*s_r+IF(circ_int,eq_c1/2,0)))/INDEX(lk_legs,7))-((2*IF(circ_int,0,eq_c2/2))+(PI()*(s_0+6*s_r+IF(circ_int,eq_c1/2,0))/2))),IF(((30+0.5)*(4*IF(circ_int,0,eq_c1/2)+4*IF(circ_int,0,eq_c2/2)+2*PI()*(s_0+6*s_r+IF(circ_int,eq_c1/2,0)))/INDEX(lk_legs,7))&lt;((((2*IF(circ_int,0,eq_c2/2))+(PI()*(s_0+6*s_r+IF(circ_int,eq_c1/2,0))/2))+2*IF(circ_int,0,eq_c1/2))+(PI()*(s_0+6*s_r+IF(circ_int,eq_c1/2,0))/2)),-IF(circ_int,0,eq_c1/2)+(s_0+6*s_r+IF(circ_int,eq_c1/2,0))*COS(PI()/2+(((30+0.5)*(4*IF(circ_int,0,eq_c1/2)+4*IF(circ_int,0,eq_c2/2)+2*PI()*(s_0+6*s_r+IF(circ_int,eq_c1/2,0)))/INDEX(lk_legs,7))-(((2*IF(circ_int,0,eq_c2/2))+(PI()*(s_0+6*s_r+IF(circ_int,eq_c1/2,0))/2))+2*IF(circ_int,0,eq_c1/2)))/(s_0+6*s_r+IF(circ_int,eq_c1/2,0))),IF(((30+0.5)*(4*IF(circ_int,0,eq_c1/2)+4*IF(circ_int,0,eq_c2/2)+2*PI()*(s_0+6*s_r+IF(circ_int,eq_c1/2,0)))/INDEX(lk_legs,7))&lt;(((((2*IF(circ_int,0,eq_c2/2))+(PI()*(s_0+6*s_r+IF(circ_int,eq_c1/2,0))/2))+2*IF(circ_int,0,eq_c1/2))+(PI()*(s_0+6*s_r+IF(circ_int,eq_c1/2,0))/2))+2*IF(circ_int,0,eq_c2/2)),-IF(circ_int,0,eq_c1/2)-(s_0+6*s_r+IF(circ_int,eq_c1/2,0)),IF(((30+0.5)*(4*IF(circ_int,0,eq_c1/2)+4*IF(circ_int,0,eq_c2/2)+2*PI()*(s_0+6*s_r+IF(circ_int,eq_c1/2,0)))/INDEX(lk_legs,7))&lt;((((((2*IF(circ_int,0,eq_c2/2))+(PI()*(s_0+6*s_r+IF(circ_int,eq_c1/2,0))/2))+2*IF(circ_int,0,eq_c1/2))+(PI()*(s_0+6*s_r+IF(circ_int,eq_c1/2,0))/2))+2*IF(circ_int,0,eq_c2/2))+(PI()*(s_0+6*s_r+IF(circ_int,eq_c1/2,0))/2)),-IF(circ_int,0,eq_c1/2)+(s_0+6*s_r+IF(circ_int,eq_c1/2,0))*COS(PI()+(((30+0.5)*(4*IF(circ_int,0,eq_c1/2)+4*IF(circ_int,0,eq_c2/2)+2*PI()*(s_0+6*s_r+IF(circ_int,eq_c1/2,0)))/INDEX(lk_legs,7))-(((((2*IF(circ_int,0,eq_c2/2))+(PI()*(s_0+6*s_r+IF(circ_int,eq_c1/2,0))/2))+2*IF(circ_int,0,eq_c1/2))+(PI()*(s_0+6*s_r+IF(circ_int,eq_c1/2,0))/2))+2*IF(circ_int,0,eq_c2/2)))/(s_0+6*s_r+IF(circ_int,eq_c1/2,0))),IF(((30+0.5)*(4*IF(circ_int,0,eq_c1/2)+4*IF(circ_int,0,eq_c2/2)+2*PI()*(s_0+6*s_r+IF(circ_int,eq_c1/2,0)))/INDEX(lk_legs,7))&lt;(((((((2*IF(circ_int,0,eq_c2/2))+(PI()*(s_0+6*s_r+IF(circ_int,eq_c1/2,0))/2))+2*IF(circ_int,0,eq_c1/2))+(PI()*(s_0+6*s_r+IF(circ_int,eq_c1/2,0))/2))+2*IF(circ_int,0,eq_c2/2))+(PI()*(s_0+6*s_r+IF(circ_int,eq_c1/2,0))/2))+2*IF(circ_int,0,eq_c1/2)),-IF(circ_int,0,eq_c1/2)+(((30+0.5)*(4*IF(circ_int,0,eq_c1/2)+4*IF(circ_int,0,eq_c2/2)+2*PI()*(s_0+6*s_r+IF(circ_int,eq_c1/2,0)))/INDEX(lk_legs,7))-((((((2*IF(circ_int,0,eq_c2/2))+(PI()*(s_0+6*s_r+IF(circ_int,eq_c1/2,0))/2))+2*IF(circ_int,0,eq_c1/2))+(PI()*(s_0+6*s_r+IF(circ_int,eq_c1/2,0))/2))+2*IF(circ_int,0,eq_c2/2))+(PI()*(s_0+6*s_r+IF(circ_int,eq_c1/2,0))/2))),IF(circ_int,0,eq_c1/2)+(s_0+6*s_r+IF(circ_int,eq_c1/2,0))*COS(3*PI()/2+(((30+0.5)*(4*IF(circ_int,0,eq_c1/2)+4*IF(circ_int,0,eq_c2/2)+2*PI()*(s_0+6*s_r+IF(circ_int,eq_c1/2,0)))/INDEX(lk_legs,7))-(((((((2*IF(circ_int,0,eq_c2/2))+(PI()*(s_0+6*s_r+IF(circ_int,eq_c1/2,0))/2))+2*IF(circ_int,0,eq_c1/2))+(PI()*(s_0+6*s_r+IF(circ_int,eq_c1/2,0))/2))+2*IF(circ_int,0,eq_c2/2))+(PI()*(s_0+6*s_r+IF(circ_int,eq_c1/2,0))/2))+2*IF(circ_int,0,eq_c1/2)))/(s_0+6*s_r+IF(circ_int,eq_c1/2,0)))))))))),NA())</f>
        <v/>
      </c>
      <c r="CK33">
        <f>IF(AND(AND(links_on,7&lt;=n_per),INDEX(lk_kind,7)=1,30&lt;INDEX(lk_legs,7)),g_oy+IF(((30+0.5)*(4*IF(circ_int,0,eq_c1/2)+4*IF(circ_int,0,eq_c2/2)+2*PI()*(s_0+6*s_r+IF(circ_int,eq_c1/2,0)))/INDEX(lk_legs,7))&lt;(2*IF(circ_int,0,eq_c2/2)),-IF(circ_int,0,eq_c2/2)+((30+0.5)*(4*IF(circ_int,0,eq_c1/2)+4*IF(circ_int,0,eq_c2/2)+2*PI()*(s_0+6*s_r+IF(circ_int,eq_c1/2,0)))/INDEX(lk_legs,7)),IF(((30+0.5)*(4*IF(circ_int,0,eq_c1/2)+4*IF(circ_int,0,eq_c2/2)+2*PI()*(s_0+6*s_r+IF(circ_int,eq_c1/2,0)))/INDEX(lk_legs,7))&lt;((2*IF(circ_int,0,eq_c2/2))+(PI()*(s_0+6*s_r+IF(circ_int,eq_c1/2,0))/2)),IF(circ_int,0,eq_c2/2)+(s_0+6*s_r+IF(circ_int,eq_c1/2,0))*SIN((((30+0.5)*(4*IF(circ_int,0,eq_c1/2)+4*IF(circ_int,0,eq_c2/2)+2*PI()*(s_0+6*s_r+IF(circ_int,eq_c1/2,0)))/INDEX(lk_legs,7))-(2*IF(circ_int,0,eq_c2/2)))/(s_0+6*s_r+IF(circ_int,eq_c1/2,0))),IF(((30+0.5)*(4*IF(circ_int,0,eq_c1/2)+4*IF(circ_int,0,eq_c2/2)+2*PI()*(s_0+6*s_r+IF(circ_int,eq_c1/2,0)))/INDEX(lk_legs,7))&lt;(((2*IF(circ_int,0,eq_c2/2))+(PI()*(s_0+6*s_r+IF(circ_int,eq_c1/2,0))/2))+2*IF(circ_int,0,eq_c1/2)),IF(circ_int,0,eq_c2/2)+(s_0+6*s_r+IF(circ_int,eq_c1/2,0)),IF(((30+0.5)*(4*IF(circ_int,0,eq_c1/2)+4*IF(circ_int,0,eq_c2/2)+2*PI()*(s_0+6*s_r+IF(circ_int,eq_c1/2,0)))/INDEX(lk_legs,7))&lt;((((2*IF(circ_int,0,eq_c2/2))+(PI()*(s_0+6*s_r+IF(circ_int,eq_c1/2,0))/2))+2*IF(circ_int,0,eq_c1/2))+(PI()*(s_0+6*s_r+IF(circ_int,eq_c1/2,0))/2)),IF(circ_int,0,eq_c2/2)+(s_0+6*s_r+IF(circ_int,eq_c1/2,0))*SIN(PI()/2+(((30+0.5)*(4*IF(circ_int,0,eq_c1/2)+4*IF(circ_int,0,eq_c2/2)+2*PI()*(s_0+6*s_r+IF(circ_int,eq_c1/2,0)))/INDEX(lk_legs,7))-(((2*IF(circ_int,0,eq_c2/2))+(PI()*(s_0+6*s_r+IF(circ_int,eq_c1/2,0))/2))+2*IF(circ_int,0,eq_c1/2)))/(s_0+6*s_r+IF(circ_int,eq_c1/2,0))),IF(((30+0.5)*(4*IF(circ_int,0,eq_c1/2)+4*IF(circ_int,0,eq_c2/2)+2*PI()*(s_0+6*s_r+IF(circ_int,eq_c1/2,0)))/INDEX(lk_legs,7))&lt;(((((2*IF(circ_int,0,eq_c2/2))+(PI()*(s_0+6*s_r+IF(circ_int,eq_c1/2,0))/2))+2*IF(circ_int,0,eq_c1/2))+(PI()*(s_0+6*s_r+IF(circ_int,eq_c1/2,0))/2))+2*IF(circ_int,0,eq_c2/2)),IF(circ_int,0,eq_c2/2)-(((30+0.5)*(4*IF(circ_int,0,eq_c1/2)+4*IF(circ_int,0,eq_c2/2)+2*PI()*(s_0+6*s_r+IF(circ_int,eq_c1/2,0)))/INDEX(lk_legs,7))-((((2*IF(circ_int,0,eq_c2/2))+(PI()*(s_0+6*s_r+IF(circ_int,eq_c1/2,0))/2))+2*IF(circ_int,0,eq_c1/2))+(PI()*(s_0+6*s_r+IF(circ_int,eq_c1/2,0))/2))),IF(((30+0.5)*(4*IF(circ_int,0,eq_c1/2)+4*IF(circ_int,0,eq_c2/2)+2*PI()*(s_0+6*s_r+IF(circ_int,eq_c1/2,0)))/INDEX(lk_legs,7))&lt;((((((2*IF(circ_int,0,eq_c2/2))+(PI()*(s_0+6*s_r+IF(circ_int,eq_c1/2,0))/2))+2*IF(circ_int,0,eq_c1/2))+(PI()*(s_0+6*s_r+IF(circ_int,eq_c1/2,0))/2))+2*IF(circ_int,0,eq_c2/2))+(PI()*(s_0+6*s_r+IF(circ_int,eq_c1/2,0))/2)),-IF(circ_int,0,eq_c2/2)+(s_0+6*s_r+IF(circ_int,eq_c1/2,0))*SIN(PI()+(((30+0.5)*(4*IF(circ_int,0,eq_c1/2)+4*IF(circ_int,0,eq_c2/2)+2*PI()*(s_0+6*s_r+IF(circ_int,eq_c1/2,0)))/INDEX(lk_legs,7))-(((((2*IF(circ_int,0,eq_c2/2))+(PI()*(s_0+6*s_r+IF(circ_int,eq_c1/2,0))/2))+2*IF(circ_int,0,eq_c1/2))+(PI()*(s_0+6*s_r+IF(circ_int,eq_c1/2,0))/2))+2*IF(circ_int,0,eq_c2/2)))/(s_0+6*s_r+IF(circ_int,eq_c1/2,0))),IF(((30+0.5)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(30+0.5)*(4*IF(circ_int,0,eq_c1/2)+4*IF(circ_int,0,eq_c2/2)+2*PI()*(s_0+6*s_r+IF(circ_int,eq_c1/2,0)))/INDEX(lk_legs,7))-(((((((2*IF(circ_int,0,eq_c2/2))+(PI()*(s_0+6*s_r+IF(circ_int,eq_c1/2,0))/2))+2*IF(circ_int,0,eq_c1/2))+(PI()*(s_0+6*s_r+IF(circ_int,eq_c1/2,0))/2))+2*IF(circ_int,0,eq_c2/2))+(PI()*(s_0+6*s_r+IF(circ_int,eq_c1/2,0))/2))+2*IF(circ_int,0,eq_c1/2)))/(s_0+6*s_r+IF(circ_int,eq_c1/2,0)))))))))),NA())</f>
        <v/>
      </c>
      <c r="CM33">
        <f>IF(AND(links_on,8&lt;=n_per),IF(circ_int,(g_ox)+(c_1/2+(s_0+7*s_r))*-0.885456,CHOOSE(INDEX(lk_kind,8),(g_ox-eq_c1/2)+((s_0+7*s_r))*-0.866025,0,eq_a1+eq_c1+(s_0+7*s_r),eq_a1+eq_c1+(s_0+7*s_r))),NA())</f>
        <v/>
      </c>
      <c r="CN33">
        <f>IF(AND(links_on,8&lt;=n_per),IF(circ_int,(g_oy)+(c_1/2+(s_0+7*s_r))*-0.464723,CHOOSE(INDEX(lk_kind,8),(g_oy-eq_c2/2)+((s_0+7*s_r))*-0.500000,g_oy-eq_c2/2-(s_0+7*s_r),0,0)),NA())</f>
        <v/>
      </c>
      <c r="CP33">
        <f>IF(AND(AND(links_on,8&lt;=n_per),INDEX(lk_kind,8)=1,30&lt;INDEX(lk_legs,8)),g_ox+IF(((30+0.5)*(4*IF(circ_int,0,eq_c1/2)+4*IF(circ_int,0,eq_c2/2)+2*PI()*(s_0+7*s_r+IF(circ_int,eq_c1/2,0)))/INDEX(lk_legs,8))&lt;(2*IF(circ_int,0,eq_c2/2)),IF(circ_int,0,eq_c1/2)+(s_0+7*s_r+IF(circ_int,eq_c1/2,0)),IF(((30+0.5)*(4*IF(circ_int,0,eq_c1/2)+4*IF(circ_int,0,eq_c2/2)+2*PI()*(s_0+7*s_r+IF(circ_int,eq_c1/2,0)))/INDEX(lk_legs,8))&lt;((2*IF(circ_int,0,eq_c2/2))+(PI()*(s_0+7*s_r+IF(circ_int,eq_c1/2,0))/2)),IF(circ_int,0,eq_c1/2)+(s_0+7*s_r+IF(circ_int,eq_c1/2,0))*COS((((30+0.5)*(4*IF(circ_int,0,eq_c1/2)+4*IF(circ_int,0,eq_c2/2)+2*PI()*(s_0+7*s_r+IF(circ_int,eq_c1/2,0)))/INDEX(lk_legs,8))-(2*IF(circ_int,0,eq_c2/2)))/(s_0+7*s_r+IF(circ_int,eq_c1/2,0))),IF(((30+0.5)*(4*IF(circ_int,0,eq_c1/2)+4*IF(circ_int,0,eq_c2/2)+2*PI()*(s_0+7*s_r+IF(circ_int,eq_c1/2,0)))/INDEX(lk_legs,8))&lt;(((2*IF(circ_int,0,eq_c2/2))+(PI()*(s_0+7*s_r+IF(circ_int,eq_c1/2,0))/2))+2*IF(circ_int,0,eq_c1/2)),IF(circ_int,0,eq_c1/2)-(((30+0.5)*(4*IF(circ_int,0,eq_c1/2)+4*IF(circ_int,0,eq_c2/2)+2*PI()*(s_0+7*s_r+IF(circ_int,eq_c1/2,0)))/INDEX(lk_legs,8))-((2*IF(circ_int,0,eq_c2/2))+(PI()*(s_0+7*s_r+IF(circ_int,eq_c1/2,0))/2))),IF(((30+0.5)*(4*IF(circ_int,0,eq_c1/2)+4*IF(circ_int,0,eq_c2/2)+2*PI()*(s_0+7*s_r+IF(circ_int,eq_c1/2,0)))/INDEX(lk_legs,8))&lt;((((2*IF(circ_int,0,eq_c2/2))+(PI()*(s_0+7*s_r+IF(circ_int,eq_c1/2,0))/2))+2*IF(circ_int,0,eq_c1/2))+(PI()*(s_0+7*s_r+IF(circ_int,eq_c1/2,0))/2)),-IF(circ_int,0,eq_c1/2)+(s_0+7*s_r+IF(circ_int,eq_c1/2,0))*COS(PI()/2+(((30+0.5)*(4*IF(circ_int,0,eq_c1/2)+4*IF(circ_int,0,eq_c2/2)+2*PI()*(s_0+7*s_r+IF(circ_int,eq_c1/2,0)))/INDEX(lk_legs,8))-(((2*IF(circ_int,0,eq_c2/2))+(PI()*(s_0+7*s_r+IF(circ_int,eq_c1/2,0))/2))+2*IF(circ_int,0,eq_c1/2)))/(s_0+7*s_r+IF(circ_int,eq_c1/2,0))),IF(((30+0.5)*(4*IF(circ_int,0,eq_c1/2)+4*IF(circ_int,0,eq_c2/2)+2*PI()*(s_0+7*s_r+IF(circ_int,eq_c1/2,0)))/INDEX(lk_legs,8))&lt;(((((2*IF(circ_int,0,eq_c2/2))+(PI()*(s_0+7*s_r+IF(circ_int,eq_c1/2,0))/2))+2*IF(circ_int,0,eq_c1/2))+(PI()*(s_0+7*s_r+IF(circ_int,eq_c1/2,0))/2))+2*IF(circ_int,0,eq_c2/2)),-IF(circ_int,0,eq_c1/2)-(s_0+7*s_r+IF(circ_int,eq_c1/2,0)),IF(((30+0.5)*(4*IF(circ_int,0,eq_c1/2)+4*IF(circ_int,0,eq_c2/2)+2*PI()*(s_0+7*s_r+IF(circ_int,eq_c1/2,0)))/INDEX(lk_legs,8))&lt;((((((2*IF(circ_int,0,eq_c2/2))+(PI()*(s_0+7*s_r+IF(circ_int,eq_c1/2,0))/2))+2*IF(circ_int,0,eq_c1/2))+(PI()*(s_0+7*s_r+IF(circ_int,eq_c1/2,0))/2))+2*IF(circ_int,0,eq_c2/2))+(PI()*(s_0+7*s_r+IF(circ_int,eq_c1/2,0))/2)),-IF(circ_int,0,eq_c1/2)+(s_0+7*s_r+IF(circ_int,eq_c1/2,0))*COS(PI()+(((30+0.5)*(4*IF(circ_int,0,eq_c1/2)+4*IF(circ_int,0,eq_c2/2)+2*PI()*(s_0+7*s_r+IF(circ_int,eq_c1/2,0)))/INDEX(lk_legs,8))-(((((2*IF(circ_int,0,eq_c2/2))+(PI()*(s_0+7*s_r+IF(circ_int,eq_c1/2,0))/2))+2*IF(circ_int,0,eq_c1/2))+(PI()*(s_0+7*s_r+IF(circ_int,eq_c1/2,0))/2))+2*IF(circ_int,0,eq_c2/2)))/(s_0+7*s_r+IF(circ_int,eq_c1/2,0))),IF(((30+0.5)*(4*IF(circ_int,0,eq_c1/2)+4*IF(circ_int,0,eq_c2/2)+2*PI()*(s_0+7*s_r+IF(circ_int,eq_c1/2,0)))/INDEX(lk_legs,8))&lt;(((((((2*IF(circ_int,0,eq_c2/2))+(PI()*(s_0+7*s_r+IF(circ_int,eq_c1/2,0))/2))+2*IF(circ_int,0,eq_c1/2))+(PI()*(s_0+7*s_r+IF(circ_int,eq_c1/2,0))/2))+2*IF(circ_int,0,eq_c2/2))+(PI()*(s_0+7*s_r+IF(circ_int,eq_c1/2,0))/2))+2*IF(circ_int,0,eq_c1/2)),-IF(circ_int,0,eq_c1/2)+(((30+0.5)*(4*IF(circ_int,0,eq_c1/2)+4*IF(circ_int,0,eq_c2/2)+2*PI()*(s_0+7*s_r+IF(circ_int,eq_c1/2,0)))/INDEX(lk_legs,8))-((((((2*IF(circ_int,0,eq_c2/2))+(PI()*(s_0+7*s_r+IF(circ_int,eq_c1/2,0))/2))+2*IF(circ_int,0,eq_c1/2))+(PI()*(s_0+7*s_r+IF(circ_int,eq_c1/2,0))/2))+2*IF(circ_int,0,eq_c2/2))+(PI()*(s_0+7*s_r+IF(circ_int,eq_c1/2,0))/2))),IF(circ_int,0,eq_c1/2)+(s_0+7*s_r+IF(circ_int,eq_c1/2,0))*COS(3*PI()/2+(((30+0.5)*(4*IF(circ_int,0,eq_c1/2)+4*IF(circ_int,0,eq_c2/2)+2*PI()*(s_0+7*s_r+IF(circ_int,eq_c1/2,0)))/INDEX(lk_legs,8))-(((((((2*IF(circ_int,0,eq_c2/2))+(PI()*(s_0+7*s_r+IF(circ_int,eq_c1/2,0))/2))+2*IF(circ_int,0,eq_c1/2))+(PI()*(s_0+7*s_r+IF(circ_int,eq_c1/2,0))/2))+2*IF(circ_int,0,eq_c2/2))+(PI()*(s_0+7*s_r+IF(circ_int,eq_c1/2,0))/2))+2*IF(circ_int,0,eq_c1/2)))/(s_0+7*s_r+IF(circ_int,eq_c1/2,0)))))))))),NA())</f>
        <v/>
      </c>
      <c r="CQ33">
        <f>IF(AND(AND(links_on,8&lt;=n_per),INDEX(lk_kind,8)=1,30&lt;INDEX(lk_legs,8)),g_oy+IF(((30+0.5)*(4*IF(circ_int,0,eq_c1/2)+4*IF(circ_int,0,eq_c2/2)+2*PI()*(s_0+7*s_r+IF(circ_int,eq_c1/2,0)))/INDEX(lk_legs,8))&lt;(2*IF(circ_int,0,eq_c2/2)),-IF(circ_int,0,eq_c2/2)+((30+0.5)*(4*IF(circ_int,0,eq_c1/2)+4*IF(circ_int,0,eq_c2/2)+2*PI()*(s_0+7*s_r+IF(circ_int,eq_c1/2,0)))/INDEX(lk_legs,8)),IF(((30+0.5)*(4*IF(circ_int,0,eq_c1/2)+4*IF(circ_int,0,eq_c2/2)+2*PI()*(s_0+7*s_r+IF(circ_int,eq_c1/2,0)))/INDEX(lk_legs,8))&lt;((2*IF(circ_int,0,eq_c2/2))+(PI()*(s_0+7*s_r+IF(circ_int,eq_c1/2,0))/2)),IF(circ_int,0,eq_c2/2)+(s_0+7*s_r+IF(circ_int,eq_c1/2,0))*SIN((((30+0.5)*(4*IF(circ_int,0,eq_c1/2)+4*IF(circ_int,0,eq_c2/2)+2*PI()*(s_0+7*s_r+IF(circ_int,eq_c1/2,0)))/INDEX(lk_legs,8))-(2*IF(circ_int,0,eq_c2/2)))/(s_0+7*s_r+IF(circ_int,eq_c1/2,0))),IF(((30+0.5)*(4*IF(circ_int,0,eq_c1/2)+4*IF(circ_int,0,eq_c2/2)+2*PI()*(s_0+7*s_r+IF(circ_int,eq_c1/2,0)))/INDEX(lk_legs,8))&lt;(((2*IF(circ_int,0,eq_c2/2))+(PI()*(s_0+7*s_r+IF(circ_int,eq_c1/2,0))/2))+2*IF(circ_int,0,eq_c1/2)),IF(circ_int,0,eq_c2/2)+(s_0+7*s_r+IF(circ_int,eq_c1/2,0)),IF(((30+0.5)*(4*IF(circ_int,0,eq_c1/2)+4*IF(circ_int,0,eq_c2/2)+2*PI()*(s_0+7*s_r+IF(circ_int,eq_c1/2,0)))/INDEX(lk_legs,8))&lt;((((2*IF(circ_int,0,eq_c2/2))+(PI()*(s_0+7*s_r+IF(circ_int,eq_c1/2,0))/2))+2*IF(circ_int,0,eq_c1/2))+(PI()*(s_0+7*s_r+IF(circ_int,eq_c1/2,0))/2)),IF(circ_int,0,eq_c2/2)+(s_0+7*s_r+IF(circ_int,eq_c1/2,0))*SIN(PI()/2+(((30+0.5)*(4*IF(circ_int,0,eq_c1/2)+4*IF(circ_int,0,eq_c2/2)+2*PI()*(s_0+7*s_r+IF(circ_int,eq_c1/2,0)))/INDEX(lk_legs,8))-(((2*IF(circ_int,0,eq_c2/2))+(PI()*(s_0+7*s_r+IF(circ_int,eq_c1/2,0))/2))+2*IF(circ_int,0,eq_c1/2)))/(s_0+7*s_r+IF(circ_int,eq_c1/2,0))),IF(((30+0.5)*(4*IF(circ_int,0,eq_c1/2)+4*IF(circ_int,0,eq_c2/2)+2*PI()*(s_0+7*s_r+IF(circ_int,eq_c1/2,0)))/INDEX(lk_legs,8))&lt;(((((2*IF(circ_int,0,eq_c2/2))+(PI()*(s_0+7*s_r+IF(circ_int,eq_c1/2,0))/2))+2*IF(circ_int,0,eq_c1/2))+(PI()*(s_0+7*s_r+IF(circ_int,eq_c1/2,0))/2))+2*IF(circ_int,0,eq_c2/2)),IF(circ_int,0,eq_c2/2)-(((30+0.5)*(4*IF(circ_int,0,eq_c1/2)+4*IF(circ_int,0,eq_c2/2)+2*PI()*(s_0+7*s_r+IF(circ_int,eq_c1/2,0)))/INDEX(lk_legs,8))-((((2*IF(circ_int,0,eq_c2/2))+(PI()*(s_0+7*s_r+IF(circ_int,eq_c1/2,0))/2))+2*IF(circ_int,0,eq_c1/2))+(PI()*(s_0+7*s_r+IF(circ_int,eq_c1/2,0))/2))),IF(((30+0.5)*(4*IF(circ_int,0,eq_c1/2)+4*IF(circ_int,0,eq_c2/2)+2*PI()*(s_0+7*s_r+IF(circ_int,eq_c1/2,0)))/INDEX(lk_legs,8))&lt;((((((2*IF(circ_int,0,eq_c2/2))+(PI()*(s_0+7*s_r+IF(circ_int,eq_c1/2,0))/2))+2*IF(circ_int,0,eq_c1/2))+(PI()*(s_0+7*s_r+IF(circ_int,eq_c1/2,0))/2))+2*IF(circ_int,0,eq_c2/2))+(PI()*(s_0+7*s_r+IF(circ_int,eq_c1/2,0))/2)),-IF(circ_int,0,eq_c2/2)+(s_0+7*s_r+IF(circ_int,eq_c1/2,0))*SIN(PI()+(((30+0.5)*(4*IF(circ_int,0,eq_c1/2)+4*IF(circ_int,0,eq_c2/2)+2*PI()*(s_0+7*s_r+IF(circ_int,eq_c1/2,0)))/INDEX(lk_legs,8))-(((((2*IF(circ_int,0,eq_c2/2))+(PI()*(s_0+7*s_r+IF(circ_int,eq_c1/2,0))/2))+2*IF(circ_int,0,eq_c1/2))+(PI()*(s_0+7*s_r+IF(circ_int,eq_c1/2,0))/2))+2*IF(circ_int,0,eq_c2/2)))/(s_0+7*s_r+IF(circ_int,eq_c1/2,0))),IF(((30+0.5)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(30+0.5)*(4*IF(circ_int,0,eq_c1/2)+4*IF(circ_int,0,eq_c2/2)+2*PI()*(s_0+7*s_r+IF(circ_int,eq_c1/2,0)))/INDEX(lk_legs,8))-(((((((2*IF(circ_int,0,eq_c2/2))+(PI()*(s_0+7*s_r+IF(circ_int,eq_c1/2,0))/2))+2*IF(circ_int,0,eq_c1/2))+(PI()*(s_0+7*s_r+IF(circ_int,eq_c1/2,0))/2))+2*IF(circ_int,0,eq_c2/2))+(PI()*(s_0+7*s_r+IF(circ_int,eq_c1/2,0))/2))+2*IF(circ_int,0,eq_c1/2)))/(s_0+7*s_r+IF(circ_int,eq_c1/2,0)))))))))),NA())</f>
        <v/>
      </c>
      <c r="CS33">
        <f>IF(AND(links_on,9&lt;=n_per),IF(circ_int,(g_ox)+(c_1/2+(s_0+8*s_r))*-0.885456,CHOOSE(INDEX(lk_kind,9),(g_ox-eq_c1/2)+((s_0+8*s_r))*-0.866025,0,eq_a1+eq_c1+(s_0+8*s_r),eq_a1+eq_c1+(s_0+8*s_r))),NA())</f>
        <v/>
      </c>
      <c r="CT33">
        <f>IF(AND(links_on,9&lt;=n_per),IF(circ_int,(g_oy)+(c_1/2+(s_0+8*s_r))*-0.464723,CHOOSE(INDEX(lk_kind,9),(g_oy-eq_c2/2)+((s_0+8*s_r))*-0.500000,g_oy-eq_c2/2-(s_0+8*s_r),0,0)),NA())</f>
        <v/>
      </c>
      <c r="CV33">
        <f>IF(AND(AND(links_on,9&lt;=n_per),INDEX(lk_kind,9)=1,30&lt;INDEX(lk_legs,9)),g_ox+IF(((30+0.5)*(4*IF(circ_int,0,eq_c1/2)+4*IF(circ_int,0,eq_c2/2)+2*PI()*(s_0+8*s_r+IF(circ_int,eq_c1/2,0)))/INDEX(lk_legs,9))&lt;(2*IF(circ_int,0,eq_c2/2)),IF(circ_int,0,eq_c1/2)+(s_0+8*s_r+IF(circ_int,eq_c1/2,0)),IF(((30+0.5)*(4*IF(circ_int,0,eq_c1/2)+4*IF(circ_int,0,eq_c2/2)+2*PI()*(s_0+8*s_r+IF(circ_int,eq_c1/2,0)))/INDEX(lk_legs,9))&lt;((2*IF(circ_int,0,eq_c2/2))+(PI()*(s_0+8*s_r+IF(circ_int,eq_c1/2,0))/2)),IF(circ_int,0,eq_c1/2)+(s_0+8*s_r+IF(circ_int,eq_c1/2,0))*COS((((30+0.5)*(4*IF(circ_int,0,eq_c1/2)+4*IF(circ_int,0,eq_c2/2)+2*PI()*(s_0+8*s_r+IF(circ_int,eq_c1/2,0)))/INDEX(lk_legs,9))-(2*IF(circ_int,0,eq_c2/2)))/(s_0+8*s_r+IF(circ_int,eq_c1/2,0))),IF(((30+0.5)*(4*IF(circ_int,0,eq_c1/2)+4*IF(circ_int,0,eq_c2/2)+2*PI()*(s_0+8*s_r+IF(circ_int,eq_c1/2,0)))/INDEX(lk_legs,9))&lt;(((2*IF(circ_int,0,eq_c2/2))+(PI()*(s_0+8*s_r+IF(circ_int,eq_c1/2,0))/2))+2*IF(circ_int,0,eq_c1/2)),IF(circ_int,0,eq_c1/2)-(((30+0.5)*(4*IF(circ_int,0,eq_c1/2)+4*IF(circ_int,0,eq_c2/2)+2*PI()*(s_0+8*s_r+IF(circ_int,eq_c1/2,0)))/INDEX(lk_legs,9))-((2*IF(circ_int,0,eq_c2/2))+(PI()*(s_0+8*s_r+IF(circ_int,eq_c1/2,0))/2))),IF(((30+0.5)*(4*IF(circ_int,0,eq_c1/2)+4*IF(circ_int,0,eq_c2/2)+2*PI()*(s_0+8*s_r+IF(circ_int,eq_c1/2,0)))/INDEX(lk_legs,9))&lt;((((2*IF(circ_int,0,eq_c2/2))+(PI()*(s_0+8*s_r+IF(circ_int,eq_c1/2,0))/2))+2*IF(circ_int,0,eq_c1/2))+(PI()*(s_0+8*s_r+IF(circ_int,eq_c1/2,0))/2)),-IF(circ_int,0,eq_c1/2)+(s_0+8*s_r+IF(circ_int,eq_c1/2,0))*COS(PI()/2+(((30+0.5)*(4*IF(circ_int,0,eq_c1/2)+4*IF(circ_int,0,eq_c2/2)+2*PI()*(s_0+8*s_r+IF(circ_int,eq_c1/2,0)))/INDEX(lk_legs,9))-(((2*IF(circ_int,0,eq_c2/2))+(PI()*(s_0+8*s_r+IF(circ_int,eq_c1/2,0))/2))+2*IF(circ_int,0,eq_c1/2)))/(s_0+8*s_r+IF(circ_int,eq_c1/2,0))),IF(((30+0.5)*(4*IF(circ_int,0,eq_c1/2)+4*IF(circ_int,0,eq_c2/2)+2*PI()*(s_0+8*s_r+IF(circ_int,eq_c1/2,0)))/INDEX(lk_legs,9))&lt;(((((2*IF(circ_int,0,eq_c2/2))+(PI()*(s_0+8*s_r+IF(circ_int,eq_c1/2,0))/2))+2*IF(circ_int,0,eq_c1/2))+(PI()*(s_0+8*s_r+IF(circ_int,eq_c1/2,0))/2))+2*IF(circ_int,0,eq_c2/2)),-IF(circ_int,0,eq_c1/2)-(s_0+8*s_r+IF(circ_int,eq_c1/2,0)),IF(((30+0.5)*(4*IF(circ_int,0,eq_c1/2)+4*IF(circ_int,0,eq_c2/2)+2*PI()*(s_0+8*s_r+IF(circ_int,eq_c1/2,0)))/INDEX(lk_legs,9))&lt;((((((2*IF(circ_int,0,eq_c2/2))+(PI()*(s_0+8*s_r+IF(circ_int,eq_c1/2,0))/2))+2*IF(circ_int,0,eq_c1/2))+(PI()*(s_0+8*s_r+IF(circ_int,eq_c1/2,0))/2))+2*IF(circ_int,0,eq_c2/2))+(PI()*(s_0+8*s_r+IF(circ_int,eq_c1/2,0))/2)),-IF(circ_int,0,eq_c1/2)+(s_0+8*s_r+IF(circ_int,eq_c1/2,0))*COS(PI()+(((30+0.5)*(4*IF(circ_int,0,eq_c1/2)+4*IF(circ_int,0,eq_c2/2)+2*PI()*(s_0+8*s_r+IF(circ_int,eq_c1/2,0)))/INDEX(lk_legs,9))-(((((2*IF(circ_int,0,eq_c2/2))+(PI()*(s_0+8*s_r+IF(circ_int,eq_c1/2,0))/2))+2*IF(circ_int,0,eq_c1/2))+(PI()*(s_0+8*s_r+IF(circ_int,eq_c1/2,0))/2))+2*IF(circ_int,0,eq_c2/2)))/(s_0+8*s_r+IF(circ_int,eq_c1/2,0))),IF(((30+0.5)*(4*IF(circ_int,0,eq_c1/2)+4*IF(circ_int,0,eq_c2/2)+2*PI()*(s_0+8*s_r+IF(circ_int,eq_c1/2,0)))/INDEX(lk_legs,9))&lt;(((((((2*IF(circ_int,0,eq_c2/2))+(PI()*(s_0+8*s_r+IF(circ_int,eq_c1/2,0))/2))+2*IF(circ_int,0,eq_c1/2))+(PI()*(s_0+8*s_r+IF(circ_int,eq_c1/2,0))/2))+2*IF(circ_int,0,eq_c2/2))+(PI()*(s_0+8*s_r+IF(circ_int,eq_c1/2,0))/2))+2*IF(circ_int,0,eq_c1/2)),-IF(circ_int,0,eq_c1/2)+(((30+0.5)*(4*IF(circ_int,0,eq_c1/2)+4*IF(circ_int,0,eq_c2/2)+2*PI()*(s_0+8*s_r+IF(circ_int,eq_c1/2,0)))/INDEX(lk_legs,9))-((((((2*IF(circ_int,0,eq_c2/2))+(PI()*(s_0+8*s_r+IF(circ_int,eq_c1/2,0))/2))+2*IF(circ_int,0,eq_c1/2))+(PI()*(s_0+8*s_r+IF(circ_int,eq_c1/2,0))/2))+2*IF(circ_int,0,eq_c2/2))+(PI()*(s_0+8*s_r+IF(circ_int,eq_c1/2,0))/2))),IF(circ_int,0,eq_c1/2)+(s_0+8*s_r+IF(circ_int,eq_c1/2,0))*COS(3*PI()/2+(((30+0.5)*(4*IF(circ_int,0,eq_c1/2)+4*IF(circ_int,0,eq_c2/2)+2*PI()*(s_0+8*s_r+IF(circ_int,eq_c1/2,0)))/INDEX(lk_legs,9))-(((((((2*IF(circ_int,0,eq_c2/2))+(PI()*(s_0+8*s_r+IF(circ_int,eq_c1/2,0))/2))+2*IF(circ_int,0,eq_c1/2))+(PI()*(s_0+8*s_r+IF(circ_int,eq_c1/2,0))/2))+2*IF(circ_int,0,eq_c2/2))+(PI()*(s_0+8*s_r+IF(circ_int,eq_c1/2,0))/2))+2*IF(circ_int,0,eq_c1/2)))/(s_0+8*s_r+IF(circ_int,eq_c1/2,0)))))))))),NA())</f>
        <v/>
      </c>
      <c r="CW33">
        <f>IF(AND(AND(links_on,9&lt;=n_per),INDEX(lk_kind,9)=1,30&lt;INDEX(lk_legs,9)),g_oy+IF(((30+0.5)*(4*IF(circ_int,0,eq_c1/2)+4*IF(circ_int,0,eq_c2/2)+2*PI()*(s_0+8*s_r+IF(circ_int,eq_c1/2,0)))/INDEX(lk_legs,9))&lt;(2*IF(circ_int,0,eq_c2/2)),-IF(circ_int,0,eq_c2/2)+((30+0.5)*(4*IF(circ_int,0,eq_c1/2)+4*IF(circ_int,0,eq_c2/2)+2*PI()*(s_0+8*s_r+IF(circ_int,eq_c1/2,0)))/INDEX(lk_legs,9)),IF(((30+0.5)*(4*IF(circ_int,0,eq_c1/2)+4*IF(circ_int,0,eq_c2/2)+2*PI()*(s_0+8*s_r+IF(circ_int,eq_c1/2,0)))/INDEX(lk_legs,9))&lt;((2*IF(circ_int,0,eq_c2/2))+(PI()*(s_0+8*s_r+IF(circ_int,eq_c1/2,0))/2)),IF(circ_int,0,eq_c2/2)+(s_0+8*s_r+IF(circ_int,eq_c1/2,0))*SIN((((30+0.5)*(4*IF(circ_int,0,eq_c1/2)+4*IF(circ_int,0,eq_c2/2)+2*PI()*(s_0+8*s_r+IF(circ_int,eq_c1/2,0)))/INDEX(lk_legs,9))-(2*IF(circ_int,0,eq_c2/2)))/(s_0+8*s_r+IF(circ_int,eq_c1/2,0))),IF(((30+0.5)*(4*IF(circ_int,0,eq_c1/2)+4*IF(circ_int,0,eq_c2/2)+2*PI()*(s_0+8*s_r+IF(circ_int,eq_c1/2,0)))/INDEX(lk_legs,9))&lt;(((2*IF(circ_int,0,eq_c2/2))+(PI()*(s_0+8*s_r+IF(circ_int,eq_c1/2,0))/2))+2*IF(circ_int,0,eq_c1/2)),IF(circ_int,0,eq_c2/2)+(s_0+8*s_r+IF(circ_int,eq_c1/2,0)),IF(((30+0.5)*(4*IF(circ_int,0,eq_c1/2)+4*IF(circ_int,0,eq_c2/2)+2*PI()*(s_0+8*s_r+IF(circ_int,eq_c1/2,0)))/INDEX(lk_legs,9))&lt;((((2*IF(circ_int,0,eq_c2/2))+(PI()*(s_0+8*s_r+IF(circ_int,eq_c1/2,0))/2))+2*IF(circ_int,0,eq_c1/2))+(PI()*(s_0+8*s_r+IF(circ_int,eq_c1/2,0))/2)),IF(circ_int,0,eq_c2/2)+(s_0+8*s_r+IF(circ_int,eq_c1/2,0))*SIN(PI()/2+(((30+0.5)*(4*IF(circ_int,0,eq_c1/2)+4*IF(circ_int,0,eq_c2/2)+2*PI()*(s_0+8*s_r+IF(circ_int,eq_c1/2,0)))/INDEX(lk_legs,9))-(((2*IF(circ_int,0,eq_c2/2))+(PI()*(s_0+8*s_r+IF(circ_int,eq_c1/2,0))/2))+2*IF(circ_int,0,eq_c1/2)))/(s_0+8*s_r+IF(circ_int,eq_c1/2,0))),IF(((30+0.5)*(4*IF(circ_int,0,eq_c1/2)+4*IF(circ_int,0,eq_c2/2)+2*PI()*(s_0+8*s_r+IF(circ_int,eq_c1/2,0)))/INDEX(lk_legs,9))&lt;(((((2*IF(circ_int,0,eq_c2/2))+(PI()*(s_0+8*s_r+IF(circ_int,eq_c1/2,0))/2))+2*IF(circ_int,0,eq_c1/2))+(PI()*(s_0+8*s_r+IF(circ_int,eq_c1/2,0))/2))+2*IF(circ_int,0,eq_c2/2)),IF(circ_int,0,eq_c2/2)-(((30+0.5)*(4*IF(circ_int,0,eq_c1/2)+4*IF(circ_int,0,eq_c2/2)+2*PI()*(s_0+8*s_r+IF(circ_int,eq_c1/2,0)))/INDEX(lk_legs,9))-((((2*IF(circ_int,0,eq_c2/2))+(PI()*(s_0+8*s_r+IF(circ_int,eq_c1/2,0))/2))+2*IF(circ_int,0,eq_c1/2))+(PI()*(s_0+8*s_r+IF(circ_int,eq_c1/2,0))/2))),IF(((30+0.5)*(4*IF(circ_int,0,eq_c1/2)+4*IF(circ_int,0,eq_c2/2)+2*PI()*(s_0+8*s_r+IF(circ_int,eq_c1/2,0)))/INDEX(lk_legs,9))&lt;((((((2*IF(circ_int,0,eq_c2/2))+(PI()*(s_0+8*s_r+IF(circ_int,eq_c1/2,0))/2))+2*IF(circ_int,0,eq_c1/2))+(PI()*(s_0+8*s_r+IF(circ_int,eq_c1/2,0))/2))+2*IF(circ_int,0,eq_c2/2))+(PI()*(s_0+8*s_r+IF(circ_int,eq_c1/2,0))/2)),-IF(circ_int,0,eq_c2/2)+(s_0+8*s_r+IF(circ_int,eq_c1/2,0))*SIN(PI()+(((30+0.5)*(4*IF(circ_int,0,eq_c1/2)+4*IF(circ_int,0,eq_c2/2)+2*PI()*(s_0+8*s_r+IF(circ_int,eq_c1/2,0)))/INDEX(lk_legs,9))-(((((2*IF(circ_int,0,eq_c2/2))+(PI()*(s_0+8*s_r+IF(circ_int,eq_c1/2,0))/2))+2*IF(circ_int,0,eq_c1/2))+(PI()*(s_0+8*s_r+IF(circ_int,eq_c1/2,0))/2))+2*IF(circ_int,0,eq_c2/2)))/(s_0+8*s_r+IF(circ_int,eq_c1/2,0))),IF(((30+0.5)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(30+0.5)*(4*IF(circ_int,0,eq_c1/2)+4*IF(circ_int,0,eq_c2/2)+2*PI()*(s_0+8*s_r+IF(circ_int,eq_c1/2,0)))/INDEX(lk_legs,9))-(((((((2*IF(circ_int,0,eq_c2/2))+(PI()*(s_0+8*s_r+IF(circ_int,eq_c1/2,0))/2))+2*IF(circ_int,0,eq_c1/2))+(PI()*(s_0+8*s_r+IF(circ_int,eq_c1/2,0))/2))+2*IF(circ_int,0,eq_c2/2))+(PI()*(s_0+8*s_r+IF(circ_int,eq_c1/2,0))/2))+2*IF(circ_int,0,eq_c1/2)))/(s_0+8*s_r+IF(circ_int,eq_c1/2,0)))))))))),NA())</f>
        <v/>
      </c>
      <c r="CY33">
        <f>IF(AND(links_on,10&lt;=n_per),IF(circ_int,(g_ox)+(c_1/2+(s_0+9*s_r))*-0.885456,CHOOSE(INDEX(lk_kind,10),(g_ox-eq_c1/2)+((s_0+9*s_r))*-0.866025,0,eq_a1+eq_c1+(s_0+9*s_r),eq_a1+eq_c1+(s_0+9*s_r))),NA())</f>
        <v/>
      </c>
      <c r="CZ33">
        <f>IF(AND(links_on,10&lt;=n_per),IF(circ_int,(g_oy)+(c_1/2+(s_0+9*s_r))*-0.464723,CHOOSE(INDEX(lk_kind,10),(g_oy-eq_c2/2)+((s_0+9*s_r))*-0.500000,g_oy-eq_c2/2-(s_0+9*s_r),0,0)),NA())</f>
        <v/>
      </c>
      <c r="DB33">
        <f>IF(AND(AND(links_on,10&lt;=n_per),INDEX(lk_kind,10)=1,30&lt;INDEX(lk_legs,10)),g_ox+IF(((30+0.5)*(4*IF(circ_int,0,eq_c1/2)+4*IF(circ_int,0,eq_c2/2)+2*PI()*(s_0+9*s_r+IF(circ_int,eq_c1/2,0)))/INDEX(lk_legs,10))&lt;(2*IF(circ_int,0,eq_c2/2)),IF(circ_int,0,eq_c1/2)+(s_0+9*s_r+IF(circ_int,eq_c1/2,0)),IF(((30+0.5)*(4*IF(circ_int,0,eq_c1/2)+4*IF(circ_int,0,eq_c2/2)+2*PI()*(s_0+9*s_r+IF(circ_int,eq_c1/2,0)))/INDEX(lk_legs,10))&lt;((2*IF(circ_int,0,eq_c2/2))+(PI()*(s_0+9*s_r+IF(circ_int,eq_c1/2,0))/2)),IF(circ_int,0,eq_c1/2)+(s_0+9*s_r+IF(circ_int,eq_c1/2,0))*COS((((30+0.5)*(4*IF(circ_int,0,eq_c1/2)+4*IF(circ_int,0,eq_c2/2)+2*PI()*(s_0+9*s_r+IF(circ_int,eq_c1/2,0)))/INDEX(lk_legs,10))-(2*IF(circ_int,0,eq_c2/2)))/(s_0+9*s_r+IF(circ_int,eq_c1/2,0))),IF(((30+0.5)*(4*IF(circ_int,0,eq_c1/2)+4*IF(circ_int,0,eq_c2/2)+2*PI()*(s_0+9*s_r+IF(circ_int,eq_c1/2,0)))/INDEX(lk_legs,10))&lt;(((2*IF(circ_int,0,eq_c2/2))+(PI()*(s_0+9*s_r+IF(circ_int,eq_c1/2,0))/2))+2*IF(circ_int,0,eq_c1/2)),IF(circ_int,0,eq_c1/2)-(((30+0.5)*(4*IF(circ_int,0,eq_c1/2)+4*IF(circ_int,0,eq_c2/2)+2*PI()*(s_0+9*s_r+IF(circ_int,eq_c1/2,0)))/INDEX(lk_legs,10))-((2*IF(circ_int,0,eq_c2/2))+(PI()*(s_0+9*s_r+IF(circ_int,eq_c1/2,0))/2))),IF(((30+0.5)*(4*IF(circ_int,0,eq_c1/2)+4*IF(circ_int,0,eq_c2/2)+2*PI()*(s_0+9*s_r+IF(circ_int,eq_c1/2,0)))/INDEX(lk_legs,10))&lt;((((2*IF(circ_int,0,eq_c2/2))+(PI()*(s_0+9*s_r+IF(circ_int,eq_c1/2,0))/2))+2*IF(circ_int,0,eq_c1/2))+(PI()*(s_0+9*s_r+IF(circ_int,eq_c1/2,0))/2)),-IF(circ_int,0,eq_c1/2)+(s_0+9*s_r+IF(circ_int,eq_c1/2,0))*COS(PI()/2+(((30+0.5)*(4*IF(circ_int,0,eq_c1/2)+4*IF(circ_int,0,eq_c2/2)+2*PI()*(s_0+9*s_r+IF(circ_int,eq_c1/2,0)))/INDEX(lk_legs,10))-(((2*IF(circ_int,0,eq_c2/2))+(PI()*(s_0+9*s_r+IF(circ_int,eq_c1/2,0))/2))+2*IF(circ_int,0,eq_c1/2)))/(s_0+9*s_r+IF(circ_int,eq_c1/2,0))),IF(((30+0.5)*(4*IF(circ_int,0,eq_c1/2)+4*IF(circ_int,0,eq_c2/2)+2*PI()*(s_0+9*s_r+IF(circ_int,eq_c1/2,0)))/INDEX(lk_legs,10))&lt;(((((2*IF(circ_int,0,eq_c2/2))+(PI()*(s_0+9*s_r+IF(circ_int,eq_c1/2,0))/2))+2*IF(circ_int,0,eq_c1/2))+(PI()*(s_0+9*s_r+IF(circ_int,eq_c1/2,0))/2))+2*IF(circ_int,0,eq_c2/2)),-IF(circ_int,0,eq_c1/2)-(s_0+9*s_r+IF(circ_int,eq_c1/2,0)),IF(((30+0.5)*(4*IF(circ_int,0,eq_c1/2)+4*IF(circ_int,0,eq_c2/2)+2*PI()*(s_0+9*s_r+IF(circ_int,eq_c1/2,0)))/INDEX(lk_legs,10))&lt;((((((2*IF(circ_int,0,eq_c2/2))+(PI()*(s_0+9*s_r+IF(circ_int,eq_c1/2,0))/2))+2*IF(circ_int,0,eq_c1/2))+(PI()*(s_0+9*s_r+IF(circ_int,eq_c1/2,0))/2))+2*IF(circ_int,0,eq_c2/2))+(PI()*(s_0+9*s_r+IF(circ_int,eq_c1/2,0))/2)),-IF(circ_int,0,eq_c1/2)+(s_0+9*s_r+IF(circ_int,eq_c1/2,0))*COS(PI()+(((30+0.5)*(4*IF(circ_int,0,eq_c1/2)+4*IF(circ_int,0,eq_c2/2)+2*PI()*(s_0+9*s_r+IF(circ_int,eq_c1/2,0)))/INDEX(lk_legs,10))-(((((2*IF(circ_int,0,eq_c2/2))+(PI()*(s_0+9*s_r+IF(circ_int,eq_c1/2,0))/2))+2*IF(circ_int,0,eq_c1/2))+(PI()*(s_0+9*s_r+IF(circ_int,eq_c1/2,0))/2))+2*IF(circ_int,0,eq_c2/2)))/(s_0+9*s_r+IF(circ_int,eq_c1/2,0))),IF(((30+0.5)*(4*IF(circ_int,0,eq_c1/2)+4*IF(circ_int,0,eq_c2/2)+2*PI()*(s_0+9*s_r+IF(circ_int,eq_c1/2,0)))/INDEX(lk_legs,10))&lt;(((((((2*IF(circ_int,0,eq_c2/2))+(PI()*(s_0+9*s_r+IF(circ_int,eq_c1/2,0))/2))+2*IF(circ_int,0,eq_c1/2))+(PI()*(s_0+9*s_r+IF(circ_int,eq_c1/2,0))/2))+2*IF(circ_int,0,eq_c2/2))+(PI()*(s_0+9*s_r+IF(circ_int,eq_c1/2,0))/2))+2*IF(circ_int,0,eq_c1/2)),-IF(circ_int,0,eq_c1/2)+(((30+0.5)*(4*IF(circ_int,0,eq_c1/2)+4*IF(circ_int,0,eq_c2/2)+2*PI()*(s_0+9*s_r+IF(circ_int,eq_c1/2,0)))/INDEX(lk_legs,10))-((((((2*IF(circ_int,0,eq_c2/2))+(PI()*(s_0+9*s_r+IF(circ_int,eq_c1/2,0))/2))+2*IF(circ_int,0,eq_c1/2))+(PI()*(s_0+9*s_r+IF(circ_int,eq_c1/2,0))/2))+2*IF(circ_int,0,eq_c2/2))+(PI()*(s_0+9*s_r+IF(circ_int,eq_c1/2,0))/2))),IF(circ_int,0,eq_c1/2)+(s_0+9*s_r+IF(circ_int,eq_c1/2,0))*COS(3*PI()/2+(((30+0.5)*(4*IF(circ_int,0,eq_c1/2)+4*IF(circ_int,0,eq_c2/2)+2*PI()*(s_0+9*s_r+IF(circ_int,eq_c1/2,0)))/INDEX(lk_legs,10))-(((((((2*IF(circ_int,0,eq_c2/2))+(PI()*(s_0+9*s_r+IF(circ_int,eq_c1/2,0))/2))+2*IF(circ_int,0,eq_c1/2))+(PI()*(s_0+9*s_r+IF(circ_int,eq_c1/2,0))/2))+2*IF(circ_int,0,eq_c2/2))+(PI()*(s_0+9*s_r+IF(circ_int,eq_c1/2,0))/2))+2*IF(circ_int,0,eq_c1/2)))/(s_0+9*s_r+IF(circ_int,eq_c1/2,0)))))))))),NA())</f>
        <v/>
      </c>
      <c r="DC33">
        <f>IF(AND(AND(links_on,10&lt;=n_per),INDEX(lk_kind,10)=1,30&lt;INDEX(lk_legs,10)),g_oy+IF(((30+0.5)*(4*IF(circ_int,0,eq_c1/2)+4*IF(circ_int,0,eq_c2/2)+2*PI()*(s_0+9*s_r+IF(circ_int,eq_c1/2,0)))/INDEX(lk_legs,10))&lt;(2*IF(circ_int,0,eq_c2/2)),-IF(circ_int,0,eq_c2/2)+((30+0.5)*(4*IF(circ_int,0,eq_c1/2)+4*IF(circ_int,0,eq_c2/2)+2*PI()*(s_0+9*s_r+IF(circ_int,eq_c1/2,0)))/INDEX(lk_legs,10)),IF(((30+0.5)*(4*IF(circ_int,0,eq_c1/2)+4*IF(circ_int,0,eq_c2/2)+2*PI()*(s_0+9*s_r+IF(circ_int,eq_c1/2,0)))/INDEX(lk_legs,10))&lt;((2*IF(circ_int,0,eq_c2/2))+(PI()*(s_0+9*s_r+IF(circ_int,eq_c1/2,0))/2)),IF(circ_int,0,eq_c2/2)+(s_0+9*s_r+IF(circ_int,eq_c1/2,0))*SIN((((30+0.5)*(4*IF(circ_int,0,eq_c1/2)+4*IF(circ_int,0,eq_c2/2)+2*PI()*(s_0+9*s_r+IF(circ_int,eq_c1/2,0)))/INDEX(lk_legs,10))-(2*IF(circ_int,0,eq_c2/2)))/(s_0+9*s_r+IF(circ_int,eq_c1/2,0))),IF(((30+0.5)*(4*IF(circ_int,0,eq_c1/2)+4*IF(circ_int,0,eq_c2/2)+2*PI()*(s_0+9*s_r+IF(circ_int,eq_c1/2,0)))/INDEX(lk_legs,10))&lt;(((2*IF(circ_int,0,eq_c2/2))+(PI()*(s_0+9*s_r+IF(circ_int,eq_c1/2,0))/2))+2*IF(circ_int,0,eq_c1/2)),IF(circ_int,0,eq_c2/2)+(s_0+9*s_r+IF(circ_int,eq_c1/2,0)),IF(((30+0.5)*(4*IF(circ_int,0,eq_c1/2)+4*IF(circ_int,0,eq_c2/2)+2*PI()*(s_0+9*s_r+IF(circ_int,eq_c1/2,0)))/INDEX(lk_legs,10))&lt;((((2*IF(circ_int,0,eq_c2/2))+(PI()*(s_0+9*s_r+IF(circ_int,eq_c1/2,0))/2))+2*IF(circ_int,0,eq_c1/2))+(PI()*(s_0+9*s_r+IF(circ_int,eq_c1/2,0))/2)),IF(circ_int,0,eq_c2/2)+(s_0+9*s_r+IF(circ_int,eq_c1/2,0))*SIN(PI()/2+(((30+0.5)*(4*IF(circ_int,0,eq_c1/2)+4*IF(circ_int,0,eq_c2/2)+2*PI()*(s_0+9*s_r+IF(circ_int,eq_c1/2,0)))/INDEX(lk_legs,10))-(((2*IF(circ_int,0,eq_c2/2))+(PI()*(s_0+9*s_r+IF(circ_int,eq_c1/2,0))/2))+2*IF(circ_int,0,eq_c1/2)))/(s_0+9*s_r+IF(circ_int,eq_c1/2,0))),IF(((30+0.5)*(4*IF(circ_int,0,eq_c1/2)+4*IF(circ_int,0,eq_c2/2)+2*PI()*(s_0+9*s_r+IF(circ_int,eq_c1/2,0)))/INDEX(lk_legs,10))&lt;(((((2*IF(circ_int,0,eq_c2/2))+(PI()*(s_0+9*s_r+IF(circ_int,eq_c1/2,0))/2))+2*IF(circ_int,0,eq_c1/2))+(PI()*(s_0+9*s_r+IF(circ_int,eq_c1/2,0))/2))+2*IF(circ_int,0,eq_c2/2)),IF(circ_int,0,eq_c2/2)-(((30+0.5)*(4*IF(circ_int,0,eq_c1/2)+4*IF(circ_int,0,eq_c2/2)+2*PI()*(s_0+9*s_r+IF(circ_int,eq_c1/2,0)))/INDEX(lk_legs,10))-((((2*IF(circ_int,0,eq_c2/2))+(PI()*(s_0+9*s_r+IF(circ_int,eq_c1/2,0))/2))+2*IF(circ_int,0,eq_c1/2))+(PI()*(s_0+9*s_r+IF(circ_int,eq_c1/2,0))/2))),IF(((30+0.5)*(4*IF(circ_int,0,eq_c1/2)+4*IF(circ_int,0,eq_c2/2)+2*PI()*(s_0+9*s_r+IF(circ_int,eq_c1/2,0)))/INDEX(lk_legs,10))&lt;((((((2*IF(circ_int,0,eq_c2/2))+(PI()*(s_0+9*s_r+IF(circ_int,eq_c1/2,0))/2))+2*IF(circ_int,0,eq_c1/2))+(PI()*(s_0+9*s_r+IF(circ_int,eq_c1/2,0))/2))+2*IF(circ_int,0,eq_c2/2))+(PI()*(s_0+9*s_r+IF(circ_int,eq_c1/2,0))/2)),-IF(circ_int,0,eq_c2/2)+(s_0+9*s_r+IF(circ_int,eq_c1/2,0))*SIN(PI()+(((30+0.5)*(4*IF(circ_int,0,eq_c1/2)+4*IF(circ_int,0,eq_c2/2)+2*PI()*(s_0+9*s_r+IF(circ_int,eq_c1/2,0)))/INDEX(lk_legs,10))-(((((2*IF(circ_int,0,eq_c2/2))+(PI()*(s_0+9*s_r+IF(circ_int,eq_c1/2,0))/2))+2*IF(circ_int,0,eq_c1/2))+(PI()*(s_0+9*s_r+IF(circ_int,eq_c1/2,0))/2))+2*IF(circ_int,0,eq_c2/2)))/(s_0+9*s_r+IF(circ_int,eq_c1/2,0))),IF(((30+0.5)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(30+0.5)*(4*IF(circ_int,0,eq_c1/2)+4*IF(circ_int,0,eq_c2/2)+2*PI()*(s_0+9*s_r+IF(circ_int,eq_c1/2,0)))/INDEX(lk_legs,10))-(((((((2*IF(circ_int,0,eq_c2/2))+(PI()*(s_0+9*s_r+IF(circ_int,eq_c1/2,0))/2))+2*IF(circ_int,0,eq_c1/2))+(PI()*(s_0+9*s_r+IF(circ_int,eq_c1/2,0))/2))+2*IF(circ_int,0,eq_c2/2))+(PI()*(s_0+9*s_r+IF(circ_int,eq_c1/2,0))/2))+2*IF(circ_int,0,eq_c1/2)))/(s_0+9*s_r+IF(circ_int,eq_c1/2,0)))))))))),NA())</f>
        <v/>
      </c>
      <c r="DE33">
        <f>IF(AND(links_on,11&lt;=n_per),IF(circ_int,(g_ox)+(c_1/2+(s_0+10*s_r))*-0.885456,CHOOSE(INDEX(lk_kind,11),(g_ox-eq_c1/2)+((s_0+10*s_r))*-0.866025,0,eq_a1+eq_c1+(s_0+10*s_r),eq_a1+eq_c1+(s_0+10*s_r))),NA())</f>
        <v/>
      </c>
      <c r="DF33">
        <f>IF(AND(links_on,11&lt;=n_per),IF(circ_int,(g_oy)+(c_1/2+(s_0+10*s_r))*-0.464723,CHOOSE(INDEX(lk_kind,11),(g_oy-eq_c2/2)+((s_0+10*s_r))*-0.500000,g_oy-eq_c2/2-(s_0+10*s_r),0,0)),NA())</f>
        <v/>
      </c>
      <c r="DH33">
        <f>IF(AND(AND(links_on,11&lt;=n_per),INDEX(lk_kind,11)=1,30&lt;INDEX(lk_legs,11)),g_ox+IF(((30+0.5)*(4*IF(circ_int,0,eq_c1/2)+4*IF(circ_int,0,eq_c2/2)+2*PI()*(s_0+10*s_r+IF(circ_int,eq_c1/2,0)))/INDEX(lk_legs,11))&lt;(2*IF(circ_int,0,eq_c2/2)),IF(circ_int,0,eq_c1/2)+(s_0+10*s_r+IF(circ_int,eq_c1/2,0)),IF(((30+0.5)*(4*IF(circ_int,0,eq_c1/2)+4*IF(circ_int,0,eq_c2/2)+2*PI()*(s_0+10*s_r+IF(circ_int,eq_c1/2,0)))/INDEX(lk_legs,11))&lt;((2*IF(circ_int,0,eq_c2/2))+(PI()*(s_0+10*s_r+IF(circ_int,eq_c1/2,0))/2)),IF(circ_int,0,eq_c1/2)+(s_0+10*s_r+IF(circ_int,eq_c1/2,0))*COS((((30+0.5)*(4*IF(circ_int,0,eq_c1/2)+4*IF(circ_int,0,eq_c2/2)+2*PI()*(s_0+10*s_r+IF(circ_int,eq_c1/2,0)))/INDEX(lk_legs,11))-(2*IF(circ_int,0,eq_c2/2)))/(s_0+10*s_r+IF(circ_int,eq_c1/2,0))),IF(((30+0.5)*(4*IF(circ_int,0,eq_c1/2)+4*IF(circ_int,0,eq_c2/2)+2*PI()*(s_0+10*s_r+IF(circ_int,eq_c1/2,0)))/INDEX(lk_legs,11))&lt;(((2*IF(circ_int,0,eq_c2/2))+(PI()*(s_0+10*s_r+IF(circ_int,eq_c1/2,0))/2))+2*IF(circ_int,0,eq_c1/2)),IF(circ_int,0,eq_c1/2)-(((30+0.5)*(4*IF(circ_int,0,eq_c1/2)+4*IF(circ_int,0,eq_c2/2)+2*PI()*(s_0+10*s_r+IF(circ_int,eq_c1/2,0)))/INDEX(lk_legs,11))-((2*IF(circ_int,0,eq_c2/2))+(PI()*(s_0+10*s_r+IF(circ_int,eq_c1/2,0))/2))),IF(((30+0.5)*(4*IF(circ_int,0,eq_c1/2)+4*IF(circ_int,0,eq_c2/2)+2*PI()*(s_0+10*s_r+IF(circ_int,eq_c1/2,0)))/INDEX(lk_legs,11))&lt;((((2*IF(circ_int,0,eq_c2/2))+(PI()*(s_0+10*s_r+IF(circ_int,eq_c1/2,0))/2))+2*IF(circ_int,0,eq_c1/2))+(PI()*(s_0+10*s_r+IF(circ_int,eq_c1/2,0))/2)),-IF(circ_int,0,eq_c1/2)+(s_0+10*s_r+IF(circ_int,eq_c1/2,0))*COS(PI()/2+(((30+0.5)*(4*IF(circ_int,0,eq_c1/2)+4*IF(circ_int,0,eq_c2/2)+2*PI()*(s_0+10*s_r+IF(circ_int,eq_c1/2,0)))/INDEX(lk_legs,11))-(((2*IF(circ_int,0,eq_c2/2))+(PI()*(s_0+10*s_r+IF(circ_int,eq_c1/2,0))/2))+2*IF(circ_int,0,eq_c1/2)))/(s_0+10*s_r+IF(circ_int,eq_c1/2,0))),IF(((30+0.5)*(4*IF(circ_int,0,eq_c1/2)+4*IF(circ_int,0,eq_c2/2)+2*PI()*(s_0+10*s_r+IF(circ_int,eq_c1/2,0)))/INDEX(lk_legs,11))&lt;(((((2*IF(circ_int,0,eq_c2/2))+(PI()*(s_0+10*s_r+IF(circ_int,eq_c1/2,0))/2))+2*IF(circ_int,0,eq_c1/2))+(PI()*(s_0+10*s_r+IF(circ_int,eq_c1/2,0))/2))+2*IF(circ_int,0,eq_c2/2)),-IF(circ_int,0,eq_c1/2)-(s_0+10*s_r+IF(circ_int,eq_c1/2,0)),IF(((30+0.5)*(4*IF(circ_int,0,eq_c1/2)+4*IF(circ_int,0,eq_c2/2)+2*PI()*(s_0+10*s_r+IF(circ_int,eq_c1/2,0)))/INDEX(lk_legs,11))&lt;((((((2*IF(circ_int,0,eq_c2/2))+(PI()*(s_0+10*s_r+IF(circ_int,eq_c1/2,0))/2))+2*IF(circ_int,0,eq_c1/2))+(PI()*(s_0+10*s_r+IF(circ_int,eq_c1/2,0))/2))+2*IF(circ_int,0,eq_c2/2))+(PI()*(s_0+10*s_r+IF(circ_int,eq_c1/2,0))/2)),-IF(circ_int,0,eq_c1/2)+(s_0+10*s_r+IF(circ_int,eq_c1/2,0))*COS(PI()+(((30+0.5)*(4*IF(circ_int,0,eq_c1/2)+4*IF(circ_int,0,eq_c2/2)+2*PI()*(s_0+10*s_r+IF(circ_int,eq_c1/2,0)))/INDEX(lk_legs,11))-(((((2*IF(circ_int,0,eq_c2/2))+(PI()*(s_0+10*s_r+IF(circ_int,eq_c1/2,0))/2))+2*IF(circ_int,0,eq_c1/2))+(PI()*(s_0+10*s_r+IF(circ_int,eq_c1/2,0))/2))+2*IF(circ_int,0,eq_c2/2)))/(s_0+10*s_r+IF(circ_int,eq_c1/2,0))),IF(((30+0.5)*(4*IF(circ_int,0,eq_c1/2)+4*IF(circ_int,0,eq_c2/2)+2*PI()*(s_0+10*s_r+IF(circ_int,eq_c1/2,0)))/INDEX(lk_legs,11))&lt;(((((((2*IF(circ_int,0,eq_c2/2))+(PI()*(s_0+10*s_r+IF(circ_int,eq_c1/2,0))/2))+2*IF(circ_int,0,eq_c1/2))+(PI()*(s_0+10*s_r+IF(circ_int,eq_c1/2,0))/2))+2*IF(circ_int,0,eq_c2/2))+(PI()*(s_0+10*s_r+IF(circ_int,eq_c1/2,0))/2))+2*IF(circ_int,0,eq_c1/2)),-IF(circ_int,0,eq_c1/2)+(((30+0.5)*(4*IF(circ_int,0,eq_c1/2)+4*IF(circ_int,0,eq_c2/2)+2*PI()*(s_0+10*s_r+IF(circ_int,eq_c1/2,0)))/INDEX(lk_legs,11))-((((((2*IF(circ_int,0,eq_c2/2))+(PI()*(s_0+10*s_r+IF(circ_int,eq_c1/2,0))/2))+2*IF(circ_int,0,eq_c1/2))+(PI()*(s_0+10*s_r+IF(circ_int,eq_c1/2,0))/2))+2*IF(circ_int,0,eq_c2/2))+(PI()*(s_0+10*s_r+IF(circ_int,eq_c1/2,0))/2))),IF(circ_int,0,eq_c1/2)+(s_0+10*s_r+IF(circ_int,eq_c1/2,0))*COS(3*PI()/2+(((30+0.5)*(4*IF(circ_int,0,eq_c1/2)+4*IF(circ_int,0,eq_c2/2)+2*PI()*(s_0+10*s_r+IF(circ_int,eq_c1/2,0)))/INDEX(lk_legs,11))-(((((((2*IF(circ_int,0,eq_c2/2))+(PI()*(s_0+10*s_r+IF(circ_int,eq_c1/2,0))/2))+2*IF(circ_int,0,eq_c1/2))+(PI()*(s_0+10*s_r+IF(circ_int,eq_c1/2,0))/2))+2*IF(circ_int,0,eq_c2/2))+(PI()*(s_0+10*s_r+IF(circ_int,eq_c1/2,0))/2))+2*IF(circ_int,0,eq_c1/2)))/(s_0+10*s_r+IF(circ_int,eq_c1/2,0)))))))))),NA())</f>
        <v/>
      </c>
      <c r="DI33">
        <f>IF(AND(AND(links_on,11&lt;=n_per),INDEX(lk_kind,11)=1,30&lt;INDEX(lk_legs,11)),g_oy+IF(((30+0.5)*(4*IF(circ_int,0,eq_c1/2)+4*IF(circ_int,0,eq_c2/2)+2*PI()*(s_0+10*s_r+IF(circ_int,eq_c1/2,0)))/INDEX(lk_legs,11))&lt;(2*IF(circ_int,0,eq_c2/2)),-IF(circ_int,0,eq_c2/2)+((30+0.5)*(4*IF(circ_int,0,eq_c1/2)+4*IF(circ_int,0,eq_c2/2)+2*PI()*(s_0+10*s_r+IF(circ_int,eq_c1/2,0)))/INDEX(lk_legs,11)),IF(((30+0.5)*(4*IF(circ_int,0,eq_c1/2)+4*IF(circ_int,0,eq_c2/2)+2*PI()*(s_0+10*s_r+IF(circ_int,eq_c1/2,0)))/INDEX(lk_legs,11))&lt;((2*IF(circ_int,0,eq_c2/2))+(PI()*(s_0+10*s_r+IF(circ_int,eq_c1/2,0))/2)),IF(circ_int,0,eq_c2/2)+(s_0+10*s_r+IF(circ_int,eq_c1/2,0))*SIN((((30+0.5)*(4*IF(circ_int,0,eq_c1/2)+4*IF(circ_int,0,eq_c2/2)+2*PI()*(s_0+10*s_r+IF(circ_int,eq_c1/2,0)))/INDEX(lk_legs,11))-(2*IF(circ_int,0,eq_c2/2)))/(s_0+10*s_r+IF(circ_int,eq_c1/2,0))),IF(((30+0.5)*(4*IF(circ_int,0,eq_c1/2)+4*IF(circ_int,0,eq_c2/2)+2*PI()*(s_0+10*s_r+IF(circ_int,eq_c1/2,0)))/INDEX(lk_legs,11))&lt;(((2*IF(circ_int,0,eq_c2/2))+(PI()*(s_0+10*s_r+IF(circ_int,eq_c1/2,0))/2))+2*IF(circ_int,0,eq_c1/2)),IF(circ_int,0,eq_c2/2)+(s_0+10*s_r+IF(circ_int,eq_c1/2,0)),IF(((30+0.5)*(4*IF(circ_int,0,eq_c1/2)+4*IF(circ_int,0,eq_c2/2)+2*PI()*(s_0+10*s_r+IF(circ_int,eq_c1/2,0)))/INDEX(lk_legs,11))&lt;((((2*IF(circ_int,0,eq_c2/2))+(PI()*(s_0+10*s_r+IF(circ_int,eq_c1/2,0))/2))+2*IF(circ_int,0,eq_c1/2))+(PI()*(s_0+10*s_r+IF(circ_int,eq_c1/2,0))/2)),IF(circ_int,0,eq_c2/2)+(s_0+10*s_r+IF(circ_int,eq_c1/2,0))*SIN(PI()/2+(((30+0.5)*(4*IF(circ_int,0,eq_c1/2)+4*IF(circ_int,0,eq_c2/2)+2*PI()*(s_0+10*s_r+IF(circ_int,eq_c1/2,0)))/INDEX(lk_legs,11))-(((2*IF(circ_int,0,eq_c2/2))+(PI()*(s_0+10*s_r+IF(circ_int,eq_c1/2,0))/2))+2*IF(circ_int,0,eq_c1/2)))/(s_0+10*s_r+IF(circ_int,eq_c1/2,0))),IF(((30+0.5)*(4*IF(circ_int,0,eq_c1/2)+4*IF(circ_int,0,eq_c2/2)+2*PI()*(s_0+10*s_r+IF(circ_int,eq_c1/2,0)))/INDEX(lk_legs,11))&lt;(((((2*IF(circ_int,0,eq_c2/2))+(PI()*(s_0+10*s_r+IF(circ_int,eq_c1/2,0))/2))+2*IF(circ_int,0,eq_c1/2))+(PI()*(s_0+10*s_r+IF(circ_int,eq_c1/2,0))/2))+2*IF(circ_int,0,eq_c2/2)),IF(circ_int,0,eq_c2/2)-(((30+0.5)*(4*IF(circ_int,0,eq_c1/2)+4*IF(circ_int,0,eq_c2/2)+2*PI()*(s_0+10*s_r+IF(circ_int,eq_c1/2,0)))/INDEX(lk_legs,11))-((((2*IF(circ_int,0,eq_c2/2))+(PI()*(s_0+10*s_r+IF(circ_int,eq_c1/2,0))/2))+2*IF(circ_int,0,eq_c1/2))+(PI()*(s_0+10*s_r+IF(circ_int,eq_c1/2,0))/2))),IF(((30+0.5)*(4*IF(circ_int,0,eq_c1/2)+4*IF(circ_int,0,eq_c2/2)+2*PI()*(s_0+10*s_r+IF(circ_int,eq_c1/2,0)))/INDEX(lk_legs,11))&lt;((((((2*IF(circ_int,0,eq_c2/2))+(PI()*(s_0+10*s_r+IF(circ_int,eq_c1/2,0))/2))+2*IF(circ_int,0,eq_c1/2))+(PI()*(s_0+10*s_r+IF(circ_int,eq_c1/2,0))/2))+2*IF(circ_int,0,eq_c2/2))+(PI()*(s_0+10*s_r+IF(circ_int,eq_c1/2,0))/2)),-IF(circ_int,0,eq_c2/2)+(s_0+10*s_r+IF(circ_int,eq_c1/2,0))*SIN(PI()+(((30+0.5)*(4*IF(circ_int,0,eq_c1/2)+4*IF(circ_int,0,eq_c2/2)+2*PI()*(s_0+10*s_r+IF(circ_int,eq_c1/2,0)))/INDEX(lk_legs,11))-(((((2*IF(circ_int,0,eq_c2/2))+(PI()*(s_0+10*s_r+IF(circ_int,eq_c1/2,0))/2))+2*IF(circ_int,0,eq_c1/2))+(PI()*(s_0+10*s_r+IF(circ_int,eq_c1/2,0))/2))+2*IF(circ_int,0,eq_c2/2)))/(s_0+10*s_r+IF(circ_int,eq_c1/2,0))),IF(((30+0.5)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(30+0.5)*(4*IF(circ_int,0,eq_c1/2)+4*IF(circ_int,0,eq_c2/2)+2*PI()*(s_0+10*s_r+IF(circ_int,eq_c1/2,0)))/INDEX(lk_legs,11))-(((((((2*IF(circ_int,0,eq_c2/2))+(PI()*(s_0+10*s_r+IF(circ_int,eq_c1/2,0))/2))+2*IF(circ_int,0,eq_c1/2))+(PI()*(s_0+10*s_r+IF(circ_int,eq_c1/2,0))/2))+2*IF(circ_int,0,eq_c2/2))+(PI()*(s_0+10*s_r+IF(circ_int,eq_c1/2,0))/2))+2*IF(circ_int,0,eq_c1/2)))/(s_0+10*s_r+IF(circ_int,eq_c1/2,0)))))))))),NA())</f>
        <v/>
      </c>
      <c r="DK33">
        <f>IF(AND(links_on,12&lt;=n_per),IF(circ_int,(g_ox)+(c_1/2+(s_0+11*s_r))*-0.885456,CHOOSE(INDEX(lk_kind,12),(g_ox-eq_c1/2)+((s_0+11*s_r))*-0.866025,0,eq_a1+eq_c1+(s_0+11*s_r),eq_a1+eq_c1+(s_0+11*s_r))),NA())</f>
        <v/>
      </c>
      <c r="DL33">
        <f>IF(AND(links_on,12&lt;=n_per),IF(circ_int,(g_oy)+(c_1/2+(s_0+11*s_r))*-0.464723,CHOOSE(INDEX(lk_kind,12),(g_oy-eq_c2/2)+((s_0+11*s_r))*-0.500000,g_oy-eq_c2/2-(s_0+11*s_r),0,0)),NA())</f>
        <v/>
      </c>
      <c r="DN33">
        <f>IF(AND(AND(links_on,12&lt;=n_per),INDEX(lk_kind,12)=1,30&lt;INDEX(lk_legs,12)),g_ox+IF(((30+0.5)*(4*IF(circ_int,0,eq_c1/2)+4*IF(circ_int,0,eq_c2/2)+2*PI()*(s_0+11*s_r+IF(circ_int,eq_c1/2,0)))/INDEX(lk_legs,12))&lt;(2*IF(circ_int,0,eq_c2/2)),IF(circ_int,0,eq_c1/2)+(s_0+11*s_r+IF(circ_int,eq_c1/2,0)),IF(((30+0.5)*(4*IF(circ_int,0,eq_c1/2)+4*IF(circ_int,0,eq_c2/2)+2*PI()*(s_0+11*s_r+IF(circ_int,eq_c1/2,0)))/INDEX(lk_legs,12))&lt;((2*IF(circ_int,0,eq_c2/2))+(PI()*(s_0+11*s_r+IF(circ_int,eq_c1/2,0))/2)),IF(circ_int,0,eq_c1/2)+(s_0+11*s_r+IF(circ_int,eq_c1/2,0))*COS((((30+0.5)*(4*IF(circ_int,0,eq_c1/2)+4*IF(circ_int,0,eq_c2/2)+2*PI()*(s_0+11*s_r+IF(circ_int,eq_c1/2,0)))/INDEX(lk_legs,12))-(2*IF(circ_int,0,eq_c2/2)))/(s_0+11*s_r+IF(circ_int,eq_c1/2,0))),IF(((30+0.5)*(4*IF(circ_int,0,eq_c1/2)+4*IF(circ_int,0,eq_c2/2)+2*PI()*(s_0+11*s_r+IF(circ_int,eq_c1/2,0)))/INDEX(lk_legs,12))&lt;(((2*IF(circ_int,0,eq_c2/2))+(PI()*(s_0+11*s_r+IF(circ_int,eq_c1/2,0))/2))+2*IF(circ_int,0,eq_c1/2)),IF(circ_int,0,eq_c1/2)-(((30+0.5)*(4*IF(circ_int,0,eq_c1/2)+4*IF(circ_int,0,eq_c2/2)+2*PI()*(s_0+11*s_r+IF(circ_int,eq_c1/2,0)))/INDEX(lk_legs,12))-((2*IF(circ_int,0,eq_c2/2))+(PI()*(s_0+11*s_r+IF(circ_int,eq_c1/2,0))/2))),IF(((30+0.5)*(4*IF(circ_int,0,eq_c1/2)+4*IF(circ_int,0,eq_c2/2)+2*PI()*(s_0+11*s_r+IF(circ_int,eq_c1/2,0)))/INDEX(lk_legs,12))&lt;((((2*IF(circ_int,0,eq_c2/2))+(PI()*(s_0+11*s_r+IF(circ_int,eq_c1/2,0))/2))+2*IF(circ_int,0,eq_c1/2))+(PI()*(s_0+11*s_r+IF(circ_int,eq_c1/2,0))/2)),-IF(circ_int,0,eq_c1/2)+(s_0+11*s_r+IF(circ_int,eq_c1/2,0))*COS(PI()/2+(((30+0.5)*(4*IF(circ_int,0,eq_c1/2)+4*IF(circ_int,0,eq_c2/2)+2*PI()*(s_0+11*s_r+IF(circ_int,eq_c1/2,0)))/INDEX(lk_legs,12))-(((2*IF(circ_int,0,eq_c2/2))+(PI()*(s_0+11*s_r+IF(circ_int,eq_c1/2,0))/2))+2*IF(circ_int,0,eq_c1/2)))/(s_0+11*s_r+IF(circ_int,eq_c1/2,0))),IF(((30+0.5)*(4*IF(circ_int,0,eq_c1/2)+4*IF(circ_int,0,eq_c2/2)+2*PI()*(s_0+11*s_r+IF(circ_int,eq_c1/2,0)))/INDEX(lk_legs,12))&lt;(((((2*IF(circ_int,0,eq_c2/2))+(PI()*(s_0+11*s_r+IF(circ_int,eq_c1/2,0))/2))+2*IF(circ_int,0,eq_c1/2))+(PI()*(s_0+11*s_r+IF(circ_int,eq_c1/2,0))/2))+2*IF(circ_int,0,eq_c2/2)),-IF(circ_int,0,eq_c1/2)-(s_0+11*s_r+IF(circ_int,eq_c1/2,0)),IF(((30+0.5)*(4*IF(circ_int,0,eq_c1/2)+4*IF(circ_int,0,eq_c2/2)+2*PI()*(s_0+11*s_r+IF(circ_int,eq_c1/2,0)))/INDEX(lk_legs,12))&lt;((((((2*IF(circ_int,0,eq_c2/2))+(PI()*(s_0+11*s_r+IF(circ_int,eq_c1/2,0))/2))+2*IF(circ_int,0,eq_c1/2))+(PI()*(s_0+11*s_r+IF(circ_int,eq_c1/2,0))/2))+2*IF(circ_int,0,eq_c2/2))+(PI()*(s_0+11*s_r+IF(circ_int,eq_c1/2,0))/2)),-IF(circ_int,0,eq_c1/2)+(s_0+11*s_r+IF(circ_int,eq_c1/2,0))*COS(PI()+(((30+0.5)*(4*IF(circ_int,0,eq_c1/2)+4*IF(circ_int,0,eq_c2/2)+2*PI()*(s_0+11*s_r+IF(circ_int,eq_c1/2,0)))/INDEX(lk_legs,12))-(((((2*IF(circ_int,0,eq_c2/2))+(PI()*(s_0+11*s_r+IF(circ_int,eq_c1/2,0))/2))+2*IF(circ_int,0,eq_c1/2))+(PI()*(s_0+11*s_r+IF(circ_int,eq_c1/2,0))/2))+2*IF(circ_int,0,eq_c2/2)))/(s_0+11*s_r+IF(circ_int,eq_c1/2,0))),IF(((30+0.5)*(4*IF(circ_int,0,eq_c1/2)+4*IF(circ_int,0,eq_c2/2)+2*PI()*(s_0+11*s_r+IF(circ_int,eq_c1/2,0)))/INDEX(lk_legs,12))&lt;(((((((2*IF(circ_int,0,eq_c2/2))+(PI()*(s_0+11*s_r+IF(circ_int,eq_c1/2,0))/2))+2*IF(circ_int,0,eq_c1/2))+(PI()*(s_0+11*s_r+IF(circ_int,eq_c1/2,0))/2))+2*IF(circ_int,0,eq_c2/2))+(PI()*(s_0+11*s_r+IF(circ_int,eq_c1/2,0))/2))+2*IF(circ_int,0,eq_c1/2)),-IF(circ_int,0,eq_c1/2)+(((30+0.5)*(4*IF(circ_int,0,eq_c1/2)+4*IF(circ_int,0,eq_c2/2)+2*PI()*(s_0+11*s_r+IF(circ_int,eq_c1/2,0)))/INDEX(lk_legs,12))-((((((2*IF(circ_int,0,eq_c2/2))+(PI()*(s_0+11*s_r+IF(circ_int,eq_c1/2,0))/2))+2*IF(circ_int,0,eq_c1/2))+(PI()*(s_0+11*s_r+IF(circ_int,eq_c1/2,0))/2))+2*IF(circ_int,0,eq_c2/2))+(PI()*(s_0+11*s_r+IF(circ_int,eq_c1/2,0))/2))),IF(circ_int,0,eq_c1/2)+(s_0+11*s_r+IF(circ_int,eq_c1/2,0))*COS(3*PI()/2+(((30+0.5)*(4*IF(circ_int,0,eq_c1/2)+4*IF(circ_int,0,eq_c2/2)+2*PI()*(s_0+11*s_r+IF(circ_int,eq_c1/2,0)))/INDEX(lk_legs,12))-(((((((2*IF(circ_int,0,eq_c2/2))+(PI()*(s_0+11*s_r+IF(circ_int,eq_c1/2,0))/2))+2*IF(circ_int,0,eq_c1/2))+(PI()*(s_0+11*s_r+IF(circ_int,eq_c1/2,0))/2))+2*IF(circ_int,0,eq_c2/2))+(PI()*(s_0+11*s_r+IF(circ_int,eq_c1/2,0))/2))+2*IF(circ_int,0,eq_c1/2)))/(s_0+11*s_r+IF(circ_int,eq_c1/2,0)))))))))),NA())</f>
        <v/>
      </c>
      <c r="DO33">
        <f>IF(AND(AND(links_on,12&lt;=n_per),INDEX(lk_kind,12)=1,30&lt;INDEX(lk_legs,12)),g_oy+IF(((30+0.5)*(4*IF(circ_int,0,eq_c1/2)+4*IF(circ_int,0,eq_c2/2)+2*PI()*(s_0+11*s_r+IF(circ_int,eq_c1/2,0)))/INDEX(lk_legs,12))&lt;(2*IF(circ_int,0,eq_c2/2)),-IF(circ_int,0,eq_c2/2)+((30+0.5)*(4*IF(circ_int,0,eq_c1/2)+4*IF(circ_int,0,eq_c2/2)+2*PI()*(s_0+11*s_r+IF(circ_int,eq_c1/2,0)))/INDEX(lk_legs,12)),IF(((30+0.5)*(4*IF(circ_int,0,eq_c1/2)+4*IF(circ_int,0,eq_c2/2)+2*PI()*(s_0+11*s_r+IF(circ_int,eq_c1/2,0)))/INDEX(lk_legs,12))&lt;((2*IF(circ_int,0,eq_c2/2))+(PI()*(s_0+11*s_r+IF(circ_int,eq_c1/2,0))/2)),IF(circ_int,0,eq_c2/2)+(s_0+11*s_r+IF(circ_int,eq_c1/2,0))*SIN((((30+0.5)*(4*IF(circ_int,0,eq_c1/2)+4*IF(circ_int,0,eq_c2/2)+2*PI()*(s_0+11*s_r+IF(circ_int,eq_c1/2,0)))/INDEX(lk_legs,12))-(2*IF(circ_int,0,eq_c2/2)))/(s_0+11*s_r+IF(circ_int,eq_c1/2,0))),IF(((30+0.5)*(4*IF(circ_int,0,eq_c1/2)+4*IF(circ_int,0,eq_c2/2)+2*PI()*(s_0+11*s_r+IF(circ_int,eq_c1/2,0)))/INDEX(lk_legs,12))&lt;(((2*IF(circ_int,0,eq_c2/2))+(PI()*(s_0+11*s_r+IF(circ_int,eq_c1/2,0))/2))+2*IF(circ_int,0,eq_c1/2)),IF(circ_int,0,eq_c2/2)+(s_0+11*s_r+IF(circ_int,eq_c1/2,0)),IF(((30+0.5)*(4*IF(circ_int,0,eq_c1/2)+4*IF(circ_int,0,eq_c2/2)+2*PI()*(s_0+11*s_r+IF(circ_int,eq_c1/2,0)))/INDEX(lk_legs,12))&lt;((((2*IF(circ_int,0,eq_c2/2))+(PI()*(s_0+11*s_r+IF(circ_int,eq_c1/2,0))/2))+2*IF(circ_int,0,eq_c1/2))+(PI()*(s_0+11*s_r+IF(circ_int,eq_c1/2,0))/2)),IF(circ_int,0,eq_c2/2)+(s_0+11*s_r+IF(circ_int,eq_c1/2,0))*SIN(PI()/2+(((30+0.5)*(4*IF(circ_int,0,eq_c1/2)+4*IF(circ_int,0,eq_c2/2)+2*PI()*(s_0+11*s_r+IF(circ_int,eq_c1/2,0)))/INDEX(lk_legs,12))-(((2*IF(circ_int,0,eq_c2/2))+(PI()*(s_0+11*s_r+IF(circ_int,eq_c1/2,0))/2))+2*IF(circ_int,0,eq_c1/2)))/(s_0+11*s_r+IF(circ_int,eq_c1/2,0))),IF(((30+0.5)*(4*IF(circ_int,0,eq_c1/2)+4*IF(circ_int,0,eq_c2/2)+2*PI()*(s_0+11*s_r+IF(circ_int,eq_c1/2,0)))/INDEX(lk_legs,12))&lt;(((((2*IF(circ_int,0,eq_c2/2))+(PI()*(s_0+11*s_r+IF(circ_int,eq_c1/2,0))/2))+2*IF(circ_int,0,eq_c1/2))+(PI()*(s_0+11*s_r+IF(circ_int,eq_c1/2,0))/2))+2*IF(circ_int,0,eq_c2/2)),IF(circ_int,0,eq_c2/2)-(((30+0.5)*(4*IF(circ_int,0,eq_c1/2)+4*IF(circ_int,0,eq_c2/2)+2*PI()*(s_0+11*s_r+IF(circ_int,eq_c1/2,0)))/INDEX(lk_legs,12))-((((2*IF(circ_int,0,eq_c2/2))+(PI()*(s_0+11*s_r+IF(circ_int,eq_c1/2,0))/2))+2*IF(circ_int,0,eq_c1/2))+(PI()*(s_0+11*s_r+IF(circ_int,eq_c1/2,0))/2))),IF(((30+0.5)*(4*IF(circ_int,0,eq_c1/2)+4*IF(circ_int,0,eq_c2/2)+2*PI()*(s_0+11*s_r+IF(circ_int,eq_c1/2,0)))/INDEX(lk_legs,12))&lt;((((((2*IF(circ_int,0,eq_c2/2))+(PI()*(s_0+11*s_r+IF(circ_int,eq_c1/2,0))/2))+2*IF(circ_int,0,eq_c1/2))+(PI()*(s_0+11*s_r+IF(circ_int,eq_c1/2,0))/2))+2*IF(circ_int,0,eq_c2/2))+(PI()*(s_0+11*s_r+IF(circ_int,eq_c1/2,0))/2)),-IF(circ_int,0,eq_c2/2)+(s_0+11*s_r+IF(circ_int,eq_c1/2,0))*SIN(PI()+(((30+0.5)*(4*IF(circ_int,0,eq_c1/2)+4*IF(circ_int,0,eq_c2/2)+2*PI()*(s_0+11*s_r+IF(circ_int,eq_c1/2,0)))/INDEX(lk_legs,12))-(((((2*IF(circ_int,0,eq_c2/2))+(PI()*(s_0+11*s_r+IF(circ_int,eq_c1/2,0))/2))+2*IF(circ_int,0,eq_c1/2))+(PI()*(s_0+11*s_r+IF(circ_int,eq_c1/2,0))/2))+2*IF(circ_int,0,eq_c2/2)))/(s_0+11*s_r+IF(circ_int,eq_c1/2,0))),IF(((30+0.5)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(30+0.5)*(4*IF(circ_int,0,eq_c1/2)+4*IF(circ_int,0,eq_c2/2)+2*PI()*(s_0+11*s_r+IF(circ_int,eq_c1/2,0)))/INDEX(lk_legs,12))-(((((((2*IF(circ_int,0,eq_c2/2))+(PI()*(s_0+11*s_r+IF(circ_int,eq_c1/2,0))/2))+2*IF(circ_int,0,eq_c1/2))+(PI()*(s_0+11*s_r+IF(circ_int,eq_c1/2,0))/2))+2*IF(circ_int,0,eq_c2/2))+(PI()*(s_0+11*s_r+IF(circ_int,eq_c1/2,0))/2))+2*IF(circ_int,0,eq_c1/2)))/(s_0+11*s_r+IF(circ_int,eq_c1/2,0)))))))))),NA())</f>
        <v/>
      </c>
    </row>
    <row r="34">
      <c r="A34">
        <f>IF(shape="Circular",(g_ox)+(c_1/2+0)*-0.822984,CHOOSE(1,(g_ox-eq_c1/2)+(0)*-0.793353,0,eq_a1+eq_c1+0,eq_a1+eq_c1+0))</f>
        <v/>
      </c>
      <c r="B34">
        <f>IF(shape="Circular",(g_oy)+(c_1/2+0)*-0.568065,CHOOSE(1,(g_oy-eq_c2/2)+(0)*-0.608761,g_oy-eq_c2/2-0,0,0))</f>
        <v/>
      </c>
      <c r="D34">
        <f>IF(circ_int,(g_ox)+(c_1/2+2*d_eff)*-0.822984,CHOOSE(geo_idx,(g_ox-eq_c1/2)+(2*d_eff)*-0.793353,0,eq_a1+eq_c1+2*d_eff,eq_a1+eq_c1+2*d_eff))</f>
        <v/>
      </c>
      <c r="E34">
        <f>IF(circ_int,(g_oy)+(c_1/2+2*d_eff)*-0.568065,CHOOSE(geo_idx,(g_oy-eq_c2/2)+(2*d_eff)*-0.608761,g_oy-eq_c2/2-2*d_eff,0,0))</f>
        <v/>
      </c>
      <c r="G34">
        <f>IF(AND(inputs_ok,punch_ok,A_sw&gt;0),IF(circ_int,(g_ox)+(c_1/2+r_out)*-0.822984,CHOOSE(kind_out,(g_ox-eq_c1/2)+(r_out)*-0.793353,0,eq_a1+eq_c1+r_out,eq_a1+eq_c1+r_out)),NA())</f>
        <v/>
      </c>
      <c r="H34">
        <f>IF(AND(inputs_ok,punch_ok,A_sw&gt;0),IF(circ_int,(g_oy)+(c_1/2+r_out)*-0.568065,CHOOSE(kind_out,(g_oy-eq_c2/2)+(r_out)*-0.608761,g_oy-eq_c2/2-r_out,0,0)),NA())</f>
        <v/>
      </c>
      <c r="AW34">
        <f>IF(AND(links_on,1&lt;=n_per),IF(circ_int,(g_ox)+(c_1/2+(s_0+0*s_r))*-0.822984,CHOOSE(INDEX(lk_kind,1),(g_ox-eq_c1/2)+((s_0+0*s_r))*-0.793353,0,eq_a1+eq_c1+(s_0+0*s_r),eq_a1+eq_c1+(s_0+0*s_r))),NA())</f>
        <v/>
      </c>
      <c r="AX34">
        <f>IF(AND(links_on,1&lt;=n_per),IF(circ_int,(g_oy)+(c_1/2+(s_0+0*s_r))*-0.568065,CHOOSE(INDEX(lk_kind,1),(g_oy-eq_c2/2)+((s_0+0*s_r))*-0.608761,g_oy-eq_c2/2-(s_0+0*s_r),0,0)),NA())</f>
        <v/>
      </c>
      <c r="AZ34">
        <f>IF(AND(AND(links_on,1&lt;=n_per),INDEX(lk_kind,1)=1,31&lt;INDEX(lk_legs,1)),g_ox+IF(((31+0.5)*(4*IF(circ_int,0,eq_c1/2)+4*IF(circ_int,0,eq_c2/2)+2*PI()*(s_0+0*s_r+IF(circ_int,eq_c1/2,0)))/INDEX(lk_legs,1))&lt;(2*IF(circ_int,0,eq_c2/2)),IF(circ_int,0,eq_c1/2)+(s_0+0*s_r+IF(circ_int,eq_c1/2,0)),IF(((31+0.5)*(4*IF(circ_int,0,eq_c1/2)+4*IF(circ_int,0,eq_c2/2)+2*PI()*(s_0+0*s_r+IF(circ_int,eq_c1/2,0)))/INDEX(lk_legs,1))&lt;((2*IF(circ_int,0,eq_c2/2))+(PI()*(s_0+0*s_r+IF(circ_int,eq_c1/2,0))/2)),IF(circ_int,0,eq_c1/2)+(s_0+0*s_r+IF(circ_int,eq_c1/2,0))*COS((((31+0.5)*(4*IF(circ_int,0,eq_c1/2)+4*IF(circ_int,0,eq_c2/2)+2*PI()*(s_0+0*s_r+IF(circ_int,eq_c1/2,0)))/INDEX(lk_legs,1))-(2*IF(circ_int,0,eq_c2/2)))/(s_0+0*s_r+IF(circ_int,eq_c1/2,0))),IF(((31+0.5)*(4*IF(circ_int,0,eq_c1/2)+4*IF(circ_int,0,eq_c2/2)+2*PI()*(s_0+0*s_r+IF(circ_int,eq_c1/2,0)))/INDEX(lk_legs,1))&lt;(((2*IF(circ_int,0,eq_c2/2))+(PI()*(s_0+0*s_r+IF(circ_int,eq_c1/2,0))/2))+2*IF(circ_int,0,eq_c1/2)),IF(circ_int,0,eq_c1/2)-(((31+0.5)*(4*IF(circ_int,0,eq_c1/2)+4*IF(circ_int,0,eq_c2/2)+2*PI()*(s_0+0*s_r+IF(circ_int,eq_c1/2,0)))/INDEX(lk_legs,1))-((2*IF(circ_int,0,eq_c2/2))+(PI()*(s_0+0*s_r+IF(circ_int,eq_c1/2,0))/2))),IF(((31+0.5)*(4*IF(circ_int,0,eq_c1/2)+4*IF(circ_int,0,eq_c2/2)+2*PI()*(s_0+0*s_r+IF(circ_int,eq_c1/2,0)))/INDEX(lk_legs,1))&lt;((((2*IF(circ_int,0,eq_c2/2))+(PI()*(s_0+0*s_r+IF(circ_int,eq_c1/2,0))/2))+2*IF(circ_int,0,eq_c1/2))+(PI()*(s_0+0*s_r+IF(circ_int,eq_c1/2,0))/2)),-IF(circ_int,0,eq_c1/2)+(s_0+0*s_r+IF(circ_int,eq_c1/2,0))*COS(PI()/2+(((31+0.5)*(4*IF(circ_int,0,eq_c1/2)+4*IF(circ_int,0,eq_c2/2)+2*PI()*(s_0+0*s_r+IF(circ_int,eq_c1/2,0)))/INDEX(lk_legs,1))-(((2*IF(circ_int,0,eq_c2/2))+(PI()*(s_0+0*s_r+IF(circ_int,eq_c1/2,0))/2))+2*IF(circ_int,0,eq_c1/2)))/(s_0+0*s_r+IF(circ_int,eq_c1/2,0))),IF(((31+0.5)*(4*IF(circ_int,0,eq_c1/2)+4*IF(circ_int,0,eq_c2/2)+2*PI()*(s_0+0*s_r+IF(circ_int,eq_c1/2,0)))/INDEX(lk_legs,1))&lt;(((((2*IF(circ_int,0,eq_c2/2))+(PI()*(s_0+0*s_r+IF(circ_int,eq_c1/2,0))/2))+2*IF(circ_int,0,eq_c1/2))+(PI()*(s_0+0*s_r+IF(circ_int,eq_c1/2,0))/2))+2*IF(circ_int,0,eq_c2/2)),-IF(circ_int,0,eq_c1/2)-(s_0+0*s_r+IF(circ_int,eq_c1/2,0)),IF(((31+0.5)*(4*IF(circ_int,0,eq_c1/2)+4*IF(circ_int,0,eq_c2/2)+2*PI()*(s_0+0*s_r+IF(circ_int,eq_c1/2,0)))/INDEX(lk_legs,1))&lt;((((((2*IF(circ_int,0,eq_c2/2))+(PI()*(s_0+0*s_r+IF(circ_int,eq_c1/2,0))/2))+2*IF(circ_int,0,eq_c1/2))+(PI()*(s_0+0*s_r+IF(circ_int,eq_c1/2,0))/2))+2*IF(circ_int,0,eq_c2/2))+(PI()*(s_0+0*s_r+IF(circ_int,eq_c1/2,0))/2)),-IF(circ_int,0,eq_c1/2)+(s_0+0*s_r+IF(circ_int,eq_c1/2,0))*COS(PI()+(((31+0.5)*(4*IF(circ_int,0,eq_c1/2)+4*IF(circ_int,0,eq_c2/2)+2*PI()*(s_0+0*s_r+IF(circ_int,eq_c1/2,0)))/INDEX(lk_legs,1))-(((((2*IF(circ_int,0,eq_c2/2))+(PI()*(s_0+0*s_r+IF(circ_int,eq_c1/2,0))/2))+2*IF(circ_int,0,eq_c1/2))+(PI()*(s_0+0*s_r+IF(circ_int,eq_c1/2,0))/2))+2*IF(circ_int,0,eq_c2/2)))/(s_0+0*s_r+IF(circ_int,eq_c1/2,0))),IF(((31+0.5)*(4*IF(circ_int,0,eq_c1/2)+4*IF(circ_int,0,eq_c2/2)+2*PI()*(s_0+0*s_r+IF(circ_int,eq_c1/2,0)))/INDEX(lk_legs,1))&lt;(((((((2*IF(circ_int,0,eq_c2/2))+(PI()*(s_0+0*s_r+IF(circ_int,eq_c1/2,0))/2))+2*IF(circ_int,0,eq_c1/2))+(PI()*(s_0+0*s_r+IF(circ_int,eq_c1/2,0))/2))+2*IF(circ_int,0,eq_c2/2))+(PI()*(s_0+0*s_r+IF(circ_int,eq_c1/2,0))/2))+2*IF(circ_int,0,eq_c1/2)),-IF(circ_int,0,eq_c1/2)+(((31+0.5)*(4*IF(circ_int,0,eq_c1/2)+4*IF(circ_int,0,eq_c2/2)+2*PI()*(s_0+0*s_r+IF(circ_int,eq_c1/2,0)))/INDEX(lk_legs,1))-((((((2*IF(circ_int,0,eq_c2/2))+(PI()*(s_0+0*s_r+IF(circ_int,eq_c1/2,0))/2))+2*IF(circ_int,0,eq_c1/2))+(PI()*(s_0+0*s_r+IF(circ_int,eq_c1/2,0))/2))+2*IF(circ_int,0,eq_c2/2))+(PI()*(s_0+0*s_r+IF(circ_int,eq_c1/2,0))/2))),IF(circ_int,0,eq_c1/2)+(s_0+0*s_r+IF(circ_int,eq_c1/2,0))*COS(3*PI()/2+(((31+0.5)*(4*IF(circ_int,0,eq_c1/2)+4*IF(circ_int,0,eq_c2/2)+2*PI()*(s_0+0*s_r+IF(circ_int,eq_c1/2,0)))/INDEX(lk_legs,1))-(((((((2*IF(circ_int,0,eq_c2/2))+(PI()*(s_0+0*s_r+IF(circ_int,eq_c1/2,0))/2))+2*IF(circ_int,0,eq_c1/2))+(PI()*(s_0+0*s_r+IF(circ_int,eq_c1/2,0))/2))+2*IF(circ_int,0,eq_c2/2))+(PI()*(s_0+0*s_r+IF(circ_int,eq_c1/2,0))/2))+2*IF(circ_int,0,eq_c1/2)))/(s_0+0*s_r+IF(circ_int,eq_c1/2,0)))))))))),NA())</f>
        <v/>
      </c>
      <c r="BA34">
        <f>IF(AND(AND(links_on,1&lt;=n_per),INDEX(lk_kind,1)=1,31&lt;INDEX(lk_legs,1)),g_oy+IF(((31+0.5)*(4*IF(circ_int,0,eq_c1/2)+4*IF(circ_int,0,eq_c2/2)+2*PI()*(s_0+0*s_r+IF(circ_int,eq_c1/2,0)))/INDEX(lk_legs,1))&lt;(2*IF(circ_int,0,eq_c2/2)),-IF(circ_int,0,eq_c2/2)+((31+0.5)*(4*IF(circ_int,0,eq_c1/2)+4*IF(circ_int,0,eq_c2/2)+2*PI()*(s_0+0*s_r+IF(circ_int,eq_c1/2,0)))/INDEX(lk_legs,1)),IF(((31+0.5)*(4*IF(circ_int,0,eq_c1/2)+4*IF(circ_int,0,eq_c2/2)+2*PI()*(s_0+0*s_r+IF(circ_int,eq_c1/2,0)))/INDEX(lk_legs,1))&lt;((2*IF(circ_int,0,eq_c2/2))+(PI()*(s_0+0*s_r+IF(circ_int,eq_c1/2,0))/2)),IF(circ_int,0,eq_c2/2)+(s_0+0*s_r+IF(circ_int,eq_c1/2,0))*SIN((((31+0.5)*(4*IF(circ_int,0,eq_c1/2)+4*IF(circ_int,0,eq_c2/2)+2*PI()*(s_0+0*s_r+IF(circ_int,eq_c1/2,0)))/INDEX(lk_legs,1))-(2*IF(circ_int,0,eq_c2/2)))/(s_0+0*s_r+IF(circ_int,eq_c1/2,0))),IF(((31+0.5)*(4*IF(circ_int,0,eq_c1/2)+4*IF(circ_int,0,eq_c2/2)+2*PI()*(s_0+0*s_r+IF(circ_int,eq_c1/2,0)))/INDEX(lk_legs,1))&lt;(((2*IF(circ_int,0,eq_c2/2))+(PI()*(s_0+0*s_r+IF(circ_int,eq_c1/2,0))/2))+2*IF(circ_int,0,eq_c1/2)),IF(circ_int,0,eq_c2/2)+(s_0+0*s_r+IF(circ_int,eq_c1/2,0)),IF(((31+0.5)*(4*IF(circ_int,0,eq_c1/2)+4*IF(circ_int,0,eq_c2/2)+2*PI()*(s_0+0*s_r+IF(circ_int,eq_c1/2,0)))/INDEX(lk_legs,1))&lt;((((2*IF(circ_int,0,eq_c2/2))+(PI()*(s_0+0*s_r+IF(circ_int,eq_c1/2,0))/2))+2*IF(circ_int,0,eq_c1/2))+(PI()*(s_0+0*s_r+IF(circ_int,eq_c1/2,0))/2)),IF(circ_int,0,eq_c2/2)+(s_0+0*s_r+IF(circ_int,eq_c1/2,0))*SIN(PI()/2+(((31+0.5)*(4*IF(circ_int,0,eq_c1/2)+4*IF(circ_int,0,eq_c2/2)+2*PI()*(s_0+0*s_r+IF(circ_int,eq_c1/2,0)))/INDEX(lk_legs,1))-(((2*IF(circ_int,0,eq_c2/2))+(PI()*(s_0+0*s_r+IF(circ_int,eq_c1/2,0))/2))+2*IF(circ_int,0,eq_c1/2)))/(s_0+0*s_r+IF(circ_int,eq_c1/2,0))),IF(((31+0.5)*(4*IF(circ_int,0,eq_c1/2)+4*IF(circ_int,0,eq_c2/2)+2*PI()*(s_0+0*s_r+IF(circ_int,eq_c1/2,0)))/INDEX(lk_legs,1))&lt;(((((2*IF(circ_int,0,eq_c2/2))+(PI()*(s_0+0*s_r+IF(circ_int,eq_c1/2,0))/2))+2*IF(circ_int,0,eq_c1/2))+(PI()*(s_0+0*s_r+IF(circ_int,eq_c1/2,0))/2))+2*IF(circ_int,0,eq_c2/2)),IF(circ_int,0,eq_c2/2)-(((31+0.5)*(4*IF(circ_int,0,eq_c1/2)+4*IF(circ_int,0,eq_c2/2)+2*PI()*(s_0+0*s_r+IF(circ_int,eq_c1/2,0)))/INDEX(lk_legs,1))-((((2*IF(circ_int,0,eq_c2/2))+(PI()*(s_0+0*s_r+IF(circ_int,eq_c1/2,0))/2))+2*IF(circ_int,0,eq_c1/2))+(PI()*(s_0+0*s_r+IF(circ_int,eq_c1/2,0))/2))),IF(((31+0.5)*(4*IF(circ_int,0,eq_c1/2)+4*IF(circ_int,0,eq_c2/2)+2*PI()*(s_0+0*s_r+IF(circ_int,eq_c1/2,0)))/INDEX(lk_legs,1))&lt;((((((2*IF(circ_int,0,eq_c2/2))+(PI()*(s_0+0*s_r+IF(circ_int,eq_c1/2,0))/2))+2*IF(circ_int,0,eq_c1/2))+(PI()*(s_0+0*s_r+IF(circ_int,eq_c1/2,0))/2))+2*IF(circ_int,0,eq_c2/2))+(PI()*(s_0+0*s_r+IF(circ_int,eq_c1/2,0))/2)),-IF(circ_int,0,eq_c2/2)+(s_0+0*s_r+IF(circ_int,eq_c1/2,0))*SIN(PI()+(((31+0.5)*(4*IF(circ_int,0,eq_c1/2)+4*IF(circ_int,0,eq_c2/2)+2*PI()*(s_0+0*s_r+IF(circ_int,eq_c1/2,0)))/INDEX(lk_legs,1))-(((((2*IF(circ_int,0,eq_c2/2))+(PI()*(s_0+0*s_r+IF(circ_int,eq_c1/2,0))/2))+2*IF(circ_int,0,eq_c1/2))+(PI()*(s_0+0*s_r+IF(circ_int,eq_c1/2,0))/2))+2*IF(circ_int,0,eq_c2/2)))/(s_0+0*s_r+IF(circ_int,eq_c1/2,0))),IF(((31+0.5)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(31+0.5)*(4*IF(circ_int,0,eq_c1/2)+4*IF(circ_int,0,eq_c2/2)+2*PI()*(s_0+0*s_r+IF(circ_int,eq_c1/2,0)))/INDEX(lk_legs,1))-(((((((2*IF(circ_int,0,eq_c2/2))+(PI()*(s_0+0*s_r+IF(circ_int,eq_c1/2,0))/2))+2*IF(circ_int,0,eq_c1/2))+(PI()*(s_0+0*s_r+IF(circ_int,eq_c1/2,0))/2))+2*IF(circ_int,0,eq_c2/2))+(PI()*(s_0+0*s_r+IF(circ_int,eq_c1/2,0))/2))+2*IF(circ_int,0,eq_c1/2)))/(s_0+0*s_r+IF(circ_int,eq_c1/2,0)))))))))),NA())</f>
        <v/>
      </c>
      <c r="BC34">
        <f>IF(AND(links_on,2&lt;=n_per),IF(circ_int,(g_ox)+(c_1/2+(s_0+1*s_r))*-0.822984,CHOOSE(INDEX(lk_kind,2),(g_ox-eq_c1/2)+((s_0+1*s_r))*-0.793353,0,eq_a1+eq_c1+(s_0+1*s_r),eq_a1+eq_c1+(s_0+1*s_r))),NA())</f>
        <v/>
      </c>
      <c r="BD34">
        <f>IF(AND(links_on,2&lt;=n_per),IF(circ_int,(g_oy)+(c_1/2+(s_0+1*s_r))*-0.568065,CHOOSE(INDEX(lk_kind,2),(g_oy-eq_c2/2)+((s_0+1*s_r))*-0.608761,g_oy-eq_c2/2-(s_0+1*s_r),0,0)),NA())</f>
        <v/>
      </c>
      <c r="BF34">
        <f>IF(AND(AND(links_on,2&lt;=n_per),INDEX(lk_kind,2)=1,31&lt;INDEX(lk_legs,2)),g_ox+IF(((31+0.5)*(4*IF(circ_int,0,eq_c1/2)+4*IF(circ_int,0,eq_c2/2)+2*PI()*(s_0+1*s_r+IF(circ_int,eq_c1/2,0)))/INDEX(lk_legs,2))&lt;(2*IF(circ_int,0,eq_c2/2)),IF(circ_int,0,eq_c1/2)+(s_0+1*s_r+IF(circ_int,eq_c1/2,0)),IF(((31+0.5)*(4*IF(circ_int,0,eq_c1/2)+4*IF(circ_int,0,eq_c2/2)+2*PI()*(s_0+1*s_r+IF(circ_int,eq_c1/2,0)))/INDEX(lk_legs,2))&lt;((2*IF(circ_int,0,eq_c2/2))+(PI()*(s_0+1*s_r+IF(circ_int,eq_c1/2,0))/2)),IF(circ_int,0,eq_c1/2)+(s_0+1*s_r+IF(circ_int,eq_c1/2,0))*COS((((31+0.5)*(4*IF(circ_int,0,eq_c1/2)+4*IF(circ_int,0,eq_c2/2)+2*PI()*(s_0+1*s_r+IF(circ_int,eq_c1/2,0)))/INDEX(lk_legs,2))-(2*IF(circ_int,0,eq_c2/2)))/(s_0+1*s_r+IF(circ_int,eq_c1/2,0))),IF(((31+0.5)*(4*IF(circ_int,0,eq_c1/2)+4*IF(circ_int,0,eq_c2/2)+2*PI()*(s_0+1*s_r+IF(circ_int,eq_c1/2,0)))/INDEX(lk_legs,2))&lt;(((2*IF(circ_int,0,eq_c2/2))+(PI()*(s_0+1*s_r+IF(circ_int,eq_c1/2,0))/2))+2*IF(circ_int,0,eq_c1/2)),IF(circ_int,0,eq_c1/2)-(((31+0.5)*(4*IF(circ_int,0,eq_c1/2)+4*IF(circ_int,0,eq_c2/2)+2*PI()*(s_0+1*s_r+IF(circ_int,eq_c1/2,0)))/INDEX(lk_legs,2))-((2*IF(circ_int,0,eq_c2/2))+(PI()*(s_0+1*s_r+IF(circ_int,eq_c1/2,0))/2))),IF(((31+0.5)*(4*IF(circ_int,0,eq_c1/2)+4*IF(circ_int,0,eq_c2/2)+2*PI()*(s_0+1*s_r+IF(circ_int,eq_c1/2,0)))/INDEX(lk_legs,2))&lt;((((2*IF(circ_int,0,eq_c2/2))+(PI()*(s_0+1*s_r+IF(circ_int,eq_c1/2,0))/2))+2*IF(circ_int,0,eq_c1/2))+(PI()*(s_0+1*s_r+IF(circ_int,eq_c1/2,0))/2)),-IF(circ_int,0,eq_c1/2)+(s_0+1*s_r+IF(circ_int,eq_c1/2,0))*COS(PI()/2+(((31+0.5)*(4*IF(circ_int,0,eq_c1/2)+4*IF(circ_int,0,eq_c2/2)+2*PI()*(s_0+1*s_r+IF(circ_int,eq_c1/2,0)))/INDEX(lk_legs,2))-(((2*IF(circ_int,0,eq_c2/2))+(PI()*(s_0+1*s_r+IF(circ_int,eq_c1/2,0))/2))+2*IF(circ_int,0,eq_c1/2)))/(s_0+1*s_r+IF(circ_int,eq_c1/2,0))),IF(((31+0.5)*(4*IF(circ_int,0,eq_c1/2)+4*IF(circ_int,0,eq_c2/2)+2*PI()*(s_0+1*s_r+IF(circ_int,eq_c1/2,0)))/INDEX(lk_legs,2))&lt;(((((2*IF(circ_int,0,eq_c2/2))+(PI()*(s_0+1*s_r+IF(circ_int,eq_c1/2,0))/2))+2*IF(circ_int,0,eq_c1/2))+(PI()*(s_0+1*s_r+IF(circ_int,eq_c1/2,0))/2))+2*IF(circ_int,0,eq_c2/2)),-IF(circ_int,0,eq_c1/2)-(s_0+1*s_r+IF(circ_int,eq_c1/2,0)),IF(((31+0.5)*(4*IF(circ_int,0,eq_c1/2)+4*IF(circ_int,0,eq_c2/2)+2*PI()*(s_0+1*s_r+IF(circ_int,eq_c1/2,0)))/INDEX(lk_legs,2))&lt;((((((2*IF(circ_int,0,eq_c2/2))+(PI()*(s_0+1*s_r+IF(circ_int,eq_c1/2,0))/2))+2*IF(circ_int,0,eq_c1/2))+(PI()*(s_0+1*s_r+IF(circ_int,eq_c1/2,0))/2))+2*IF(circ_int,0,eq_c2/2))+(PI()*(s_0+1*s_r+IF(circ_int,eq_c1/2,0))/2)),-IF(circ_int,0,eq_c1/2)+(s_0+1*s_r+IF(circ_int,eq_c1/2,0))*COS(PI()+(((31+0.5)*(4*IF(circ_int,0,eq_c1/2)+4*IF(circ_int,0,eq_c2/2)+2*PI()*(s_0+1*s_r+IF(circ_int,eq_c1/2,0)))/INDEX(lk_legs,2))-(((((2*IF(circ_int,0,eq_c2/2))+(PI()*(s_0+1*s_r+IF(circ_int,eq_c1/2,0))/2))+2*IF(circ_int,0,eq_c1/2))+(PI()*(s_0+1*s_r+IF(circ_int,eq_c1/2,0))/2))+2*IF(circ_int,0,eq_c2/2)))/(s_0+1*s_r+IF(circ_int,eq_c1/2,0))),IF(((31+0.5)*(4*IF(circ_int,0,eq_c1/2)+4*IF(circ_int,0,eq_c2/2)+2*PI()*(s_0+1*s_r+IF(circ_int,eq_c1/2,0)))/INDEX(lk_legs,2))&lt;(((((((2*IF(circ_int,0,eq_c2/2))+(PI()*(s_0+1*s_r+IF(circ_int,eq_c1/2,0))/2))+2*IF(circ_int,0,eq_c1/2))+(PI()*(s_0+1*s_r+IF(circ_int,eq_c1/2,0))/2))+2*IF(circ_int,0,eq_c2/2))+(PI()*(s_0+1*s_r+IF(circ_int,eq_c1/2,0))/2))+2*IF(circ_int,0,eq_c1/2)),-IF(circ_int,0,eq_c1/2)+(((31+0.5)*(4*IF(circ_int,0,eq_c1/2)+4*IF(circ_int,0,eq_c2/2)+2*PI()*(s_0+1*s_r+IF(circ_int,eq_c1/2,0)))/INDEX(lk_legs,2))-((((((2*IF(circ_int,0,eq_c2/2))+(PI()*(s_0+1*s_r+IF(circ_int,eq_c1/2,0))/2))+2*IF(circ_int,0,eq_c1/2))+(PI()*(s_0+1*s_r+IF(circ_int,eq_c1/2,0))/2))+2*IF(circ_int,0,eq_c2/2))+(PI()*(s_0+1*s_r+IF(circ_int,eq_c1/2,0))/2))),IF(circ_int,0,eq_c1/2)+(s_0+1*s_r+IF(circ_int,eq_c1/2,0))*COS(3*PI()/2+(((31+0.5)*(4*IF(circ_int,0,eq_c1/2)+4*IF(circ_int,0,eq_c2/2)+2*PI()*(s_0+1*s_r+IF(circ_int,eq_c1/2,0)))/INDEX(lk_legs,2))-(((((((2*IF(circ_int,0,eq_c2/2))+(PI()*(s_0+1*s_r+IF(circ_int,eq_c1/2,0))/2))+2*IF(circ_int,0,eq_c1/2))+(PI()*(s_0+1*s_r+IF(circ_int,eq_c1/2,0))/2))+2*IF(circ_int,0,eq_c2/2))+(PI()*(s_0+1*s_r+IF(circ_int,eq_c1/2,0))/2))+2*IF(circ_int,0,eq_c1/2)))/(s_0+1*s_r+IF(circ_int,eq_c1/2,0)))))))))),NA())</f>
        <v/>
      </c>
      <c r="BG34">
        <f>IF(AND(AND(links_on,2&lt;=n_per),INDEX(lk_kind,2)=1,31&lt;INDEX(lk_legs,2)),g_oy+IF(((31+0.5)*(4*IF(circ_int,0,eq_c1/2)+4*IF(circ_int,0,eq_c2/2)+2*PI()*(s_0+1*s_r+IF(circ_int,eq_c1/2,0)))/INDEX(lk_legs,2))&lt;(2*IF(circ_int,0,eq_c2/2)),-IF(circ_int,0,eq_c2/2)+((31+0.5)*(4*IF(circ_int,0,eq_c1/2)+4*IF(circ_int,0,eq_c2/2)+2*PI()*(s_0+1*s_r+IF(circ_int,eq_c1/2,0)))/INDEX(lk_legs,2)),IF(((31+0.5)*(4*IF(circ_int,0,eq_c1/2)+4*IF(circ_int,0,eq_c2/2)+2*PI()*(s_0+1*s_r+IF(circ_int,eq_c1/2,0)))/INDEX(lk_legs,2))&lt;((2*IF(circ_int,0,eq_c2/2))+(PI()*(s_0+1*s_r+IF(circ_int,eq_c1/2,0))/2)),IF(circ_int,0,eq_c2/2)+(s_0+1*s_r+IF(circ_int,eq_c1/2,0))*SIN((((31+0.5)*(4*IF(circ_int,0,eq_c1/2)+4*IF(circ_int,0,eq_c2/2)+2*PI()*(s_0+1*s_r+IF(circ_int,eq_c1/2,0)))/INDEX(lk_legs,2))-(2*IF(circ_int,0,eq_c2/2)))/(s_0+1*s_r+IF(circ_int,eq_c1/2,0))),IF(((31+0.5)*(4*IF(circ_int,0,eq_c1/2)+4*IF(circ_int,0,eq_c2/2)+2*PI()*(s_0+1*s_r+IF(circ_int,eq_c1/2,0)))/INDEX(lk_legs,2))&lt;(((2*IF(circ_int,0,eq_c2/2))+(PI()*(s_0+1*s_r+IF(circ_int,eq_c1/2,0))/2))+2*IF(circ_int,0,eq_c1/2)),IF(circ_int,0,eq_c2/2)+(s_0+1*s_r+IF(circ_int,eq_c1/2,0)),IF(((31+0.5)*(4*IF(circ_int,0,eq_c1/2)+4*IF(circ_int,0,eq_c2/2)+2*PI()*(s_0+1*s_r+IF(circ_int,eq_c1/2,0)))/INDEX(lk_legs,2))&lt;((((2*IF(circ_int,0,eq_c2/2))+(PI()*(s_0+1*s_r+IF(circ_int,eq_c1/2,0))/2))+2*IF(circ_int,0,eq_c1/2))+(PI()*(s_0+1*s_r+IF(circ_int,eq_c1/2,0))/2)),IF(circ_int,0,eq_c2/2)+(s_0+1*s_r+IF(circ_int,eq_c1/2,0))*SIN(PI()/2+(((31+0.5)*(4*IF(circ_int,0,eq_c1/2)+4*IF(circ_int,0,eq_c2/2)+2*PI()*(s_0+1*s_r+IF(circ_int,eq_c1/2,0)))/INDEX(lk_legs,2))-(((2*IF(circ_int,0,eq_c2/2))+(PI()*(s_0+1*s_r+IF(circ_int,eq_c1/2,0))/2))+2*IF(circ_int,0,eq_c1/2)))/(s_0+1*s_r+IF(circ_int,eq_c1/2,0))),IF(((31+0.5)*(4*IF(circ_int,0,eq_c1/2)+4*IF(circ_int,0,eq_c2/2)+2*PI()*(s_0+1*s_r+IF(circ_int,eq_c1/2,0)))/INDEX(lk_legs,2))&lt;(((((2*IF(circ_int,0,eq_c2/2))+(PI()*(s_0+1*s_r+IF(circ_int,eq_c1/2,0))/2))+2*IF(circ_int,0,eq_c1/2))+(PI()*(s_0+1*s_r+IF(circ_int,eq_c1/2,0))/2))+2*IF(circ_int,0,eq_c2/2)),IF(circ_int,0,eq_c2/2)-(((31+0.5)*(4*IF(circ_int,0,eq_c1/2)+4*IF(circ_int,0,eq_c2/2)+2*PI()*(s_0+1*s_r+IF(circ_int,eq_c1/2,0)))/INDEX(lk_legs,2))-((((2*IF(circ_int,0,eq_c2/2))+(PI()*(s_0+1*s_r+IF(circ_int,eq_c1/2,0))/2))+2*IF(circ_int,0,eq_c1/2))+(PI()*(s_0+1*s_r+IF(circ_int,eq_c1/2,0))/2))),IF(((31+0.5)*(4*IF(circ_int,0,eq_c1/2)+4*IF(circ_int,0,eq_c2/2)+2*PI()*(s_0+1*s_r+IF(circ_int,eq_c1/2,0)))/INDEX(lk_legs,2))&lt;((((((2*IF(circ_int,0,eq_c2/2))+(PI()*(s_0+1*s_r+IF(circ_int,eq_c1/2,0))/2))+2*IF(circ_int,0,eq_c1/2))+(PI()*(s_0+1*s_r+IF(circ_int,eq_c1/2,0))/2))+2*IF(circ_int,0,eq_c2/2))+(PI()*(s_0+1*s_r+IF(circ_int,eq_c1/2,0))/2)),-IF(circ_int,0,eq_c2/2)+(s_0+1*s_r+IF(circ_int,eq_c1/2,0))*SIN(PI()+(((31+0.5)*(4*IF(circ_int,0,eq_c1/2)+4*IF(circ_int,0,eq_c2/2)+2*PI()*(s_0+1*s_r+IF(circ_int,eq_c1/2,0)))/INDEX(lk_legs,2))-(((((2*IF(circ_int,0,eq_c2/2))+(PI()*(s_0+1*s_r+IF(circ_int,eq_c1/2,0))/2))+2*IF(circ_int,0,eq_c1/2))+(PI()*(s_0+1*s_r+IF(circ_int,eq_c1/2,0))/2))+2*IF(circ_int,0,eq_c2/2)))/(s_0+1*s_r+IF(circ_int,eq_c1/2,0))),IF(((31+0.5)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(31+0.5)*(4*IF(circ_int,0,eq_c1/2)+4*IF(circ_int,0,eq_c2/2)+2*PI()*(s_0+1*s_r+IF(circ_int,eq_c1/2,0)))/INDEX(lk_legs,2))-(((((((2*IF(circ_int,0,eq_c2/2))+(PI()*(s_0+1*s_r+IF(circ_int,eq_c1/2,0))/2))+2*IF(circ_int,0,eq_c1/2))+(PI()*(s_0+1*s_r+IF(circ_int,eq_c1/2,0))/2))+2*IF(circ_int,0,eq_c2/2))+(PI()*(s_0+1*s_r+IF(circ_int,eq_c1/2,0))/2))+2*IF(circ_int,0,eq_c1/2)))/(s_0+1*s_r+IF(circ_int,eq_c1/2,0)))))))))),NA())</f>
        <v/>
      </c>
      <c r="BI34">
        <f>IF(AND(links_on,3&lt;=n_per),IF(circ_int,(g_ox)+(c_1/2+(s_0+2*s_r))*-0.822984,CHOOSE(INDEX(lk_kind,3),(g_ox-eq_c1/2)+((s_0+2*s_r))*-0.793353,0,eq_a1+eq_c1+(s_0+2*s_r),eq_a1+eq_c1+(s_0+2*s_r))),NA())</f>
        <v/>
      </c>
      <c r="BJ34">
        <f>IF(AND(links_on,3&lt;=n_per),IF(circ_int,(g_oy)+(c_1/2+(s_0+2*s_r))*-0.568065,CHOOSE(INDEX(lk_kind,3),(g_oy-eq_c2/2)+((s_0+2*s_r))*-0.608761,g_oy-eq_c2/2-(s_0+2*s_r),0,0)),NA())</f>
        <v/>
      </c>
      <c r="BL34">
        <f>IF(AND(AND(links_on,3&lt;=n_per),INDEX(lk_kind,3)=1,31&lt;INDEX(lk_legs,3)),g_ox+IF(((31+0.5)*(4*IF(circ_int,0,eq_c1/2)+4*IF(circ_int,0,eq_c2/2)+2*PI()*(s_0+2*s_r+IF(circ_int,eq_c1/2,0)))/INDEX(lk_legs,3))&lt;(2*IF(circ_int,0,eq_c2/2)),IF(circ_int,0,eq_c1/2)+(s_0+2*s_r+IF(circ_int,eq_c1/2,0)),IF(((31+0.5)*(4*IF(circ_int,0,eq_c1/2)+4*IF(circ_int,0,eq_c2/2)+2*PI()*(s_0+2*s_r+IF(circ_int,eq_c1/2,0)))/INDEX(lk_legs,3))&lt;((2*IF(circ_int,0,eq_c2/2))+(PI()*(s_0+2*s_r+IF(circ_int,eq_c1/2,0))/2)),IF(circ_int,0,eq_c1/2)+(s_0+2*s_r+IF(circ_int,eq_c1/2,0))*COS((((31+0.5)*(4*IF(circ_int,0,eq_c1/2)+4*IF(circ_int,0,eq_c2/2)+2*PI()*(s_0+2*s_r+IF(circ_int,eq_c1/2,0)))/INDEX(lk_legs,3))-(2*IF(circ_int,0,eq_c2/2)))/(s_0+2*s_r+IF(circ_int,eq_c1/2,0))),IF(((31+0.5)*(4*IF(circ_int,0,eq_c1/2)+4*IF(circ_int,0,eq_c2/2)+2*PI()*(s_0+2*s_r+IF(circ_int,eq_c1/2,0)))/INDEX(lk_legs,3))&lt;(((2*IF(circ_int,0,eq_c2/2))+(PI()*(s_0+2*s_r+IF(circ_int,eq_c1/2,0))/2))+2*IF(circ_int,0,eq_c1/2)),IF(circ_int,0,eq_c1/2)-(((31+0.5)*(4*IF(circ_int,0,eq_c1/2)+4*IF(circ_int,0,eq_c2/2)+2*PI()*(s_0+2*s_r+IF(circ_int,eq_c1/2,0)))/INDEX(lk_legs,3))-((2*IF(circ_int,0,eq_c2/2))+(PI()*(s_0+2*s_r+IF(circ_int,eq_c1/2,0))/2))),IF(((31+0.5)*(4*IF(circ_int,0,eq_c1/2)+4*IF(circ_int,0,eq_c2/2)+2*PI()*(s_0+2*s_r+IF(circ_int,eq_c1/2,0)))/INDEX(lk_legs,3))&lt;((((2*IF(circ_int,0,eq_c2/2))+(PI()*(s_0+2*s_r+IF(circ_int,eq_c1/2,0))/2))+2*IF(circ_int,0,eq_c1/2))+(PI()*(s_0+2*s_r+IF(circ_int,eq_c1/2,0))/2)),-IF(circ_int,0,eq_c1/2)+(s_0+2*s_r+IF(circ_int,eq_c1/2,0))*COS(PI()/2+(((31+0.5)*(4*IF(circ_int,0,eq_c1/2)+4*IF(circ_int,0,eq_c2/2)+2*PI()*(s_0+2*s_r+IF(circ_int,eq_c1/2,0)))/INDEX(lk_legs,3))-(((2*IF(circ_int,0,eq_c2/2))+(PI()*(s_0+2*s_r+IF(circ_int,eq_c1/2,0))/2))+2*IF(circ_int,0,eq_c1/2)))/(s_0+2*s_r+IF(circ_int,eq_c1/2,0))),IF(((31+0.5)*(4*IF(circ_int,0,eq_c1/2)+4*IF(circ_int,0,eq_c2/2)+2*PI()*(s_0+2*s_r+IF(circ_int,eq_c1/2,0)))/INDEX(lk_legs,3))&lt;(((((2*IF(circ_int,0,eq_c2/2))+(PI()*(s_0+2*s_r+IF(circ_int,eq_c1/2,0))/2))+2*IF(circ_int,0,eq_c1/2))+(PI()*(s_0+2*s_r+IF(circ_int,eq_c1/2,0))/2))+2*IF(circ_int,0,eq_c2/2)),-IF(circ_int,0,eq_c1/2)-(s_0+2*s_r+IF(circ_int,eq_c1/2,0)),IF(((31+0.5)*(4*IF(circ_int,0,eq_c1/2)+4*IF(circ_int,0,eq_c2/2)+2*PI()*(s_0+2*s_r+IF(circ_int,eq_c1/2,0)))/INDEX(lk_legs,3))&lt;((((((2*IF(circ_int,0,eq_c2/2))+(PI()*(s_0+2*s_r+IF(circ_int,eq_c1/2,0))/2))+2*IF(circ_int,0,eq_c1/2))+(PI()*(s_0+2*s_r+IF(circ_int,eq_c1/2,0))/2))+2*IF(circ_int,0,eq_c2/2))+(PI()*(s_0+2*s_r+IF(circ_int,eq_c1/2,0))/2)),-IF(circ_int,0,eq_c1/2)+(s_0+2*s_r+IF(circ_int,eq_c1/2,0))*COS(PI()+(((31+0.5)*(4*IF(circ_int,0,eq_c1/2)+4*IF(circ_int,0,eq_c2/2)+2*PI()*(s_0+2*s_r+IF(circ_int,eq_c1/2,0)))/INDEX(lk_legs,3))-(((((2*IF(circ_int,0,eq_c2/2))+(PI()*(s_0+2*s_r+IF(circ_int,eq_c1/2,0))/2))+2*IF(circ_int,0,eq_c1/2))+(PI()*(s_0+2*s_r+IF(circ_int,eq_c1/2,0))/2))+2*IF(circ_int,0,eq_c2/2)))/(s_0+2*s_r+IF(circ_int,eq_c1/2,0))),IF(((31+0.5)*(4*IF(circ_int,0,eq_c1/2)+4*IF(circ_int,0,eq_c2/2)+2*PI()*(s_0+2*s_r+IF(circ_int,eq_c1/2,0)))/INDEX(lk_legs,3))&lt;(((((((2*IF(circ_int,0,eq_c2/2))+(PI()*(s_0+2*s_r+IF(circ_int,eq_c1/2,0))/2))+2*IF(circ_int,0,eq_c1/2))+(PI()*(s_0+2*s_r+IF(circ_int,eq_c1/2,0))/2))+2*IF(circ_int,0,eq_c2/2))+(PI()*(s_0+2*s_r+IF(circ_int,eq_c1/2,0))/2))+2*IF(circ_int,0,eq_c1/2)),-IF(circ_int,0,eq_c1/2)+(((31+0.5)*(4*IF(circ_int,0,eq_c1/2)+4*IF(circ_int,0,eq_c2/2)+2*PI()*(s_0+2*s_r+IF(circ_int,eq_c1/2,0)))/INDEX(lk_legs,3))-((((((2*IF(circ_int,0,eq_c2/2))+(PI()*(s_0+2*s_r+IF(circ_int,eq_c1/2,0))/2))+2*IF(circ_int,0,eq_c1/2))+(PI()*(s_0+2*s_r+IF(circ_int,eq_c1/2,0))/2))+2*IF(circ_int,0,eq_c2/2))+(PI()*(s_0+2*s_r+IF(circ_int,eq_c1/2,0))/2))),IF(circ_int,0,eq_c1/2)+(s_0+2*s_r+IF(circ_int,eq_c1/2,0))*COS(3*PI()/2+(((31+0.5)*(4*IF(circ_int,0,eq_c1/2)+4*IF(circ_int,0,eq_c2/2)+2*PI()*(s_0+2*s_r+IF(circ_int,eq_c1/2,0)))/INDEX(lk_legs,3))-(((((((2*IF(circ_int,0,eq_c2/2))+(PI()*(s_0+2*s_r+IF(circ_int,eq_c1/2,0))/2))+2*IF(circ_int,0,eq_c1/2))+(PI()*(s_0+2*s_r+IF(circ_int,eq_c1/2,0))/2))+2*IF(circ_int,0,eq_c2/2))+(PI()*(s_0+2*s_r+IF(circ_int,eq_c1/2,0))/2))+2*IF(circ_int,0,eq_c1/2)))/(s_0+2*s_r+IF(circ_int,eq_c1/2,0)))))))))),NA())</f>
        <v/>
      </c>
      <c r="BM34">
        <f>IF(AND(AND(links_on,3&lt;=n_per),INDEX(lk_kind,3)=1,31&lt;INDEX(lk_legs,3)),g_oy+IF(((31+0.5)*(4*IF(circ_int,0,eq_c1/2)+4*IF(circ_int,0,eq_c2/2)+2*PI()*(s_0+2*s_r+IF(circ_int,eq_c1/2,0)))/INDEX(lk_legs,3))&lt;(2*IF(circ_int,0,eq_c2/2)),-IF(circ_int,0,eq_c2/2)+((31+0.5)*(4*IF(circ_int,0,eq_c1/2)+4*IF(circ_int,0,eq_c2/2)+2*PI()*(s_0+2*s_r+IF(circ_int,eq_c1/2,0)))/INDEX(lk_legs,3)),IF(((31+0.5)*(4*IF(circ_int,0,eq_c1/2)+4*IF(circ_int,0,eq_c2/2)+2*PI()*(s_0+2*s_r+IF(circ_int,eq_c1/2,0)))/INDEX(lk_legs,3))&lt;((2*IF(circ_int,0,eq_c2/2))+(PI()*(s_0+2*s_r+IF(circ_int,eq_c1/2,0))/2)),IF(circ_int,0,eq_c2/2)+(s_0+2*s_r+IF(circ_int,eq_c1/2,0))*SIN((((31+0.5)*(4*IF(circ_int,0,eq_c1/2)+4*IF(circ_int,0,eq_c2/2)+2*PI()*(s_0+2*s_r+IF(circ_int,eq_c1/2,0)))/INDEX(lk_legs,3))-(2*IF(circ_int,0,eq_c2/2)))/(s_0+2*s_r+IF(circ_int,eq_c1/2,0))),IF(((31+0.5)*(4*IF(circ_int,0,eq_c1/2)+4*IF(circ_int,0,eq_c2/2)+2*PI()*(s_0+2*s_r+IF(circ_int,eq_c1/2,0)))/INDEX(lk_legs,3))&lt;(((2*IF(circ_int,0,eq_c2/2))+(PI()*(s_0+2*s_r+IF(circ_int,eq_c1/2,0))/2))+2*IF(circ_int,0,eq_c1/2)),IF(circ_int,0,eq_c2/2)+(s_0+2*s_r+IF(circ_int,eq_c1/2,0)),IF(((31+0.5)*(4*IF(circ_int,0,eq_c1/2)+4*IF(circ_int,0,eq_c2/2)+2*PI()*(s_0+2*s_r+IF(circ_int,eq_c1/2,0)))/INDEX(lk_legs,3))&lt;((((2*IF(circ_int,0,eq_c2/2))+(PI()*(s_0+2*s_r+IF(circ_int,eq_c1/2,0))/2))+2*IF(circ_int,0,eq_c1/2))+(PI()*(s_0+2*s_r+IF(circ_int,eq_c1/2,0))/2)),IF(circ_int,0,eq_c2/2)+(s_0+2*s_r+IF(circ_int,eq_c1/2,0))*SIN(PI()/2+(((31+0.5)*(4*IF(circ_int,0,eq_c1/2)+4*IF(circ_int,0,eq_c2/2)+2*PI()*(s_0+2*s_r+IF(circ_int,eq_c1/2,0)))/INDEX(lk_legs,3))-(((2*IF(circ_int,0,eq_c2/2))+(PI()*(s_0+2*s_r+IF(circ_int,eq_c1/2,0))/2))+2*IF(circ_int,0,eq_c1/2)))/(s_0+2*s_r+IF(circ_int,eq_c1/2,0))),IF(((31+0.5)*(4*IF(circ_int,0,eq_c1/2)+4*IF(circ_int,0,eq_c2/2)+2*PI()*(s_0+2*s_r+IF(circ_int,eq_c1/2,0)))/INDEX(lk_legs,3))&lt;(((((2*IF(circ_int,0,eq_c2/2))+(PI()*(s_0+2*s_r+IF(circ_int,eq_c1/2,0))/2))+2*IF(circ_int,0,eq_c1/2))+(PI()*(s_0+2*s_r+IF(circ_int,eq_c1/2,0))/2))+2*IF(circ_int,0,eq_c2/2)),IF(circ_int,0,eq_c2/2)-(((31+0.5)*(4*IF(circ_int,0,eq_c1/2)+4*IF(circ_int,0,eq_c2/2)+2*PI()*(s_0+2*s_r+IF(circ_int,eq_c1/2,0)))/INDEX(lk_legs,3))-((((2*IF(circ_int,0,eq_c2/2))+(PI()*(s_0+2*s_r+IF(circ_int,eq_c1/2,0))/2))+2*IF(circ_int,0,eq_c1/2))+(PI()*(s_0+2*s_r+IF(circ_int,eq_c1/2,0))/2))),IF(((31+0.5)*(4*IF(circ_int,0,eq_c1/2)+4*IF(circ_int,0,eq_c2/2)+2*PI()*(s_0+2*s_r+IF(circ_int,eq_c1/2,0)))/INDEX(lk_legs,3))&lt;((((((2*IF(circ_int,0,eq_c2/2))+(PI()*(s_0+2*s_r+IF(circ_int,eq_c1/2,0))/2))+2*IF(circ_int,0,eq_c1/2))+(PI()*(s_0+2*s_r+IF(circ_int,eq_c1/2,0))/2))+2*IF(circ_int,0,eq_c2/2))+(PI()*(s_0+2*s_r+IF(circ_int,eq_c1/2,0))/2)),-IF(circ_int,0,eq_c2/2)+(s_0+2*s_r+IF(circ_int,eq_c1/2,0))*SIN(PI()+(((31+0.5)*(4*IF(circ_int,0,eq_c1/2)+4*IF(circ_int,0,eq_c2/2)+2*PI()*(s_0+2*s_r+IF(circ_int,eq_c1/2,0)))/INDEX(lk_legs,3))-(((((2*IF(circ_int,0,eq_c2/2))+(PI()*(s_0+2*s_r+IF(circ_int,eq_c1/2,0))/2))+2*IF(circ_int,0,eq_c1/2))+(PI()*(s_0+2*s_r+IF(circ_int,eq_c1/2,0))/2))+2*IF(circ_int,0,eq_c2/2)))/(s_0+2*s_r+IF(circ_int,eq_c1/2,0))),IF(((31+0.5)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(31+0.5)*(4*IF(circ_int,0,eq_c1/2)+4*IF(circ_int,0,eq_c2/2)+2*PI()*(s_0+2*s_r+IF(circ_int,eq_c1/2,0)))/INDEX(lk_legs,3))-(((((((2*IF(circ_int,0,eq_c2/2))+(PI()*(s_0+2*s_r+IF(circ_int,eq_c1/2,0))/2))+2*IF(circ_int,0,eq_c1/2))+(PI()*(s_0+2*s_r+IF(circ_int,eq_c1/2,0))/2))+2*IF(circ_int,0,eq_c2/2))+(PI()*(s_0+2*s_r+IF(circ_int,eq_c1/2,0))/2))+2*IF(circ_int,0,eq_c1/2)))/(s_0+2*s_r+IF(circ_int,eq_c1/2,0)))))))))),NA())</f>
        <v/>
      </c>
      <c r="BO34">
        <f>IF(AND(links_on,4&lt;=n_per),IF(circ_int,(g_ox)+(c_1/2+(s_0+3*s_r))*-0.822984,CHOOSE(INDEX(lk_kind,4),(g_ox-eq_c1/2)+((s_0+3*s_r))*-0.793353,0,eq_a1+eq_c1+(s_0+3*s_r),eq_a1+eq_c1+(s_0+3*s_r))),NA())</f>
        <v/>
      </c>
      <c r="BP34">
        <f>IF(AND(links_on,4&lt;=n_per),IF(circ_int,(g_oy)+(c_1/2+(s_0+3*s_r))*-0.568065,CHOOSE(INDEX(lk_kind,4),(g_oy-eq_c2/2)+((s_0+3*s_r))*-0.608761,g_oy-eq_c2/2-(s_0+3*s_r),0,0)),NA())</f>
        <v/>
      </c>
      <c r="BR34">
        <f>IF(AND(AND(links_on,4&lt;=n_per),INDEX(lk_kind,4)=1,31&lt;INDEX(lk_legs,4)),g_ox+IF(((31+0.5)*(4*IF(circ_int,0,eq_c1/2)+4*IF(circ_int,0,eq_c2/2)+2*PI()*(s_0+3*s_r+IF(circ_int,eq_c1/2,0)))/INDEX(lk_legs,4))&lt;(2*IF(circ_int,0,eq_c2/2)),IF(circ_int,0,eq_c1/2)+(s_0+3*s_r+IF(circ_int,eq_c1/2,0)),IF(((31+0.5)*(4*IF(circ_int,0,eq_c1/2)+4*IF(circ_int,0,eq_c2/2)+2*PI()*(s_0+3*s_r+IF(circ_int,eq_c1/2,0)))/INDEX(lk_legs,4))&lt;((2*IF(circ_int,0,eq_c2/2))+(PI()*(s_0+3*s_r+IF(circ_int,eq_c1/2,0))/2)),IF(circ_int,0,eq_c1/2)+(s_0+3*s_r+IF(circ_int,eq_c1/2,0))*COS((((31+0.5)*(4*IF(circ_int,0,eq_c1/2)+4*IF(circ_int,0,eq_c2/2)+2*PI()*(s_0+3*s_r+IF(circ_int,eq_c1/2,0)))/INDEX(lk_legs,4))-(2*IF(circ_int,0,eq_c2/2)))/(s_0+3*s_r+IF(circ_int,eq_c1/2,0))),IF(((31+0.5)*(4*IF(circ_int,0,eq_c1/2)+4*IF(circ_int,0,eq_c2/2)+2*PI()*(s_0+3*s_r+IF(circ_int,eq_c1/2,0)))/INDEX(lk_legs,4))&lt;(((2*IF(circ_int,0,eq_c2/2))+(PI()*(s_0+3*s_r+IF(circ_int,eq_c1/2,0))/2))+2*IF(circ_int,0,eq_c1/2)),IF(circ_int,0,eq_c1/2)-(((31+0.5)*(4*IF(circ_int,0,eq_c1/2)+4*IF(circ_int,0,eq_c2/2)+2*PI()*(s_0+3*s_r+IF(circ_int,eq_c1/2,0)))/INDEX(lk_legs,4))-((2*IF(circ_int,0,eq_c2/2))+(PI()*(s_0+3*s_r+IF(circ_int,eq_c1/2,0))/2))),IF(((31+0.5)*(4*IF(circ_int,0,eq_c1/2)+4*IF(circ_int,0,eq_c2/2)+2*PI()*(s_0+3*s_r+IF(circ_int,eq_c1/2,0)))/INDEX(lk_legs,4))&lt;((((2*IF(circ_int,0,eq_c2/2))+(PI()*(s_0+3*s_r+IF(circ_int,eq_c1/2,0))/2))+2*IF(circ_int,0,eq_c1/2))+(PI()*(s_0+3*s_r+IF(circ_int,eq_c1/2,0))/2)),-IF(circ_int,0,eq_c1/2)+(s_0+3*s_r+IF(circ_int,eq_c1/2,0))*COS(PI()/2+(((31+0.5)*(4*IF(circ_int,0,eq_c1/2)+4*IF(circ_int,0,eq_c2/2)+2*PI()*(s_0+3*s_r+IF(circ_int,eq_c1/2,0)))/INDEX(lk_legs,4))-(((2*IF(circ_int,0,eq_c2/2))+(PI()*(s_0+3*s_r+IF(circ_int,eq_c1/2,0))/2))+2*IF(circ_int,0,eq_c1/2)))/(s_0+3*s_r+IF(circ_int,eq_c1/2,0))),IF(((31+0.5)*(4*IF(circ_int,0,eq_c1/2)+4*IF(circ_int,0,eq_c2/2)+2*PI()*(s_0+3*s_r+IF(circ_int,eq_c1/2,0)))/INDEX(lk_legs,4))&lt;(((((2*IF(circ_int,0,eq_c2/2))+(PI()*(s_0+3*s_r+IF(circ_int,eq_c1/2,0))/2))+2*IF(circ_int,0,eq_c1/2))+(PI()*(s_0+3*s_r+IF(circ_int,eq_c1/2,0))/2))+2*IF(circ_int,0,eq_c2/2)),-IF(circ_int,0,eq_c1/2)-(s_0+3*s_r+IF(circ_int,eq_c1/2,0)),IF(((31+0.5)*(4*IF(circ_int,0,eq_c1/2)+4*IF(circ_int,0,eq_c2/2)+2*PI()*(s_0+3*s_r+IF(circ_int,eq_c1/2,0)))/INDEX(lk_legs,4))&lt;((((((2*IF(circ_int,0,eq_c2/2))+(PI()*(s_0+3*s_r+IF(circ_int,eq_c1/2,0))/2))+2*IF(circ_int,0,eq_c1/2))+(PI()*(s_0+3*s_r+IF(circ_int,eq_c1/2,0))/2))+2*IF(circ_int,0,eq_c2/2))+(PI()*(s_0+3*s_r+IF(circ_int,eq_c1/2,0))/2)),-IF(circ_int,0,eq_c1/2)+(s_0+3*s_r+IF(circ_int,eq_c1/2,0))*COS(PI()+(((31+0.5)*(4*IF(circ_int,0,eq_c1/2)+4*IF(circ_int,0,eq_c2/2)+2*PI()*(s_0+3*s_r+IF(circ_int,eq_c1/2,0)))/INDEX(lk_legs,4))-(((((2*IF(circ_int,0,eq_c2/2))+(PI()*(s_0+3*s_r+IF(circ_int,eq_c1/2,0))/2))+2*IF(circ_int,0,eq_c1/2))+(PI()*(s_0+3*s_r+IF(circ_int,eq_c1/2,0))/2))+2*IF(circ_int,0,eq_c2/2)))/(s_0+3*s_r+IF(circ_int,eq_c1/2,0))),IF(((31+0.5)*(4*IF(circ_int,0,eq_c1/2)+4*IF(circ_int,0,eq_c2/2)+2*PI()*(s_0+3*s_r+IF(circ_int,eq_c1/2,0)))/INDEX(lk_legs,4))&lt;(((((((2*IF(circ_int,0,eq_c2/2))+(PI()*(s_0+3*s_r+IF(circ_int,eq_c1/2,0))/2))+2*IF(circ_int,0,eq_c1/2))+(PI()*(s_0+3*s_r+IF(circ_int,eq_c1/2,0))/2))+2*IF(circ_int,0,eq_c2/2))+(PI()*(s_0+3*s_r+IF(circ_int,eq_c1/2,0))/2))+2*IF(circ_int,0,eq_c1/2)),-IF(circ_int,0,eq_c1/2)+(((31+0.5)*(4*IF(circ_int,0,eq_c1/2)+4*IF(circ_int,0,eq_c2/2)+2*PI()*(s_0+3*s_r+IF(circ_int,eq_c1/2,0)))/INDEX(lk_legs,4))-((((((2*IF(circ_int,0,eq_c2/2))+(PI()*(s_0+3*s_r+IF(circ_int,eq_c1/2,0))/2))+2*IF(circ_int,0,eq_c1/2))+(PI()*(s_0+3*s_r+IF(circ_int,eq_c1/2,0))/2))+2*IF(circ_int,0,eq_c2/2))+(PI()*(s_0+3*s_r+IF(circ_int,eq_c1/2,0))/2))),IF(circ_int,0,eq_c1/2)+(s_0+3*s_r+IF(circ_int,eq_c1/2,0))*COS(3*PI()/2+(((31+0.5)*(4*IF(circ_int,0,eq_c1/2)+4*IF(circ_int,0,eq_c2/2)+2*PI()*(s_0+3*s_r+IF(circ_int,eq_c1/2,0)))/INDEX(lk_legs,4))-(((((((2*IF(circ_int,0,eq_c2/2))+(PI()*(s_0+3*s_r+IF(circ_int,eq_c1/2,0))/2))+2*IF(circ_int,0,eq_c1/2))+(PI()*(s_0+3*s_r+IF(circ_int,eq_c1/2,0))/2))+2*IF(circ_int,0,eq_c2/2))+(PI()*(s_0+3*s_r+IF(circ_int,eq_c1/2,0))/2))+2*IF(circ_int,0,eq_c1/2)))/(s_0+3*s_r+IF(circ_int,eq_c1/2,0)))))))))),NA())</f>
        <v/>
      </c>
      <c r="BS34">
        <f>IF(AND(AND(links_on,4&lt;=n_per),INDEX(lk_kind,4)=1,31&lt;INDEX(lk_legs,4)),g_oy+IF(((31+0.5)*(4*IF(circ_int,0,eq_c1/2)+4*IF(circ_int,0,eq_c2/2)+2*PI()*(s_0+3*s_r+IF(circ_int,eq_c1/2,0)))/INDEX(lk_legs,4))&lt;(2*IF(circ_int,0,eq_c2/2)),-IF(circ_int,0,eq_c2/2)+((31+0.5)*(4*IF(circ_int,0,eq_c1/2)+4*IF(circ_int,0,eq_c2/2)+2*PI()*(s_0+3*s_r+IF(circ_int,eq_c1/2,0)))/INDEX(lk_legs,4)),IF(((31+0.5)*(4*IF(circ_int,0,eq_c1/2)+4*IF(circ_int,0,eq_c2/2)+2*PI()*(s_0+3*s_r+IF(circ_int,eq_c1/2,0)))/INDEX(lk_legs,4))&lt;((2*IF(circ_int,0,eq_c2/2))+(PI()*(s_0+3*s_r+IF(circ_int,eq_c1/2,0))/2)),IF(circ_int,0,eq_c2/2)+(s_0+3*s_r+IF(circ_int,eq_c1/2,0))*SIN((((31+0.5)*(4*IF(circ_int,0,eq_c1/2)+4*IF(circ_int,0,eq_c2/2)+2*PI()*(s_0+3*s_r+IF(circ_int,eq_c1/2,0)))/INDEX(lk_legs,4))-(2*IF(circ_int,0,eq_c2/2)))/(s_0+3*s_r+IF(circ_int,eq_c1/2,0))),IF(((31+0.5)*(4*IF(circ_int,0,eq_c1/2)+4*IF(circ_int,0,eq_c2/2)+2*PI()*(s_0+3*s_r+IF(circ_int,eq_c1/2,0)))/INDEX(lk_legs,4))&lt;(((2*IF(circ_int,0,eq_c2/2))+(PI()*(s_0+3*s_r+IF(circ_int,eq_c1/2,0))/2))+2*IF(circ_int,0,eq_c1/2)),IF(circ_int,0,eq_c2/2)+(s_0+3*s_r+IF(circ_int,eq_c1/2,0)),IF(((31+0.5)*(4*IF(circ_int,0,eq_c1/2)+4*IF(circ_int,0,eq_c2/2)+2*PI()*(s_0+3*s_r+IF(circ_int,eq_c1/2,0)))/INDEX(lk_legs,4))&lt;((((2*IF(circ_int,0,eq_c2/2))+(PI()*(s_0+3*s_r+IF(circ_int,eq_c1/2,0))/2))+2*IF(circ_int,0,eq_c1/2))+(PI()*(s_0+3*s_r+IF(circ_int,eq_c1/2,0))/2)),IF(circ_int,0,eq_c2/2)+(s_0+3*s_r+IF(circ_int,eq_c1/2,0))*SIN(PI()/2+(((31+0.5)*(4*IF(circ_int,0,eq_c1/2)+4*IF(circ_int,0,eq_c2/2)+2*PI()*(s_0+3*s_r+IF(circ_int,eq_c1/2,0)))/INDEX(lk_legs,4))-(((2*IF(circ_int,0,eq_c2/2))+(PI()*(s_0+3*s_r+IF(circ_int,eq_c1/2,0))/2))+2*IF(circ_int,0,eq_c1/2)))/(s_0+3*s_r+IF(circ_int,eq_c1/2,0))),IF(((31+0.5)*(4*IF(circ_int,0,eq_c1/2)+4*IF(circ_int,0,eq_c2/2)+2*PI()*(s_0+3*s_r+IF(circ_int,eq_c1/2,0)))/INDEX(lk_legs,4))&lt;(((((2*IF(circ_int,0,eq_c2/2))+(PI()*(s_0+3*s_r+IF(circ_int,eq_c1/2,0))/2))+2*IF(circ_int,0,eq_c1/2))+(PI()*(s_0+3*s_r+IF(circ_int,eq_c1/2,0))/2))+2*IF(circ_int,0,eq_c2/2)),IF(circ_int,0,eq_c2/2)-(((31+0.5)*(4*IF(circ_int,0,eq_c1/2)+4*IF(circ_int,0,eq_c2/2)+2*PI()*(s_0+3*s_r+IF(circ_int,eq_c1/2,0)))/INDEX(lk_legs,4))-((((2*IF(circ_int,0,eq_c2/2))+(PI()*(s_0+3*s_r+IF(circ_int,eq_c1/2,0))/2))+2*IF(circ_int,0,eq_c1/2))+(PI()*(s_0+3*s_r+IF(circ_int,eq_c1/2,0))/2))),IF(((31+0.5)*(4*IF(circ_int,0,eq_c1/2)+4*IF(circ_int,0,eq_c2/2)+2*PI()*(s_0+3*s_r+IF(circ_int,eq_c1/2,0)))/INDEX(lk_legs,4))&lt;((((((2*IF(circ_int,0,eq_c2/2))+(PI()*(s_0+3*s_r+IF(circ_int,eq_c1/2,0))/2))+2*IF(circ_int,0,eq_c1/2))+(PI()*(s_0+3*s_r+IF(circ_int,eq_c1/2,0))/2))+2*IF(circ_int,0,eq_c2/2))+(PI()*(s_0+3*s_r+IF(circ_int,eq_c1/2,0))/2)),-IF(circ_int,0,eq_c2/2)+(s_0+3*s_r+IF(circ_int,eq_c1/2,0))*SIN(PI()+(((31+0.5)*(4*IF(circ_int,0,eq_c1/2)+4*IF(circ_int,0,eq_c2/2)+2*PI()*(s_0+3*s_r+IF(circ_int,eq_c1/2,0)))/INDEX(lk_legs,4))-(((((2*IF(circ_int,0,eq_c2/2))+(PI()*(s_0+3*s_r+IF(circ_int,eq_c1/2,0))/2))+2*IF(circ_int,0,eq_c1/2))+(PI()*(s_0+3*s_r+IF(circ_int,eq_c1/2,0))/2))+2*IF(circ_int,0,eq_c2/2)))/(s_0+3*s_r+IF(circ_int,eq_c1/2,0))),IF(((31+0.5)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(31+0.5)*(4*IF(circ_int,0,eq_c1/2)+4*IF(circ_int,0,eq_c2/2)+2*PI()*(s_0+3*s_r+IF(circ_int,eq_c1/2,0)))/INDEX(lk_legs,4))-(((((((2*IF(circ_int,0,eq_c2/2))+(PI()*(s_0+3*s_r+IF(circ_int,eq_c1/2,0))/2))+2*IF(circ_int,0,eq_c1/2))+(PI()*(s_0+3*s_r+IF(circ_int,eq_c1/2,0))/2))+2*IF(circ_int,0,eq_c2/2))+(PI()*(s_0+3*s_r+IF(circ_int,eq_c1/2,0))/2))+2*IF(circ_int,0,eq_c1/2)))/(s_0+3*s_r+IF(circ_int,eq_c1/2,0)))))))))),NA())</f>
        <v/>
      </c>
      <c r="BU34">
        <f>IF(AND(links_on,5&lt;=n_per),IF(circ_int,(g_ox)+(c_1/2+(s_0+4*s_r))*-0.822984,CHOOSE(INDEX(lk_kind,5),(g_ox-eq_c1/2)+((s_0+4*s_r))*-0.793353,0,eq_a1+eq_c1+(s_0+4*s_r),eq_a1+eq_c1+(s_0+4*s_r))),NA())</f>
        <v/>
      </c>
      <c r="BV34">
        <f>IF(AND(links_on,5&lt;=n_per),IF(circ_int,(g_oy)+(c_1/2+(s_0+4*s_r))*-0.568065,CHOOSE(INDEX(lk_kind,5),(g_oy-eq_c2/2)+((s_0+4*s_r))*-0.608761,g_oy-eq_c2/2-(s_0+4*s_r),0,0)),NA())</f>
        <v/>
      </c>
      <c r="BX34">
        <f>IF(AND(AND(links_on,5&lt;=n_per),INDEX(lk_kind,5)=1,31&lt;INDEX(lk_legs,5)),g_ox+IF(((31+0.5)*(4*IF(circ_int,0,eq_c1/2)+4*IF(circ_int,0,eq_c2/2)+2*PI()*(s_0+4*s_r+IF(circ_int,eq_c1/2,0)))/INDEX(lk_legs,5))&lt;(2*IF(circ_int,0,eq_c2/2)),IF(circ_int,0,eq_c1/2)+(s_0+4*s_r+IF(circ_int,eq_c1/2,0)),IF(((31+0.5)*(4*IF(circ_int,0,eq_c1/2)+4*IF(circ_int,0,eq_c2/2)+2*PI()*(s_0+4*s_r+IF(circ_int,eq_c1/2,0)))/INDEX(lk_legs,5))&lt;((2*IF(circ_int,0,eq_c2/2))+(PI()*(s_0+4*s_r+IF(circ_int,eq_c1/2,0))/2)),IF(circ_int,0,eq_c1/2)+(s_0+4*s_r+IF(circ_int,eq_c1/2,0))*COS((((31+0.5)*(4*IF(circ_int,0,eq_c1/2)+4*IF(circ_int,0,eq_c2/2)+2*PI()*(s_0+4*s_r+IF(circ_int,eq_c1/2,0)))/INDEX(lk_legs,5))-(2*IF(circ_int,0,eq_c2/2)))/(s_0+4*s_r+IF(circ_int,eq_c1/2,0))),IF(((31+0.5)*(4*IF(circ_int,0,eq_c1/2)+4*IF(circ_int,0,eq_c2/2)+2*PI()*(s_0+4*s_r+IF(circ_int,eq_c1/2,0)))/INDEX(lk_legs,5))&lt;(((2*IF(circ_int,0,eq_c2/2))+(PI()*(s_0+4*s_r+IF(circ_int,eq_c1/2,0))/2))+2*IF(circ_int,0,eq_c1/2)),IF(circ_int,0,eq_c1/2)-(((31+0.5)*(4*IF(circ_int,0,eq_c1/2)+4*IF(circ_int,0,eq_c2/2)+2*PI()*(s_0+4*s_r+IF(circ_int,eq_c1/2,0)))/INDEX(lk_legs,5))-((2*IF(circ_int,0,eq_c2/2))+(PI()*(s_0+4*s_r+IF(circ_int,eq_c1/2,0))/2))),IF(((31+0.5)*(4*IF(circ_int,0,eq_c1/2)+4*IF(circ_int,0,eq_c2/2)+2*PI()*(s_0+4*s_r+IF(circ_int,eq_c1/2,0)))/INDEX(lk_legs,5))&lt;((((2*IF(circ_int,0,eq_c2/2))+(PI()*(s_0+4*s_r+IF(circ_int,eq_c1/2,0))/2))+2*IF(circ_int,0,eq_c1/2))+(PI()*(s_0+4*s_r+IF(circ_int,eq_c1/2,0))/2)),-IF(circ_int,0,eq_c1/2)+(s_0+4*s_r+IF(circ_int,eq_c1/2,0))*COS(PI()/2+(((31+0.5)*(4*IF(circ_int,0,eq_c1/2)+4*IF(circ_int,0,eq_c2/2)+2*PI()*(s_0+4*s_r+IF(circ_int,eq_c1/2,0)))/INDEX(lk_legs,5))-(((2*IF(circ_int,0,eq_c2/2))+(PI()*(s_0+4*s_r+IF(circ_int,eq_c1/2,0))/2))+2*IF(circ_int,0,eq_c1/2)))/(s_0+4*s_r+IF(circ_int,eq_c1/2,0))),IF(((31+0.5)*(4*IF(circ_int,0,eq_c1/2)+4*IF(circ_int,0,eq_c2/2)+2*PI()*(s_0+4*s_r+IF(circ_int,eq_c1/2,0)))/INDEX(lk_legs,5))&lt;(((((2*IF(circ_int,0,eq_c2/2))+(PI()*(s_0+4*s_r+IF(circ_int,eq_c1/2,0))/2))+2*IF(circ_int,0,eq_c1/2))+(PI()*(s_0+4*s_r+IF(circ_int,eq_c1/2,0))/2))+2*IF(circ_int,0,eq_c2/2)),-IF(circ_int,0,eq_c1/2)-(s_0+4*s_r+IF(circ_int,eq_c1/2,0)),IF(((31+0.5)*(4*IF(circ_int,0,eq_c1/2)+4*IF(circ_int,0,eq_c2/2)+2*PI()*(s_0+4*s_r+IF(circ_int,eq_c1/2,0)))/INDEX(lk_legs,5))&lt;((((((2*IF(circ_int,0,eq_c2/2))+(PI()*(s_0+4*s_r+IF(circ_int,eq_c1/2,0))/2))+2*IF(circ_int,0,eq_c1/2))+(PI()*(s_0+4*s_r+IF(circ_int,eq_c1/2,0))/2))+2*IF(circ_int,0,eq_c2/2))+(PI()*(s_0+4*s_r+IF(circ_int,eq_c1/2,0))/2)),-IF(circ_int,0,eq_c1/2)+(s_0+4*s_r+IF(circ_int,eq_c1/2,0))*COS(PI()+(((31+0.5)*(4*IF(circ_int,0,eq_c1/2)+4*IF(circ_int,0,eq_c2/2)+2*PI()*(s_0+4*s_r+IF(circ_int,eq_c1/2,0)))/INDEX(lk_legs,5))-(((((2*IF(circ_int,0,eq_c2/2))+(PI()*(s_0+4*s_r+IF(circ_int,eq_c1/2,0))/2))+2*IF(circ_int,0,eq_c1/2))+(PI()*(s_0+4*s_r+IF(circ_int,eq_c1/2,0))/2))+2*IF(circ_int,0,eq_c2/2)))/(s_0+4*s_r+IF(circ_int,eq_c1/2,0))),IF(((31+0.5)*(4*IF(circ_int,0,eq_c1/2)+4*IF(circ_int,0,eq_c2/2)+2*PI()*(s_0+4*s_r+IF(circ_int,eq_c1/2,0)))/INDEX(lk_legs,5))&lt;(((((((2*IF(circ_int,0,eq_c2/2))+(PI()*(s_0+4*s_r+IF(circ_int,eq_c1/2,0))/2))+2*IF(circ_int,0,eq_c1/2))+(PI()*(s_0+4*s_r+IF(circ_int,eq_c1/2,0))/2))+2*IF(circ_int,0,eq_c2/2))+(PI()*(s_0+4*s_r+IF(circ_int,eq_c1/2,0))/2))+2*IF(circ_int,0,eq_c1/2)),-IF(circ_int,0,eq_c1/2)+(((31+0.5)*(4*IF(circ_int,0,eq_c1/2)+4*IF(circ_int,0,eq_c2/2)+2*PI()*(s_0+4*s_r+IF(circ_int,eq_c1/2,0)))/INDEX(lk_legs,5))-((((((2*IF(circ_int,0,eq_c2/2))+(PI()*(s_0+4*s_r+IF(circ_int,eq_c1/2,0))/2))+2*IF(circ_int,0,eq_c1/2))+(PI()*(s_0+4*s_r+IF(circ_int,eq_c1/2,0))/2))+2*IF(circ_int,0,eq_c2/2))+(PI()*(s_0+4*s_r+IF(circ_int,eq_c1/2,0))/2))),IF(circ_int,0,eq_c1/2)+(s_0+4*s_r+IF(circ_int,eq_c1/2,0))*COS(3*PI()/2+(((31+0.5)*(4*IF(circ_int,0,eq_c1/2)+4*IF(circ_int,0,eq_c2/2)+2*PI()*(s_0+4*s_r+IF(circ_int,eq_c1/2,0)))/INDEX(lk_legs,5))-(((((((2*IF(circ_int,0,eq_c2/2))+(PI()*(s_0+4*s_r+IF(circ_int,eq_c1/2,0))/2))+2*IF(circ_int,0,eq_c1/2))+(PI()*(s_0+4*s_r+IF(circ_int,eq_c1/2,0))/2))+2*IF(circ_int,0,eq_c2/2))+(PI()*(s_0+4*s_r+IF(circ_int,eq_c1/2,0))/2))+2*IF(circ_int,0,eq_c1/2)))/(s_0+4*s_r+IF(circ_int,eq_c1/2,0)))))))))),NA())</f>
        <v/>
      </c>
      <c r="BY34">
        <f>IF(AND(AND(links_on,5&lt;=n_per),INDEX(lk_kind,5)=1,31&lt;INDEX(lk_legs,5)),g_oy+IF(((31+0.5)*(4*IF(circ_int,0,eq_c1/2)+4*IF(circ_int,0,eq_c2/2)+2*PI()*(s_0+4*s_r+IF(circ_int,eq_c1/2,0)))/INDEX(lk_legs,5))&lt;(2*IF(circ_int,0,eq_c2/2)),-IF(circ_int,0,eq_c2/2)+((31+0.5)*(4*IF(circ_int,0,eq_c1/2)+4*IF(circ_int,0,eq_c2/2)+2*PI()*(s_0+4*s_r+IF(circ_int,eq_c1/2,0)))/INDEX(lk_legs,5)),IF(((31+0.5)*(4*IF(circ_int,0,eq_c1/2)+4*IF(circ_int,0,eq_c2/2)+2*PI()*(s_0+4*s_r+IF(circ_int,eq_c1/2,0)))/INDEX(lk_legs,5))&lt;((2*IF(circ_int,0,eq_c2/2))+(PI()*(s_0+4*s_r+IF(circ_int,eq_c1/2,0))/2)),IF(circ_int,0,eq_c2/2)+(s_0+4*s_r+IF(circ_int,eq_c1/2,0))*SIN((((31+0.5)*(4*IF(circ_int,0,eq_c1/2)+4*IF(circ_int,0,eq_c2/2)+2*PI()*(s_0+4*s_r+IF(circ_int,eq_c1/2,0)))/INDEX(lk_legs,5))-(2*IF(circ_int,0,eq_c2/2)))/(s_0+4*s_r+IF(circ_int,eq_c1/2,0))),IF(((31+0.5)*(4*IF(circ_int,0,eq_c1/2)+4*IF(circ_int,0,eq_c2/2)+2*PI()*(s_0+4*s_r+IF(circ_int,eq_c1/2,0)))/INDEX(lk_legs,5))&lt;(((2*IF(circ_int,0,eq_c2/2))+(PI()*(s_0+4*s_r+IF(circ_int,eq_c1/2,0))/2))+2*IF(circ_int,0,eq_c1/2)),IF(circ_int,0,eq_c2/2)+(s_0+4*s_r+IF(circ_int,eq_c1/2,0)),IF(((31+0.5)*(4*IF(circ_int,0,eq_c1/2)+4*IF(circ_int,0,eq_c2/2)+2*PI()*(s_0+4*s_r+IF(circ_int,eq_c1/2,0)))/INDEX(lk_legs,5))&lt;((((2*IF(circ_int,0,eq_c2/2))+(PI()*(s_0+4*s_r+IF(circ_int,eq_c1/2,0))/2))+2*IF(circ_int,0,eq_c1/2))+(PI()*(s_0+4*s_r+IF(circ_int,eq_c1/2,0))/2)),IF(circ_int,0,eq_c2/2)+(s_0+4*s_r+IF(circ_int,eq_c1/2,0))*SIN(PI()/2+(((31+0.5)*(4*IF(circ_int,0,eq_c1/2)+4*IF(circ_int,0,eq_c2/2)+2*PI()*(s_0+4*s_r+IF(circ_int,eq_c1/2,0)))/INDEX(lk_legs,5))-(((2*IF(circ_int,0,eq_c2/2))+(PI()*(s_0+4*s_r+IF(circ_int,eq_c1/2,0))/2))+2*IF(circ_int,0,eq_c1/2)))/(s_0+4*s_r+IF(circ_int,eq_c1/2,0))),IF(((31+0.5)*(4*IF(circ_int,0,eq_c1/2)+4*IF(circ_int,0,eq_c2/2)+2*PI()*(s_0+4*s_r+IF(circ_int,eq_c1/2,0)))/INDEX(lk_legs,5))&lt;(((((2*IF(circ_int,0,eq_c2/2))+(PI()*(s_0+4*s_r+IF(circ_int,eq_c1/2,0))/2))+2*IF(circ_int,0,eq_c1/2))+(PI()*(s_0+4*s_r+IF(circ_int,eq_c1/2,0))/2))+2*IF(circ_int,0,eq_c2/2)),IF(circ_int,0,eq_c2/2)-(((31+0.5)*(4*IF(circ_int,0,eq_c1/2)+4*IF(circ_int,0,eq_c2/2)+2*PI()*(s_0+4*s_r+IF(circ_int,eq_c1/2,0)))/INDEX(lk_legs,5))-((((2*IF(circ_int,0,eq_c2/2))+(PI()*(s_0+4*s_r+IF(circ_int,eq_c1/2,0))/2))+2*IF(circ_int,0,eq_c1/2))+(PI()*(s_0+4*s_r+IF(circ_int,eq_c1/2,0))/2))),IF(((31+0.5)*(4*IF(circ_int,0,eq_c1/2)+4*IF(circ_int,0,eq_c2/2)+2*PI()*(s_0+4*s_r+IF(circ_int,eq_c1/2,0)))/INDEX(lk_legs,5))&lt;((((((2*IF(circ_int,0,eq_c2/2))+(PI()*(s_0+4*s_r+IF(circ_int,eq_c1/2,0))/2))+2*IF(circ_int,0,eq_c1/2))+(PI()*(s_0+4*s_r+IF(circ_int,eq_c1/2,0))/2))+2*IF(circ_int,0,eq_c2/2))+(PI()*(s_0+4*s_r+IF(circ_int,eq_c1/2,0))/2)),-IF(circ_int,0,eq_c2/2)+(s_0+4*s_r+IF(circ_int,eq_c1/2,0))*SIN(PI()+(((31+0.5)*(4*IF(circ_int,0,eq_c1/2)+4*IF(circ_int,0,eq_c2/2)+2*PI()*(s_0+4*s_r+IF(circ_int,eq_c1/2,0)))/INDEX(lk_legs,5))-(((((2*IF(circ_int,0,eq_c2/2))+(PI()*(s_0+4*s_r+IF(circ_int,eq_c1/2,0))/2))+2*IF(circ_int,0,eq_c1/2))+(PI()*(s_0+4*s_r+IF(circ_int,eq_c1/2,0))/2))+2*IF(circ_int,0,eq_c2/2)))/(s_0+4*s_r+IF(circ_int,eq_c1/2,0))),IF(((31+0.5)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(31+0.5)*(4*IF(circ_int,0,eq_c1/2)+4*IF(circ_int,0,eq_c2/2)+2*PI()*(s_0+4*s_r+IF(circ_int,eq_c1/2,0)))/INDEX(lk_legs,5))-(((((((2*IF(circ_int,0,eq_c2/2))+(PI()*(s_0+4*s_r+IF(circ_int,eq_c1/2,0))/2))+2*IF(circ_int,0,eq_c1/2))+(PI()*(s_0+4*s_r+IF(circ_int,eq_c1/2,0))/2))+2*IF(circ_int,0,eq_c2/2))+(PI()*(s_0+4*s_r+IF(circ_int,eq_c1/2,0))/2))+2*IF(circ_int,0,eq_c1/2)))/(s_0+4*s_r+IF(circ_int,eq_c1/2,0)))))))))),NA())</f>
        <v/>
      </c>
      <c r="CA34">
        <f>IF(AND(links_on,6&lt;=n_per),IF(circ_int,(g_ox)+(c_1/2+(s_0+5*s_r))*-0.822984,CHOOSE(INDEX(lk_kind,6),(g_ox-eq_c1/2)+((s_0+5*s_r))*-0.793353,0,eq_a1+eq_c1+(s_0+5*s_r),eq_a1+eq_c1+(s_0+5*s_r))),NA())</f>
        <v/>
      </c>
      <c r="CB34">
        <f>IF(AND(links_on,6&lt;=n_per),IF(circ_int,(g_oy)+(c_1/2+(s_0+5*s_r))*-0.568065,CHOOSE(INDEX(lk_kind,6),(g_oy-eq_c2/2)+((s_0+5*s_r))*-0.608761,g_oy-eq_c2/2-(s_0+5*s_r),0,0)),NA())</f>
        <v/>
      </c>
      <c r="CD34">
        <f>IF(AND(AND(links_on,6&lt;=n_per),INDEX(lk_kind,6)=1,31&lt;INDEX(lk_legs,6)),g_ox+IF(((31+0.5)*(4*IF(circ_int,0,eq_c1/2)+4*IF(circ_int,0,eq_c2/2)+2*PI()*(s_0+5*s_r+IF(circ_int,eq_c1/2,0)))/INDEX(lk_legs,6))&lt;(2*IF(circ_int,0,eq_c2/2)),IF(circ_int,0,eq_c1/2)+(s_0+5*s_r+IF(circ_int,eq_c1/2,0)),IF(((31+0.5)*(4*IF(circ_int,0,eq_c1/2)+4*IF(circ_int,0,eq_c2/2)+2*PI()*(s_0+5*s_r+IF(circ_int,eq_c1/2,0)))/INDEX(lk_legs,6))&lt;((2*IF(circ_int,0,eq_c2/2))+(PI()*(s_0+5*s_r+IF(circ_int,eq_c1/2,0))/2)),IF(circ_int,0,eq_c1/2)+(s_0+5*s_r+IF(circ_int,eq_c1/2,0))*COS((((31+0.5)*(4*IF(circ_int,0,eq_c1/2)+4*IF(circ_int,0,eq_c2/2)+2*PI()*(s_0+5*s_r+IF(circ_int,eq_c1/2,0)))/INDEX(lk_legs,6))-(2*IF(circ_int,0,eq_c2/2)))/(s_0+5*s_r+IF(circ_int,eq_c1/2,0))),IF(((31+0.5)*(4*IF(circ_int,0,eq_c1/2)+4*IF(circ_int,0,eq_c2/2)+2*PI()*(s_0+5*s_r+IF(circ_int,eq_c1/2,0)))/INDEX(lk_legs,6))&lt;(((2*IF(circ_int,0,eq_c2/2))+(PI()*(s_0+5*s_r+IF(circ_int,eq_c1/2,0))/2))+2*IF(circ_int,0,eq_c1/2)),IF(circ_int,0,eq_c1/2)-(((31+0.5)*(4*IF(circ_int,0,eq_c1/2)+4*IF(circ_int,0,eq_c2/2)+2*PI()*(s_0+5*s_r+IF(circ_int,eq_c1/2,0)))/INDEX(lk_legs,6))-((2*IF(circ_int,0,eq_c2/2))+(PI()*(s_0+5*s_r+IF(circ_int,eq_c1/2,0))/2))),IF(((31+0.5)*(4*IF(circ_int,0,eq_c1/2)+4*IF(circ_int,0,eq_c2/2)+2*PI()*(s_0+5*s_r+IF(circ_int,eq_c1/2,0)))/INDEX(lk_legs,6))&lt;((((2*IF(circ_int,0,eq_c2/2))+(PI()*(s_0+5*s_r+IF(circ_int,eq_c1/2,0))/2))+2*IF(circ_int,0,eq_c1/2))+(PI()*(s_0+5*s_r+IF(circ_int,eq_c1/2,0))/2)),-IF(circ_int,0,eq_c1/2)+(s_0+5*s_r+IF(circ_int,eq_c1/2,0))*COS(PI()/2+(((31+0.5)*(4*IF(circ_int,0,eq_c1/2)+4*IF(circ_int,0,eq_c2/2)+2*PI()*(s_0+5*s_r+IF(circ_int,eq_c1/2,0)))/INDEX(lk_legs,6))-(((2*IF(circ_int,0,eq_c2/2))+(PI()*(s_0+5*s_r+IF(circ_int,eq_c1/2,0))/2))+2*IF(circ_int,0,eq_c1/2)))/(s_0+5*s_r+IF(circ_int,eq_c1/2,0))),IF(((31+0.5)*(4*IF(circ_int,0,eq_c1/2)+4*IF(circ_int,0,eq_c2/2)+2*PI()*(s_0+5*s_r+IF(circ_int,eq_c1/2,0)))/INDEX(lk_legs,6))&lt;(((((2*IF(circ_int,0,eq_c2/2))+(PI()*(s_0+5*s_r+IF(circ_int,eq_c1/2,0))/2))+2*IF(circ_int,0,eq_c1/2))+(PI()*(s_0+5*s_r+IF(circ_int,eq_c1/2,0))/2))+2*IF(circ_int,0,eq_c2/2)),-IF(circ_int,0,eq_c1/2)-(s_0+5*s_r+IF(circ_int,eq_c1/2,0)),IF(((31+0.5)*(4*IF(circ_int,0,eq_c1/2)+4*IF(circ_int,0,eq_c2/2)+2*PI()*(s_0+5*s_r+IF(circ_int,eq_c1/2,0)))/INDEX(lk_legs,6))&lt;((((((2*IF(circ_int,0,eq_c2/2))+(PI()*(s_0+5*s_r+IF(circ_int,eq_c1/2,0))/2))+2*IF(circ_int,0,eq_c1/2))+(PI()*(s_0+5*s_r+IF(circ_int,eq_c1/2,0))/2))+2*IF(circ_int,0,eq_c2/2))+(PI()*(s_0+5*s_r+IF(circ_int,eq_c1/2,0))/2)),-IF(circ_int,0,eq_c1/2)+(s_0+5*s_r+IF(circ_int,eq_c1/2,0))*COS(PI()+(((31+0.5)*(4*IF(circ_int,0,eq_c1/2)+4*IF(circ_int,0,eq_c2/2)+2*PI()*(s_0+5*s_r+IF(circ_int,eq_c1/2,0)))/INDEX(lk_legs,6))-(((((2*IF(circ_int,0,eq_c2/2))+(PI()*(s_0+5*s_r+IF(circ_int,eq_c1/2,0))/2))+2*IF(circ_int,0,eq_c1/2))+(PI()*(s_0+5*s_r+IF(circ_int,eq_c1/2,0))/2))+2*IF(circ_int,0,eq_c2/2)))/(s_0+5*s_r+IF(circ_int,eq_c1/2,0))),IF(((31+0.5)*(4*IF(circ_int,0,eq_c1/2)+4*IF(circ_int,0,eq_c2/2)+2*PI()*(s_0+5*s_r+IF(circ_int,eq_c1/2,0)))/INDEX(lk_legs,6))&lt;(((((((2*IF(circ_int,0,eq_c2/2))+(PI()*(s_0+5*s_r+IF(circ_int,eq_c1/2,0))/2))+2*IF(circ_int,0,eq_c1/2))+(PI()*(s_0+5*s_r+IF(circ_int,eq_c1/2,0))/2))+2*IF(circ_int,0,eq_c2/2))+(PI()*(s_0+5*s_r+IF(circ_int,eq_c1/2,0))/2))+2*IF(circ_int,0,eq_c1/2)),-IF(circ_int,0,eq_c1/2)+(((31+0.5)*(4*IF(circ_int,0,eq_c1/2)+4*IF(circ_int,0,eq_c2/2)+2*PI()*(s_0+5*s_r+IF(circ_int,eq_c1/2,0)))/INDEX(lk_legs,6))-((((((2*IF(circ_int,0,eq_c2/2))+(PI()*(s_0+5*s_r+IF(circ_int,eq_c1/2,0))/2))+2*IF(circ_int,0,eq_c1/2))+(PI()*(s_0+5*s_r+IF(circ_int,eq_c1/2,0))/2))+2*IF(circ_int,0,eq_c2/2))+(PI()*(s_0+5*s_r+IF(circ_int,eq_c1/2,0))/2))),IF(circ_int,0,eq_c1/2)+(s_0+5*s_r+IF(circ_int,eq_c1/2,0))*COS(3*PI()/2+(((31+0.5)*(4*IF(circ_int,0,eq_c1/2)+4*IF(circ_int,0,eq_c2/2)+2*PI()*(s_0+5*s_r+IF(circ_int,eq_c1/2,0)))/INDEX(lk_legs,6))-(((((((2*IF(circ_int,0,eq_c2/2))+(PI()*(s_0+5*s_r+IF(circ_int,eq_c1/2,0))/2))+2*IF(circ_int,0,eq_c1/2))+(PI()*(s_0+5*s_r+IF(circ_int,eq_c1/2,0))/2))+2*IF(circ_int,0,eq_c2/2))+(PI()*(s_0+5*s_r+IF(circ_int,eq_c1/2,0))/2))+2*IF(circ_int,0,eq_c1/2)))/(s_0+5*s_r+IF(circ_int,eq_c1/2,0)))))))))),NA())</f>
        <v/>
      </c>
      <c r="CE34">
        <f>IF(AND(AND(links_on,6&lt;=n_per),INDEX(lk_kind,6)=1,31&lt;INDEX(lk_legs,6)),g_oy+IF(((31+0.5)*(4*IF(circ_int,0,eq_c1/2)+4*IF(circ_int,0,eq_c2/2)+2*PI()*(s_0+5*s_r+IF(circ_int,eq_c1/2,0)))/INDEX(lk_legs,6))&lt;(2*IF(circ_int,0,eq_c2/2)),-IF(circ_int,0,eq_c2/2)+((31+0.5)*(4*IF(circ_int,0,eq_c1/2)+4*IF(circ_int,0,eq_c2/2)+2*PI()*(s_0+5*s_r+IF(circ_int,eq_c1/2,0)))/INDEX(lk_legs,6)),IF(((31+0.5)*(4*IF(circ_int,0,eq_c1/2)+4*IF(circ_int,0,eq_c2/2)+2*PI()*(s_0+5*s_r+IF(circ_int,eq_c1/2,0)))/INDEX(lk_legs,6))&lt;((2*IF(circ_int,0,eq_c2/2))+(PI()*(s_0+5*s_r+IF(circ_int,eq_c1/2,0))/2)),IF(circ_int,0,eq_c2/2)+(s_0+5*s_r+IF(circ_int,eq_c1/2,0))*SIN((((31+0.5)*(4*IF(circ_int,0,eq_c1/2)+4*IF(circ_int,0,eq_c2/2)+2*PI()*(s_0+5*s_r+IF(circ_int,eq_c1/2,0)))/INDEX(lk_legs,6))-(2*IF(circ_int,0,eq_c2/2)))/(s_0+5*s_r+IF(circ_int,eq_c1/2,0))),IF(((31+0.5)*(4*IF(circ_int,0,eq_c1/2)+4*IF(circ_int,0,eq_c2/2)+2*PI()*(s_0+5*s_r+IF(circ_int,eq_c1/2,0)))/INDEX(lk_legs,6))&lt;(((2*IF(circ_int,0,eq_c2/2))+(PI()*(s_0+5*s_r+IF(circ_int,eq_c1/2,0))/2))+2*IF(circ_int,0,eq_c1/2)),IF(circ_int,0,eq_c2/2)+(s_0+5*s_r+IF(circ_int,eq_c1/2,0)),IF(((31+0.5)*(4*IF(circ_int,0,eq_c1/2)+4*IF(circ_int,0,eq_c2/2)+2*PI()*(s_0+5*s_r+IF(circ_int,eq_c1/2,0)))/INDEX(lk_legs,6))&lt;((((2*IF(circ_int,0,eq_c2/2))+(PI()*(s_0+5*s_r+IF(circ_int,eq_c1/2,0))/2))+2*IF(circ_int,0,eq_c1/2))+(PI()*(s_0+5*s_r+IF(circ_int,eq_c1/2,0))/2)),IF(circ_int,0,eq_c2/2)+(s_0+5*s_r+IF(circ_int,eq_c1/2,0))*SIN(PI()/2+(((31+0.5)*(4*IF(circ_int,0,eq_c1/2)+4*IF(circ_int,0,eq_c2/2)+2*PI()*(s_0+5*s_r+IF(circ_int,eq_c1/2,0)))/INDEX(lk_legs,6))-(((2*IF(circ_int,0,eq_c2/2))+(PI()*(s_0+5*s_r+IF(circ_int,eq_c1/2,0))/2))+2*IF(circ_int,0,eq_c1/2)))/(s_0+5*s_r+IF(circ_int,eq_c1/2,0))),IF(((31+0.5)*(4*IF(circ_int,0,eq_c1/2)+4*IF(circ_int,0,eq_c2/2)+2*PI()*(s_0+5*s_r+IF(circ_int,eq_c1/2,0)))/INDEX(lk_legs,6))&lt;(((((2*IF(circ_int,0,eq_c2/2))+(PI()*(s_0+5*s_r+IF(circ_int,eq_c1/2,0))/2))+2*IF(circ_int,0,eq_c1/2))+(PI()*(s_0+5*s_r+IF(circ_int,eq_c1/2,0))/2))+2*IF(circ_int,0,eq_c2/2)),IF(circ_int,0,eq_c2/2)-(((31+0.5)*(4*IF(circ_int,0,eq_c1/2)+4*IF(circ_int,0,eq_c2/2)+2*PI()*(s_0+5*s_r+IF(circ_int,eq_c1/2,0)))/INDEX(lk_legs,6))-((((2*IF(circ_int,0,eq_c2/2))+(PI()*(s_0+5*s_r+IF(circ_int,eq_c1/2,0))/2))+2*IF(circ_int,0,eq_c1/2))+(PI()*(s_0+5*s_r+IF(circ_int,eq_c1/2,0))/2))),IF(((31+0.5)*(4*IF(circ_int,0,eq_c1/2)+4*IF(circ_int,0,eq_c2/2)+2*PI()*(s_0+5*s_r+IF(circ_int,eq_c1/2,0)))/INDEX(lk_legs,6))&lt;((((((2*IF(circ_int,0,eq_c2/2))+(PI()*(s_0+5*s_r+IF(circ_int,eq_c1/2,0))/2))+2*IF(circ_int,0,eq_c1/2))+(PI()*(s_0+5*s_r+IF(circ_int,eq_c1/2,0))/2))+2*IF(circ_int,0,eq_c2/2))+(PI()*(s_0+5*s_r+IF(circ_int,eq_c1/2,0))/2)),-IF(circ_int,0,eq_c2/2)+(s_0+5*s_r+IF(circ_int,eq_c1/2,0))*SIN(PI()+(((31+0.5)*(4*IF(circ_int,0,eq_c1/2)+4*IF(circ_int,0,eq_c2/2)+2*PI()*(s_0+5*s_r+IF(circ_int,eq_c1/2,0)))/INDEX(lk_legs,6))-(((((2*IF(circ_int,0,eq_c2/2))+(PI()*(s_0+5*s_r+IF(circ_int,eq_c1/2,0))/2))+2*IF(circ_int,0,eq_c1/2))+(PI()*(s_0+5*s_r+IF(circ_int,eq_c1/2,0))/2))+2*IF(circ_int,0,eq_c2/2)))/(s_0+5*s_r+IF(circ_int,eq_c1/2,0))),IF(((31+0.5)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(31+0.5)*(4*IF(circ_int,0,eq_c1/2)+4*IF(circ_int,0,eq_c2/2)+2*PI()*(s_0+5*s_r+IF(circ_int,eq_c1/2,0)))/INDEX(lk_legs,6))-(((((((2*IF(circ_int,0,eq_c2/2))+(PI()*(s_0+5*s_r+IF(circ_int,eq_c1/2,0))/2))+2*IF(circ_int,0,eq_c1/2))+(PI()*(s_0+5*s_r+IF(circ_int,eq_c1/2,0))/2))+2*IF(circ_int,0,eq_c2/2))+(PI()*(s_0+5*s_r+IF(circ_int,eq_c1/2,0))/2))+2*IF(circ_int,0,eq_c1/2)))/(s_0+5*s_r+IF(circ_int,eq_c1/2,0)))))))))),NA())</f>
        <v/>
      </c>
      <c r="CG34">
        <f>IF(AND(links_on,7&lt;=n_per),IF(circ_int,(g_ox)+(c_1/2+(s_0+6*s_r))*-0.822984,CHOOSE(INDEX(lk_kind,7),(g_ox-eq_c1/2)+((s_0+6*s_r))*-0.793353,0,eq_a1+eq_c1+(s_0+6*s_r),eq_a1+eq_c1+(s_0+6*s_r))),NA())</f>
        <v/>
      </c>
      <c r="CH34">
        <f>IF(AND(links_on,7&lt;=n_per),IF(circ_int,(g_oy)+(c_1/2+(s_0+6*s_r))*-0.568065,CHOOSE(INDEX(lk_kind,7),(g_oy-eq_c2/2)+((s_0+6*s_r))*-0.608761,g_oy-eq_c2/2-(s_0+6*s_r),0,0)),NA())</f>
        <v/>
      </c>
      <c r="CJ34">
        <f>IF(AND(AND(links_on,7&lt;=n_per),INDEX(lk_kind,7)=1,31&lt;INDEX(lk_legs,7)),g_ox+IF(((31+0.5)*(4*IF(circ_int,0,eq_c1/2)+4*IF(circ_int,0,eq_c2/2)+2*PI()*(s_0+6*s_r+IF(circ_int,eq_c1/2,0)))/INDEX(lk_legs,7))&lt;(2*IF(circ_int,0,eq_c2/2)),IF(circ_int,0,eq_c1/2)+(s_0+6*s_r+IF(circ_int,eq_c1/2,0)),IF(((31+0.5)*(4*IF(circ_int,0,eq_c1/2)+4*IF(circ_int,0,eq_c2/2)+2*PI()*(s_0+6*s_r+IF(circ_int,eq_c1/2,0)))/INDEX(lk_legs,7))&lt;((2*IF(circ_int,0,eq_c2/2))+(PI()*(s_0+6*s_r+IF(circ_int,eq_c1/2,0))/2)),IF(circ_int,0,eq_c1/2)+(s_0+6*s_r+IF(circ_int,eq_c1/2,0))*COS((((31+0.5)*(4*IF(circ_int,0,eq_c1/2)+4*IF(circ_int,0,eq_c2/2)+2*PI()*(s_0+6*s_r+IF(circ_int,eq_c1/2,0)))/INDEX(lk_legs,7))-(2*IF(circ_int,0,eq_c2/2)))/(s_0+6*s_r+IF(circ_int,eq_c1/2,0))),IF(((31+0.5)*(4*IF(circ_int,0,eq_c1/2)+4*IF(circ_int,0,eq_c2/2)+2*PI()*(s_0+6*s_r+IF(circ_int,eq_c1/2,0)))/INDEX(lk_legs,7))&lt;(((2*IF(circ_int,0,eq_c2/2))+(PI()*(s_0+6*s_r+IF(circ_int,eq_c1/2,0))/2))+2*IF(circ_int,0,eq_c1/2)),IF(circ_int,0,eq_c1/2)-(((31+0.5)*(4*IF(circ_int,0,eq_c1/2)+4*IF(circ_int,0,eq_c2/2)+2*PI()*(s_0+6*s_r+IF(circ_int,eq_c1/2,0)))/INDEX(lk_legs,7))-((2*IF(circ_int,0,eq_c2/2))+(PI()*(s_0+6*s_r+IF(circ_int,eq_c1/2,0))/2))),IF(((31+0.5)*(4*IF(circ_int,0,eq_c1/2)+4*IF(circ_int,0,eq_c2/2)+2*PI()*(s_0+6*s_r+IF(circ_int,eq_c1/2,0)))/INDEX(lk_legs,7))&lt;((((2*IF(circ_int,0,eq_c2/2))+(PI()*(s_0+6*s_r+IF(circ_int,eq_c1/2,0))/2))+2*IF(circ_int,0,eq_c1/2))+(PI()*(s_0+6*s_r+IF(circ_int,eq_c1/2,0))/2)),-IF(circ_int,0,eq_c1/2)+(s_0+6*s_r+IF(circ_int,eq_c1/2,0))*COS(PI()/2+(((31+0.5)*(4*IF(circ_int,0,eq_c1/2)+4*IF(circ_int,0,eq_c2/2)+2*PI()*(s_0+6*s_r+IF(circ_int,eq_c1/2,0)))/INDEX(lk_legs,7))-(((2*IF(circ_int,0,eq_c2/2))+(PI()*(s_0+6*s_r+IF(circ_int,eq_c1/2,0))/2))+2*IF(circ_int,0,eq_c1/2)))/(s_0+6*s_r+IF(circ_int,eq_c1/2,0))),IF(((31+0.5)*(4*IF(circ_int,0,eq_c1/2)+4*IF(circ_int,0,eq_c2/2)+2*PI()*(s_0+6*s_r+IF(circ_int,eq_c1/2,0)))/INDEX(lk_legs,7))&lt;(((((2*IF(circ_int,0,eq_c2/2))+(PI()*(s_0+6*s_r+IF(circ_int,eq_c1/2,0))/2))+2*IF(circ_int,0,eq_c1/2))+(PI()*(s_0+6*s_r+IF(circ_int,eq_c1/2,0))/2))+2*IF(circ_int,0,eq_c2/2)),-IF(circ_int,0,eq_c1/2)-(s_0+6*s_r+IF(circ_int,eq_c1/2,0)),IF(((31+0.5)*(4*IF(circ_int,0,eq_c1/2)+4*IF(circ_int,0,eq_c2/2)+2*PI()*(s_0+6*s_r+IF(circ_int,eq_c1/2,0)))/INDEX(lk_legs,7))&lt;((((((2*IF(circ_int,0,eq_c2/2))+(PI()*(s_0+6*s_r+IF(circ_int,eq_c1/2,0))/2))+2*IF(circ_int,0,eq_c1/2))+(PI()*(s_0+6*s_r+IF(circ_int,eq_c1/2,0))/2))+2*IF(circ_int,0,eq_c2/2))+(PI()*(s_0+6*s_r+IF(circ_int,eq_c1/2,0))/2)),-IF(circ_int,0,eq_c1/2)+(s_0+6*s_r+IF(circ_int,eq_c1/2,0))*COS(PI()+(((31+0.5)*(4*IF(circ_int,0,eq_c1/2)+4*IF(circ_int,0,eq_c2/2)+2*PI()*(s_0+6*s_r+IF(circ_int,eq_c1/2,0)))/INDEX(lk_legs,7))-(((((2*IF(circ_int,0,eq_c2/2))+(PI()*(s_0+6*s_r+IF(circ_int,eq_c1/2,0))/2))+2*IF(circ_int,0,eq_c1/2))+(PI()*(s_0+6*s_r+IF(circ_int,eq_c1/2,0))/2))+2*IF(circ_int,0,eq_c2/2)))/(s_0+6*s_r+IF(circ_int,eq_c1/2,0))),IF(((31+0.5)*(4*IF(circ_int,0,eq_c1/2)+4*IF(circ_int,0,eq_c2/2)+2*PI()*(s_0+6*s_r+IF(circ_int,eq_c1/2,0)))/INDEX(lk_legs,7))&lt;(((((((2*IF(circ_int,0,eq_c2/2))+(PI()*(s_0+6*s_r+IF(circ_int,eq_c1/2,0))/2))+2*IF(circ_int,0,eq_c1/2))+(PI()*(s_0+6*s_r+IF(circ_int,eq_c1/2,0))/2))+2*IF(circ_int,0,eq_c2/2))+(PI()*(s_0+6*s_r+IF(circ_int,eq_c1/2,0))/2))+2*IF(circ_int,0,eq_c1/2)),-IF(circ_int,0,eq_c1/2)+(((31+0.5)*(4*IF(circ_int,0,eq_c1/2)+4*IF(circ_int,0,eq_c2/2)+2*PI()*(s_0+6*s_r+IF(circ_int,eq_c1/2,0)))/INDEX(lk_legs,7))-((((((2*IF(circ_int,0,eq_c2/2))+(PI()*(s_0+6*s_r+IF(circ_int,eq_c1/2,0))/2))+2*IF(circ_int,0,eq_c1/2))+(PI()*(s_0+6*s_r+IF(circ_int,eq_c1/2,0))/2))+2*IF(circ_int,0,eq_c2/2))+(PI()*(s_0+6*s_r+IF(circ_int,eq_c1/2,0))/2))),IF(circ_int,0,eq_c1/2)+(s_0+6*s_r+IF(circ_int,eq_c1/2,0))*COS(3*PI()/2+(((31+0.5)*(4*IF(circ_int,0,eq_c1/2)+4*IF(circ_int,0,eq_c2/2)+2*PI()*(s_0+6*s_r+IF(circ_int,eq_c1/2,0)))/INDEX(lk_legs,7))-(((((((2*IF(circ_int,0,eq_c2/2))+(PI()*(s_0+6*s_r+IF(circ_int,eq_c1/2,0))/2))+2*IF(circ_int,0,eq_c1/2))+(PI()*(s_0+6*s_r+IF(circ_int,eq_c1/2,0))/2))+2*IF(circ_int,0,eq_c2/2))+(PI()*(s_0+6*s_r+IF(circ_int,eq_c1/2,0))/2))+2*IF(circ_int,0,eq_c1/2)))/(s_0+6*s_r+IF(circ_int,eq_c1/2,0)))))))))),NA())</f>
        <v/>
      </c>
      <c r="CK34">
        <f>IF(AND(AND(links_on,7&lt;=n_per),INDEX(lk_kind,7)=1,31&lt;INDEX(lk_legs,7)),g_oy+IF(((31+0.5)*(4*IF(circ_int,0,eq_c1/2)+4*IF(circ_int,0,eq_c2/2)+2*PI()*(s_0+6*s_r+IF(circ_int,eq_c1/2,0)))/INDEX(lk_legs,7))&lt;(2*IF(circ_int,0,eq_c2/2)),-IF(circ_int,0,eq_c2/2)+((31+0.5)*(4*IF(circ_int,0,eq_c1/2)+4*IF(circ_int,0,eq_c2/2)+2*PI()*(s_0+6*s_r+IF(circ_int,eq_c1/2,0)))/INDEX(lk_legs,7)),IF(((31+0.5)*(4*IF(circ_int,0,eq_c1/2)+4*IF(circ_int,0,eq_c2/2)+2*PI()*(s_0+6*s_r+IF(circ_int,eq_c1/2,0)))/INDEX(lk_legs,7))&lt;((2*IF(circ_int,0,eq_c2/2))+(PI()*(s_0+6*s_r+IF(circ_int,eq_c1/2,0))/2)),IF(circ_int,0,eq_c2/2)+(s_0+6*s_r+IF(circ_int,eq_c1/2,0))*SIN((((31+0.5)*(4*IF(circ_int,0,eq_c1/2)+4*IF(circ_int,0,eq_c2/2)+2*PI()*(s_0+6*s_r+IF(circ_int,eq_c1/2,0)))/INDEX(lk_legs,7))-(2*IF(circ_int,0,eq_c2/2)))/(s_0+6*s_r+IF(circ_int,eq_c1/2,0))),IF(((31+0.5)*(4*IF(circ_int,0,eq_c1/2)+4*IF(circ_int,0,eq_c2/2)+2*PI()*(s_0+6*s_r+IF(circ_int,eq_c1/2,0)))/INDEX(lk_legs,7))&lt;(((2*IF(circ_int,0,eq_c2/2))+(PI()*(s_0+6*s_r+IF(circ_int,eq_c1/2,0))/2))+2*IF(circ_int,0,eq_c1/2)),IF(circ_int,0,eq_c2/2)+(s_0+6*s_r+IF(circ_int,eq_c1/2,0)),IF(((31+0.5)*(4*IF(circ_int,0,eq_c1/2)+4*IF(circ_int,0,eq_c2/2)+2*PI()*(s_0+6*s_r+IF(circ_int,eq_c1/2,0)))/INDEX(lk_legs,7))&lt;((((2*IF(circ_int,0,eq_c2/2))+(PI()*(s_0+6*s_r+IF(circ_int,eq_c1/2,0))/2))+2*IF(circ_int,0,eq_c1/2))+(PI()*(s_0+6*s_r+IF(circ_int,eq_c1/2,0))/2)),IF(circ_int,0,eq_c2/2)+(s_0+6*s_r+IF(circ_int,eq_c1/2,0))*SIN(PI()/2+(((31+0.5)*(4*IF(circ_int,0,eq_c1/2)+4*IF(circ_int,0,eq_c2/2)+2*PI()*(s_0+6*s_r+IF(circ_int,eq_c1/2,0)))/INDEX(lk_legs,7))-(((2*IF(circ_int,0,eq_c2/2))+(PI()*(s_0+6*s_r+IF(circ_int,eq_c1/2,0))/2))+2*IF(circ_int,0,eq_c1/2)))/(s_0+6*s_r+IF(circ_int,eq_c1/2,0))),IF(((31+0.5)*(4*IF(circ_int,0,eq_c1/2)+4*IF(circ_int,0,eq_c2/2)+2*PI()*(s_0+6*s_r+IF(circ_int,eq_c1/2,0)))/INDEX(lk_legs,7))&lt;(((((2*IF(circ_int,0,eq_c2/2))+(PI()*(s_0+6*s_r+IF(circ_int,eq_c1/2,0))/2))+2*IF(circ_int,0,eq_c1/2))+(PI()*(s_0+6*s_r+IF(circ_int,eq_c1/2,0))/2))+2*IF(circ_int,0,eq_c2/2)),IF(circ_int,0,eq_c2/2)-(((31+0.5)*(4*IF(circ_int,0,eq_c1/2)+4*IF(circ_int,0,eq_c2/2)+2*PI()*(s_0+6*s_r+IF(circ_int,eq_c1/2,0)))/INDEX(lk_legs,7))-((((2*IF(circ_int,0,eq_c2/2))+(PI()*(s_0+6*s_r+IF(circ_int,eq_c1/2,0))/2))+2*IF(circ_int,0,eq_c1/2))+(PI()*(s_0+6*s_r+IF(circ_int,eq_c1/2,0))/2))),IF(((31+0.5)*(4*IF(circ_int,0,eq_c1/2)+4*IF(circ_int,0,eq_c2/2)+2*PI()*(s_0+6*s_r+IF(circ_int,eq_c1/2,0)))/INDEX(lk_legs,7))&lt;((((((2*IF(circ_int,0,eq_c2/2))+(PI()*(s_0+6*s_r+IF(circ_int,eq_c1/2,0))/2))+2*IF(circ_int,0,eq_c1/2))+(PI()*(s_0+6*s_r+IF(circ_int,eq_c1/2,0))/2))+2*IF(circ_int,0,eq_c2/2))+(PI()*(s_0+6*s_r+IF(circ_int,eq_c1/2,0))/2)),-IF(circ_int,0,eq_c2/2)+(s_0+6*s_r+IF(circ_int,eq_c1/2,0))*SIN(PI()+(((31+0.5)*(4*IF(circ_int,0,eq_c1/2)+4*IF(circ_int,0,eq_c2/2)+2*PI()*(s_0+6*s_r+IF(circ_int,eq_c1/2,0)))/INDEX(lk_legs,7))-(((((2*IF(circ_int,0,eq_c2/2))+(PI()*(s_0+6*s_r+IF(circ_int,eq_c1/2,0))/2))+2*IF(circ_int,0,eq_c1/2))+(PI()*(s_0+6*s_r+IF(circ_int,eq_c1/2,0))/2))+2*IF(circ_int,0,eq_c2/2)))/(s_0+6*s_r+IF(circ_int,eq_c1/2,0))),IF(((31+0.5)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(31+0.5)*(4*IF(circ_int,0,eq_c1/2)+4*IF(circ_int,0,eq_c2/2)+2*PI()*(s_0+6*s_r+IF(circ_int,eq_c1/2,0)))/INDEX(lk_legs,7))-(((((((2*IF(circ_int,0,eq_c2/2))+(PI()*(s_0+6*s_r+IF(circ_int,eq_c1/2,0))/2))+2*IF(circ_int,0,eq_c1/2))+(PI()*(s_0+6*s_r+IF(circ_int,eq_c1/2,0))/2))+2*IF(circ_int,0,eq_c2/2))+(PI()*(s_0+6*s_r+IF(circ_int,eq_c1/2,0))/2))+2*IF(circ_int,0,eq_c1/2)))/(s_0+6*s_r+IF(circ_int,eq_c1/2,0)))))))))),NA())</f>
        <v/>
      </c>
      <c r="CM34">
        <f>IF(AND(links_on,8&lt;=n_per),IF(circ_int,(g_ox)+(c_1/2+(s_0+7*s_r))*-0.822984,CHOOSE(INDEX(lk_kind,8),(g_ox-eq_c1/2)+((s_0+7*s_r))*-0.793353,0,eq_a1+eq_c1+(s_0+7*s_r),eq_a1+eq_c1+(s_0+7*s_r))),NA())</f>
        <v/>
      </c>
      <c r="CN34">
        <f>IF(AND(links_on,8&lt;=n_per),IF(circ_int,(g_oy)+(c_1/2+(s_0+7*s_r))*-0.568065,CHOOSE(INDEX(lk_kind,8),(g_oy-eq_c2/2)+((s_0+7*s_r))*-0.608761,g_oy-eq_c2/2-(s_0+7*s_r),0,0)),NA())</f>
        <v/>
      </c>
      <c r="CP34">
        <f>IF(AND(AND(links_on,8&lt;=n_per),INDEX(lk_kind,8)=1,31&lt;INDEX(lk_legs,8)),g_ox+IF(((31+0.5)*(4*IF(circ_int,0,eq_c1/2)+4*IF(circ_int,0,eq_c2/2)+2*PI()*(s_0+7*s_r+IF(circ_int,eq_c1/2,0)))/INDEX(lk_legs,8))&lt;(2*IF(circ_int,0,eq_c2/2)),IF(circ_int,0,eq_c1/2)+(s_0+7*s_r+IF(circ_int,eq_c1/2,0)),IF(((31+0.5)*(4*IF(circ_int,0,eq_c1/2)+4*IF(circ_int,0,eq_c2/2)+2*PI()*(s_0+7*s_r+IF(circ_int,eq_c1/2,0)))/INDEX(lk_legs,8))&lt;((2*IF(circ_int,0,eq_c2/2))+(PI()*(s_0+7*s_r+IF(circ_int,eq_c1/2,0))/2)),IF(circ_int,0,eq_c1/2)+(s_0+7*s_r+IF(circ_int,eq_c1/2,0))*COS((((31+0.5)*(4*IF(circ_int,0,eq_c1/2)+4*IF(circ_int,0,eq_c2/2)+2*PI()*(s_0+7*s_r+IF(circ_int,eq_c1/2,0)))/INDEX(lk_legs,8))-(2*IF(circ_int,0,eq_c2/2)))/(s_0+7*s_r+IF(circ_int,eq_c1/2,0))),IF(((31+0.5)*(4*IF(circ_int,0,eq_c1/2)+4*IF(circ_int,0,eq_c2/2)+2*PI()*(s_0+7*s_r+IF(circ_int,eq_c1/2,0)))/INDEX(lk_legs,8))&lt;(((2*IF(circ_int,0,eq_c2/2))+(PI()*(s_0+7*s_r+IF(circ_int,eq_c1/2,0))/2))+2*IF(circ_int,0,eq_c1/2)),IF(circ_int,0,eq_c1/2)-(((31+0.5)*(4*IF(circ_int,0,eq_c1/2)+4*IF(circ_int,0,eq_c2/2)+2*PI()*(s_0+7*s_r+IF(circ_int,eq_c1/2,0)))/INDEX(lk_legs,8))-((2*IF(circ_int,0,eq_c2/2))+(PI()*(s_0+7*s_r+IF(circ_int,eq_c1/2,0))/2))),IF(((31+0.5)*(4*IF(circ_int,0,eq_c1/2)+4*IF(circ_int,0,eq_c2/2)+2*PI()*(s_0+7*s_r+IF(circ_int,eq_c1/2,0)))/INDEX(lk_legs,8))&lt;((((2*IF(circ_int,0,eq_c2/2))+(PI()*(s_0+7*s_r+IF(circ_int,eq_c1/2,0))/2))+2*IF(circ_int,0,eq_c1/2))+(PI()*(s_0+7*s_r+IF(circ_int,eq_c1/2,0))/2)),-IF(circ_int,0,eq_c1/2)+(s_0+7*s_r+IF(circ_int,eq_c1/2,0))*COS(PI()/2+(((31+0.5)*(4*IF(circ_int,0,eq_c1/2)+4*IF(circ_int,0,eq_c2/2)+2*PI()*(s_0+7*s_r+IF(circ_int,eq_c1/2,0)))/INDEX(lk_legs,8))-(((2*IF(circ_int,0,eq_c2/2))+(PI()*(s_0+7*s_r+IF(circ_int,eq_c1/2,0))/2))+2*IF(circ_int,0,eq_c1/2)))/(s_0+7*s_r+IF(circ_int,eq_c1/2,0))),IF(((31+0.5)*(4*IF(circ_int,0,eq_c1/2)+4*IF(circ_int,0,eq_c2/2)+2*PI()*(s_0+7*s_r+IF(circ_int,eq_c1/2,0)))/INDEX(lk_legs,8))&lt;(((((2*IF(circ_int,0,eq_c2/2))+(PI()*(s_0+7*s_r+IF(circ_int,eq_c1/2,0))/2))+2*IF(circ_int,0,eq_c1/2))+(PI()*(s_0+7*s_r+IF(circ_int,eq_c1/2,0))/2))+2*IF(circ_int,0,eq_c2/2)),-IF(circ_int,0,eq_c1/2)-(s_0+7*s_r+IF(circ_int,eq_c1/2,0)),IF(((31+0.5)*(4*IF(circ_int,0,eq_c1/2)+4*IF(circ_int,0,eq_c2/2)+2*PI()*(s_0+7*s_r+IF(circ_int,eq_c1/2,0)))/INDEX(lk_legs,8))&lt;((((((2*IF(circ_int,0,eq_c2/2))+(PI()*(s_0+7*s_r+IF(circ_int,eq_c1/2,0))/2))+2*IF(circ_int,0,eq_c1/2))+(PI()*(s_0+7*s_r+IF(circ_int,eq_c1/2,0))/2))+2*IF(circ_int,0,eq_c2/2))+(PI()*(s_0+7*s_r+IF(circ_int,eq_c1/2,0))/2)),-IF(circ_int,0,eq_c1/2)+(s_0+7*s_r+IF(circ_int,eq_c1/2,0))*COS(PI()+(((31+0.5)*(4*IF(circ_int,0,eq_c1/2)+4*IF(circ_int,0,eq_c2/2)+2*PI()*(s_0+7*s_r+IF(circ_int,eq_c1/2,0)))/INDEX(lk_legs,8))-(((((2*IF(circ_int,0,eq_c2/2))+(PI()*(s_0+7*s_r+IF(circ_int,eq_c1/2,0))/2))+2*IF(circ_int,0,eq_c1/2))+(PI()*(s_0+7*s_r+IF(circ_int,eq_c1/2,0))/2))+2*IF(circ_int,0,eq_c2/2)))/(s_0+7*s_r+IF(circ_int,eq_c1/2,0))),IF(((31+0.5)*(4*IF(circ_int,0,eq_c1/2)+4*IF(circ_int,0,eq_c2/2)+2*PI()*(s_0+7*s_r+IF(circ_int,eq_c1/2,0)))/INDEX(lk_legs,8))&lt;(((((((2*IF(circ_int,0,eq_c2/2))+(PI()*(s_0+7*s_r+IF(circ_int,eq_c1/2,0))/2))+2*IF(circ_int,0,eq_c1/2))+(PI()*(s_0+7*s_r+IF(circ_int,eq_c1/2,0))/2))+2*IF(circ_int,0,eq_c2/2))+(PI()*(s_0+7*s_r+IF(circ_int,eq_c1/2,0))/2))+2*IF(circ_int,0,eq_c1/2)),-IF(circ_int,0,eq_c1/2)+(((31+0.5)*(4*IF(circ_int,0,eq_c1/2)+4*IF(circ_int,0,eq_c2/2)+2*PI()*(s_0+7*s_r+IF(circ_int,eq_c1/2,0)))/INDEX(lk_legs,8))-((((((2*IF(circ_int,0,eq_c2/2))+(PI()*(s_0+7*s_r+IF(circ_int,eq_c1/2,0))/2))+2*IF(circ_int,0,eq_c1/2))+(PI()*(s_0+7*s_r+IF(circ_int,eq_c1/2,0))/2))+2*IF(circ_int,0,eq_c2/2))+(PI()*(s_0+7*s_r+IF(circ_int,eq_c1/2,0))/2))),IF(circ_int,0,eq_c1/2)+(s_0+7*s_r+IF(circ_int,eq_c1/2,0))*COS(3*PI()/2+(((31+0.5)*(4*IF(circ_int,0,eq_c1/2)+4*IF(circ_int,0,eq_c2/2)+2*PI()*(s_0+7*s_r+IF(circ_int,eq_c1/2,0)))/INDEX(lk_legs,8))-(((((((2*IF(circ_int,0,eq_c2/2))+(PI()*(s_0+7*s_r+IF(circ_int,eq_c1/2,0))/2))+2*IF(circ_int,0,eq_c1/2))+(PI()*(s_0+7*s_r+IF(circ_int,eq_c1/2,0))/2))+2*IF(circ_int,0,eq_c2/2))+(PI()*(s_0+7*s_r+IF(circ_int,eq_c1/2,0))/2))+2*IF(circ_int,0,eq_c1/2)))/(s_0+7*s_r+IF(circ_int,eq_c1/2,0)))))))))),NA())</f>
        <v/>
      </c>
      <c r="CQ34">
        <f>IF(AND(AND(links_on,8&lt;=n_per),INDEX(lk_kind,8)=1,31&lt;INDEX(lk_legs,8)),g_oy+IF(((31+0.5)*(4*IF(circ_int,0,eq_c1/2)+4*IF(circ_int,0,eq_c2/2)+2*PI()*(s_0+7*s_r+IF(circ_int,eq_c1/2,0)))/INDEX(lk_legs,8))&lt;(2*IF(circ_int,0,eq_c2/2)),-IF(circ_int,0,eq_c2/2)+((31+0.5)*(4*IF(circ_int,0,eq_c1/2)+4*IF(circ_int,0,eq_c2/2)+2*PI()*(s_0+7*s_r+IF(circ_int,eq_c1/2,0)))/INDEX(lk_legs,8)),IF(((31+0.5)*(4*IF(circ_int,0,eq_c1/2)+4*IF(circ_int,0,eq_c2/2)+2*PI()*(s_0+7*s_r+IF(circ_int,eq_c1/2,0)))/INDEX(lk_legs,8))&lt;((2*IF(circ_int,0,eq_c2/2))+(PI()*(s_0+7*s_r+IF(circ_int,eq_c1/2,0))/2)),IF(circ_int,0,eq_c2/2)+(s_0+7*s_r+IF(circ_int,eq_c1/2,0))*SIN((((31+0.5)*(4*IF(circ_int,0,eq_c1/2)+4*IF(circ_int,0,eq_c2/2)+2*PI()*(s_0+7*s_r+IF(circ_int,eq_c1/2,0)))/INDEX(lk_legs,8))-(2*IF(circ_int,0,eq_c2/2)))/(s_0+7*s_r+IF(circ_int,eq_c1/2,0))),IF(((31+0.5)*(4*IF(circ_int,0,eq_c1/2)+4*IF(circ_int,0,eq_c2/2)+2*PI()*(s_0+7*s_r+IF(circ_int,eq_c1/2,0)))/INDEX(lk_legs,8))&lt;(((2*IF(circ_int,0,eq_c2/2))+(PI()*(s_0+7*s_r+IF(circ_int,eq_c1/2,0))/2))+2*IF(circ_int,0,eq_c1/2)),IF(circ_int,0,eq_c2/2)+(s_0+7*s_r+IF(circ_int,eq_c1/2,0)),IF(((31+0.5)*(4*IF(circ_int,0,eq_c1/2)+4*IF(circ_int,0,eq_c2/2)+2*PI()*(s_0+7*s_r+IF(circ_int,eq_c1/2,0)))/INDEX(lk_legs,8))&lt;((((2*IF(circ_int,0,eq_c2/2))+(PI()*(s_0+7*s_r+IF(circ_int,eq_c1/2,0))/2))+2*IF(circ_int,0,eq_c1/2))+(PI()*(s_0+7*s_r+IF(circ_int,eq_c1/2,0))/2)),IF(circ_int,0,eq_c2/2)+(s_0+7*s_r+IF(circ_int,eq_c1/2,0))*SIN(PI()/2+(((31+0.5)*(4*IF(circ_int,0,eq_c1/2)+4*IF(circ_int,0,eq_c2/2)+2*PI()*(s_0+7*s_r+IF(circ_int,eq_c1/2,0)))/INDEX(lk_legs,8))-(((2*IF(circ_int,0,eq_c2/2))+(PI()*(s_0+7*s_r+IF(circ_int,eq_c1/2,0))/2))+2*IF(circ_int,0,eq_c1/2)))/(s_0+7*s_r+IF(circ_int,eq_c1/2,0))),IF(((31+0.5)*(4*IF(circ_int,0,eq_c1/2)+4*IF(circ_int,0,eq_c2/2)+2*PI()*(s_0+7*s_r+IF(circ_int,eq_c1/2,0)))/INDEX(lk_legs,8))&lt;(((((2*IF(circ_int,0,eq_c2/2))+(PI()*(s_0+7*s_r+IF(circ_int,eq_c1/2,0))/2))+2*IF(circ_int,0,eq_c1/2))+(PI()*(s_0+7*s_r+IF(circ_int,eq_c1/2,0))/2))+2*IF(circ_int,0,eq_c2/2)),IF(circ_int,0,eq_c2/2)-(((31+0.5)*(4*IF(circ_int,0,eq_c1/2)+4*IF(circ_int,0,eq_c2/2)+2*PI()*(s_0+7*s_r+IF(circ_int,eq_c1/2,0)))/INDEX(lk_legs,8))-((((2*IF(circ_int,0,eq_c2/2))+(PI()*(s_0+7*s_r+IF(circ_int,eq_c1/2,0))/2))+2*IF(circ_int,0,eq_c1/2))+(PI()*(s_0+7*s_r+IF(circ_int,eq_c1/2,0))/2))),IF(((31+0.5)*(4*IF(circ_int,0,eq_c1/2)+4*IF(circ_int,0,eq_c2/2)+2*PI()*(s_0+7*s_r+IF(circ_int,eq_c1/2,0)))/INDEX(lk_legs,8))&lt;((((((2*IF(circ_int,0,eq_c2/2))+(PI()*(s_0+7*s_r+IF(circ_int,eq_c1/2,0))/2))+2*IF(circ_int,0,eq_c1/2))+(PI()*(s_0+7*s_r+IF(circ_int,eq_c1/2,0))/2))+2*IF(circ_int,0,eq_c2/2))+(PI()*(s_0+7*s_r+IF(circ_int,eq_c1/2,0))/2)),-IF(circ_int,0,eq_c2/2)+(s_0+7*s_r+IF(circ_int,eq_c1/2,0))*SIN(PI()+(((31+0.5)*(4*IF(circ_int,0,eq_c1/2)+4*IF(circ_int,0,eq_c2/2)+2*PI()*(s_0+7*s_r+IF(circ_int,eq_c1/2,0)))/INDEX(lk_legs,8))-(((((2*IF(circ_int,0,eq_c2/2))+(PI()*(s_0+7*s_r+IF(circ_int,eq_c1/2,0))/2))+2*IF(circ_int,0,eq_c1/2))+(PI()*(s_0+7*s_r+IF(circ_int,eq_c1/2,0))/2))+2*IF(circ_int,0,eq_c2/2)))/(s_0+7*s_r+IF(circ_int,eq_c1/2,0))),IF(((31+0.5)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(31+0.5)*(4*IF(circ_int,0,eq_c1/2)+4*IF(circ_int,0,eq_c2/2)+2*PI()*(s_0+7*s_r+IF(circ_int,eq_c1/2,0)))/INDEX(lk_legs,8))-(((((((2*IF(circ_int,0,eq_c2/2))+(PI()*(s_0+7*s_r+IF(circ_int,eq_c1/2,0))/2))+2*IF(circ_int,0,eq_c1/2))+(PI()*(s_0+7*s_r+IF(circ_int,eq_c1/2,0))/2))+2*IF(circ_int,0,eq_c2/2))+(PI()*(s_0+7*s_r+IF(circ_int,eq_c1/2,0))/2))+2*IF(circ_int,0,eq_c1/2)))/(s_0+7*s_r+IF(circ_int,eq_c1/2,0)))))))))),NA())</f>
        <v/>
      </c>
      <c r="CS34">
        <f>IF(AND(links_on,9&lt;=n_per),IF(circ_int,(g_ox)+(c_1/2+(s_0+8*s_r))*-0.822984,CHOOSE(INDEX(lk_kind,9),(g_ox-eq_c1/2)+((s_0+8*s_r))*-0.793353,0,eq_a1+eq_c1+(s_0+8*s_r),eq_a1+eq_c1+(s_0+8*s_r))),NA())</f>
        <v/>
      </c>
      <c r="CT34">
        <f>IF(AND(links_on,9&lt;=n_per),IF(circ_int,(g_oy)+(c_1/2+(s_0+8*s_r))*-0.568065,CHOOSE(INDEX(lk_kind,9),(g_oy-eq_c2/2)+((s_0+8*s_r))*-0.608761,g_oy-eq_c2/2-(s_0+8*s_r),0,0)),NA())</f>
        <v/>
      </c>
      <c r="CV34">
        <f>IF(AND(AND(links_on,9&lt;=n_per),INDEX(lk_kind,9)=1,31&lt;INDEX(lk_legs,9)),g_ox+IF(((31+0.5)*(4*IF(circ_int,0,eq_c1/2)+4*IF(circ_int,0,eq_c2/2)+2*PI()*(s_0+8*s_r+IF(circ_int,eq_c1/2,0)))/INDEX(lk_legs,9))&lt;(2*IF(circ_int,0,eq_c2/2)),IF(circ_int,0,eq_c1/2)+(s_0+8*s_r+IF(circ_int,eq_c1/2,0)),IF(((31+0.5)*(4*IF(circ_int,0,eq_c1/2)+4*IF(circ_int,0,eq_c2/2)+2*PI()*(s_0+8*s_r+IF(circ_int,eq_c1/2,0)))/INDEX(lk_legs,9))&lt;((2*IF(circ_int,0,eq_c2/2))+(PI()*(s_0+8*s_r+IF(circ_int,eq_c1/2,0))/2)),IF(circ_int,0,eq_c1/2)+(s_0+8*s_r+IF(circ_int,eq_c1/2,0))*COS((((31+0.5)*(4*IF(circ_int,0,eq_c1/2)+4*IF(circ_int,0,eq_c2/2)+2*PI()*(s_0+8*s_r+IF(circ_int,eq_c1/2,0)))/INDEX(lk_legs,9))-(2*IF(circ_int,0,eq_c2/2)))/(s_0+8*s_r+IF(circ_int,eq_c1/2,0))),IF(((31+0.5)*(4*IF(circ_int,0,eq_c1/2)+4*IF(circ_int,0,eq_c2/2)+2*PI()*(s_0+8*s_r+IF(circ_int,eq_c1/2,0)))/INDEX(lk_legs,9))&lt;(((2*IF(circ_int,0,eq_c2/2))+(PI()*(s_0+8*s_r+IF(circ_int,eq_c1/2,0))/2))+2*IF(circ_int,0,eq_c1/2)),IF(circ_int,0,eq_c1/2)-(((31+0.5)*(4*IF(circ_int,0,eq_c1/2)+4*IF(circ_int,0,eq_c2/2)+2*PI()*(s_0+8*s_r+IF(circ_int,eq_c1/2,0)))/INDEX(lk_legs,9))-((2*IF(circ_int,0,eq_c2/2))+(PI()*(s_0+8*s_r+IF(circ_int,eq_c1/2,0))/2))),IF(((31+0.5)*(4*IF(circ_int,0,eq_c1/2)+4*IF(circ_int,0,eq_c2/2)+2*PI()*(s_0+8*s_r+IF(circ_int,eq_c1/2,0)))/INDEX(lk_legs,9))&lt;((((2*IF(circ_int,0,eq_c2/2))+(PI()*(s_0+8*s_r+IF(circ_int,eq_c1/2,0))/2))+2*IF(circ_int,0,eq_c1/2))+(PI()*(s_0+8*s_r+IF(circ_int,eq_c1/2,0))/2)),-IF(circ_int,0,eq_c1/2)+(s_0+8*s_r+IF(circ_int,eq_c1/2,0))*COS(PI()/2+(((31+0.5)*(4*IF(circ_int,0,eq_c1/2)+4*IF(circ_int,0,eq_c2/2)+2*PI()*(s_0+8*s_r+IF(circ_int,eq_c1/2,0)))/INDEX(lk_legs,9))-(((2*IF(circ_int,0,eq_c2/2))+(PI()*(s_0+8*s_r+IF(circ_int,eq_c1/2,0))/2))+2*IF(circ_int,0,eq_c1/2)))/(s_0+8*s_r+IF(circ_int,eq_c1/2,0))),IF(((31+0.5)*(4*IF(circ_int,0,eq_c1/2)+4*IF(circ_int,0,eq_c2/2)+2*PI()*(s_0+8*s_r+IF(circ_int,eq_c1/2,0)))/INDEX(lk_legs,9))&lt;(((((2*IF(circ_int,0,eq_c2/2))+(PI()*(s_0+8*s_r+IF(circ_int,eq_c1/2,0))/2))+2*IF(circ_int,0,eq_c1/2))+(PI()*(s_0+8*s_r+IF(circ_int,eq_c1/2,0))/2))+2*IF(circ_int,0,eq_c2/2)),-IF(circ_int,0,eq_c1/2)-(s_0+8*s_r+IF(circ_int,eq_c1/2,0)),IF(((31+0.5)*(4*IF(circ_int,0,eq_c1/2)+4*IF(circ_int,0,eq_c2/2)+2*PI()*(s_0+8*s_r+IF(circ_int,eq_c1/2,0)))/INDEX(lk_legs,9))&lt;((((((2*IF(circ_int,0,eq_c2/2))+(PI()*(s_0+8*s_r+IF(circ_int,eq_c1/2,0))/2))+2*IF(circ_int,0,eq_c1/2))+(PI()*(s_0+8*s_r+IF(circ_int,eq_c1/2,0))/2))+2*IF(circ_int,0,eq_c2/2))+(PI()*(s_0+8*s_r+IF(circ_int,eq_c1/2,0))/2)),-IF(circ_int,0,eq_c1/2)+(s_0+8*s_r+IF(circ_int,eq_c1/2,0))*COS(PI()+(((31+0.5)*(4*IF(circ_int,0,eq_c1/2)+4*IF(circ_int,0,eq_c2/2)+2*PI()*(s_0+8*s_r+IF(circ_int,eq_c1/2,0)))/INDEX(lk_legs,9))-(((((2*IF(circ_int,0,eq_c2/2))+(PI()*(s_0+8*s_r+IF(circ_int,eq_c1/2,0))/2))+2*IF(circ_int,0,eq_c1/2))+(PI()*(s_0+8*s_r+IF(circ_int,eq_c1/2,0))/2))+2*IF(circ_int,0,eq_c2/2)))/(s_0+8*s_r+IF(circ_int,eq_c1/2,0))),IF(((31+0.5)*(4*IF(circ_int,0,eq_c1/2)+4*IF(circ_int,0,eq_c2/2)+2*PI()*(s_0+8*s_r+IF(circ_int,eq_c1/2,0)))/INDEX(lk_legs,9))&lt;(((((((2*IF(circ_int,0,eq_c2/2))+(PI()*(s_0+8*s_r+IF(circ_int,eq_c1/2,0))/2))+2*IF(circ_int,0,eq_c1/2))+(PI()*(s_0+8*s_r+IF(circ_int,eq_c1/2,0))/2))+2*IF(circ_int,0,eq_c2/2))+(PI()*(s_0+8*s_r+IF(circ_int,eq_c1/2,0))/2))+2*IF(circ_int,0,eq_c1/2)),-IF(circ_int,0,eq_c1/2)+(((31+0.5)*(4*IF(circ_int,0,eq_c1/2)+4*IF(circ_int,0,eq_c2/2)+2*PI()*(s_0+8*s_r+IF(circ_int,eq_c1/2,0)))/INDEX(lk_legs,9))-((((((2*IF(circ_int,0,eq_c2/2))+(PI()*(s_0+8*s_r+IF(circ_int,eq_c1/2,0))/2))+2*IF(circ_int,0,eq_c1/2))+(PI()*(s_0+8*s_r+IF(circ_int,eq_c1/2,0))/2))+2*IF(circ_int,0,eq_c2/2))+(PI()*(s_0+8*s_r+IF(circ_int,eq_c1/2,0))/2))),IF(circ_int,0,eq_c1/2)+(s_0+8*s_r+IF(circ_int,eq_c1/2,0))*COS(3*PI()/2+(((31+0.5)*(4*IF(circ_int,0,eq_c1/2)+4*IF(circ_int,0,eq_c2/2)+2*PI()*(s_0+8*s_r+IF(circ_int,eq_c1/2,0)))/INDEX(lk_legs,9))-(((((((2*IF(circ_int,0,eq_c2/2))+(PI()*(s_0+8*s_r+IF(circ_int,eq_c1/2,0))/2))+2*IF(circ_int,0,eq_c1/2))+(PI()*(s_0+8*s_r+IF(circ_int,eq_c1/2,0))/2))+2*IF(circ_int,0,eq_c2/2))+(PI()*(s_0+8*s_r+IF(circ_int,eq_c1/2,0))/2))+2*IF(circ_int,0,eq_c1/2)))/(s_0+8*s_r+IF(circ_int,eq_c1/2,0)))))))))),NA())</f>
        <v/>
      </c>
      <c r="CW34">
        <f>IF(AND(AND(links_on,9&lt;=n_per),INDEX(lk_kind,9)=1,31&lt;INDEX(lk_legs,9)),g_oy+IF(((31+0.5)*(4*IF(circ_int,0,eq_c1/2)+4*IF(circ_int,0,eq_c2/2)+2*PI()*(s_0+8*s_r+IF(circ_int,eq_c1/2,0)))/INDEX(lk_legs,9))&lt;(2*IF(circ_int,0,eq_c2/2)),-IF(circ_int,0,eq_c2/2)+((31+0.5)*(4*IF(circ_int,0,eq_c1/2)+4*IF(circ_int,0,eq_c2/2)+2*PI()*(s_0+8*s_r+IF(circ_int,eq_c1/2,0)))/INDEX(lk_legs,9)),IF(((31+0.5)*(4*IF(circ_int,0,eq_c1/2)+4*IF(circ_int,0,eq_c2/2)+2*PI()*(s_0+8*s_r+IF(circ_int,eq_c1/2,0)))/INDEX(lk_legs,9))&lt;((2*IF(circ_int,0,eq_c2/2))+(PI()*(s_0+8*s_r+IF(circ_int,eq_c1/2,0))/2)),IF(circ_int,0,eq_c2/2)+(s_0+8*s_r+IF(circ_int,eq_c1/2,0))*SIN((((31+0.5)*(4*IF(circ_int,0,eq_c1/2)+4*IF(circ_int,0,eq_c2/2)+2*PI()*(s_0+8*s_r+IF(circ_int,eq_c1/2,0)))/INDEX(lk_legs,9))-(2*IF(circ_int,0,eq_c2/2)))/(s_0+8*s_r+IF(circ_int,eq_c1/2,0))),IF(((31+0.5)*(4*IF(circ_int,0,eq_c1/2)+4*IF(circ_int,0,eq_c2/2)+2*PI()*(s_0+8*s_r+IF(circ_int,eq_c1/2,0)))/INDEX(lk_legs,9))&lt;(((2*IF(circ_int,0,eq_c2/2))+(PI()*(s_0+8*s_r+IF(circ_int,eq_c1/2,0))/2))+2*IF(circ_int,0,eq_c1/2)),IF(circ_int,0,eq_c2/2)+(s_0+8*s_r+IF(circ_int,eq_c1/2,0)),IF(((31+0.5)*(4*IF(circ_int,0,eq_c1/2)+4*IF(circ_int,0,eq_c2/2)+2*PI()*(s_0+8*s_r+IF(circ_int,eq_c1/2,0)))/INDEX(lk_legs,9))&lt;((((2*IF(circ_int,0,eq_c2/2))+(PI()*(s_0+8*s_r+IF(circ_int,eq_c1/2,0))/2))+2*IF(circ_int,0,eq_c1/2))+(PI()*(s_0+8*s_r+IF(circ_int,eq_c1/2,0))/2)),IF(circ_int,0,eq_c2/2)+(s_0+8*s_r+IF(circ_int,eq_c1/2,0))*SIN(PI()/2+(((31+0.5)*(4*IF(circ_int,0,eq_c1/2)+4*IF(circ_int,0,eq_c2/2)+2*PI()*(s_0+8*s_r+IF(circ_int,eq_c1/2,0)))/INDEX(lk_legs,9))-(((2*IF(circ_int,0,eq_c2/2))+(PI()*(s_0+8*s_r+IF(circ_int,eq_c1/2,0))/2))+2*IF(circ_int,0,eq_c1/2)))/(s_0+8*s_r+IF(circ_int,eq_c1/2,0))),IF(((31+0.5)*(4*IF(circ_int,0,eq_c1/2)+4*IF(circ_int,0,eq_c2/2)+2*PI()*(s_0+8*s_r+IF(circ_int,eq_c1/2,0)))/INDEX(lk_legs,9))&lt;(((((2*IF(circ_int,0,eq_c2/2))+(PI()*(s_0+8*s_r+IF(circ_int,eq_c1/2,0))/2))+2*IF(circ_int,0,eq_c1/2))+(PI()*(s_0+8*s_r+IF(circ_int,eq_c1/2,0))/2))+2*IF(circ_int,0,eq_c2/2)),IF(circ_int,0,eq_c2/2)-(((31+0.5)*(4*IF(circ_int,0,eq_c1/2)+4*IF(circ_int,0,eq_c2/2)+2*PI()*(s_0+8*s_r+IF(circ_int,eq_c1/2,0)))/INDEX(lk_legs,9))-((((2*IF(circ_int,0,eq_c2/2))+(PI()*(s_0+8*s_r+IF(circ_int,eq_c1/2,0))/2))+2*IF(circ_int,0,eq_c1/2))+(PI()*(s_0+8*s_r+IF(circ_int,eq_c1/2,0))/2))),IF(((31+0.5)*(4*IF(circ_int,0,eq_c1/2)+4*IF(circ_int,0,eq_c2/2)+2*PI()*(s_0+8*s_r+IF(circ_int,eq_c1/2,0)))/INDEX(lk_legs,9))&lt;((((((2*IF(circ_int,0,eq_c2/2))+(PI()*(s_0+8*s_r+IF(circ_int,eq_c1/2,0))/2))+2*IF(circ_int,0,eq_c1/2))+(PI()*(s_0+8*s_r+IF(circ_int,eq_c1/2,0))/2))+2*IF(circ_int,0,eq_c2/2))+(PI()*(s_0+8*s_r+IF(circ_int,eq_c1/2,0))/2)),-IF(circ_int,0,eq_c2/2)+(s_0+8*s_r+IF(circ_int,eq_c1/2,0))*SIN(PI()+(((31+0.5)*(4*IF(circ_int,0,eq_c1/2)+4*IF(circ_int,0,eq_c2/2)+2*PI()*(s_0+8*s_r+IF(circ_int,eq_c1/2,0)))/INDEX(lk_legs,9))-(((((2*IF(circ_int,0,eq_c2/2))+(PI()*(s_0+8*s_r+IF(circ_int,eq_c1/2,0))/2))+2*IF(circ_int,0,eq_c1/2))+(PI()*(s_0+8*s_r+IF(circ_int,eq_c1/2,0))/2))+2*IF(circ_int,0,eq_c2/2)))/(s_0+8*s_r+IF(circ_int,eq_c1/2,0))),IF(((31+0.5)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(31+0.5)*(4*IF(circ_int,0,eq_c1/2)+4*IF(circ_int,0,eq_c2/2)+2*PI()*(s_0+8*s_r+IF(circ_int,eq_c1/2,0)))/INDEX(lk_legs,9))-(((((((2*IF(circ_int,0,eq_c2/2))+(PI()*(s_0+8*s_r+IF(circ_int,eq_c1/2,0))/2))+2*IF(circ_int,0,eq_c1/2))+(PI()*(s_0+8*s_r+IF(circ_int,eq_c1/2,0))/2))+2*IF(circ_int,0,eq_c2/2))+(PI()*(s_0+8*s_r+IF(circ_int,eq_c1/2,0))/2))+2*IF(circ_int,0,eq_c1/2)))/(s_0+8*s_r+IF(circ_int,eq_c1/2,0)))))))))),NA())</f>
        <v/>
      </c>
      <c r="CY34">
        <f>IF(AND(links_on,10&lt;=n_per),IF(circ_int,(g_ox)+(c_1/2+(s_0+9*s_r))*-0.822984,CHOOSE(INDEX(lk_kind,10),(g_ox-eq_c1/2)+((s_0+9*s_r))*-0.793353,0,eq_a1+eq_c1+(s_0+9*s_r),eq_a1+eq_c1+(s_0+9*s_r))),NA())</f>
        <v/>
      </c>
      <c r="CZ34">
        <f>IF(AND(links_on,10&lt;=n_per),IF(circ_int,(g_oy)+(c_1/2+(s_0+9*s_r))*-0.568065,CHOOSE(INDEX(lk_kind,10),(g_oy-eq_c2/2)+((s_0+9*s_r))*-0.608761,g_oy-eq_c2/2-(s_0+9*s_r),0,0)),NA())</f>
        <v/>
      </c>
      <c r="DB34">
        <f>IF(AND(AND(links_on,10&lt;=n_per),INDEX(lk_kind,10)=1,31&lt;INDEX(lk_legs,10)),g_ox+IF(((31+0.5)*(4*IF(circ_int,0,eq_c1/2)+4*IF(circ_int,0,eq_c2/2)+2*PI()*(s_0+9*s_r+IF(circ_int,eq_c1/2,0)))/INDEX(lk_legs,10))&lt;(2*IF(circ_int,0,eq_c2/2)),IF(circ_int,0,eq_c1/2)+(s_0+9*s_r+IF(circ_int,eq_c1/2,0)),IF(((31+0.5)*(4*IF(circ_int,0,eq_c1/2)+4*IF(circ_int,0,eq_c2/2)+2*PI()*(s_0+9*s_r+IF(circ_int,eq_c1/2,0)))/INDEX(lk_legs,10))&lt;((2*IF(circ_int,0,eq_c2/2))+(PI()*(s_0+9*s_r+IF(circ_int,eq_c1/2,0))/2)),IF(circ_int,0,eq_c1/2)+(s_0+9*s_r+IF(circ_int,eq_c1/2,0))*COS((((31+0.5)*(4*IF(circ_int,0,eq_c1/2)+4*IF(circ_int,0,eq_c2/2)+2*PI()*(s_0+9*s_r+IF(circ_int,eq_c1/2,0)))/INDEX(lk_legs,10))-(2*IF(circ_int,0,eq_c2/2)))/(s_0+9*s_r+IF(circ_int,eq_c1/2,0))),IF(((31+0.5)*(4*IF(circ_int,0,eq_c1/2)+4*IF(circ_int,0,eq_c2/2)+2*PI()*(s_0+9*s_r+IF(circ_int,eq_c1/2,0)))/INDEX(lk_legs,10))&lt;(((2*IF(circ_int,0,eq_c2/2))+(PI()*(s_0+9*s_r+IF(circ_int,eq_c1/2,0))/2))+2*IF(circ_int,0,eq_c1/2)),IF(circ_int,0,eq_c1/2)-(((31+0.5)*(4*IF(circ_int,0,eq_c1/2)+4*IF(circ_int,0,eq_c2/2)+2*PI()*(s_0+9*s_r+IF(circ_int,eq_c1/2,0)))/INDEX(lk_legs,10))-((2*IF(circ_int,0,eq_c2/2))+(PI()*(s_0+9*s_r+IF(circ_int,eq_c1/2,0))/2))),IF(((31+0.5)*(4*IF(circ_int,0,eq_c1/2)+4*IF(circ_int,0,eq_c2/2)+2*PI()*(s_0+9*s_r+IF(circ_int,eq_c1/2,0)))/INDEX(lk_legs,10))&lt;((((2*IF(circ_int,0,eq_c2/2))+(PI()*(s_0+9*s_r+IF(circ_int,eq_c1/2,0))/2))+2*IF(circ_int,0,eq_c1/2))+(PI()*(s_0+9*s_r+IF(circ_int,eq_c1/2,0))/2)),-IF(circ_int,0,eq_c1/2)+(s_0+9*s_r+IF(circ_int,eq_c1/2,0))*COS(PI()/2+(((31+0.5)*(4*IF(circ_int,0,eq_c1/2)+4*IF(circ_int,0,eq_c2/2)+2*PI()*(s_0+9*s_r+IF(circ_int,eq_c1/2,0)))/INDEX(lk_legs,10))-(((2*IF(circ_int,0,eq_c2/2))+(PI()*(s_0+9*s_r+IF(circ_int,eq_c1/2,0))/2))+2*IF(circ_int,0,eq_c1/2)))/(s_0+9*s_r+IF(circ_int,eq_c1/2,0))),IF(((31+0.5)*(4*IF(circ_int,0,eq_c1/2)+4*IF(circ_int,0,eq_c2/2)+2*PI()*(s_0+9*s_r+IF(circ_int,eq_c1/2,0)))/INDEX(lk_legs,10))&lt;(((((2*IF(circ_int,0,eq_c2/2))+(PI()*(s_0+9*s_r+IF(circ_int,eq_c1/2,0))/2))+2*IF(circ_int,0,eq_c1/2))+(PI()*(s_0+9*s_r+IF(circ_int,eq_c1/2,0))/2))+2*IF(circ_int,0,eq_c2/2)),-IF(circ_int,0,eq_c1/2)-(s_0+9*s_r+IF(circ_int,eq_c1/2,0)),IF(((31+0.5)*(4*IF(circ_int,0,eq_c1/2)+4*IF(circ_int,0,eq_c2/2)+2*PI()*(s_0+9*s_r+IF(circ_int,eq_c1/2,0)))/INDEX(lk_legs,10))&lt;((((((2*IF(circ_int,0,eq_c2/2))+(PI()*(s_0+9*s_r+IF(circ_int,eq_c1/2,0))/2))+2*IF(circ_int,0,eq_c1/2))+(PI()*(s_0+9*s_r+IF(circ_int,eq_c1/2,0))/2))+2*IF(circ_int,0,eq_c2/2))+(PI()*(s_0+9*s_r+IF(circ_int,eq_c1/2,0))/2)),-IF(circ_int,0,eq_c1/2)+(s_0+9*s_r+IF(circ_int,eq_c1/2,0))*COS(PI()+(((31+0.5)*(4*IF(circ_int,0,eq_c1/2)+4*IF(circ_int,0,eq_c2/2)+2*PI()*(s_0+9*s_r+IF(circ_int,eq_c1/2,0)))/INDEX(lk_legs,10))-(((((2*IF(circ_int,0,eq_c2/2))+(PI()*(s_0+9*s_r+IF(circ_int,eq_c1/2,0))/2))+2*IF(circ_int,0,eq_c1/2))+(PI()*(s_0+9*s_r+IF(circ_int,eq_c1/2,0))/2))+2*IF(circ_int,0,eq_c2/2)))/(s_0+9*s_r+IF(circ_int,eq_c1/2,0))),IF(((31+0.5)*(4*IF(circ_int,0,eq_c1/2)+4*IF(circ_int,0,eq_c2/2)+2*PI()*(s_0+9*s_r+IF(circ_int,eq_c1/2,0)))/INDEX(lk_legs,10))&lt;(((((((2*IF(circ_int,0,eq_c2/2))+(PI()*(s_0+9*s_r+IF(circ_int,eq_c1/2,0))/2))+2*IF(circ_int,0,eq_c1/2))+(PI()*(s_0+9*s_r+IF(circ_int,eq_c1/2,0))/2))+2*IF(circ_int,0,eq_c2/2))+(PI()*(s_0+9*s_r+IF(circ_int,eq_c1/2,0))/2))+2*IF(circ_int,0,eq_c1/2)),-IF(circ_int,0,eq_c1/2)+(((31+0.5)*(4*IF(circ_int,0,eq_c1/2)+4*IF(circ_int,0,eq_c2/2)+2*PI()*(s_0+9*s_r+IF(circ_int,eq_c1/2,0)))/INDEX(lk_legs,10))-((((((2*IF(circ_int,0,eq_c2/2))+(PI()*(s_0+9*s_r+IF(circ_int,eq_c1/2,0))/2))+2*IF(circ_int,0,eq_c1/2))+(PI()*(s_0+9*s_r+IF(circ_int,eq_c1/2,0))/2))+2*IF(circ_int,0,eq_c2/2))+(PI()*(s_0+9*s_r+IF(circ_int,eq_c1/2,0))/2))),IF(circ_int,0,eq_c1/2)+(s_0+9*s_r+IF(circ_int,eq_c1/2,0))*COS(3*PI()/2+(((31+0.5)*(4*IF(circ_int,0,eq_c1/2)+4*IF(circ_int,0,eq_c2/2)+2*PI()*(s_0+9*s_r+IF(circ_int,eq_c1/2,0)))/INDEX(lk_legs,10))-(((((((2*IF(circ_int,0,eq_c2/2))+(PI()*(s_0+9*s_r+IF(circ_int,eq_c1/2,0))/2))+2*IF(circ_int,0,eq_c1/2))+(PI()*(s_0+9*s_r+IF(circ_int,eq_c1/2,0))/2))+2*IF(circ_int,0,eq_c2/2))+(PI()*(s_0+9*s_r+IF(circ_int,eq_c1/2,0))/2))+2*IF(circ_int,0,eq_c1/2)))/(s_0+9*s_r+IF(circ_int,eq_c1/2,0)))))))))),NA())</f>
        <v/>
      </c>
      <c r="DC34">
        <f>IF(AND(AND(links_on,10&lt;=n_per),INDEX(lk_kind,10)=1,31&lt;INDEX(lk_legs,10)),g_oy+IF(((31+0.5)*(4*IF(circ_int,0,eq_c1/2)+4*IF(circ_int,0,eq_c2/2)+2*PI()*(s_0+9*s_r+IF(circ_int,eq_c1/2,0)))/INDEX(lk_legs,10))&lt;(2*IF(circ_int,0,eq_c2/2)),-IF(circ_int,0,eq_c2/2)+((31+0.5)*(4*IF(circ_int,0,eq_c1/2)+4*IF(circ_int,0,eq_c2/2)+2*PI()*(s_0+9*s_r+IF(circ_int,eq_c1/2,0)))/INDEX(lk_legs,10)),IF(((31+0.5)*(4*IF(circ_int,0,eq_c1/2)+4*IF(circ_int,0,eq_c2/2)+2*PI()*(s_0+9*s_r+IF(circ_int,eq_c1/2,0)))/INDEX(lk_legs,10))&lt;((2*IF(circ_int,0,eq_c2/2))+(PI()*(s_0+9*s_r+IF(circ_int,eq_c1/2,0))/2)),IF(circ_int,0,eq_c2/2)+(s_0+9*s_r+IF(circ_int,eq_c1/2,0))*SIN((((31+0.5)*(4*IF(circ_int,0,eq_c1/2)+4*IF(circ_int,0,eq_c2/2)+2*PI()*(s_0+9*s_r+IF(circ_int,eq_c1/2,0)))/INDEX(lk_legs,10))-(2*IF(circ_int,0,eq_c2/2)))/(s_0+9*s_r+IF(circ_int,eq_c1/2,0))),IF(((31+0.5)*(4*IF(circ_int,0,eq_c1/2)+4*IF(circ_int,0,eq_c2/2)+2*PI()*(s_0+9*s_r+IF(circ_int,eq_c1/2,0)))/INDEX(lk_legs,10))&lt;(((2*IF(circ_int,0,eq_c2/2))+(PI()*(s_0+9*s_r+IF(circ_int,eq_c1/2,0))/2))+2*IF(circ_int,0,eq_c1/2)),IF(circ_int,0,eq_c2/2)+(s_0+9*s_r+IF(circ_int,eq_c1/2,0)),IF(((31+0.5)*(4*IF(circ_int,0,eq_c1/2)+4*IF(circ_int,0,eq_c2/2)+2*PI()*(s_0+9*s_r+IF(circ_int,eq_c1/2,0)))/INDEX(lk_legs,10))&lt;((((2*IF(circ_int,0,eq_c2/2))+(PI()*(s_0+9*s_r+IF(circ_int,eq_c1/2,0))/2))+2*IF(circ_int,0,eq_c1/2))+(PI()*(s_0+9*s_r+IF(circ_int,eq_c1/2,0))/2)),IF(circ_int,0,eq_c2/2)+(s_0+9*s_r+IF(circ_int,eq_c1/2,0))*SIN(PI()/2+(((31+0.5)*(4*IF(circ_int,0,eq_c1/2)+4*IF(circ_int,0,eq_c2/2)+2*PI()*(s_0+9*s_r+IF(circ_int,eq_c1/2,0)))/INDEX(lk_legs,10))-(((2*IF(circ_int,0,eq_c2/2))+(PI()*(s_0+9*s_r+IF(circ_int,eq_c1/2,0))/2))+2*IF(circ_int,0,eq_c1/2)))/(s_0+9*s_r+IF(circ_int,eq_c1/2,0))),IF(((31+0.5)*(4*IF(circ_int,0,eq_c1/2)+4*IF(circ_int,0,eq_c2/2)+2*PI()*(s_0+9*s_r+IF(circ_int,eq_c1/2,0)))/INDEX(lk_legs,10))&lt;(((((2*IF(circ_int,0,eq_c2/2))+(PI()*(s_0+9*s_r+IF(circ_int,eq_c1/2,0))/2))+2*IF(circ_int,0,eq_c1/2))+(PI()*(s_0+9*s_r+IF(circ_int,eq_c1/2,0))/2))+2*IF(circ_int,0,eq_c2/2)),IF(circ_int,0,eq_c2/2)-(((31+0.5)*(4*IF(circ_int,0,eq_c1/2)+4*IF(circ_int,0,eq_c2/2)+2*PI()*(s_0+9*s_r+IF(circ_int,eq_c1/2,0)))/INDEX(lk_legs,10))-((((2*IF(circ_int,0,eq_c2/2))+(PI()*(s_0+9*s_r+IF(circ_int,eq_c1/2,0))/2))+2*IF(circ_int,0,eq_c1/2))+(PI()*(s_0+9*s_r+IF(circ_int,eq_c1/2,0))/2))),IF(((31+0.5)*(4*IF(circ_int,0,eq_c1/2)+4*IF(circ_int,0,eq_c2/2)+2*PI()*(s_0+9*s_r+IF(circ_int,eq_c1/2,0)))/INDEX(lk_legs,10))&lt;((((((2*IF(circ_int,0,eq_c2/2))+(PI()*(s_0+9*s_r+IF(circ_int,eq_c1/2,0))/2))+2*IF(circ_int,0,eq_c1/2))+(PI()*(s_0+9*s_r+IF(circ_int,eq_c1/2,0))/2))+2*IF(circ_int,0,eq_c2/2))+(PI()*(s_0+9*s_r+IF(circ_int,eq_c1/2,0))/2)),-IF(circ_int,0,eq_c2/2)+(s_0+9*s_r+IF(circ_int,eq_c1/2,0))*SIN(PI()+(((31+0.5)*(4*IF(circ_int,0,eq_c1/2)+4*IF(circ_int,0,eq_c2/2)+2*PI()*(s_0+9*s_r+IF(circ_int,eq_c1/2,0)))/INDEX(lk_legs,10))-(((((2*IF(circ_int,0,eq_c2/2))+(PI()*(s_0+9*s_r+IF(circ_int,eq_c1/2,0))/2))+2*IF(circ_int,0,eq_c1/2))+(PI()*(s_0+9*s_r+IF(circ_int,eq_c1/2,0))/2))+2*IF(circ_int,0,eq_c2/2)))/(s_0+9*s_r+IF(circ_int,eq_c1/2,0))),IF(((31+0.5)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(31+0.5)*(4*IF(circ_int,0,eq_c1/2)+4*IF(circ_int,0,eq_c2/2)+2*PI()*(s_0+9*s_r+IF(circ_int,eq_c1/2,0)))/INDEX(lk_legs,10))-(((((((2*IF(circ_int,0,eq_c2/2))+(PI()*(s_0+9*s_r+IF(circ_int,eq_c1/2,0))/2))+2*IF(circ_int,0,eq_c1/2))+(PI()*(s_0+9*s_r+IF(circ_int,eq_c1/2,0))/2))+2*IF(circ_int,0,eq_c2/2))+(PI()*(s_0+9*s_r+IF(circ_int,eq_c1/2,0))/2))+2*IF(circ_int,0,eq_c1/2)))/(s_0+9*s_r+IF(circ_int,eq_c1/2,0)))))))))),NA())</f>
        <v/>
      </c>
      <c r="DE34">
        <f>IF(AND(links_on,11&lt;=n_per),IF(circ_int,(g_ox)+(c_1/2+(s_0+10*s_r))*-0.822984,CHOOSE(INDEX(lk_kind,11),(g_ox-eq_c1/2)+((s_0+10*s_r))*-0.793353,0,eq_a1+eq_c1+(s_0+10*s_r),eq_a1+eq_c1+(s_0+10*s_r))),NA())</f>
        <v/>
      </c>
      <c r="DF34">
        <f>IF(AND(links_on,11&lt;=n_per),IF(circ_int,(g_oy)+(c_1/2+(s_0+10*s_r))*-0.568065,CHOOSE(INDEX(lk_kind,11),(g_oy-eq_c2/2)+((s_0+10*s_r))*-0.608761,g_oy-eq_c2/2-(s_0+10*s_r),0,0)),NA())</f>
        <v/>
      </c>
      <c r="DH34">
        <f>IF(AND(AND(links_on,11&lt;=n_per),INDEX(lk_kind,11)=1,31&lt;INDEX(lk_legs,11)),g_ox+IF(((31+0.5)*(4*IF(circ_int,0,eq_c1/2)+4*IF(circ_int,0,eq_c2/2)+2*PI()*(s_0+10*s_r+IF(circ_int,eq_c1/2,0)))/INDEX(lk_legs,11))&lt;(2*IF(circ_int,0,eq_c2/2)),IF(circ_int,0,eq_c1/2)+(s_0+10*s_r+IF(circ_int,eq_c1/2,0)),IF(((31+0.5)*(4*IF(circ_int,0,eq_c1/2)+4*IF(circ_int,0,eq_c2/2)+2*PI()*(s_0+10*s_r+IF(circ_int,eq_c1/2,0)))/INDEX(lk_legs,11))&lt;((2*IF(circ_int,0,eq_c2/2))+(PI()*(s_0+10*s_r+IF(circ_int,eq_c1/2,0))/2)),IF(circ_int,0,eq_c1/2)+(s_0+10*s_r+IF(circ_int,eq_c1/2,0))*COS((((31+0.5)*(4*IF(circ_int,0,eq_c1/2)+4*IF(circ_int,0,eq_c2/2)+2*PI()*(s_0+10*s_r+IF(circ_int,eq_c1/2,0)))/INDEX(lk_legs,11))-(2*IF(circ_int,0,eq_c2/2)))/(s_0+10*s_r+IF(circ_int,eq_c1/2,0))),IF(((31+0.5)*(4*IF(circ_int,0,eq_c1/2)+4*IF(circ_int,0,eq_c2/2)+2*PI()*(s_0+10*s_r+IF(circ_int,eq_c1/2,0)))/INDEX(lk_legs,11))&lt;(((2*IF(circ_int,0,eq_c2/2))+(PI()*(s_0+10*s_r+IF(circ_int,eq_c1/2,0))/2))+2*IF(circ_int,0,eq_c1/2)),IF(circ_int,0,eq_c1/2)-(((31+0.5)*(4*IF(circ_int,0,eq_c1/2)+4*IF(circ_int,0,eq_c2/2)+2*PI()*(s_0+10*s_r+IF(circ_int,eq_c1/2,0)))/INDEX(lk_legs,11))-((2*IF(circ_int,0,eq_c2/2))+(PI()*(s_0+10*s_r+IF(circ_int,eq_c1/2,0))/2))),IF(((31+0.5)*(4*IF(circ_int,0,eq_c1/2)+4*IF(circ_int,0,eq_c2/2)+2*PI()*(s_0+10*s_r+IF(circ_int,eq_c1/2,0)))/INDEX(lk_legs,11))&lt;((((2*IF(circ_int,0,eq_c2/2))+(PI()*(s_0+10*s_r+IF(circ_int,eq_c1/2,0))/2))+2*IF(circ_int,0,eq_c1/2))+(PI()*(s_0+10*s_r+IF(circ_int,eq_c1/2,0))/2)),-IF(circ_int,0,eq_c1/2)+(s_0+10*s_r+IF(circ_int,eq_c1/2,0))*COS(PI()/2+(((31+0.5)*(4*IF(circ_int,0,eq_c1/2)+4*IF(circ_int,0,eq_c2/2)+2*PI()*(s_0+10*s_r+IF(circ_int,eq_c1/2,0)))/INDEX(lk_legs,11))-(((2*IF(circ_int,0,eq_c2/2))+(PI()*(s_0+10*s_r+IF(circ_int,eq_c1/2,0))/2))+2*IF(circ_int,0,eq_c1/2)))/(s_0+10*s_r+IF(circ_int,eq_c1/2,0))),IF(((31+0.5)*(4*IF(circ_int,0,eq_c1/2)+4*IF(circ_int,0,eq_c2/2)+2*PI()*(s_0+10*s_r+IF(circ_int,eq_c1/2,0)))/INDEX(lk_legs,11))&lt;(((((2*IF(circ_int,0,eq_c2/2))+(PI()*(s_0+10*s_r+IF(circ_int,eq_c1/2,0))/2))+2*IF(circ_int,0,eq_c1/2))+(PI()*(s_0+10*s_r+IF(circ_int,eq_c1/2,0))/2))+2*IF(circ_int,0,eq_c2/2)),-IF(circ_int,0,eq_c1/2)-(s_0+10*s_r+IF(circ_int,eq_c1/2,0)),IF(((31+0.5)*(4*IF(circ_int,0,eq_c1/2)+4*IF(circ_int,0,eq_c2/2)+2*PI()*(s_0+10*s_r+IF(circ_int,eq_c1/2,0)))/INDEX(lk_legs,11))&lt;((((((2*IF(circ_int,0,eq_c2/2))+(PI()*(s_0+10*s_r+IF(circ_int,eq_c1/2,0))/2))+2*IF(circ_int,0,eq_c1/2))+(PI()*(s_0+10*s_r+IF(circ_int,eq_c1/2,0))/2))+2*IF(circ_int,0,eq_c2/2))+(PI()*(s_0+10*s_r+IF(circ_int,eq_c1/2,0))/2)),-IF(circ_int,0,eq_c1/2)+(s_0+10*s_r+IF(circ_int,eq_c1/2,0))*COS(PI()+(((31+0.5)*(4*IF(circ_int,0,eq_c1/2)+4*IF(circ_int,0,eq_c2/2)+2*PI()*(s_0+10*s_r+IF(circ_int,eq_c1/2,0)))/INDEX(lk_legs,11))-(((((2*IF(circ_int,0,eq_c2/2))+(PI()*(s_0+10*s_r+IF(circ_int,eq_c1/2,0))/2))+2*IF(circ_int,0,eq_c1/2))+(PI()*(s_0+10*s_r+IF(circ_int,eq_c1/2,0))/2))+2*IF(circ_int,0,eq_c2/2)))/(s_0+10*s_r+IF(circ_int,eq_c1/2,0))),IF(((31+0.5)*(4*IF(circ_int,0,eq_c1/2)+4*IF(circ_int,0,eq_c2/2)+2*PI()*(s_0+10*s_r+IF(circ_int,eq_c1/2,0)))/INDEX(lk_legs,11))&lt;(((((((2*IF(circ_int,0,eq_c2/2))+(PI()*(s_0+10*s_r+IF(circ_int,eq_c1/2,0))/2))+2*IF(circ_int,0,eq_c1/2))+(PI()*(s_0+10*s_r+IF(circ_int,eq_c1/2,0))/2))+2*IF(circ_int,0,eq_c2/2))+(PI()*(s_0+10*s_r+IF(circ_int,eq_c1/2,0))/2))+2*IF(circ_int,0,eq_c1/2)),-IF(circ_int,0,eq_c1/2)+(((31+0.5)*(4*IF(circ_int,0,eq_c1/2)+4*IF(circ_int,0,eq_c2/2)+2*PI()*(s_0+10*s_r+IF(circ_int,eq_c1/2,0)))/INDEX(lk_legs,11))-((((((2*IF(circ_int,0,eq_c2/2))+(PI()*(s_0+10*s_r+IF(circ_int,eq_c1/2,0))/2))+2*IF(circ_int,0,eq_c1/2))+(PI()*(s_0+10*s_r+IF(circ_int,eq_c1/2,0))/2))+2*IF(circ_int,0,eq_c2/2))+(PI()*(s_0+10*s_r+IF(circ_int,eq_c1/2,0))/2))),IF(circ_int,0,eq_c1/2)+(s_0+10*s_r+IF(circ_int,eq_c1/2,0))*COS(3*PI()/2+(((31+0.5)*(4*IF(circ_int,0,eq_c1/2)+4*IF(circ_int,0,eq_c2/2)+2*PI()*(s_0+10*s_r+IF(circ_int,eq_c1/2,0)))/INDEX(lk_legs,11))-(((((((2*IF(circ_int,0,eq_c2/2))+(PI()*(s_0+10*s_r+IF(circ_int,eq_c1/2,0))/2))+2*IF(circ_int,0,eq_c1/2))+(PI()*(s_0+10*s_r+IF(circ_int,eq_c1/2,0))/2))+2*IF(circ_int,0,eq_c2/2))+(PI()*(s_0+10*s_r+IF(circ_int,eq_c1/2,0))/2))+2*IF(circ_int,0,eq_c1/2)))/(s_0+10*s_r+IF(circ_int,eq_c1/2,0)))))))))),NA())</f>
        <v/>
      </c>
      <c r="DI34">
        <f>IF(AND(AND(links_on,11&lt;=n_per),INDEX(lk_kind,11)=1,31&lt;INDEX(lk_legs,11)),g_oy+IF(((31+0.5)*(4*IF(circ_int,0,eq_c1/2)+4*IF(circ_int,0,eq_c2/2)+2*PI()*(s_0+10*s_r+IF(circ_int,eq_c1/2,0)))/INDEX(lk_legs,11))&lt;(2*IF(circ_int,0,eq_c2/2)),-IF(circ_int,0,eq_c2/2)+((31+0.5)*(4*IF(circ_int,0,eq_c1/2)+4*IF(circ_int,0,eq_c2/2)+2*PI()*(s_0+10*s_r+IF(circ_int,eq_c1/2,0)))/INDEX(lk_legs,11)),IF(((31+0.5)*(4*IF(circ_int,0,eq_c1/2)+4*IF(circ_int,0,eq_c2/2)+2*PI()*(s_0+10*s_r+IF(circ_int,eq_c1/2,0)))/INDEX(lk_legs,11))&lt;((2*IF(circ_int,0,eq_c2/2))+(PI()*(s_0+10*s_r+IF(circ_int,eq_c1/2,0))/2)),IF(circ_int,0,eq_c2/2)+(s_0+10*s_r+IF(circ_int,eq_c1/2,0))*SIN((((31+0.5)*(4*IF(circ_int,0,eq_c1/2)+4*IF(circ_int,0,eq_c2/2)+2*PI()*(s_0+10*s_r+IF(circ_int,eq_c1/2,0)))/INDEX(lk_legs,11))-(2*IF(circ_int,0,eq_c2/2)))/(s_0+10*s_r+IF(circ_int,eq_c1/2,0))),IF(((31+0.5)*(4*IF(circ_int,0,eq_c1/2)+4*IF(circ_int,0,eq_c2/2)+2*PI()*(s_0+10*s_r+IF(circ_int,eq_c1/2,0)))/INDEX(lk_legs,11))&lt;(((2*IF(circ_int,0,eq_c2/2))+(PI()*(s_0+10*s_r+IF(circ_int,eq_c1/2,0))/2))+2*IF(circ_int,0,eq_c1/2)),IF(circ_int,0,eq_c2/2)+(s_0+10*s_r+IF(circ_int,eq_c1/2,0)),IF(((31+0.5)*(4*IF(circ_int,0,eq_c1/2)+4*IF(circ_int,0,eq_c2/2)+2*PI()*(s_0+10*s_r+IF(circ_int,eq_c1/2,0)))/INDEX(lk_legs,11))&lt;((((2*IF(circ_int,0,eq_c2/2))+(PI()*(s_0+10*s_r+IF(circ_int,eq_c1/2,0))/2))+2*IF(circ_int,0,eq_c1/2))+(PI()*(s_0+10*s_r+IF(circ_int,eq_c1/2,0))/2)),IF(circ_int,0,eq_c2/2)+(s_0+10*s_r+IF(circ_int,eq_c1/2,0))*SIN(PI()/2+(((31+0.5)*(4*IF(circ_int,0,eq_c1/2)+4*IF(circ_int,0,eq_c2/2)+2*PI()*(s_0+10*s_r+IF(circ_int,eq_c1/2,0)))/INDEX(lk_legs,11))-(((2*IF(circ_int,0,eq_c2/2))+(PI()*(s_0+10*s_r+IF(circ_int,eq_c1/2,0))/2))+2*IF(circ_int,0,eq_c1/2)))/(s_0+10*s_r+IF(circ_int,eq_c1/2,0))),IF(((31+0.5)*(4*IF(circ_int,0,eq_c1/2)+4*IF(circ_int,0,eq_c2/2)+2*PI()*(s_0+10*s_r+IF(circ_int,eq_c1/2,0)))/INDEX(lk_legs,11))&lt;(((((2*IF(circ_int,0,eq_c2/2))+(PI()*(s_0+10*s_r+IF(circ_int,eq_c1/2,0))/2))+2*IF(circ_int,0,eq_c1/2))+(PI()*(s_0+10*s_r+IF(circ_int,eq_c1/2,0))/2))+2*IF(circ_int,0,eq_c2/2)),IF(circ_int,0,eq_c2/2)-(((31+0.5)*(4*IF(circ_int,0,eq_c1/2)+4*IF(circ_int,0,eq_c2/2)+2*PI()*(s_0+10*s_r+IF(circ_int,eq_c1/2,0)))/INDEX(lk_legs,11))-((((2*IF(circ_int,0,eq_c2/2))+(PI()*(s_0+10*s_r+IF(circ_int,eq_c1/2,0))/2))+2*IF(circ_int,0,eq_c1/2))+(PI()*(s_0+10*s_r+IF(circ_int,eq_c1/2,0))/2))),IF(((31+0.5)*(4*IF(circ_int,0,eq_c1/2)+4*IF(circ_int,0,eq_c2/2)+2*PI()*(s_0+10*s_r+IF(circ_int,eq_c1/2,0)))/INDEX(lk_legs,11))&lt;((((((2*IF(circ_int,0,eq_c2/2))+(PI()*(s_0+10*s_r+IF(circ_int,eq_c1/2,0))/2))+2*IF(circ_int,0,eq_c1/2))+(PI()*(s_0+10*s_r+IF(circ_int,eq_c1/2,0))/2))+2*IF(circ_int,0,eq_c2/2))+(PI()*(s_0+10*s_r+IF(circ_int,eq_c1/2,0))/2)),-IF(circ_int,0,eq_c2/2)+(s_0+10*s_r+IF(circ_int,eq_c1/2,0))*SIN(PI()+(((31+0.5)*(4*IF(circ_int,0,eq_c1/2)+4*IF(circ_int,0,eq_c2/2)+2*PI()*(s_0+10*s_r+IF(circ_int,eq_c1/2,0)))/INDEX(lk_legs,11))-(((((2*IF(circ_int,0,eq_c2/2))+(PI()*(s_0+10*s_r+IF(circ_int,eq_c1/2,0))/2))+2*IF(circ_int,0,eq_c1/2))+(PI()*(s_0+10*s_r+IF(circ_int,eq_c1/2,0))/2))+2*IF(circ_int,0,eq_c2/2)))/(s_0+10*s_r+IF(circ_int,eq_c1/2,0))),IF(((31+0.5)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(31+0.5)*(4*IF(circ_int,0,eq_c1/2)+4*IF(circ_int,0,eq_c2/2)+2*PI()*(s_0+10*s_r+IF(circ_int,eq_c1/2,0)))/INDEX(lk_legs,11))-(((((((2*IF(circ_int,0,eq_c2/2))+(PI()*(s_0+10*s_r+IF(circ_int,eq_c1/2,0))/2))+2*IF(circ_int,0,eq_c1/2))+(PI()*(s_0+10*s_r+IF(circ_int,eq_c1/2,0))/2))+2*IF(circ_int,0,eq_c2/2))+(PI()*(s_0+10*s_r+IF(circ_int,eq_c1/2,0))/2))+2*IF(circ_int,0,eq_c1/2)))/(s_0+10*s_r+IF(circ_int,eq_c1/2,0)))))))))),NA())</f>
        <v/>
      </c>
      <c r="DK34">
        <f>IF(AND(links_on,12&lt;=n_per),IF(circ_int,(g_ox)+(c_1/2+(s_0+11*s_r))*-0.822984,CHOOSE(INDEX(lk_kind,12),(g_ox-eq_c1/2)+((s_0+11*s_r))*-0.793353,0,eq_a1+eq_c1+(s_0+11*s_r),eq_a1+eq_c1+(s_0+11*s_r))),NA())</f>
        <v/>
      </c>
      <c r="DL34">
        <f>IF(AND(links_on,12&lt;=n_per),IF(circ_int,(g_oy)+(c_1/2+(s_0+11*s_r))*-0.568065,CHOOSE(INDEX(lk_kind,12),(g_oy-eq_c2/2)+((s_0+11*s_r))*-0.608761,g_oy-eq_c2/2-(s_0+11*s_r),0,0)),NA())</f>
        <v/>
      </c>
      <c r="DN34">
        <f>IF(AND(AND(links_on,12&lt;=n_per),INDEX(lk_kind,12)=1,31&lt;INDEX(lk_legs,12)),g_ox+IF(((31+0.5)*(4*IF(circ_int,0,eq_c1/2)+4*IF(circ_int,0,eq_c2/2)+2*PI()*(s_0+11*s_r+IF(circ_int,eq_c1/2,0)))/INDEX(lk_legs,12))&lt;(2*IF(circ_int,0,eq_c2/2)),IF(circ_int,0,eq_c1/2)+(s_0+11*s_r+IF(circ_int,eq_c1/2,0)),IF(((31+0.5)*(4*IF(circ_int,0,eq_c1/2)+4*IF(circ_int,0,eq_c2/2)+2*PI()*(s_0+11*s_r+IF(circ_int,eq_c1/2,0)))/INDEX(lk_legs,12))&lt;((2*IF(circ_int,0,eq_c2/2))+(PI()*(s_0+11*s_r+IF(circ_int,eq_c1/2,0))/2)),IF(circ_int,0,eq_c1/2)+(s_0+11*s_r+IF(circ_int,eq_c1/2,0))*COS((((31+0.5)*(4*IF(circ_int,0,eq_c1/2)+4*IF(circ_int,0,eq_c2/2)+2*PI()*(s_0+11*s_r+IF(circ_int,eq_c1/2,0)))/INDEX(lk_legs,12))-(2*IF(circ_int,0,eq_c2/2)))/(s_0+11*s_r+IF(circ_int,eq_c1/2,0))),IF(((31+0.5)*(4*IF(circ_int,0,eq_c1/2)+4*IF(circ_int,0,eq_c2/2)+2*PI()*(s_0+11*s_r+IF(circ_int,eq_c1/2,0)))/INDEX(lk_legs,12))&lt;(((2*IF(circ_int,0,eq_c2/2))+(PI()*(s_0+11*s_r+IF(circ_int,eq_c1/2,0))/2))+2*IF(circ_int,0,eq_c1/2)),IF(circ_int,0,eq_c1/2)-(((31+0.5)*(4*IF(circ_int,0,eq_c1/2)+4*IF(circ_int,0,eq_c2/2)+2*PI()*(s_0+11*s_r+IF(circ_int,eq_c1/2,0)))/INDEX(lk_legs,12))-((2*IF(circ_int,0,eq_c2/2))+(PI()*(s_0+11*s_r+IF(circ_int,eq_c1/2,0))/2))),IF(((31+0.5)*(4*IF(circ_int,0,eq_c1/2)+4*IF(circ_int,0,eq_c2/2)+2*PI()*(s_0+11*s_r+IF(circ_int,eq_c1/2,0)))/INDEX(lk_legs,12))&lt;((((2*IF(circ_int,0,eq_c2/2))+(PI()*(s_0+11*s_r+IF(circ_int,eq_c1/2,0))/2))+2*IF(circ_int,0,eq_c1/2))+(PI()*(s_0+11*s_r+IF(circ_int,eq_c1/2,0))/2)),-IF(circ_int,0,eq_c1/2)+(s_0+11*s_r+IF(circ_int,eq_c1/2,0))*COS(PI()/2+(((31+0.5)*(4*IF(circ_int,0,eq_c1/2)+4*IF(circ_int,0,eq_c2/2)+2*PI()*(s_0+11*s_r+IF(circ_int,eq_c1/2,0)))/INDEX(lk_legs,12))-(((2*IF(circ_int,0,eq_c2/2))+(PI()*(s_0+11*s_r+IF(circ_int,eq_c1/2,0))/2))+2*IF(circ_int,0,eq_c1/2)))/(s_0+11*s_r+IF(circ_int,eq_c1/2,0))),IF(((31+0.5)*(4*IF(circ_int,0,eq_c1/2)+4*IF(circ_int,0,eq_c2/2)+2*PI()*(s_0+11*s_r+IF(circ_int,eq_c1/2,0)))/INDEX(lk_legs,12))&lt;(((((2*IF(circ_int,0,eq_c2/2))+(PI()*(s_0+11*s_r+IF(circ_int,eq_c1/2,0))/2))+2*IF(circ_int,0,eq_c1/2))+(PI()*(s_0+11*s_r+IF(circ_int,eq_c1/2,0))/2))+2*IF(circ_int,0,eq_c2/2)),-IF(circ_int,0,eq_c1/2)-(s_0+11*s_r+IF(circ_int,eq_c1/2,0)),IF(((31+0.5)*(4*IF(circ_int,0,eq_c1/2)+4*IF(circ_int,0,eq_c2/2)+2*PI()*(s_0+11*s_r+IF(circ_int,eq_c1/2,0)))/INDEX(lk_legs,12))&lt;((((((2*IF(circ_int,0,eq_c2/2))+(PI()*(s_0+11*s_r+IF(circ_int,eq_c1/2,0))/2))+2*IF(circ_int,0,eq_c1/2))+(PI()*(s_0+11*s_r+IF(circ_int,eq_c1/2,0))/2))+2*IF(circ_int,0,eq_c2/2))+(PI()*(s_0+11*s_r+IF(circ_int,eq_c1/2,0))/2)),-IF(circ_int,0,eq_c1/2)+(s_0+11*s_r+IF(circ_int,eq_c1/2,0))*COS(PI()+(((31+0.5)*(4*IF(circ_int,0,eq_c1/2)+4*IF(circ_int,0,eq_c2/2)+2*PI()*(s_0+11*s_r+IF(circ_int,eq_c1/2,0)))/INDEX(lk_legs,12))-(((((2*IF(circ_int,0,eq_c2/2))+(PI()*(s_0+11*s_r+IF(circ_int,eq_c1/2,0))/2))+2*IF(circ_int,0,eq_c1/2))+(PI()*(s_0+11*s_r+IF(circ_int,eq_c1/2,0))/2))+2*IF(circ_int,0,eq_c2/2)))/(s_0+11*s_r+IF(circ_int,eq_c1/2,0))),IF(((31+0.5)*(4*IF(circ_int,0,eq_c1/2)+4*IF(circ_int,0,eq_c2/2)+2*PI()*(s_0+11*s_r+IF(circ_int,eq_c1/2,0)))/INDEX(lk_legs,12))&lt;(((((((2*IF(circ_int,0,eq_c2/2))+(PI()*(s_0+11*s_r+IF(circ_int,eq_c1/2,0))/2))+2*IF(circ_int,0,eq_c1/2))+(PI()*(s_0+11*s_r+IF(circ_int,eq_c1/2,0))/2))+2*IF(circ_int,0,eq_c2/2))+(PI()*(s_0+11*s_r+IF(circ_int,eq_c1/2,0))/2))+2*IF(circ_int,0,eq_c1/2)),-IF(circ_int,0,eq_c1/2)+(((31+0.5)*(4*IF(circ_int,0,eq_c1/2)+4*IF(circ_int,0,eq_c2/2)+2*PI()*(s_0+11*s_r+IF(circ_int,eq_c1/2,0)))/INDEX(lk_legs,12))-((((((2*IF(circ_int,0,eq_c2/2))+(PI()*(s_0+11*s_r+IF(circ_int,eq_c1/2,0))/2))+2*IF(circ_int,0,eq_c1/2))+(PI()*(s_0+11*s_r+IF(circ_int,eq_c1/2,0))/2))+2*IF(circ_int,0,eq_c2/2))+(PI()*(s_0+11*s_r+IF(circ_int,eq_c1/2,0))/2))),IF(circ_int,0,eq_c1/2)+(s_0+11*s_r+IF(circ_int,eq_c1/2,0))*COS(3*PI()/2+(((31+0.5)*(4*IF(circ_int,0,eq_c1/2)+4*IF(circ_int,0,eq_c2/2)+2*PI()*(s_0+11*s_r+IF(circ_int,eq_c1/2,0)))/INDEX(lk_legs,12))-(((((((2*IF(circ_int,0,eq_c2/2))+(PI()*(s_0+11*s_r+IF(circ_int,eq_c1/2,0))/2))+2*IF(circ_int,0,eq_c1/2))+(PI()*(s_0+11*s_r+IF(circ_int,eq_c1/2,0))/2))+2*IF(circ_int,0,eq_c2/2))+(PI()*(s_0+11*s_r+IF(circ_int,eq_c1/2,0))/2))+2*IF(circ_int,0,eq_c1/2)))/(s_0+11*s_r+IF(circ_int,eq_c1/2,0)))))))))),NA())</f>
        <v/>
      </c>
      <c r="DO34">
        <f>IF(AND(AND(links_on,12&lt;=n_per),INDEX(lk_kind,12)=1,31&lt;INDEX(lk_legs,12)),g_oy+IF(((31+0.5)*(4*IF(circ_int,0,eq_c1/2)+4*IF(circ_int,0,eq_c2/2)+2*PI()*(s_0+11*s_r+IF(circ_int,eq_c1/2,0)))/INDEX(lk_legs,12))&lt;(2*IF(circ_int,0,eq_c2/2)),-IF(circ_int,0,eq_c2/2)+((31+0.5)*(4*IF(circ_int,0,eq_c1/2)+4*IF(circ_int,0,eq_c2/2)+2*PI()*(s_0+11*s_r+IF(circ_int,eq_c1/2,0)))/INDEX(lk_legs,12)),IF(((31+0.5)*(4*IF(circ_int,0,eq_c1/2)+4*IF(circ_int,0,eq_c2/2)+2*PI()*(s_0+11*s_r+IF(circ_int,eq_c1/2,0)))/INDEX(lk_legs,12))&lt;((2*IF(circ_int,0,eq_c2/2))+(PI()*(s_0+11*s_r+IF(circ_int,eq_c1/2,0))/2)),IF(circ_int,0,eq_c2/2)+(s_0+11*s_r+IF(circ_int,eq_c1/2,0))*SIN((((31+0.5)*(4*IF(circ_int,0,eq_c1/2)+4*IF(circ_int,0,eq_c2/2)+2*PI()*(s_0+11*s_r+IF(circ_int,eq_c1/2,0)))/INDEX(lk_legs,12))-(2*IF(circ_int,0,eq_c2/2)))/(s_0+11*s_r+IF(circ_int,eq_c1/2,0))),IF(((31+0.5)*(4*IF(circ_int,0,eq_c1/2)+4*IF(circ_int,0,eq_c2/2)+2*PI()*(s_0+11*s_r+IF(circ_int,eq_c1/2,0)))/INDEX(lk_legs,12))&lt;(((2*IF(circ_int,0,eq_c2/2))+(PI()*(s_0+11*s_r+IF(circ_int,eq_c1/2,0))/2))+2*IF(circ_int,0,eq_c1/2)),IF(circ_int,0,eq_c2/2)+(s_0+11*s_r+IF(circ_int,eq_c1/2,0)),IF(((31+0.5)*(4*IF(circ_int,0,eq_c1/2)+4*IF(circ_int,0,eq_c2/2)+2*PI()*(s_0+11*s_r+IF(circ_int,eq_c1/2,0)))/INDEX(lk_legs,12))&lt;((((2*IF(circ_int,0,eq_c2/2))+(PI()*(s_0+11*s_r+IF(circ_int,eq_c1/2,0))/2))+2*IF(circ_int,0,eq_c1/2))+(PI()*(s_0+11*s_r+IF(circ_int,eq_c1/2,0))/2)),IF(circ_int,0,eq_c2/2)+(s_0+11*s_r+IF(circ_int,eq_c1/2,0))*SIN(PI()/2+(((31+0.5)*(4*IF(circ_int,0,eq_c1/2)+4*IF(circ_int,0,eq_c2/2)+2*PI()*(s_0+11*s_r+IF(circ_int,eq_c1/2,0)))/INDEX(lk_legs,12))-(((2*IF(circ_int,0,eq_c2/2))+(PI()*(s_0+11*s_r+IF(circ_int,eq_c1/2,0))/2))+2*IF(circ_int,0,eq_c1/2)))/(s_0+11*s_r+IF(circ_int,eq_c1/2,0))),IF(((31+0.5)*(4*IF(circ_int,0,eq_c1/2)+4*IF(circ_int,0,eq_c2/2)+2*PI()*(s_0+11*s_r+IF(circ_int,eq_c1/2,0)))/INDEX(lk_legs,12))&lt;(((((2*IF(circ_int,0,eq_c2/2))+(PI()*(s_0+11*s_r+IF(circ_int,eq_c1/2,0))/2))+2*IF(circ_int,0,eq_c1/2))+(PI()*(s_0+11*s_r+IF(circ_int,eq_c1/2,0))/2))+2*IF(circ_int,0,eq_c2/2)),IF(circ_int,0,eq_c2/2)-(((31+0.5)*(4*IF(circ_int,0,eq_c1/2)+4*IF(circ_int,0,eq_c2/2)+2*PI()*(s_0+11*s_r+IF(circ_int,eq_c1/2,0)))/INDEX(lk_legs,12))-((((2*IF(circ_int,0,eq_c2/2))+(PI()*(s_0+11*s_r+IF(circ_int,eq_c1/2,0))/2))+2*IF(circ_int,0,eq_c1/2))+(PI()*(s_0+11*s_r+IF(circ_int,eq_c1/2,0))/2))),IF(((31+0.5)*(4*IF(circ_int,0,eq_c1/2)+4*IF(circ_int,0,eq_c2/2)+2*PI()*(s_0+11*s_r+IF(circ_int,eq_c1/2,0)))/INDEX(lk_legs,12))&lt;((((((2*IF(circ_int,0,eq_c2/2))+(PI()*(s_0+11*s_r+IF(circ_int,eq_c1/2,0))/2))+2*IF(circ_int,0,eq_c1/2))+(PI()*(s_0+11*s_r+IF(circ_int,eq_c1/2,0))/2))+2*IF(circ_int,0,eq_c2/2))+(PI()*(s_0+11*s_r+IF(circ_int,eq_c1/2,0))/2)),-IF(circ_int,0,eq_c2/2)+(s_0+11*s_r+IF(circ_int,eq_c1/2,0))*SIN(PI()+(((31+0.5)*(4*IF(circ_int,0,eq_c1/2)+4*IF(circ_int,0,eq_c2/2)+2*PI()*(s_0+11*s_r+IF(circ_int,eq_c1/2,0)))/INDEX(lk_legs,12))-(((((2*IF(circ_int,0,eq_c2/2))+(PI()*(s_0+11*s_r+IF(circ_int,eq_c1/2,0))/2))+2*IF(circ_int,0,eq_c1/2))+(PI()*(s_0+11*s_r+IF(circ_int,eq_c1/2,0))/2))+2*IF(circ_int,0,eq_c2/2)))/(s_0+11*s_r+IF(circ_int,eq_c1/2,0))),IF(((31+0.5)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(31+0.5)*(4*IF(circ_int,0,eq_c1/2)+4*IF(circ_int,0,eq_c2/2)+2*PI()*(s_0+11*s_r+IF(circ_int,eq_c1/2,0)))/INDEX(lk_legs,12))-(((((((2*IF(circ_int,0,eq_c2/2))+(PI()*(s_0+11*s_r+IF(circ_int,eq_c1/2,0))/2))+2*IF(circ_int,0,eq_c1/2))+(PI()*(s_0+11*s_r+IF(circ_int,eq_c1/2,0))/2))+2*IF(circ_int,0,eq_c2/2))+(PI()*(s_0+11*s_r+IF(circ_int,eq_c1/2,0))/2))+2*IF(circ_int,0,eq_c1/2)))/(s_0+11*s_r+IF(circ_int,eq_c1/2,0)))))))))),NA())</f>
        <v/>
      </c>
    </row>
    <row r="35">
      <c r="A35">
        <f>IF(shape="Circular",(g_ox)+(c_1/2+0)*-0.748511,CHOOSE(1,(g_ox-eq_c1/2)+(0)*-0.707107,0,eq_a1+eq_c1+0,eq_a1+eq_c1+0))</f>
        <v/>
      </c>
      <c r="B35">
        <f>IF(shape="Circular",(g_oy)+(c_1/2+0)*-0.663123,CHOOSE(1,(g_oy-eq_c2/2)+(0)*-0.707107,g_oy-eq_c2/2-0,0,0))</f>
        <v/>
      </c>
      <c r="D35">
        <f>IF(circ_int,(g_ox)+(c_1/2+2*d_eff)*-0.748511,CHOOSE(geo_idx,(g_ox-eq_c1/2)+(2*d_eff)*-0.707107,0,eq_a1+eq_c1+2*d_eff,eq_a1+eq_c1+2*d_eff))</f>
        <v/>
      </c>
      <c r="E35">
        <f>IF(circ_int,(g_oy)+(c_1/2+2*d_eff)*-0.663123,CHOOSE(geo_idx,(g_oy-eq_c2/2)+(2*d_eff)*-0.707107,g_oy-eq_c2/2-2*d_eff,0,0))</f>
        <v/>
      </c>
      <c r="G35">
        <f>IF(AND(inputs_ok,punch_ok,A_sw&gt;0),IF(circ_int,(g_ox)+(c_1/2+r_out)*-0.748511,CHOOSE(kind_out,(g_ox-eq_c1/2)+(r_out)*-0.707107,0,eq_a1+eq_c1+r_out,eq_a1+eq_c1+r_out)),NA())</f>
        <v/>
      </c>
      <c r="H35">
        <f>IF(AND(inputs_ok,punch_ok,A_sw&gt;0),IF(circ_int,(g_oy)+(c_1/2+r_out)*-0.663123,CHOOSE(kind_out,(g_oy-eq_c2/2)+(r_out)*-0.707107,g_oy-eq_c2/2-r_out,0,0)),NA())</f>
        <v/>
      </c>
      <c r="AW35">
        <f>IF(AND(links_on,1&lt;=n_per),IF(circ_int,(g_ox)+(c_1/2+(s_0+0*s_r))*-0.748511,CHOOSE(INDEX(lk_kind,1),(g_ox-eq_c1/2)+((s_0+0*s_r))*-0.707107,0,eq_a1+eq_c1+(s_0+0*s_r),eq_a1+eq_c1+(s_0+0*s_r))),NA())</f>
        <v/>
      </c>
      <c r="AX35">
        <f>IF(AND(links_on,1&lt;=n_per),IF(circ_int,(g_oy)+(c_1/2+(s_0+0*s_r))*-0.663123,CHOOSE(INDEX(lk_kind,1),(g_oy-eq_c2/2)+((s_0+0*s_r))*-0.707107,g_oy-eq_c2/2-(s_0+0*s_r),0,0)),NA())</f>
        <v/>
      </c>
      <c r="AZ35">
        <f>IF(AND(AND(links_on,1&lt;=n_per),INDEX(lk_kind,1)=1,32&lt;INDEX(lk_legs,1)),g_ox+IF(((32+0.5)*(4*IF(circ_int,0,eq_c1/2)+4*IF(circ_int,0,eq_c2/2)+2*PI()*(s_0+0*s_r+IF(circ_int,eq_c1/2,0)))/INDEX(lk_legs,1))&lt;(2*IF(circ_int,0,eq_c2/2)),IF(circ_int,0,eq_c1/2)+(s_0+0*s_r+IF(circ_int,eq_c1/2,0)),IF(((32+0.5)*(4*IF(circ_int,0,eq_c1/2)+4*IF(circ_int,0,eq_c2/2)+2*PI()*(s_0+0*s_r+IF(circ_int,eq_c1/2,0)))/INDEX(lk_legs,1))&lt;((2*IF(circ_int,0,eq_c2/2))+(PI()*(s_0+0*s_r+IF(circ_int,eq_c1/2,0))/2)),IF(circ_int,0,eq_c1/2)+(s_0+0*s_r+IF(circ_int,eq_c1/2,0))*COS((((32+0.5)*(4*IF(circ_int,0,eq_c1/2)+4*IF(circ_int,0,eq_c2/2)+2*PI()*(s_0+0*s_r+IF(circ_int,eq_c1/2,0)))/INDEX(lk_legs,1))-(2*IF(circ_int,0,eq_c2/2)))/(s_0+0*s_r+IF(circ_int,eq_c1/2,0))),IF(((32+0.5)*(4*IF(circ_int,0,eq_c1/2)+4*IF(circ_int,0,eq_c2/2)+2*PI()*(s_0+0*s_r+IF(circ_int,eq_c1/2,0)))/INDEX(lk_legs,1))&lt;(((2*IF(circ_int,0,eq_c2/2))+(PI()*(s_0+0*s_r+IF(circ_int,eq_c1/2,0))/2))+2*IF(circ_int,0,eq_c1/2)),IF(circ_int,0,eq_c1/2)-(((32+0.5)*(4*IF(circ_int,0,eq_c1/2)+4*IF(circ_int,0,eq_c2/2)+2*PI()*(s_0+0*s_r+IF(circ_int,eq_c1/2,0)))/INDEX(lk_legs,1))-((2*IF(circ_int,0,eq_c2/2))+(PI()*(s_0+0*s_r+IF(circ_int,eq_c1/2,0))/2))),IF(((32+0.5)*(4*IF(circ_int,0,eq_c1/2)+4*IF(circ_int,0,eq_c2/2)+2*PI()*(s_0+0*s_r+IF(circ_int,eq_c1/2,0)))/INDEX(lk_legs,1))&lt;((((2*IF(circ_int,0,eq_c2/2))+(PI()*(s_0+0*s_r+IF(circ_int,eq_c1/2,0))/2))+2*IF(circ_int,0,eq_c1/2))+(PI()*(s_0+0*s_r+IF(circ_int,eq_c1/2,0))/2)),-IF(circ_int,0,eq_c1/2)+(s_0+0*s_r+IF(circ_int,eq_c1/2,0))*COS(PI()/2+(((32+0.5)*(4*IF(circ_int,0,eq_c1/2)+4*IF(circ_int,0,eq_c2/2)+2*PI()*(s_0+0*s_r+IF(circ_int,eq_c1/2,0)))/INDEX(lk_legs,1))-(((2*IF(circ_int,0,eq_c2/2))+(PI()*(s_0+0*s_r+IF(circ_int,eq_c1/2,0))/2))+2*IF(circ_int,0,eq_c1/2)))/(s_0+0*s_r+IF(circ_int,eq_c1/2,0))),IF(((32+0.5)*(4*IF(circ_int,0,eq_c1/2)+4*IF(circ_int,0,eq_c2/2)+2*PI()*(s_0+0*s_r+IF(circ_int,eq_c1/2,0)))/INDEX(lk_legs,1))&lt;(((((2*IF(circ_int,0,eq_c2/2))+(PI()*(s_0+0*s_r+IF(circ_int,eq_c1/2,0))/2))+2*IF(circ_int,0,eq_c1/2))+(PI()*(s_0+0*s_r+IF(circ_int,eq_c1/2,0))/2))+2*IF(circ_int,0,eq_c2/2)),-IF(circ_int,0,eq_c1/2)-(s_0+0*s_r+IF(circ_int,eq_c1/2,0)),IF(((32+0.5)*(4*IF(circ_int,0,eq_c1/2)+4*IF(circ_int,0,eq_c2/2)+2*PI()*(s_0+0*s_r+IF(circ_int,eq_c1/2,0)))/INDEX(lk_legs,1))&lt;((((((2*IF(circ_int,0,eq_c2/2))+(PI()*(s_0+0*s_r+IF(circ_int,eq_c1/2,0))/2))+2*IF(circ_int,0,eq_c1/2))+(PI()*(s_0+0*s_r+IF(circ_int,eq_c1/2,0))/2))+2*IF(circ_int,0,eq_c2/2))+(PI()*(s_0+0*s_r+IF(circ_int,eq_c1/2,0))/2)),-IF(circ_int,0,eq_c1/2)+(s_0+0*s_r+IF(circ_int,eq_c1/2,0))*COS(PI()+(((32+0.5)*(4*IF(circ_int,0,eq_c1/2)+4*IF(circ_int,0,eq_c2/2)+2*PI()*(s_0+0*s_r+IF(circ_int,eq_c1/2,0)))/INDEX(lk_legs,1))-(((((2*IF(circ_int,0,eq_c2/2))+(PI()*(s_0+0*s_r+IF(circ_int,eq_c1/2,0))/2))+2*IF(circ_int,0,eq_c1/2))+(PI()*(s_0+0*s_r+IF(circ_int,eq_c1/2,0))/2))+2*IF(circ_int,0,eq_c2/2)))/(s_0+0*s_r+IF(circ_int,eq_c1/2,0))),IF(((32+0.5)*(4*IF(circ_int,0,eq_c1/2)+4*IF(circ_int,0,eq_c2/2)+2*PI()*(s_0+0*s_r+IF(circ_int,eq_c1/2,0)))/INDEX(lk_legs,1))&lt;(((((((2*IF(circ_int,0,eq_c2/2))+(PI()*(s_0+0*s_r+IF(circ_int,eq_c1/2,0))/2))+2*IF(circ_int,0,eq_c1/2))+(PI()*(s_0+0*s_r+IF(circ_int,eq_c1/2,0))/2))+2*IF(circ_int,0,eq_c2/2))+(PI()*(s_0+0*s_r+IF(circ_int,eq_c1/2,0))/2))+2*IF(circ_int,0,eq_c1/2)),-IF(circ_int,0,eq_c1/2)+(((32+0.5)*(4*IF(circ_int,0,eq_c1/2)+4*IF(circ_int,0,eq_c2/2)+2*PI()*(s_0+0*s_r+IF(circ_int,eq_c1/2,0)))/INDEX(lk_legs,1))-((((((2*IF(circ_int,0,eq_c2/2))+(PI()*(s_0+0*s_r+IF(circ_int,eq_c1/2,0))/2))+2*IF(circ_int,0,eq_c1/2))+(PI()*(s_0+0*s_r+IF(circ_int,eq_c1/2,0))/2))+2*IF(circ_int,0,eq_c2/2))+(PI()*(s_0+0*s_r+IF(circ_int,eq_c1/2,0))/2))),IF(circ_int,0,eq_c1/2)+(s_0+0*s_r+IF(circ_int,eq_c1/2,0))*COS(3*PI()/2+(((32+0.5)*(4*IF(circ_int,0,eq_c1/2)+4*IF(circ_int,0,eq_c2/2)+2*PI()*(s_0+0*s_r+IF(circ_int,eq_c1/2,0)))/INDEX(lk_legs,1))-(((((((2*IF(circ_int,0,eq_c2/2))+(PI()*(s_0+0*s_r+IF(circ_int,eq_c1/2,0))/2))+2*IF(circ_int,0,eq_c1/2))+(PI()*(s_0+0*s_r+IF(circ_int,eq_c1/2,0))/2))+2*IF(circ_int,0,eq_c2/2))+(PI()*(s_0+0*s_r+IF(circ_int,eq_c1/2,0))/2))+2*IF(circ_int,0,eq_c1/2)))/(s_0+0*s_r+IF(circ_int,eq_c1/2,0)))))))))),NA())</f>
        <v/>
      </c>
      <c r="BA35">
        <f>IF(AND(AND(links_on,1&lt;=n_per),INDEX(lk_kind,1)=1,32&lt;INDEX(lk_legs,1)),g_oy+IF(((32+0.5)*(4*IF(circ_int,0,eq_c1/2)+4*IF(circ_int,0,eq_c2/2)+2*PI()*(s_0+0*s_r+IF(circ_int,eq_c1/2,0)))/INDEX(lk_legs,1))&lt;(2*IF(circ_int,0,eq_c2/2)),-IF(circ_int,0,eq_c2/2)+((32+0.5)*(4*IF(circ_int,0,eq_c1/2)+4*IF(circ_int,0,eq_c2/2)+2*PI()*(s_0+0*s_r+IF(circ_int,eq_c1/2,0)))/INDEX(lk_legs,1)),IF(((32+0.5)*(4*IF(circ_int,0,eq_c1/2)+4*IF(circ_int,0,eq_c2/2)+2*PI()*(s_0+0*s_r+IF(circ_int,eq_c1/2,0)))/INDEX(lk_legs,1))&lt;((2*IF(circ_int,0,eq_c2/2))+(PI()*(s_0+0*s_r+IF(circ_int,eq_c1/2,0))/2)),IF(circ_int,0,eq_c2/2)+(s_0+0*s_r+IF(circ_int,eq_c1/2,0))*SIN((((32+0.5)*(4*IF(circ_int,0,eq_c1/2)+4*IF(circ_int,0,eq_c2/2)+2*PI()*(s_0+0*s_r+IF(circ_int,eq_c1/2,0)))/INDEX(lk_legs,1))-(2*IF(circ_int,0,eq_c2/2)))/(s_0+0*s_r+IF(circ_int,eq_c1/2,0))),IF(((32+0.5)*(4*IF(circ_int,0,eq_c1/2)+4*IF(circ_int,0,eq_c2/2)+2*PI()*(s_0+0*s_r+IF(circ_int,eq_c1/2,0)))/INDEX(lk_legs,1))&lt;(((2*IF(circ_int,0,eq_c2/2))+(PI()*(s_0+0*s_r+IF(circ_int,eq_c1/2,0))/2))+2*IF(circ_int,0,eq_c1/2)),IF(circ_int,0,eq_c2/2)+(s_0+0*s_r+IF(circ_int,eq_c1/2,0)),IF(((32+0.5)*(4*IF(circ_int,0,eq_c1/2)+4*IF(circ_int,0,eq_c2/2)+2*PI()*(s_0+0*s_r+IF(circ_int,eq_c1/2,0)))/INDEX(lk_legs,1))&lt;((((2*IF(circ_int,0,eq_c2/2))+(PI()*(s_0+0*s_r+IF(circ_int,eq_c1/2,0))/2))+2*IF(circ_int,0,eq_c1/2))+(PI()*(s_0+0*s_r+IF(circ_int,eq_c1/2,0))/2)),IF(circ_int,0,eq_c2/2)+(s_0+0*s_r+IF(circ_int,eq_c1/2,0))*SIN(PI()/2+(((32+0.5)*(4*IF(circ_int,0,eq_c1/2)+4*IF(circ_int,0,eq_c2/2)+2*PI()*(s_0+0*s_r+IF(circ_int,eq_c1/2,0)))/INDEX(lk_legs,1))-(((2*IF(circ_int,0,eq_c2/2))+(PI()*(s_0+0*s_r+IF(circ_int,eq_c1/2,0))/2))+2*IF(circ_int,0,eq_c1/2)))/(s_0+0*s_r+IF(circ_int,eq_c1/2,0))),IF(((32+0.5)*(4*IF(circ_int,0,eq_c1/2)+4*IF(circ_int,0,eq_c2/2)+2*PI()*(s_0+0*s_r+IF(circ_int,eq_c1/2,0)))/INDEX(lk_legs,1))&lt;(((((2*IF(circ_int,0,eq_c2/2))+(PI()*(s_0+0*s_r+IF(circ_int,eq_c1/2,0))/2))+2*IF(circ_int,0,eq_c1/2))+(PI()*(s_0+0*s_r+IF(circ_int,eq_c1/2,0))/2))+2*IF(circ_int,0,eq_c2/2)),IF(circ_int,0,eq_c2/2)-(((32+0.5)*(4*IF(circ_int,0,eq_c1/2)+4*IF(circ_int,0,eq_c2/2)+2*PI()*(s_0+0*s_r+IF(circ_int,eq_c1/2,0)))/INDEX(lk_legs,1))-((((2*IF(circ_int,0,eq_c2/2))+(PI()*(s_0+0*s_r+IF(circ_int,eq_c1/2,0))/2))+2*IF(circ_int,0,eq_c1/2))+(PI()*(s_0+0*s_r+IF(circ_int,eq_c1/2,0))/2))),IF(((32+0.5)*(4*IF(circ_int,0,eq_c1/2)+4*IF(circ_int,0,eq_c2/2)+2*PI()*(s_0+0*s_r+IF(circ_int,eq_c1/2,0)))/INDEX(lk_legs,1))&lt;((((((2*IF(circ_int,0,eq_c2/2))+(PI()*(s_0+0*s_r+IF(circ_int,eq_c1/2,0))/2))+2*IF(circ_int,0,eq_c1/2))+(PI()*(s_0+0*s_r+IF(circ_int,eq_c1/2,0))/2))+2*IF(circ_int,0,eq_c2/2))+(PI()*(s_0+0*s_r+IF(circ_int,eq_c1/2,0))/2)),-IF(circ_int,0,eq_c2/2)+(s_0+0*s_r+IF(circ_int,eq_c1/2,0))*SIN(PI()+(((32+0.5)*(4*IF(circ_int,0,eq_c1/2)+4*IF(circ_int,0,eq_c2/2)+2*PI()*(s_0+0*s_r+IF(circ_int,eq_c1/2,0)))/INDEX(lk_legs,1))-(((((2*IF(circ_int,0,eq_c2/2))+(PI()*(s_0+0*s_r+IF(circ_int,eq_c1/2,0))/2))+2*IF(circ_int,0,eq_c1/2))+(PI()*(s_0+0*s_r+IF(circ_int,eq_c1/2,0))/2))+2*IF(circ_int,0,eq_c2/2)))/(s_0+0*s_r+IF(circ_int,eq_c1/2,0))),IF(((32+0.5)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(32+0.5)*(4*IF(circ_int,0,eq_c1/2)+4*IF(circ_int,0,eq_c2/2)+2*PI()*(s_0+0*s_r+IF(circ_int,eq_c1/2,0)))/INDEX(lk_legs,1))-(((((((2*IF(circ_int,0,eq_c2/2))+(PI()*(s_0+0*s_r+IF(circ_int,eq_c1/2,0))/2))+2*IF(circ_int,0,eq_c1/2))+(PI()*(s_0+0*s_r+IF(circ_int,eq_c1/2,0))/2))+2*IF(circ_int,0,eq_c2/2))+(PI()*(s_0+0*s_r+IF(circ_int,eq_c1/2,0))/2))+2*IF(circ_int,0,eq_c1/2)))/(s_0+0*s_r+IF(circ_int,eq_c1/2,0)))))))))),NA())</f>
        <v/>
      </c>
      <c r="BC35">
        <f>IF(AND(links_on,2&lt;=n_per),IF(circ_int,(g_ox)+(c_1/2+(s_0+1*s_r))*-0.748511,CHOOSE(INDEX(lk_kind,2),(g_ox-eq_c1/2)+((s_0+1*s_r))*-0.707107,0,eq_a1+eq_c1+(s_0+1*s_r),eq_a1+eq_c1+(s_0+1*s_r))),NA())</f>
        <v/>
      </c>
      <c r="BD35">
        <f>IF(AND(links_on,2&lt;=n_per),IF(circ_int,(g_oy)+(c_1/2+(s_0+1*s_r))*-0.663123,CHOOSE(INDEX(lk_kind,2),(g_oy-eq_c2/2)+((s_0+1*s_r))*-0.707107,g_oy-eq_c2/2-(s_0+1*s_r),0,0)),NA())</f>
        <v/>
      </c>
      <c r="BF35">
        <f>IF(AND(AND(links_on,2&lt;=n_per),INDEX(lk_kind,2)=1,32&lt;INDEX(lk_legs,2)),g_ox+IF(((32+0.5)*(4*IF(circ_int,0,eq_c1/2)+4*IF(circ_int,0,eq_c2/2)+2*PI()*(s_0+1*s_r+IF(circ_int,eq_c1/2,0)))/INDEX(lk_legs,2))&lt;(2*IF(circ_int,0,eq_c2/2)),IF(circ_int,0,eq_c1/2)+(s_0+1*s_r+IF(circ_int,eq_c1/2,0)),IF(((32+0.5)*(4*IF(circ_int,0,eq_c1/2)+4*IF(circ_int,0,eq_c2/2)+2*PI()*(s_0+1*s_r+IF(circ_int,eq_c1/2,0)))/INDEX(lk_legs,2))&lt;((2*IF(circ_int,0,eq_c2/2))+(PI()*(s_0+1*s_r+IF(circ_int,eq_c1/2,0))/2)),IF(circ_int,0,eq_c1/2)+(s_0+1*s_r+IF(circ_int,eq_c1/2,0))*COS((((32+0.5)*(4*IF(circ_int,0,eq_c1/2)+4*IF(circ_int,0,eq_c2/2)+2*PI()*(s_0+1*s_r+IF(circ_int,eq_c1/2,0)))/INDEX(lk_legs,2))-(2*IF(circ_int,0,eq_c2/2)))/(s_0+1*s_r+IF(circ_int,eq_c1/2,0))),IF(((32+0.5)*(4*IF(circ_int,0,eq_c1/2)+4*IF(circ_int,0,eq_c2/2)+2*PI()*(s_0+1*s_r+IF(circ_int,eq_c1/2,0)))/INDEX(lk_legs,2))&lt;(((2*IF(circ_int,0,eq_c2/2))+(PI()*(s_0+1*s_r+IF(circ_int,eq_c1/2,0))/2))+2*IF(circ_int,0,eq_c1/2)),IF(circ_int,0,eq_c1/2)-(((32+0.5)*(4*IF(circ_int,0,eq_c1/2)+4*IF(circ_int,0,eq_c2/2)+2*PI()*(s_0+1*s_r+IF(circ_int,eq_c1/2,0)))/INDEX(lk_legs,2))-((2*IF(circ_int,0,eq_c2/2))+(PI()*(s_0+1*s_r+IF(circ_int,eq_c1/2,0))/2))),IF(((32+0.5)*(4*IF(circ_int,0,eq_c1/2)+4*IF(circ_int,0,eq_c2/2)+2*PI()*(s_0+1*s_r+IF(circ_int,eq_c1/2,0)))/INDEX(lk_legs,2))&lt;((((2*IF(circ_int,0,eq_c2/2))+(PI()*(s_0+1*s_r+IF(circ_int,eq_c1/2,0))/2))+2*IF(circ_int,0,eq_c1/2))+(PI()*(s_0+1*s_r+IF(circ_int,eq_c1/2,0))/2)),-IF(circ_int,0,eq_c1/2)+(s_0+1*s_r+IF(circ_int,eq_c1/2,0))*COS(PI()/2+(((32+0.5)*(4*IF(circ_int,0,eq_c1/2)+4*IF(circ_int,0,eq_c2/2)+2*PI()*(s_0+1*s_r+IF(circ_int,eq_c1/2,0)))/INDEX(lk_legs,2))-(((2*IF(circ_int,0,eq_c2/2))+(PI()*(s_0+1*s_r+IF(circ_int,eq_c1/2,0))/2))+2*IF(circ_int,0,eq_c1/2)))/(s_0+1*s_r+IF(circ_int,eq_c1/2,0))),IF(((32+0.5)*(4*IF(circ_int,0,eq_c1/2)+4*IF(circ_int,0,eq_c2/2)+2*PI()*(s_0+1*s_r+IF(circ_int,eq_c1/2,0)))/INDEX(lk_legs,2))&lt;(((((2*IF(circ_int,0,eq_c2/2))+(PI()*(s_0+1*s_r+IF(circ_int,eq_c1/2,0))/2))+2*IF(circ_int,0,eq_c1/2))+(PI()*(s_0+1*s_r+IF(circ_int,eq_c1/2,0))/2))+2*IF(circ_int,0,eq_c2/2)),-IF(circ_int,0,eq_c1/2)-(s_0+1*s_r+IF(circ_int,eq_c1/2,0)),IF(((32+0.5)*(4*IF(circ_int,0,eq_c1/2)+4*IF(circ_int,0,eq_c2/2)+2*PI()*(s_0+1*s_r+IF(circ_int,eq_c1/2,0)))/INDEX(lk_legs,2))&lt;((((((2*IF(circ_int,0,eq_c2/2))+(PI()*(s_0+1*s_r+IF(circ_int,eq_c1/2,0))/2))+2*IF(circ_int,0,eq_c1/2))+(PI()*(s_0+1*s_r+IF(circ_int,eq_c1/2,0))/2))+2*IF(circ_int,0,eq_c2/2))+(PI()*(s_0+1*s_r+IF(circ_int,eq_c1/2,0))/2)),-IF(circ_int,0,eq_c1/2)+(s_0+1*s_r+IF(circ_int,eq_c1/2,0))*COS(PI()+(((32+0.5)*(4*IF(circ_int,0,eq_c1/2)+4*IF(circ_int,0,eq_c2/2)+2*PI()*(s_0+1*s_r+IF(circ_int,eq_c1/2,0)))/INDEX(lk_legs,2))-(((((2*IF(circ_int,0,eq_c2/2))+(PI()*(s_0+1*s_r+IF(circ_int,eq_c1/2,0))/2))+2*IF(circ_int,0,eq_c1/2))+(PI()*(s_0+1*s_r+IF(circ_int,eq_c1/2,0))/2))+2*IF(circ_int,0,eq_c2/2)))/(s_0+1*s_r+IF(circ_int,eq_c1/2,0))),IF(((32+0.5)*(4*IF(circ_int,0,eq_c1/2)+4*IF(circ_int,0,eq_c2/2)+2*PI()*(s_0+1*s_r+IF(circ_int,eq_c1/2,0)))/INDEX(lk_legs,2))&lt;(((((((2*IF(circ_int,0,eq_c2/2))+(PI()*(s_0+1*s_r+IF(circ_int,eq_c1/2,0))/2))+2*IF(circ_int,0,eq_c1/2))+(PI()*(s_0+1*s_r+IF(circ_int,eq_c1/2,0))/2))+2*IF(circ_int,0,eq_c2/2))+(PI()*(s_0+1*s_r+IF(circ_int,eq_c1/2,0))/2))+2*IF(circ_int,0,eq_c1/2)),-IF(circ_int,0,eq_c1/2)+(((32+0.5)*(4*IF(circ_int,0,eq_c1/2)+4*IF(circ_int,0,eq_c2/2)+2*PI()*(s_0+1*s_r+IF(circ_int,eq_c1/2,0)))/INDEX(lk_legs,2))-((((((2*IF(circ_int,0,eq_c2/2))+(PI()*(s_0+1*s_r+IF(circ_int,eq_c1/2,0))/2))+2*IF(circ_int,0,eq_c1/2))+(PI()*(s_0+1*s_r+IF(circ_int,eq_c1/2,0))/2))+2*IF(circ_int,0,eq_c2/2))+(PI()*(s_0+1*s_r+IF(circ_int,eq_c1/2,0))/2))),IF(circ_int,0,eq_c1/2)+(s_0+1*s_r+IF(circ_int,eq_c1/2,0))*COS(3*PI()/2+(((32+0.5)*(4*IF(circ_int,0,eq_c1/2)+4*IF(circ_int,0,eq_c2/2)+2*PI()*(s_0+1*s_r+IF(circ_int,eq_c1/2,0)))/INDEX(lk_legs,2))-(((((((2*IF(circ_int,0,eq_c2/2))+(PI()*(s_0+1*s_r+IF(circ_int,eq_c1/2,0))/2))+2*IF(circ_int,0,eq_c1/2))+(PI()*(s_0+1*s_r+IF(circ_int,eq_c1/2,0))/2))+2*IF(circ_int,0,eq_c2/2))+(PI()*(s_0+1*s_r+IF(circ_int,eq_c1/2,0))/2))+2*IF(circ_int,0,eq_c1/2)))/(s_0+1*s_r+IF(circ_int,eq_c1/2,0)))))))))),NA())</f>
        <v/>
      </c>
      <c r="BG35">
        <f>IF(AND(AND(links_on,2&lt;=n_per),INDEX(lk_kind,2)=1,32&lt;INDEX(lk_legs,2)),g_oy+IF(((32+0.5)*(4*IF(circ_int,0,eq_c1/2)+4*IF(circ_int,0,eq_c2/2)+2*PI()*(s_0+1*s_r+IF(circ_int,eq_c1/2,0)))/INDEX(lk_legs,2))&lt;(2*IF(circ_int,0,eq_c2/2)),-IF(circ_int,0,eq_c2/2)+((32+0.5)*(4*IF(circ_int,0,eq_c1/2)+4*IF(circ_int,0,eq_c2/2)+2*PI()*(s_0+1*s_r+IF(circ_int,eq_c1/2,0)))/INDEX(lk_legs,2)),IF(((32+0.5)*(4*IF(circ_int,0,eq_c1/2)+4*IF(circ_int,0,eq_c2/2)+2*PI()*(s_0+1*s_r+IF(circ_int,eq_c1/2,0)))/INDEX(lk_legs,2))&lt;((2*IF(circ_int,0,eq_c2/2))+(PI()*(s_0+1*s_r+IF(circ_int,eq_c1/2,0))/2)),IF(circ_int,0,eq_c2/2)+(s_0+1*s_r+IF(circ_int,eq_c1/2,0))*SIN((((32+0.5)*(4*IF(circ_int,0,eq_c1/2)+4*IF(circ_int,0,eq_c2/2)+2*PI()*(s_0+1*s_r+IF(circ_int,eq_c1/2,0)))/INDEX(lk_legs,2))-(2*IF(circ_int,0,eq_c2/2)))/(s_0+1*s_r+IF(circ_int,eq_c1/2,0))),IF(((32+0.5)*(4*IF(circ_int,0,eq_c1/2)+4*IF(circ_int,0,eq_c2/2)+2*PI()*(s_0+1*s_r+IF(circ_int,eq_c1/2,0)))/INDEX(lk_legs,2))&lt;(((2*IF(circ_int,0,eq_c2/2))+(PI()*(s_0+1*s_r+IF(circ_int,eq_c1/2,0))/2))+2*IF(circ_int,0,eq_c1/2)),IF(circ_int,0,eq_c2/2)+(s_0+1*s_r+IF(circ_int,eq_c1/2,0)),IF(((32+0.5)*(4*IF(circ_int,0,eq_c1/2)+4*IF(circ_int,0,eq_c2/2)+2*PI()*(s_0+1*s_r+IF(circ_int,eq_c1/2,0)))/INDEX(lk_legs,2))&lt;((((2*IF(circ_int,0,eq_c2/2))+(PI()*(s_0+1*s_r+IF(circ_int,eq_c1/2,0))/2))+2*IF(circ_int,0,eq_c1/2))+(PI()*(s_0+1*s_r+IF(circ_int,eq_c1/2,0))/2)),IF(circ_int,0,eq_c2/2)+(s_0+1*s_r+IF(circ_int,eq_c1/2,0))*SIN(PI()/2+(((32+0.5)*(4*IF(circ_int,0,eq_c1/2)+4*IF(circ_int,0,eq_c2/2)+2*PI()*(s_0+1*s_r+IF(circ_int,eq_c1/2,0)))/INDEX(lk_legs,2))-(((2*IF(circ_int,0,eq_c2/2))+(PI()*(s_0+1*s_r+IF(circ_int,eq_c1/2,0))/2))+2*IF(circ_int,0,eq_c1/2)))/(s_0+1*s_r+IF(circ_int,eq_c1/2,0))),IF(((32+0.5)*(4*IF(circ_int,0,eq_c1/2)+4*IF(circ_int,0,eq_c2/2)+2*PI()*(s_0+1*s_r+IF(circ_int,eq_c1/2,0)))/INDEX(lk_legs,2))&lt;(((((2*IF(circ_int,0,eq_c2/2))+(PI()*(s_0+1*s_r+IF(circ_int,eq_c1/2,0))/2))+2*IF(circ_int,0,eq_c1/2))+(PI()*(s_0+1*s_r+IF(circ_int,eq_c1/2,0))/2))+2*IF(circ_int,0,eq_c2/2)),IF(circ_int,0,eq_c2/2)-(((32+0.5)*(4*IF(circ_int,0,eq_c1/2)+4*IF(circ_int,0,eq_c2/2)+2*PI()*(s_0+1*s_r+IF(circ_int,eq_c1/2,0)))/INDEX(lk_legs,2))-((((2*IF(circ_int,0,eq_c2/2))+(PI()*(s_0+1*s_r+IF(circ_int,eq_c1/2,0))/2))+2*IF(circ_int,0,eq_c1/2))+(PI()*(s_0+1*s_r+IF(circ_int,eq_c1/2,0))/2))),IF(((32+0.5)*(4*IF(circ_int,0,eq_c1/2)+4*IF(circ_int,0,eq_c2/2)+2*PI()*(s_0+1*s_r+IF(circ_int,eq_c1/2,0)))/INDEX(lk_legs,2))&lt;((((((2*IF(circ_int,0,eq_c2/2))+(PI()*(s_0+1*s_r+IF(circ_int,eq_c1/2,0))/2))+2*IF(circ_int,0,eq_c1/2))+(PI()*(s_0+1*s_r+IF(circ_int,eq_c1/2,0))/2))+2*IF(circ_int,0,eq_c2/2))+(PI()*(s_0+1*s_r+IF(circ_int,eq_c1/2,0))/2)),-IF(circ_int,0,eq_c2/2)+(s_0+1*s_r+IF(circ_int,eq_c1/2,0))*SIN(PI()+(((32+0.5)*(4*IF(circ_int,0,eq_c1/2)+4*IF(circ_int,0,eq_c2/2)+2*PI()*(s_0+1*s_r+IF(circ_int,eq_c1/2,0)))/INDEX(lk_legs,2))-(((((2*IF(circ_int,0,eq_c2/2))+(PI()*(s_0+1*s_r+IF(circ_int,eq_c1/2,0))/2))+2*IF(circ_int,0,eq_c1/2))+(PI()*(s_0+1*s_r+IF(circ_int,eq_c1/2,0))/2))+2*IF(circ_int,0,eq_c2/2)))/(s_0+1*s_r+IF(circ_int,eq_c1/2,0))),IF(((32+0.5)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(32+0.5)*(4*IF(circ_int,0,eq_c1/2)+4*IF(circ_int,0,eq_c2/2)+2*PI()*(s_0+1*s_r+IF(circ_int,eq_c1/2,0)))/INDEX(lk_legs,2))-(((((((2*IF(circ_int,0,eq_c2/2))+(PI()*(s_0+1*s_r+IF(circ_int,eq_c1/2,0))/2))+2*IF(circ_int,0,eq_c1/2))+(PI()*(s_0+1*s_r+IF(circ_int,eq_c1/2,0))/2))+2*IF(circ_int,0,eq_c2/2))+(PI()*(s_0+1*s_r+IF(circ_int,eq_c1/2,0))/2))+2*IF(circ_int,0,eq_c1/2)))/(s_0+1*s_r+IF(circ_int,eq_c1/2,0)))))))))),NA())</f>
        <v/>
      </c>
      <c r="BI35">
        <f>IF(AND(links_on,3&lt;=n_per),IF(circ_int,(g_ox)+(c_1/2+(s_0+2*s_r))*-0.748511,CHOOSE(INDEX(lk_kind,3),(g_ox-eq_c1/2)+((s_0+2*s_r))*-0.707107,0,eq_a1+eq_c1+(s_0+2*s_r),eq_a1+eq_c1+(s_0+2*s_r))),NA())</f>
        <v/>
      </c>
      <c r="BJ35">
        <f>IF(AND(links_on,3&lt;=n_per),IF(circ_int,(g_oy)+(c_1/2+(s_0+2*s_r))*-0.663123,CHOOSE(INDEX(lk_kind,3),(g_oy-eq_c2/2)+((s_0+2*s_r))*-0.707107,g_oy-eq_c2/2-(s_0+2*s_r),0,0)),NA())</f>
        <v/>
      </c>
      <c r="BL35">
        <f>IF(AND(AND(links_on,3&lt;=n_per),INDEX(lk_kind,3)=1,32&lt;INDEX(lk_legs,3)),g_ox+IF(((32+0.5)*(4*IF(circ_int,0,eq_c1/2)+4*IF(circ_int,0,eq_c2/2)+2*PI()*(s_0+2*s_r+IF(circ_int,eq_c1/2,0)))/INDEX(lk_legs,3))&lt;(2*IF(circ_int,0,eq_c2/2)),IF(circ_int,0,eq_c1/2)+(s_0+2*s_r+IF(circ_int,eq_c1/2,0)),IF(((32+0.5)*(4*IF(circ_int,0,eq_c1/2)+4*IF(circ_int,0,eq_c2/2)+2*PI()*(s_0+2*s_r+IF(circ_int,eq_c1/2,0)))/INDEX(lk_legs,3))&lt;((2*IF(circ_int,0,eq_c2/2))+(PI()*(s_0+2*s_r+IF(circ_int,eq_c1/2,0))/2)),IF(circ_int,0,eq_c1/2)+(s_0+2*s_r+IF(circ_int,eq_c1/2,0))*COS((((32+0.5)*(4*IF(circ_int,0,eq_c1/2)+4*IF(circ_int,0,eq_c2/2)+2*PI()*(s_0+2*s_r+IF(circ_int,eq_c1/2,0)))/INDEX(lk_legs,3))-(2*IF(circ_int,0,eq_c2/2)))/(s_0+2*s_r+IF(circ_int,eq_c1/2,0))),IF(((32+0.5)*(4*IF(circ_int,0,eq_c1/2)+4*IF(circ_int,0,eq_c2/2)+2*PI()*(s_0+2*s_r+IF(circ_int,eq_c1/2,0)))/INDEX(lk_legs,3))&lt;(((2*IF(circ_int,0,eq_c2/2))+(PI()*(s_0+2*s_r+IF(circ_int,eq_c1/2,0))/2))+2*IF(circ_int,0,eq_c1/2)),IF(circ_int,0,eq_c1/2)-(((32+0.5)*(4*IF(circ_int,0,eq_c1/2)+4*IF(circ_int,0,eq_c2/2)+2*PI()*(s_0+2*s_r+IF(circ_int,eq_c1/2,0)))/INDEX(lk_legs,3))-((2*IF(circ_int,0,eq_c2/2))+(PI()*(s_0+2*s_r+IF(circ_int,eq_c1/2,0))/2))),IF(((32+0.5)*(4*IF(circ_int,0,eq_c1/2)+4*IF(circ_int,0,eq_c2/2)+2*PI()*(s_0+2*s_r+IF(circ_int,eq_c1/2,0)))/INDEX(lk_legs,3))&lt;((((2*IF(circ_int,0,eq_c2/2))+(PI()*(s_0+2*s_r+IF(circ_int,eq_c1/2,0))/2))+2*IF(circ_int,0,eq_c1/2))+(PI()*(s_0+2*s_r+IF(circ_int,eq_c1/2,0))/2)),-IF(circ_int,0,eq_c1/2)+(s_0+2*s_r+IF(circ_int,eq_c1/2,0))*COS(PI()/2+(((32+0.5)*(4*IF(circ_int,0,eq_c1/2)+4*IF(circ_int,0,eq_c2/2)+2*PI()*(s_0+2*s_r+IF(circ_int,eq_c1/2,0)))/INDEX(lk_legs,3))-(((2*IF(circ_int,0,eq_c2/2))+(PI()*(s_0+2*s_r+IF(circ_int,eq_c1/2,0))/2))+2*IF(circ_int,0,eq_c1/2)))/(s_0+2*s_r+IF(circ_int,eq_c1/2,0))),IF(((32+0.5)*(4*IF(circ_int,0,eq_c1/2)+4*IF(circ_int,0,eq_c2/2)+2*PI()*(s_0+2*s_r+IF(circ_int,eq_c1/2,0)))/INDEX(lk_legs,3))&lt;(((((2*IF(circ_int,0,eq_c2/2))+(PI()*(s_0+2*s_r+IF(circ_int,eq_c1/2,0))/2))+2*IF(circ_int,0,eq_c1/2))+(PI()*(s_0+2*s_r+IF(circ_int,eq_c1/2,0))/2))+2*IF(circ_int,0,eq_c2/2)),-IF(circ_int,0,eq_c1/2)-(s_0+2*s_r+IF(circ_int,eq_c1/2,0)),IF(((32+0.5)*(4*IF(circ_int,0,eq_c1/2)+4*IF(circ_int,0,eq_c2/2)+2*PI()*(s_0+2*s_r+IF(circ_int,eq_c1/2,0)))/INDEX(lk_legs,3))&lt;((((((2*IF(circ_int,0,eq_c2/2))+(PI()*(s_0+2*s_r+IF(circ_int,eq_c1/2,0))/2))+2*IF(circ_int,0,eq_c1/2))+(PI()*(s_0+2*s_r+IF(circ_int,eq_c1/2,0))/2))+2*IF(circ_int,0,eq_c2/2))+(PI()*(s_0+2*s_r+IF(circ_int,eq_c1/2,0))/2)),-IF(circ_int,0,eq_c1/2)+(s_0+2*s_r+IF(circ_int,eq_c1/2,0))*COS(PI()+(((32+0.5)*(4*IF(circ_int,0,eq_c1/2)+4*IF(circ_int,0,eq_c2/2)+2*PI()*(s_0+2*s_r+IF(circ_int,eq_c1/2,0)))/INDEX(lk_legs,3))-(((((2*IF(circ_int,0,eq_c2/2))+(PI()*(s_0+2*s_r+IF(circ_int,eq_c1/2,0))/2))+2*IF(circ_int,0,eq_c1/2))+(PI()*(s_0+2*s_r+IF(circ_int,eq_c1/2,0))/2))+2*IF(circ_int,0,eq_c2/2)))/(s_0+2*s_r+IF(circ_int,eq_c1/2,0))),IF(((32+0.5)*(4*IF(circ_int,0,eq_c1/2)+4*IF(circ_int,0,eq_c2/2)+2*PI()*(s_0+2*s_r+IF(circ_int,eq_c1/2,0)))/INDEX(lk_legs,3))&lt;(((((((2*IF(circ_int,0,eq_c2/2))+(PI()*(s_0+2*s_r+IF(circ_int,eq_c1/2,0))/2))+2*IF(circ_int,0,eq_c1/2))+(PI()*(s_0+2*s_r+IF(circ_int,eq_c1/2,0))/2))+2*IF(circ_int,0,eq_c2/2))+(PI()*(s_0+2*s_r+IF(circ_int,eq_c1/2,0))/2))+2*IF(circ_int,0,eq_c1/2)),-IF(circ_int,0,eq_c1/2)+(((32+0.5)*(4*IF(circ_int,0,eq_c1/2)+4*IF(circ_int,0,eq_c2/2)+2*PI()*(s_0+2*s_r+IF(circ_int,eq_c1/2,0)))/INDEX(lk_legs,3))-((((((2*IF(circ_int,0,eq_c2/2))+(PI()*(s_0+2*s_r+IF(circ_int,eq_c1/2,0))/2))+2*IF(circ_int,0,eq_c1/2))+(PI()*(s_0+2*s_r+IF(circ_int,eq_c1/2,0))/2))+2*IF(circ_int,0,eq_c2/2))+(PI()*(s_0+2*s_r+IF(circ_int,eq_c1/2,0))/2))),IF(circ_int,0,eq_c1/2)+(s_0+2*s_r+IF(circ_int,eq_c1/2,0))*COS(3*PI()/2+(((32+0.5)*(4*IF(circ_int,0,eq_c1/2)+4*IF(circ_int,0,eq_c2/2)+2*PI()*(s_0+2*s_r+IF(circ_int,eq_c1/2,0)))/INDEX(lk_legs,3))-(((((((2*IF(circ_int,0,eq_c2/2))+(PI()*(s_0+2*s_r+IF(circ_int,eq_c1/2,0))/2))+2*IF(circ_int,0,eq_c1/2))+(PI()*(s_0+2*s_r+IF(circ_int,eq_c1/2,0))/2))+2*IF(circ_int,0,eq_c2/2))+(PI()*(s_0+2*s_r+IF(circ_int,eq_c1/2,0))/2))+2*IF(circ_int,0,eq_c1/2)))/(s_0+2*s_r+IF(circ_int,eq_c1/2,0)))))))))),NA())</f>
        <v/>
      </c>
      <c r="BM35">
        <f>IF(AND(AND(links_on,3&lt;=n_per),INDEX(lk_kind,3)=1,32&lt;INDEX(lk_legs,3)),g_oy+IF(((32+0.5)*(4*IF(circ_int,0,eq_c1/2)+4*IF(circ_int,0,eq_c2/2)+2*PI()*(s_0+2*s_r+IF(circ_int,eq_c1/2,0)))/INDEX(lk_legs,3))&lt;(2*IF(circ_int,0,eq_c2/2)),-IF(circ_int,0,eq_c2/2)+((32+0.5)*(4*IF(circ_int,0,eq_c1/2)+4*IF(circ_int,0,eq_c2/2)+2*PI()*(s_0+2*s_r+IF(circ_int,eq_c1/2,0)))/INDEX(lk_legs,3)),IF(((32+0.5)*(4*IF(circ_int,0,eq_c1/2)+4*IF(circ_int,0,eq_c2/2)+2*PI()*(s_0+2*s_r+IF(circ_int,eq_c1/2,0)))/INDEX(lk_legs,3))&lt;((2*IF(circ_int,0,eq_c2/2))+(PI()*(s_0+2*s_r+IF(circ_int,eq_c1/2,0))/2)),IF(circ_int,0,eq_c2/2)+(s_0+2*s_r+IF(circ_int,eq_c1/2,0))*SIN((((32+0.5)*(4*IF(circ_int,0,eq_c1/2)+4*IF(circ_int,0,eq_c2/2)+2*PI()*(s_0+2*s_r+IF(circ_int,eq_c1/2,0)))/INDEX(lk_legs,3))-(2*IF(circ_int,0,eq_c2/2)))/(s_0+2*s_r+IF(circ_int,eq_c1/2,0))),IF(((32+0.5)*(4*IF(circ_int,0,eq_c1/2)+4*IF(circ_int,0,eq_c2/2)+2*PI()*(s_0+2*s_r+IF(circ_int,eq_c1/2,0)))/INDEX(lk_legs,3))&lt;(((2*IF(circ_int,0,eq_c2/2))+(PI()*(s_0+2*s_r+IF(circ_int,eq_c1/2,0))/2))+2*IF(circ_int,0,eq_c1/2)),IF(circ_int,0,eq_c2/2)+(s_0+2*s_r+IF(circ_int,eq_c1/2,0)),IF(((32+0.5)*(4*IF(circ_int,0,eq_c1/2)+4*IF(circ_int,0,eq_c2/2)+2*PI()*(s_0+2*s_r+IF(circ_int,eq_c1/2,0)))/INDEX(lk_legs,3))&lt;((((2*IF(circ_int,0,eq_c2/2))+(PI()*(s_0+2*s_r+IF(circ_int,eq_c1/2,0))/2))+2*IF(circ_int,0,eq_c1/2))+(PI()*(s_0+2*s_r+IF(circ_int,eq_c1/2,0))/2)),IF(circ_int,0,eq_c2/2)+(s_0+2*s_r+IF(circ_int,eq_c1/2,0))*SIN(PI()/2+(((32+0.5)*(4*IF(circ_int,0,eq_c1/2)+4*IF(circ_int,0,eq_c2/2)+2*PI()*(s_0+2*s_r+IF(circ_int,eq_c1/2,0)))/INDEX(lk_legs,3))-(((2*IF(circ_int,0,eq_c2/2))+(PI()*(s_0+2*s_r+IF(circ_int,eq_c1/2,0))/2))+2*IF(circ_int,0,eq_c1/2)))/(s_0+2*s_r+IF(circ_int,eq_c1/2,0))),IF(((32+0.5)*(4*IF(circ_int,0,eq_c1/2)+4*IF(circ_int,0,eq_c2/2)+2*PI()*(s_0+2*s_r+IF(circ_int,eq_c1/2,0)))/INDEX(lk_legs,3))&lt;(((((2*IF(circ_int,0,eq_c2/2))+(PI()*(s_0+2*s_r+IF(circ_int,eq_c1/2,0))/2))+2*IF(circ_int,0,eq_c1/2))+(PI()*(s_0+2*s_r+IF(circ_int,eq_c1/2,0))/2))+2*IF(circ_int,0,eq_c2/2)),IF(circ_int,0,eq_c2/2)-(((32+0.5)*(4*IF(circ_int,0,eq_c1/2)+4*IF(circ_int,0,eq_c2/2)+2*PI()*(s_0+2*s_r+IF(circ_int,eq_c1/2,0)))/INDEX(lk_legs,3))-((((2*IF(circ_int,0,eq_c2/2))+(PI()*(s_0+2*s_r+IF(circ_int,eq_c1/2,0))/2))+2*IF(circ_int,0,eq_c1/2))+(PI()*(s_0+2*s_r+IF(circ_int,eq_c1/2,0))/2))),IF(((32+0.5)*(4*IF(circ_int,0,eq_c1/2)+4*IF(circ_int,0,eq_c2/2)+2*PI()*(s_0+2*s_r+IF(circ_int,eq_c1/2,0)))/INDEX(lk_legs,3))&lt;((((((2*IF(circ_int,0,eq_c2/2))+(PI()*(s_0+2*s_r+IF(circ_int,eq_c1/2,0))/2))+2*IF(circ_int,0,eq_c1/2))+(PI()*(s_0+2*s_r+IF(circ_int,eq_c1/2,0))/2))+2*IF(circ_int,0,eq_c2/2))+(PI()*(s_0+2*s_r+IF(circ_int,eq_c1/2,0))/2)),-IF(circ_int,0,eq_c2/2)+(s_0+2*s_r+IF(circ_int,eq_c1/2,0))*SIN(PI()+(((32+0.5)*(4*IF(circ_int,0,eq_c1/2)+4*IF(circ_int,0,eq_c2/2)+2*PI()*(s_0+2*s_r+IF(circ_int,eq_c1/2,0)))/INDEX(lk_legs,3))-(((((2*IF(circ_int,0,eq_c2/2))+(PI()*(s_0+2*s_r+IF(circ_int,eq_c1/2,0))/2))+2*IF(circ_int,0,eq_c1/2))+(PI()*(s_0+2*s_r+IF(circ_int,eq_c1/2,0))/2))+2*IF(circ_int,0,eq_c2/2)))/(s_0+2*s_r+IF(circ_int,eq_c1/2,0))),IF(((32+0.5)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(32+0.5)*(4*IF(circ_int,0,eq_c1/2)+4*IF(circ_int,0,eq_c2/2)+2*PI()*(s_0+2*s_r+IF(circ_int,eq_c1/2,0)))/INDEX(lk_legs,3))-(((((((2*IF(circ_int,0,eq_c2/2))+(PI()*(s_0+2*s_r+IF(circ_int,eq_c1/2,0))/2))+2*IF(circ_int,0,eq_c1/2))+(PI()*(s_0+2*s_r+IF(circ_int,eq_c1/2,0))/2))+2*IF(circ_int,0,eq_c2/2))+(PI()*(s_0+2*s_r+IF(circ_int,eq_c1/2,0))/2))+2*IF(circ_int,0,eq_c1/2)))/(s_0+2*s_r+IF(circ_int,eq_c1/2,0)))))))))),NA())</f>
        <v/>
      </c>
      <c r="BO35">
        <f>IF(AND(links_on,4&lt;=n_per),IF(circ_int,(g_ox)+(c_1/2+(s_0+3*s_r))*-0.748511,CHOOSE(INDEX(lk_kind,4),(g_ox-eq_c1/2)+((s_0+3*s_r))*-0.707107,0,eq_a1+eq_c1+(s_0+3*s_r),eq_a1+eq_c1+(s_0+3*s_r))),NA())</f>
        <v/>
      </c>
      <c r="BP35">
        <f>IF(AND(links_on,4&lt;=n_per),IF(circ_int,(g_oy)+(c_1/2+(s_0+3*s_r))*-0.663123,CHOOSE(INDEX(lk_kind,4),(g_oy-eq_c2/2)+((s_0+3*s_r))*-0.707107,g_oy-eq_c2/2-(s_0+3*s_r),0,0)),NA())</f>
        <v/>
      </c>
      <c r="BR35">
        <f>IF(AND(AND(links_on,4&lt;=n_per),INDEX(lk_kind,4)=1,32&lt;INDEX(lk_legs,4)),g_ox+IF(((32+0.5)*(4*IF(circ_int,0,eq_c1/2)+4*IF(circ_int,0,eq_c2/2)+2*PI()*(s_0+3*s_r+IF(circ_int,eq_c1/2,0)))/INDEX(lk_legs,4))&lt;(2*IF(circ_int,0,eq_c2/2)),IF(circ_int,0,eq_c1/2)+(s_0+3*s_r+IF(circ_int,eq_c1/2,0)),IF(((32+0.5)*(4*IF(circ_int,0,eq_c1/2)+4*IF(circ_int,0,eq_c2/2)+2*PI()*(s_0+3*s_r+IF(circ_int,eq_c1/2,0)))/INDEX(lk_legs,4))&lt;((2*IF(circ_int,0,eq_c2/2))+(PI()*(s_0+3*s_r+IF(circ_int,eq_c1/2,0))/2)),IF(circ_int,0,eq_c1/2)+(s_0+3*s_r+IF(circ_int,eq_c1/2,0))*COS((((32+0.5)*(4*IF(circ_int,0,eq_c1/2)+4*IF(circ_int,0,eq_c2/2)+2*PI()*(s_0+3*s_r+IF(circ_int,eq_c1/2,0)))/INDEX(lk_legs,4))-(2*IF(circ_int,0,eq_c2/2)))/(s_0+3*s_r+IF(circ_int,eq_c1/2,0))),IF(((32+0.5)*(4*IF(circ_int,0,eq_c1/2)+4*IF(circ_int,0,eq_c2/2)+2*PI()*(s_0+3*s_r+IF(circ_int,eq_c1/2,0)))/INDEX(lk_legs,4))&lt;(((2*IF(circ_int,0,eq_c2/2))+(PI()*(s_0+3*s_r+IF(circ_int,eq_c1/2,0))/2))+2*IF(circ_int,0,eq_c1/2)),IF(circ_int,0,eq_c1/2)-(((32+0.5)*(4*IF(circ_int,0,eq_c1/2)+4*IF(circ_int,0,eq_c2/2)+2*PI()*(s_0+3*s_r+IF(circ_int,eq_c1/2,0)))/INDEX(lk_legs,4))-((2*IF(circ_int,0,eq_c2/2))+(PI()*(s_0+3*s_r+IF(circ_int,eq_c1/2,0))/2))),IF(((32+0.5)*(4*IF(circ_int,0,eq_c1/2)+4*IF(circ_int,0,eq_c2/2)+2*PI()*(s_0+3*s_r+IF(circ_int,eq_c1/2,0)))/INDEX(lk_legs,4))&lt;((((2*IF(circ_int,0,eq_c2/2))+(PI()*(s_0+3*s_r+IF(circ_int,eq_c1/2,0))/2))+2*IF(circ_int,0,eq_c1/2))+(PI()*(s_0+3*s_r+IF(circ_int,eq_c1/2,0))/2)),-IF(circ_int,0,eq_c1/2)+(s_0+3*s_r+IF(circ_int,eq_c1/2,0))*COS(PI()/2+(((32+0.5)*(4*IF(circ_int,0,eq_c1/2)+4*IF(circ_int,0,eq_c2/2)+2*PI()*(s_0+3*s_r+IF(circ_int,eq_c1/2,0)))/INDEX(lk_legs,4))-(((2*IF(circ_int,0,eq_c2/2))+(PI()*(s_0+3*s_r+IF(circ_int,eq_c1/2,0))/2))+2*IF(circ_int,0,eq_c1/2)))/(s_0+3*s_r+IF(circ_int,eq_c1/2,0))),IF(((32+0.5)*(4*IF(circ_int,0,eq_c1/2)+4*IF(circ_int,0,eq_c2/2)+2*PI()*(s_0+3*s_r+IF(circ_int,eq_c1/2,0)))/INDEX(lk_legs,4))&lt;(((((2*IF(circ_int,0,eq_c2/2))+(PI()*(s_0+3*s_r+IF(circ_int,eq_c1/2,0))/2))+2*IF(circ_int,0,eq_c1/2))+(PI()*(s_0+3*s_r+IF(circ_int,eq_c1/2,0))/2))+2*IF(circ_int,0,eq_c2/2)),-IF(circ_int,0,eq_c1/2)-(s_0+3*s_r+IF(circ_int,eq_c1/2,0)),IF(((32+0.5)*(4*IF(circ_int,0,eq_c1/2)+4*IF(circ_int,0,eq_c2/2)+2*PI()*(s_0+3*s_r+IF(circ_int,eq_c1/2,0)))/INDEX(lk_legs,4))&lt;((((((2*IF(circ_int,0,eq_c2/2))+(PI()*(s_0+3*s_r+IF(circ_int,eq_c1/2,0))/2))+2*IF(circ_int,0,eq_c1/2))+(PI()*(s_0+3*s_r+IF(circ_int,eq_c1/2,0))/2))+2*IF(circ_int,0,eq_c2/2))+(PI()*(s_0+3*s_r+IF(circ_int,eq_c1/2,0))/2)),-IF(circ_int,0,eq_c1/2)+(s_0+3*s_r+IF(circ_int,eq_c1/2,0))*COS(PI()+(((32+0.5)*(4*IF(circ_int,0,eq_c1/2)+4*IF(circ_int,0,eq_c2/2)+2*PI()*(s_0+3*s_r+IF(circ_int,eq_c1/2,0)))/INDEX(lk_legs,4))-(((((2*IF(circ_int,0,eq_c2/2))+(PI()*(s_0+3*s_r+IF(circ_int,eq_c1/2,0))/2))+2*IF(circ_int,0,eq_c1/2))+(PI()*(s_0+3*s_r+IF(circ_int,eq_c1/2,0))/2))+2*IF(circ_int,0,eq_c2/2)))/(s_0+3*s_r+IF(circ_int,eq_c1/2,0))),IF(((32+0.5)*(4*IF(circ_int,0,eq_c1/2)+4*IF(circ_int,0,eq_c2/2)+2*PI()*(s_0+3*s_r+IF(circ_int,eq_c1/2,0)))/INDEX(lk_legs,4))&lt;(((((((2*IF(circ_int,0,eq_c2/2))+(PI()*(s_0+3*s_r+IF(circ_int,eq_c1/2,0))/2))+2*IF(circ_int,0,eq_c1/2))+(PI()*(s_0+3*s_r+IF(circ_int,eq_c1/2,0))/2))+2*IF(circ_int,0,eq_c2/2))+(PI()*(s_0+3*s_r+IF(circ_int,eq_c1/2,0))/2))+2*IF(circ_int,0,eq_c1/2)),-IF(circ_int,0,eq_c1/2)+(((32+0.5)*(4*IF(circ_int,0,eq_c1/2)+4*IF(circ_int,0,eq_c2/2)+2*PI()*(s_0+3*s_r+IF(circ_int,eq_c1/2,0)))/INDEX(lk_legs,4))-((((((2*IF(circ_int,0,eq_c2/2))+(PI()*(s_0+3*s_r+IF(circ_int,eq_c1/2,0))/2))+2*IF(circ_int,0,eq_c1/2))+(PI()*(s_0+3*s_r+IF(circ_int,eq_c1/2,0))/2))+2*IF(circ_int,0,eq_c2/2))+(PI()*(s_0+3*s_r+IF(circ_int,eq_c1/2,0))/2))),IF(circ_int,0,eq_c1/2)+(s_0+3*s_r+IF(circ_int,eq_c1/2,0))*COS(3*PI()/2+(((32+0.5)*(4*IF(circ_int,0,eq_c1/2)+4*IF(circ_int,0,eq_c2/2)+2*PI()*(s_0+3*s_r+IF(circ_int,eq_c1/2,0)))/INDEX(lk_legs,4))-(((((((2*IF(circ_int,0,eq_c2/2))+(PI()*(s_0+3*s_r+IF(circ_int,eq_c1/2,0))/2))+2*IF(circ_int,0,eq_c1/2))+(PI()*(s_0+3*s_r+IF(circ_int,eq_c1/2,0))/2))+2*IF(circ_int,0,eq_c2/2))+(PI()*(s_0+3*s_r+IF(circ_int,eq_c1/2,0))/2))+2*IF(circ_int,0,eq_c1/2)))/(s_0+3*s_r+IF(circ_int,eq_c1/2,0)))))))))),NA())</f>
        <v/>
      </c>
      <c r="BS35">
        <f>IF(AND(AND(links_on,4&lt;=n_per),INDEX(lk_kind,4)=1,32&lt;INDEX(lk_legs,4)),g_oy+IF(((32+0.5)*(4*IF(circ_int,0,eq_c1/2)+4*IF(circ_int,0,eq_c2/2)+2*PI()*(s_0+3*s_r+IF(circ_int,eq_c1/2,0)))/INDEX(lk_legs,4))&lt;(2*IF(circ_int,0,eq_c2/2)),-IF(circ_int,0,eq_c2/2)+((32+0.5)*(4*IF(circ_int,0,eq_c1/2)+4*IF(circ_int,0,eq_c2/2)+2*PI()*(s_0+3*s_r+IF(circ_int,eq_c1/2,0)))/INDEX(lk_legs,4)),IF(((32+0.5)*(4*IF(circ_int,0,eq_c1/2)+4*IF(circ_int,0,eq_c2/2)+2*PI()*(s_0+3*s_r+IF(circ_int,eq_c1/2,0)))/INDEX(lk_legs,4))&lt;((2*IF(circ_int,0,eq_c2/2))+(PI()*(s_0+3*s_r+IF(circ_int,eq_c1/2,0))/2)),IF(circ_int,0,eq_c2/2)+(s_0+3*s_r+IF(circ_int,eq_c1/2,0))*SIN((((32+0.5)*(4*IF(circ_int,0,eq_c1/2)+4*IF(circ_int,0,eq_c2/2)+2*PI()*(s_0+3*s_r+IF(circ_int,eq_c1/2,0)))/INDEX(lk_legs,4))-(2*IF(circ_int,0,eq_c2/2)))/(s_0+3*s_r+IF(circ_int,eq_c1/2,0))),IF(((32+0.5)*(4*IF(circ_int,0,eq_c1/2)+4*IF(circ_int,0,eq_c2/2)+2*PI()*(s_0+3*s_r+IF(circ_int,eq_c1/2,0)))/INDEX(lk_legs,4))&lt;(((2*IF(circ_int,0,eq_c2/2))+(PI()*(s_0+3*s_r+IF(circ_int,eq_c1/2,0))/2))+2*IF(circ_int,0,eq_c1/2)),IF(circ_int,0,eq_c2/2)+(s_0+3*s_r+IF(circ_int,eq_c1/2,0)),IF(((32+0.5)*(4*IF(circ_int,0,eq_c1/2)+4*IF(circ_int,0,eq_c2/2)+2*PI()*(s_0+3*s_r+IF(circ_int,eq_c1/2,0)))/INDEX(lk_legs,4))&lt;((((2*IF(circ_int,0,eq_c2/2))+(PI()*(s_0+3*s_r+IF(circ_int,eq_c1/2,0))/2))+2*IF(circ_int,0,eq_c1/2))+(PI()*(s_0+3*s_r+IF(circ_int,eq_c1/2,0))/2)),IF(circ_int,0,eq_c2/2)+(s_0+3*s_r+IF(circ_int,eq_c1/2,0))*SIN(PI()/2+(((32+0.5)*(4*IF(circ_int,0,eq_c1/2)+4*IF(circ_int,0,eq_c2/2)+2*PI()*(s_0+3*s_r+IF(circ_int,eq_c1/2,0)))/INDEX(lk_legs,4))-(((2*IF(circ_int,0,eq_c2/2))+(PI()*(s_0+3*s_r+IF(circ_int,eq_c1/2,0))/2))+2*IF(circ_int,0,eq_c1/2)))/(s_0+3*s_r+IF(circ_int,eq_c1/2,0))),IF(((32+0.5)*(4*IF(circ_int,0,eq_c1/2)+4*IF(circ_int,0,eq_c2/2)+2*PI()*(s_0+3*s_r+IF(circ_int,eq_c1/2,0)))/INDEX(lk_legs,4))&lt;(((((2*IF(circ_int,0,eq_c2/2))+(PI()*(s_0+3*s_r+IF(circ_int,eq_c1/2,0))/2))+2*IF(circ_int,0,eq_c1/2))+(PI()*(s_0+3*s_r+IF(circ_int,eq_c1/2,0))/2))+2*IF(circ_int,0,eq_c2/2)),IF(circ_int,0,eq_c2/2)-(((32+0.5)*(4*IF(circ_int,0,eq_c1/2)+4*IF(circ_int,0,eq_c2/2)+2*PI()*(s_0+3*s_r+IF(circ_int,eq_c1/2,0)))/INDEX(lk_legs,4))-((((2*IF(circ_int,0,eq_c2/2))+(PI()*(s_0+3*s_r+IF(circ_int,eq_c1/2,0))/2))+2*IF(circ_int,0,eq_c1/2))+(PI()*(s_0+3*s_r+IF(circ_int,eq_c1/2,0))/2))),IF(((32+0.5)*(4*IF(circ_int,0,eq_c1/2)+4*IF(circ_int,0,eq_c2/2)+2*PI()*(s_0+3*s_r+IF(circ_int,eq_c1/2,0)))/INDEX(lk_legs,4))&lt;((((((2*IF(circ_int,0,eq_c2/2))+(PI()*(s_0+3*s_r+IF(circ_int,eq_c1/2,0))/2))+2*IF(circ_int,0,eq_c1/2))+(PI()*(s_0+3*s_r+IF(circ_int,eq_c1/2,0))/2))+2*IF(circ_int,0,eq_c2/2))+(PI()*(s_0+3*s_r+IF(circ_int,eq_c1/2,0))/2)),-IF(circ_int,0,eq_c2/2)+(s_0+3*s_r+IF(circ_int,eq_c1/2,0))*SIN(PI()+(((32+0.5)*(4*IF(circ_int,0,eq_c1/2)+4*IF(circ_int,0,eq_c2/2)+2*PI()*(s_0+3*s_r+IF(circ_int,eq_c1/2,0)))/INDEX(lk_legs,4))-(((((2*IF(circ_int,0,eq_c2/2))+(PI()*(s_0+3*s_r+IF(circ_int,eq_c1/2,0))/2))+2*IF(circ_int,0,eq_c1/2))+(PI()*(s_0+3*s_r+IF(circ_int,eq_c1/2,0))/2))+2*IF(circ_int,0,eq_c2/2)))/(s_0+3*s_r+IF(circ_int,eq_c1/2,0))),IF(((32+0.5)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(32+0.5)*(4*IF(circ_int,0,eq_c1/2)+4*IF(circ_int,0,eq_c2/2)+2*PI()*(s_0+3*s_r+IF(circ_int,eq_c1/2,0)))/INDEX(lk_legs,4))-(((((((2*IF(circ_int,0,eq_c2/2))+(PI()*(s_0+3*s_r+IF(circ_int,eq_c1/2,0))/2))+2*IF(circ_int,0,eq_c1/2))+(PI()*(s_0+3*s_r+IF(circ_int,eq_c1/2,0))/2))+2*IF(circ_int,0,eq_c2/2))+(PI()*(s_0+3*s_r+IF(circ_int,eq_c1/2,0))/2))+2*IF(circ_int,0,eq_c1/2)))/(s_0+3*s_r+IF(circ_int,eq_c1/2,0)))))))))),NA())</f>
        <v/>
      </c>
      <c r="BU35">
        <f>IF(AND(links_on,5&lt;=n_per),IF(circ_int,(g_ox)+(c_1/2+(s_0+4*s_r))*-0.748511,CHOOSE(INDEX(lk_kind,5),(g_ox-eq_c1/2)+((s_0+4*s_r))*-0.707107,0,eq_a1+eq_c1+(s_0+4*s_r),eq_a1+eq_c1+(s_0+4*s_r))),NA())</f>
        <v/>
      </c>
      <c r="BV35">
        <f>IF(AND(links_on,5&lt;=n_per),IF(circ_int,(g_oy)+(c_1/2+(s_0+4*s_r))*-0.663123,CHOOSE(INDEX(lk_kind,5),(g_oy-eq_c2/2)+((s_0+4*s_r))*-0.707107,g_oy-eq_c2/2-(s_0+4*s_r),0,0)),NA())</f>
        <v/>
      </c>
      <c r="BX35">
        <f>IF(AND(AND(links_on,5&lt;=n_per),INDEX(lk_kind,5)=1,32&lt;INDEX(lk_legs,5)),g_ox+IF(((32+0.5)*(4*IF(circ_int,0,eq_c1/2)+4*IF(circ_int,0,eq_c2/2)+2*PI()*(s_0+4*s_r+IF(circ_int,eq_c1/2,0)))/INDEX(lk_legs,5))&lt;(2*IF(circ_int,0,eq_c2/2)),IF(circ_int,0,eq_c1/2)+(s_0+4*s_r+IF(circ_int,eq_c1/2,0)),IF(((32+0.5)*(4*IF(circ_int,0,eq_c1/2)+4*IF(circ_int,0,eq_c2/2)+2*PI()*(s_0+4*s_r+IF(circ_int,eq_c1/2,0)))/INDEX(lk_legs,5))&lt;((2*IF(circ_int,0,eq_c2/2))+(PI()*(s_0+4*s_r+IF(circ_int,eq_c1/2,0))/2)),IF(circ_int,0,eq_c1/2)+(s_0+4*s_r+IF(circ_int,eq_c1/2,0))*COS((((32+0.5)*(4*IF(circ_int,0,eq_c1/2)+4*IF(circ_int,0,eq_c2/2)+2*PI()*(s_0+4*s_r+IF(circ_int,eq_c1/2,0)))/INDEX(lk_legs,5))-(2*IF(circ_int,0,eq_c2/2)))/(s_0+4*s_r+IF(circ_int,eq_c1/2,0))),IF(((32+0.5)*(4*IF(circ_int,0,eq_c1/2)+4*IF(circ_int,0,eq_c2/2)+2*PI()*(s_0+4*s_r+IF(circ_int,eq_c1/2,0)))/INDEX(lk_legs,5))&lt;(((2*IF(circ_int,0,eq_c2/2))+(PI()*(s_0+4*s_r+IF(circ_int,eq_c1/2,0))/2))+2*IF(circ_int,0,eq_c1/2)),IF(circ_int,0,eq_c1/2)-(((32+0.5)*(4*IF(circ_int,0,eq_c1/2)+4*IF(circ_int,0,eq_c2/2)+2*PI()*(s_0+4*s_r+IF(circ_int,eq_c1/2,0)))/INDEX(lk_legs,5))-((2*IF(circ_int,0,eq_c2/2))+(PI()*(s_0+4*s_r+IF(circ_int,eq_c1/2,0))/2))),IF(((32+0.5)*(4*IF(circ_int,0,eq_c1/2)+4*IF(circ_int,0,eq_c2/2)+2*PI()*(s_0+4*s_r+IF(circ_int,eq_c1/2,0)))/INDEX(lk_legs,5))&lt;((((2*IF(circ_int,0,eq_c2/2))+(PI()*(s_0+4*s_r+IF(circ_int,eq_c1/2,0))/2))+2*IF(circ_int,0,eq_c1/2))+(PI()*(s_0+4*s_r+IF(circ_int,eq_c1/2,0))/2)),-IF(circ_int,0,eq_c1/2)+(s_0+4*s_r+IF(circ_int,eq_c1/2,0))*COS(PI()/2+(((32+0.5)*(4*IF(circ_int,0,eq_c1/2)+4*IF(circ_int,0,eq_c2/2)+2*PI()*(s_0+4*s_r+IF(circ_int,eq_c1/2,0)))/INDEX(lk_legs,5))-(((2*IF(circ_int,0,eq_c2/2))+(PI()*(s_0+4*s_r+IF(circ_int,eq_c1/2,0))/2))+2*IF(circ_int,0,eq_c1/2)))/(s_0+4*s_r+IF(circ_int,eq_c1/2,0))),IF(((32+0.5)*(4*IF(circ_int,0,eq_c1/2)+4*IF(circ_int,0,eq_c2/2)+2*PI()*(s_0+4*s_r+IF(circ_int,eq_c1/2,0)))/INDEX(lk_legs,5))&lt;(((((2*IF(circ_int,0,eq_c2/2))+(PI()*(s_0+4*s_r+IF(circ_int,eq_c1/2,0))/2))+2*IF(circ_int,0,eq_c1/2))+(PI()*(s_0+4*s_r+IF(circ_int,eq_c1/2,0))/2))+2*IF(circ_int,0,eq_c2/2)),-IF(circ_int,0,eq_c1/2)-(s_0+4*s_r+IF(circ_int,eq_c1/2,0)),IF(((32+0.5)*(4*IF(circ_int,0,eq_c1/2)+4*IF(circ_int,0,eq_c2/2)+2*PI()*(s_0+4*s_r+IF(circ_int,eq_c1/2,0)))/INDEX(lk_legs,5))&lt;((((((2*IF(circ_int,0,eq_c2/2))+(PI()*(s_0+4*s_r+IF(circ_int,eq_c1/2,0))/2))+2*IF(circ_int,0,eq_c1/2))+(PI()*(s_0+4*s_r+IF(circ_int,eq_c1/2,0))/2))+2*IF(circ_int,0,eq_c2/2))+(PI()*(s_0+4*s_r+IF(circ_int,eq_c1/2,0))/2)),-IF(circ_int,0,eq_c1/2)+(s_0+4*s_r+IF(circ_int,eq_c1/2,0))*COS(PI()+(((32+0.5)*(4*IF(circ_int,0,eq_c1/2)+4*IF(circ_int,0,eq_c2/2)+2*PI()*(s_0+4*s_r+IF(circ_int,eq_c1/2,0)))/INDEX(lk_legs,5))-(((((2*IF(circ_int,0,eq_c2/2))+(PI()*(s_0+4*s_r+IF(circ_int,eq_c1/2,0))/2))+2*IF(circ_int,0,eq_c1/2))+(PI()*(s_0+4*s_r+IF(circ_int,eq_c1/2,0))/2))+2*IF(circ_int,0,eq_c2/2)))/(s_0+4*s_r+IF(circ_int,eq_c1/2,0))),IF(((32+0.5)*(4*IF(circ_int,0,eq_c1/2)+4*IF(circ_int,0,eq_c2/2)+2*PI()*(s_0+4*s_r+IF(circ_int,eq_c1/2,0)))/INDEX(lk_legs,5))&lt;(((((((2*IF(circ_int,0,eq_c2/2))+(PI()*(s_0+4*s_r+IF(circ_int,eq_c1/2,0))/2))+2*IF(circ_int,0,eq_c1/2))+(PI()*(s_0+4*s_r+IF(circ_int,eq_c1/2,0))/2))+2*IF(circ_int,0,eq_c2/2))+(PI()*(s_0+4*s_r+IF(circ_int,eq_c1/2,0))/2))+2*IF(circ_int,0,eq_c1/2)),-IF(circ_int,0,eq_c1/2)+(((32+0.5)*(4*IF(circ_int,0,eq_c1/2)+4*IF(circ_int,0,eq_c2/2)+2*PI()*(s_0+4*s_r+IF(circ_int,eq_c1/2,0)))/INDEX(lk_legs,5))-((((((2*IF(circ_int,0,eq_c2/2))+(PI()*(s_0+4*s_r+IF(circ_int,eq_c1/2,0))/2))+2*IF(circ_int,0,eq_c1/2))+(PI()*(s_0+4*s_r+IF(circ_int,eq_c1/2,0))/2))+2*IF(circ_int,0,eq_c2/2))+(PI()*(s_0+4*s_r+IF(circ_int,eq_c1/2,0))/2))),IF(circ_int,0,eq_c1/2)+(s_0+4*s_r+IF(circ_int,eq_c1/2,0))*COS(3*PI()/2+(((32+0.5)*(4*IF(circ_int,0,eq_c1/2)+4*IF(circ_int,0,eq_c2/2)+2*PI()*(s_0+4*s_r+IF(circ_int,eq_c1/2,0)))/INDEX(lk_legs,5))-(((((((2*IF(circ_int,0,eq_c2/2))+(PI()*(s_0+4*s_r+IF(circ_int,eq_c1/2,0))/2))+2*IF(circ_int,0,eq_c1/2))+(PI()*(s_0+4*s_r+IF(circ_int,eq_c1/2,0))/2))+2*IF(circ_int,0,eq_c2/2))+(PI()*(s_0+4*s_r+IF(circ_int,eq_c1/2,0))/2))+2*IF(circ_int,0,eq_c1/2)))/(s_0+4*s_r+IF(circ_int,eq_c1/2,0)))))))))),NA())</f>
        <v/>
      </c>
      <c r="BY35">
        <f>IF(AND(AND(links_on,5&lt;=n_per),INDEX(lk_kind,5)=1,32&lt;INDEX(lk_legs,5)),g_oy+IF(((32+0.5)*(4*IF(circ_int,0,eq_c1/2)+4*IF(circ_int,0,eq_c2/2)+2*PI()*(s_0+4*s_r+IF(circ_int,eq_c1/2,0)))/INDEX(lk_legs,5))&lt;(2*IF(circ_int,0,eq_c2/2)),-IF(circ_int,0,eq_c2/2)+((32+0.5)*(4*IF(circ_int,0,eq_c1/2)+4*IF(circ_int,0,eq_c2/2)+2*PI()*(s_0+4*s_r+IF(circ_int,eq_c1/2,0)))/INDEX(lk_legs,5)),IF(((32+0.5)*(4*IF(circ_int,0,eq_c1/2)+4*IF(circ_int,0,eq_c2/2)+2*PI()*(s_0+4*s_r+IF(circ_int,eq_c1/2,0)))/INDEX(lk_legs,5))&lt;((2*IF(circ_int,0,eq_c2/2))+(PI()*(s_0+4*s_r+IF(circ_int,eq_c1/2,0))/2)),IF(circ_int,0,eq_c2/2)+(s_0+4*s_r+IF(circ_int,eq_c1/2,0))*SIN((((32+0.5)*(4*IF(circ_int,0,eq_c1/2)+4*IF(circ_int,0,eq_c2/2)+2*PI()*(s_0+4*s_r+IF(circ_int,eq_c1/2,0)))/INDEX(lk_legs,5))-(2*IF(circ_int,0,eq_c2/2)))/(s_0+4*s_r+IF(circ_int,eq_c1/2,0))),IF(((32+0.5)*(4*IF(circ_int,0,eq_c1/2)+4*IF(circ_int,0,eq_c2/2)+2*PI()*(s_0+4*s_r+IF(circ_int,eq_c1/2,0)))/INDEX(lk_legs,5))&lt;(((2*IF(circ_int,0,eq_c2/2))+(PI()*(s_0+4*s_r+IF(circ_int,eq_c1/2,0))/2))+2*IF(circ_int,0,eq_c1/2)),IF(circ_int,0,eq_c2/2)+(s_0+4*s_r+IF(circ_int,eq_c1/2,0)),IF(((32+0.5)*(4*IF(circ_int,0,eq_c1/2)+4*IF(circ_int,0,eq_c2/2)+2*PI()*(s_0+4*s_r+IF(circ_int,eq_c1/2,0)))/INDEX(lk_legs,5))&lt;((((2*IF(circ_int,0,eq_c2/2))+(PI()*(s_0+4*s_r+IF(circ_int,eq_c1/2,0))/2))+2*IF(circ_int,0,eq_c1/2))+(PI()*(s_0+4*s_r+IF(circ_int,eq_c1/2,0))/2)),IF(circ_int,0,eq_c2/2)+(s_0+4*s_r+IF(circ_int,eq_c1/2,0))*SIN(PI()/2+(((32+0.5)*(4*IF(circ_int,0,eq_c1/2)+4*IF(circ_int,0,eq_c2/2)+2*PI()*(s_0+4*s_r+IF(circ_int,eq_c1/2,0)))/INDEX(lk_legs,5))-(((2*IF(circ_int,0,eq_c2/2))+(PI()*(s_0+4*s_r+IF(circ_int,eq_c1/2,0))/2))+2*IF(circ_int,0,eq_c1/2)))/(s_0+4*s_r+IF(circ_int,eq_c1/2,0))),IF(((32+0.5)*(4*IF(circ_int,0,eq_c1/2)+4*IF(circ_int,0,eq_c2/2)+2*PI()*(s_0+4*s_r+IF(circ_int,eq_c1/2,0)))/INDEX(lk_legs,5))&lt;(((((2*IF(circ_int,0,eq_c2/2))+(PI()*(s_0+4*s_r+IF(circ_int,eq_c1/2,0))/2))+2*IF(circ_int,0,eq_c1/2))+(PI()*(s_0+4*s_r+IF(circ_int,eq_c1/2,0))/2))+2*IF(circ_int,0,eq_c2/2)),IF(circ_int,0,eq_c2/2)-(((32+0.5)*(4*IF(circ_int,0,eq_c1/2)+4*IF(circ_int,0,eq_c2/2)+2*PI()*(s_0+4*s_r+IF(circ_int,eq_c1/2,0)))/INDEX(lk_legs,5))-((((2*IF(circ_int,0,eq_c2/2))+(PI()*(s_0+4*s_r+IF(circ_int,eq_c1/2,0))/2))+2*IF(circ_int,0,eq_c1/2))+(PI()*(s_0+4*s_r+IF(circ_int,eq_c1/2,0))/2))),IF(((32+0.5)*(4*IF(circ_int,0,eq_c1/2)+4*IF(circ_int,0,eq_c2/2)+2*PI()*(s_0+4*s_r+IF(circ_int,eq_c1/2,0)))/INDEX(lk_legs,5))&lt;((((((2*IF(circ_int,0,eq_c2/2))+(PI()*(s_0+4*s_r+IF(circ_int,eq_c1/2,0))/2))+2*IF(circ_int,0,eq_c1/2))+(PI()*(s_0+4*s_r+IF(circ_int,eq_c1/2,0))/2))+2*IF(circ_int,0,eq_c2/2))+(PI()*(s_0+4*s_r+IF(circ_int,eq_c1/2,0))/2)),-IF(circ_int,0,eq_c2/2)+(s_0+4*s_r+IF(circ_int,eq_c1/2,0))*SIN(PI()+(((32+0.5)*(4*IF(circ_int,0,eq_c1/2)+4*IF(circ_int,0,eq_c2/2)+2*PI()*(s_0+4*s_r+IF(circ_int,eq_c1/2,0)))/INDEX(lk_legs,5))-(((((2*IF(circ_int,0,eq_c2/2))+(PI()*(s_0+4*s_r+IF(circ_int,eq_c1/2,0))/2))+2*IF(circ_int,0,eq_c1/2))+(PI()*(s_0+4*s_r+IF(circ_int,eq_c1/2,0))/2))+2*IF(circ_int,0,eq_c2/2)))/(s_0+4*s_r+IF(circ_int,eq_c1/2,0))),IF(((32+0.5)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(32+0.5)*(4*IF(circ_int,0,eq_c1/2)+4*IF(circ_int,0,eq_c2/2)+2*PI()*(s_0+4*s_r+IF(circ_int,eq_c1/2,0)))/INDEX(lk_legs,5))-(((((((2*IF(circ_int,0,eq_c2/2))+(PI()*(s_0+4*s_r+IF(circ_int,eq_c1/2,0))/2))+2*IF(circ_int,0,eq_c1/2))+(PI()*(s_0+4*s_r+IF(circ_int,eq_c1/2,0))/2))+2*IF(circ_int,0,eq_c2/2))+(PI()*(s_0+4*s_r+IF(circ_int,eq_c1/2,0))/2))+2*IF(circ_int,0,eq_c1/2)))/(s_0+4*s_r+IF(circ_int,eq_c1/2,0)))))))))),NA())</f>
        <v/>
      </c>
      <c r="CA35">
        <f>IF(AND(links_on,6&lt;=n_per),IF(circ_int,(g_ox)+(c_1/2+(s_0+5*s_r))*-0.748511,CHOOSE(INDEX(lk_kind,6),(g_ox-eq_c1/2)+((s_0+5*s_r))*-0.707107,0,eq_a1+eq_c1+(s_0+5*s_r),eq_a1+eq_c1+(s_0+5*s_r))),NA())</f>
        <v/>
      </c>
      <c r="CB35">
        <f>IF(AND(links_on,6&lt;=n_per),IF(circ_int,(g_oy)+(c_1/2+(s_0+5*s_r))*-0.663123,CHOOSE(INDEX(lk_kind,6),(g_oy-eq_c2/2)+((s_0+5*s_r))*-0.707107,g_oy-eq_c2/2-(s_0+5*s_r),0,0)),NA())</f>
        <v/>
      </c>
      <c r="CD35">
        <f>IF(AND(AND(links_on,6&lt;=n_per),INDEX(lk_kind,6)=1,32&lt;INDEX(lk_legs,6)),g_ox+IF(((32+0.5)*(4*IF(circ_int,0,eq_c1/2)+4*IF(circ_int,0,eq_c2/2)+2*PI()*(s_0+5*s_r+IF(circ_int,eq_c1/2,0)))/INDEX(lk_legs,6))&lt;(2*IF(circ_int,0,eq_c2/2)),IF(circ_int,0,eq_c1/2)+(s_0+5*s_r+IF(circ_int,eq_c1/2,0)),IF(((32+0.5)*(4*IF(circ_int,0,eq_c1/2)+4*IF(circ_int,0,eq_c2/2)+2*PI()*(s_0+5*s_r+IF(circ_int,eq_c1/2,0)))/INDEX(lk_legs,6))&lt;((2*IF(circ_int,0,eq_c2/2))+(PI()*(s_0+5*s_r+IF(circ_int,eq_c1/2,0))/2)),IF(circ_int,0,eq_c1/2)+(s_0+5*s_r+IF(circ_int,eq_c1/2,0))*COS((((32+0.5)*(4*IF(circ_int,0,eq_c1/2)+4*IF(circ_int,0,eq_c2/2)+2*PI()*(s_0+5*s_r+IF(circ_int,eq_c1/2,0)))/INDEX(lk_legs,6))-(2*IF(circ_int,0,eq_c2/2)))/(s_0+5*s_r+IF(circ_int,eq_c1/2,0))),IF(((32+0.5)*(4*IF(circ_int,0,eq_c1/2)+4*IF(circ_int,0,eq_c2/2)+2*PI()*(s_0+5*s_r+IF(circ_int,eq_c1/2,0)))/INDEX(lk_legs,6))&lt;(((2*IF(circ_int,0,eq_c2/2))+(PI()*(s_0+5*s_r+IF(circ_int,eq_c1/2,0))/2))+2*IF(circ_int,0,eq_c1/2)),IF(circ_int,0,eq_c1/2)-(((32+0.5)*(4*IF(circ_int,0,eq_c1/2)+4*IF(circ_int,0,eq_c2/2)+2*PI()*(s_0+5*s_r+IF(circ_int,eq_c1/2,0)))/INDEX(lk_legs,6))-((2*IF(circ_int,0,eq_c2/2))+(PI()*(s_0+5*s_r+IF(circ_int,eq_c1/2,0))/2))),IF(((32+0.5)*(4*IF(circ_int,0,eq_c1/2)+4*IF(circ_int,0,eq_c2/2)+2*PI()*(s_0+5*s_r+IF(circ_int,eq_c1/2,0)))/INDEX(lk_legs,6))&lt;((((2*IF(circ_int,0,eq_c2/2))+(PI()*(s_0+5*s_r+IF(circ_int,eq_c1/2,0))/2))+2*IF(circ_int,0,eq_c1/2))+(PI()*(s_0+5*s_r+IF(circ_int,eq_c1/2,0))/2)),-IF(circ_int,0,eq_c1/2)+(s_0+5*s_r+IF(circ_int,eq_c1/2,0))*COS(PI()/2+(((32+0.5)*(4*IF(circ_int,0,eq_c1/2)+4*IF(circ_int,0,eq_c2/2)+2*PI()*(s_0+5*s_r+IF(circ_int,eq_c1/2,0)))/INDEX(lk_legs,6))-(((2*IF(circ_int,0,eq_c2/2))+(PI()*(s_0+5*s_r+IF(circ_int,eq_c1/2,0))/2))+2*IF(circ_int,0,eq_c1/2)))/(s_0+5*s_r+IF(circ_int,eq_c1/2,0))),IF(((32+0.5)*(4*IF(circ_int,0,eq_c1/2)+4*IF(circ_int,0,eq_c2/2)+2*PI()*(s_0+5*s_r+IF(circ_int,eq_c1/2,0)))/INDEX(lk_legs,6))&lt;(((((2*IF(circ_int,0,eq_c2/2))+(PI()*(s_0+5*s_r+IF(circ_int,eq_c1/2,0))/2))+2*IF(circ_int,0,eq_c1/2))+(PI()*(s_0+5*s_r+IF(circ_int,eq_c1/2,0))/2))+2*IF(circ_int,0,eq_c2/2)),-IF(circ_int,0,eq_c1/2)-(s_0+5*s_r+IF(circ_int,eq_c1/2,0)),IF(((32+0.5)*(4*IF(circ_int,0,eq_c1/2)+4*IF(circ_int,0,eq_c2/2)+2*PI()*(s_0+5*s_r+IF(circ_int,eq_c1/2,0)))/INDEX(lk_legs,6))&lt;((((((2*IF(circ_int,0,eq_c2/2))+(PI()*(s_0+5*s_r+IF(circ_int,eq_c1/2,0))/2))+2*IF(circ_int,0,eq_c1/2))+(PI()*(s_0+5*s_r+IF(circ_int,eq_c1/2,0))/2))+2*IF(circ_int,0,eq_c2/2))+(PI()*(s_0+5*s_r+IF(circ_int,eq_c1/2,0))/2)),-IF(circ_int,0,eq_c1/2)+(s_0+5*s_r+IF(circ_int,eq_c1/2,0))*COS(PI()+(((32+0.5)*(4*IF(circ_int,0,eq_c1/2)+4*IF(circ_int,0,eq_c2/2)+2*PI()*(s_0+5*s_r+IF(circ_int,eq_c1/2,0)))/INDEX(lk_legs,6))-(((((2*IF(circ_int,0,eq_c2/2))+(PI()*(s_0+5*s_r+IF(circ_int,eq_c1/2,0))/2))+2*IF(circ_int,0,eq_c1/2))+(PI()*(s_0+5*s_r+IF(circ_int,eq_c1/2,0))/2))+2*IF(circ_int,0,eq_c2/2)))/(s_0+5*s_r+IF(circ_int,eq_c1/2,0))),IF(((32+0.5)*(4*IF(circ_int,0,eq_c1/2)+4*IF(circ_int,0,eq_c2/2)+2*PI()*(s_0+5*s_r+IF(circ_int,eq_c1/2,0)))/INDEX(lk_legs,6))&lt;(((((((2*IF(circ_int,0,eq_c2/2))+(PI()*(s_0+5*s_r+IF(circ_int,eq_c1/2,0))/2))+2*IF(circ_int,0,eq_c1/2))+(PI()*(s_0+5*s_r+IF(circ_int,eq_c1/2,0))/2))+2*IF(circ_int,0,eq_c2/2))+(PI()*(s_0+5*s_r+IF(circ_int,eq_c1/2,0))/2))+2*IF(circ_int,0,eq_c1/2)),-IF(circ_int,0,eq_c1/2)+(((32+0.5)*(4*IF(circ_int,0,eq_c1/2)+4*IF(circ_int,0,eq_c2/2)+2*PI()*(s_0+5*s_r+IF(circ_int,eq_c1/2,0)))/INDEX(lk_legs,6))-((((((2*IF(circ_int,0,eq_c2/2))+(PI()*(s_0+5*s_r+IF(circ_int,eq_c1/2,0))/2))+2*IF(circ_int,0,eq_c1/2))+(PI()*(s_0+5*s_r+IF(circ_int,eq_c1/2,0))/2))+2*IF(circ_int,0,eq_c2/2))+(PI()*(s_0+5*s_r+IF(circ_int,eq_c1/2,0))/2))),IF(circ_int,0,eq_c1/2)+(s_0+5*s_r+IF(circ_int,eq_c1/2,0))*COS(3*PI()/2+(((32+0.5)*(4*IF(circ_int,0,eq_c1/2)+4*IF(circ_int,0,eq_c2/2)+2*PI()*(s_0+5*s_r+IF(circ_int,eq_c1/2,0)))/INDEX(lk_legs,6))-(((((((2*IF(circ_int,0,eq_c2/2))+(PI()*(s_0+5*s_r+IF(circ_int,eq_c1/2,0))/2))+2*IF(circ_int,0,eq_c1/2))+(PI()*(s_0+5*s_r+IF(circ_int,eq_c1/2,0))/2))+2*IF(circ_int,0,eq_c2/2))+(PI()*(s_0+5*s_r+IF(circ_int,eq_c1/2,0))/2))+2*IF(circ_int,0,eq_c1/2)))/(s_0+5*s_r+IF(circ_int,eq_c1/2,0)))))))))),NA())</f>
        <v/>
      </c>
      <c r="CE35">
        <f>IF(AND(AND(links_on,6&lt;=n_per),INDEX(lk_kind,6)=1,32&lt;INDEX(lk_legs,6)),g_oy+IF(((32+0.5)*(4*IF(circ_int,0,eq_c1/2)+4*IF(circ_int,0,eq_c2/2)+2*PI()*(s_0+5*s_r+IF(circ_int,eq_c1/2,0)))/INDEX(lk_legs,6))&lt;(2*IF(circ_int,0,eq_c2/2)),-IF(circ_int,0,eq_c2/2)+((32+0.5)*(4*IF(circ_int,0,eq_c1/2)+4*IF(circ_int,0,eq_c2/2)+2*PI()*(s_0+5*s_r+IF(circ_int,eq_c1/2,0)))/INDEX(lk_legs,6)),IF(((32+0.5)*(4*IF(circ_int,0,eq_c1/2)+4*IF(circ_int,0,eq_c2/2)+2*PI()*(s_0+5*s_r+IF(circ_int,eq_c1/2,0)))/INDEX(lk_legs,6))&lt;((2*IF(circ_int,0,eq_c2/2))+(PI()*(s_0+5*s_r+IF(circ_int,eq_c1/2,0))/2)),IF(circ_int,0,eq_c2/2)+(s_0+5*s_r+IF(circ_int,eq_c1/2,0))*SIN((((32+0.5)*(4*IF(circ_int,0,eq_c1/2)+4*IF(circ_int,0,eq_c2/2)+2*PI()*(s_0+5*s_r+IF(circ_int,eq_c1/2,0)))/INDEX(lk_legs,6))-(2*IF(circ_int,0,eq_c2/2)))/(s_0+5*s_r+IF(circ_int,eq_c1/2,0))),IF(((32+0.5)*(4*IF(circ_int,0,eq_c1/2)+4*IF(circ_int,0,eq_c2/2)+2*PI()*(s_0+5*s_r+IF(circ_int,eq_c1/2,0)))/INDEX(lk_legs,6))&lt;(((2*IF(circ_int,0,eq_c2/2))+(PI()*(s_0+5*s_r+IF(circ_int,eq_c1/2,0))/2))+2*IF(circ_int,0,eq_c1/2)),IF(circ_int,0,eq_c2/2)+(s_0+5*s_r+IF(circ_int,eq_c1/2,0)),IF(((32+0.5)*(4*IF(circ_int,0,eq_c1/2)+4*IF(circ_int,0,eq_c2/2)+2*PI()*(s_0+5*s_r+IF(circ_int,eq_c1/2,0)))/INDEX(lk_legs,6))&lt;((((2*IF(circ_int,0,eq_c2/2))+(PI()*(s_0+5*s_r+IF(circ_int,eq_c1/2,0))/2))+2*IF(circ_int,0,eq_c1/2))+(PI()*(s_0+5*s_r+IF(circ_int,eq_c1/2,0))/2)),IF(circ_int,0,eq_c2/2)+(s_0+5*s_r+IF(circ_int,eq_c1/2,0))*SIN(PI()/2+(((32+0.5)*(4*IF(circ_int,0,eq_c1/2)+4*IF(circ_int,0,eq_c2/2)+2*PI()*(s_0+5*s_r+IF(circ_int,eq_c1/2,0)))/INDEX(lk_legs,6))-(((2*IF(circ_int,0,eq_c2/2))+(PI()*(s_0+5*s_r+IF(circ_int,eq_c1/2,0))/2))+2*IF(circ_int,0,eq_c1/2)))/(s_0+5*s_r+IF(circ_int,eq_c1/2,0))),IF(((32+0.5)*(4*IF(circ_int,0,eq_c1/2)+4*IF(circ_int,0,eq_c2/2)+2*PI()*(s_0+5*s_r+IF(circ_int,eq_c1/2,0)))/INDEX(lk_legs,6))&lt;(((((2*IF(circ_int,0,eq_c2/2))+(PI()*(s_0+5*s_r+IF(circ_int,eq_c1/2,0))/2))+2*IF(circ_int,0,eq_c1/2))+(PI()*(s_0+5*s_r+IF(circ_int,eq_c1/2,0))/2))+2*IF(circ_int,0,eq_c2/2)),IF(circ_int,0,eq_c2/2)-(((32+0.5)*(4*IF(circ_int,0,eq_c1/2)+4*IF(circ_int,0,eq_c2/2)+2*PI()*(s_0+5*s_r+IF(circ_int,eq_c1/2,0)))/INDEX(lk_legs,6))-((((2*IF(circ_int,0,eq_c2/2))+(PI()*(s_0+5*s_r+IF(circ_int,eq_c1/2,0))/2))+2*IF(circ_int,0,eq_c1/2))+(PI()*(s_0+5*s_r+IF(circ_int,eq_c1/2,0))/2))),IF(((32+0.5)*(4*IF(circ_int,0,eq_c1/2)+4*IF(circ_int,0,eq_c2/2)+2*PI()*(s_0+5*s_r+IF(circ_int,eq_c1/2,0)))/INDEX(lk_legs,6))&lt;((((((2*IF(circ_int,0,eq_c2/2))+(PI()*(s_0+5*s_r+IF(circ_int,eq_c1/2,0))/2))+2*IF(circ_int,0,eq_c1/2))+(PI()*(s_0+5*s_r+IF(circ_int,eq_c1/2,0))/2))+2*IF(circ_int,0,eq_c2/2))+(PI()*(s_0+5*s_r+IF(circ_int,eq_c1/2,0))/2)),-IF(circ_int,0,eq_c2/2)+(s_0+5*s_r+IF(circ_int,eq_c1/2,0))*SIN(PI()+(((32+0.5)*(4*IF(circ_int,0,eq_c1/2)+4*IF(circ_int,0,eq_c2/2)+2*PI()*(s_0+5*s_r+IF(circ_int,eq_c1/2,0)))/INDEX(lk_legs,6))-(((((2*IF(circ_int,0,eq_c2/2))+(PI()*(s_0+5*s_r+IF(circ_int,eq_c1/2,0))/2))+2*IF(circ_int,0,eq_c1/2))+(PI()*(s_0+5*s_r+IF(circ_int,eq_c1/2,0))/2))+2*IF(circ_int,0,eq_c2/2)))/(s_0+5*s_r+IF(circ_int,eq_c1/2,0))),IF(((32+0.5)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(32+0.5)*(4*IF(circ_int,0,eq_c1/2)+4*IF(circ_int,0,eq_c2/2)+2*PI()*(s_0+5*s_r+IF(circ_int,eq_c1/2,0)))/INDEX(lk_legs,6))-(((((((2*IF(circ_int,0,eq_c2/2))+(PI()*(s_0+5*s_r+IF(circ_int,eq_c1/2,0))/2))+2*IF(circ_int,0,eq_c1/2))+(PI()*(s_0+5*s_r+IF(circ_int,eq_c1/2,0))/2))+2*IF(circ_int,0,eq_c2/2))+(PI()*(s_0+5*s_r+IF(circ_int,eq_c1/2,0))/2))+2*IF(circ_int,0,eq_c1/2)))/(s_0+5*s_r+IF(circ_int,eq_c1/2,0)))))))))),NA())</f>
        <v/>
      </c>
      <c r="CG35">
        <f>IF(AND(links_on,7&lt;=n_per),IF(circ_int,(g_ox)+(c_1/2+(s_0+6*s_r))*-0.748511,CHOOSE(INDEX(lk_kind,7),(g_ox-eq_c1/2)+((s_0+6*s_r))*-0.707107,0,eq_a1+eq_c1+(s_0+6*s_r),eq_a1+eq_c1+(s_0+6*s_r))),NA())</f>
        <v/>
      </c>
      <c r="CH35">
        <f>IF(AND(links_on,7&lt;=n_per),IF(circ_int,(g_oy)+(c_1/2+(s_0+6*s_r))*-0.663123,CHOOSE(INDEX(lk_kind,7),(g_oy-eq_c2/2)+((s_0+6*s_r))*-0.707107,g_oy-eq_c2/2-(s_0+6*s_r),0,0)),NA())</f>
        <v/>
      </c>
      <c r="CJ35">
        <f>IF(AND(AND(links_on,7&lt;=n_per),INDEX(lk_kind,7)=1,32&lt;INDEX(lk_legs,7)),g_ox+IF(((32+0.5)*(4*IF(circ_int,0,eq_c1/2)+4*IF(circ_int,0,eq_c2/2)+2*PI()*(s_0+6*s_r+IF(circ_int,eq_c1/2,0)))/INDEX(lk_legs,7))&lt;(2*IF(circ_int,0,eq_c2/2)),IF(circ_int,0,eq_c1/2)+(s_0+6*s_r+IF(circ_int,eq_c1/2,0)),IF(((32+0.5)*(4*IF(circ_int,0,eq_c1/2)+4*IF(circ_int,0,eq_c2/2)+2*PI()*(s_0+6*s_r+IF(circ_int,eq_c1/2,0)))/INDEX(lk_legs,7))&lt;((2*IF(circ_int,0,eq_c2/2))+(PI()*(s_0+6*s_r+IF(circ_int,eq_c1/2,0))/2)),IF(circ_int,0,eq_c1/2)+(s_0+6*s_r+IF(circ_int,eq_c1/2,0))*COS((((32+0.5)*(4*IF(circ_int,0,eq_c1/2)+4*IF(circ_int,0,eq_c2/2)+2*PI()*(s_0+6*s_r+IF(circ_int,eq_c1/2,0)))/INDEX(lk_legs,7))-(2*IF(circ_int,0,eq_c2/2)))/(s_0+6*s_r+IF(circ_int,eq_c1/2,0))),IF(((32+0.5)*(4*IF(circ_int,0,eq_c1/2)+4*IF(circ_int,0,eq_c2/2)+2*PI()*(s_0+6*s_r+IF(circ_int,eq_c1/2,0)))/INDEX(lk_legs,7))&lt;(((2*IF(circ_int,0,eq_c2/2))+(PI()*(s_0+6*s_r+IF(circ_int,eq_c1/2,0))/2))+2*IF(circ_int,0,eq_c1/2)),IF(circ_int,0,eq_c1/2)-(((32+0.5)*(4*IF(circ_int,0,eq_c1/2)+4*IF(circ_int,0,eq_c2/2)+2*PI()*(s_0+6*s_r+IF(circ_int,eq_c1/2,0)))/INDEX(lk_legs,7))-((2*IF(circ_int,0,eq_c2/2))+(PI()*(s_0+6*s_r+IF(circ_int,eq_c1/2,0))/2))),IF(((32+0.5)*(4*IF(circ_int,0,eq_c1/2)+4*IF(circ_int,0,eq_c2/2)+2*PI()*(s_0+6*s_r+IF(circ_int,eq_c1/2,0)))/INDEX(lk_legs,7))&lt;((((2*IF(circ_int,0,eq_c2/2))+(PI()*(s_0+6*s_r+IF(circ_int,eq_c1/2,0))/2))+2*IF(circ_int,0,eq_c1/2))+(PI()*(s_0+6*s_r+IF(circ_int,eq_c1/2,0))/2)),-IF(circ_int,0,eq_c1/2)+(s_0+6*s_r+IF(circ_int,eq_c1/2,0))*COS(PI()/2+(((32+0.5)*(4*IF(circ_int,0,eq_c1/2)+4*IF(circ_int,0,eq_c2/2)+2*PI()*(s_0+6*s_r+IF(circ_int,eq_c1/2,0)))/INDEX(lk_legs,7))-(((2*IF(circ_int,0,eq_c2/2))+(PI()*(s_0+6*s_r+IF(circ_int,eq_c1/2,0))/2))+2*IF(circ_int,0,eq_c1/2)))/(s_0+6*s_r+IF(circ_int,eq_c1/2,0))),IF(((32+0.5)*(4*IF(circ_int,0,eq_c1/2)+4*IF(circ_int,0,eq_c2/2)+2*PI()*(s_0+6*s_r+IF(circ_int,eq_c1/2,0)))/INDEX(lk_legs,7))&lt;(((((2*IF(circ_int,0,eq_c2/2))+(PI()*(s_0+6*s_r+IF(circ_int,eq_c1/2,0))/2))+2*IF(circ_int,0,eq_c1/2))+(PI()*(s_0+6*s_r+IF(circ_int,eq_c1/2,0))/2))+2*IF(circ_int,0,eq_c2/2)),-IF(circ_int,0,eq_c1/2)-(s_0+6*s_r+IF(circ_int,eq_c1/2,0)),IF(((32+0.5)*(4*IF(circ_int,0,eq_c1/2)+4*IF(circ_int,0,eq_c2/2)+2*PI()*(s_0+6*s_r+IF(circ_int,eq_c1/2,0)))/INDEX(lk_legs,7))&lt;((((((2*IF(circ_int,0,eq_c2/2))+(PI()*(s_0+6*s_r+IF(circ_int,eq_c1/2,0))/2))+2*IF(circ_int,0,eq_c1/2))+(PI()*(s_0+6*s_r+IF(circ_int,eq_c1/2,0))/2))+2*IF(circ_int,0,eq_c2/2))+(PI()*(s_0+6*s_r+IF(circ_int,eq_c1/2,0))/2)),-IF(circ_int,0,eq_c1/2)+(s_0+6*s_r+IF(circ_int,eq_c1/2,0))*COS(PI()+(((32+0.5)*(4*IF(circ_int,0,eq_c1/2)+4*IF(circ_int,0,eq_c2/2)+2*PI()*(s_0+6*s_r+IF(circ_int,eq_c1/2,0)))/INDEX(lk_legs,7))-(((((2*IF(circ_int,0,eq_c2/2))+(PI()*(s_0+6*s_r+IF(circ_int,eq_c1/2,0))/2))+2*IF(circ_int,0,eq_c1/2))+(PI()*(s_0+6*s_r+IF(circ_int,eq_c1/2,0))/2))+2*IF(circ_int,0,eq_c2/2)))/(s_0+6*s_r+IF(circ_int,eq_c1/2,0))),IF(((32+0.5)*(4*IF(circ_int,0,eq_c1/2)+4*IF(circ_int,0,eq_c2/2)+2*PI()*(s_0+6*s_r+IF(circ_int,eq_c1/2,0)))/INDEX(lk_legs,7))&lt;(((((((2*IF(circ_int,0,eq_c2/2))+(PI()*(s_0+6*s_r+IF(circ_int,eq_c1/2,0))/2))+2*IF(circ_int,0,eq_c1/2))+(PI()*(s_0+6*s_r+IF(circ_int,eq_c1/2,0))/2))+2*IF(circ_int,0,eq_c2/2))+(PI()*(s_0+6*s_r+IF(circ_int,eq_c1/2,0))/2))+2*IF(circ_int,0,eq_c1/2)),-IF(circ_int,0,eq_c1/2)+(((32+0.5)*(4*IF(circ_int,0,eq_c1/2)+4*IF(circ_int,0,eq_c2/2)+2*PI()*(s_0+6*s_r+IF(circ_int,eq_c1/2,0)))/INDEX(lk_legs,7))-((((((2*IF(circ_int,0,eq_c2/2))+(PI()*(s_0+6*s_r+IF(circ_int,eq_c1/2,0))/2))+2*IF(circ_int,0,eq_c1/2))+(PI()*(s_0+6*s_r+IF(circ_int,eq_c1/2,0))/2))+2*IF(circ_int,0,eq_c2/2))+(PI()*(s_0+6*s_r+IF(circ_int,eq_c1/2,0))/2))),IF(circ_int,0,eq_c1/2)+(s_0+6*s_r+IF(circ_int,eq_c1/2,0))*COS(3*PI()/2+(((32+0.5)*(4*IF(circ_int,0,eq_c1/2)+4*IF(circ_int,0,eq_c2/2)+2*PI()*(s_0+6*s_r+IF(circ_int,eq_c1/2,0)))/INDEX(lk_legs,7))-(((((((2*IF(circ_int,0,eq_c2/2))+(PI()*(s_0+6*s_r+IF(circ_int,eq_c1/2,0))/2))+2*IF(circ_int,0,eq_c1/2))+(PI()*(s_0+6*s_r+IF(circ_int,eq_c1/2,0))/2))+2*IF(circ_int,0,eq_c2/2))+(PI()*(s_0+6*s_r+IF(circ_int,eq_c1/2,0))/2))+2*IF(circ_int,0,eq_c1/2)))/(s_0+6*s_r+IF(circ_int,eq_c1/2,0)))))))))),NA())</f>
        <v/>
      </c>
      <c r="CK35">
        <f>IF(AND(AND(links_on,7&lt;=n_per),INDEX(lk_kind,7)=1,32&lt;INDEX(lk_legs,7)),g_oy+IF(((32+0.5)*(4*IF(circ_int,0,eq_c1/2)+4*IF(circ_int,0,eq_c2/2)+2*PI()*(s_0+6*s_r+IF(circ_int,eq_c1/2,0)))/INDEX(lk_legs,7))&lt;(2*IF(circ_int,0,eq_c2/2)),-IF(circ_int,0,eq_c2/2)+((32+0.5)*(4*IF(circ_int,0,eq_c1/2)+4*IF(circ_int,0,eq_c2/2)+2*PI()*(s_0+6*s_r+IF(circ_int,eq_c1/2,0)))/INDEX(lk_legs,7)),IF(((32+0.5)*(4*IF(circ_int,0,eq_c1/2)+4*IF(circ_int,0,eq_c2/2)+2*PI()*(s_0+6*s_r+IF(circ_int,eq_c1/2,0)))/INDEX(lk_legs,7))&lt;((2*IF(circ_int,0,eq_c2/2))+(PI()*(s_0+6*s_r+IF(circ_int,eq_c1/2,0))/2)),IF(circ_int,0,eq_c2/2)+(s_0+6*s_r+IF(circ_int,eq_c1/2,0))*SIN((((32+0.5)*(4*IF(circ_int,0,eq_c1/2)+4*IF(circ_int,0,eq_c2/2)+2*PI()*(s_0+6*s_r+IF(circ_int,eq_c1/2,0)))/INDEX(lk_legs,7))-(2*IF(circ_int,0,eq_c2/2)))/(s_0+6*s_r+IF(circ_int,eq_c1/2,0))),IF(((32+0.5)*(4*IF(circ_int,0,eq_c1/2)+4*IF(circ_int,0,eq_c2/2)+2*PI()*(s_0+6*s_r+IF(circ_int,eq_c1/2,0)))/INDEX(lk_legs,7))&lt;(((2*IF(circ_int,0,eq_c2/2))+(PI()*(s_0+6*s_r+IF(circ_int,eq_c1/2,0))/2))+2*IF(circ_int,0,eq_c1/2)),IF(circ_int,0,eq_c2/2)+(s_0+6*s_r+IF(circ_int,eq_c1/2,0)),IF(((32+0.5)*(4*IF(circ_int,0,eq_c1/2)+4*IF(circ_int,0,eq_c2/2)+2*PI()*(s_0+6*s_r+IF(circ_int,eq_c1/2,0)))/INDEX(lk_legs,7))&lt;((((2*IF(circ_int,0,eq_c2/2))+(PI()*(s_0+6*s_r+IF(circ_int,eq_c1/2,0))/2))+2*IF(circ_int,0,eq_c1/2))+(PI()*(s_0+6*s_r+IF(circ_int,eq_c1/2,0))/2)),IF(circ_int,0,eq_c2/2)+(s_0+6*s_r+IF(circ_int,eq_c1/2,0))*SIN(PI()/2+(((32+0.5)*(4*IF(circ_int,0,eq_c1/2)+4*IF(circ_int,0,eq_c2/2)+2*PI()*(s_0+6*s_r+IF(circ_int,eq_c1/2,0)))/INDEX(lk_legs,7))-(((2*IF(circ_int,0,eq_c2/2))+(PI()*(s_0+6*s_r+IF(circ_int,eq_c1/2,0))/2))+2*IF(circ_int,0,eq_c1/2)))/(s_0+6*s_r+IF(circ_int,eq_c1/2,0))),IF(((32+0.5)*(4*IF(circ_int,0,eq_c1/2)+4*IF(circ_int,0,eq_c2/2)+2*PI()*(s_0+6*s_r+IF(circ_int,eq_c1/2,0)))/INDEX(lk_legs,7))&lt;(((((2*IF(circ_int,0,eq_c2/2))+(PI()*(s_0+6*s_r+IF(circ_int,eq_c1/2,0))/2))+2*IF(circ_int,0,eq_c1/2))+(PI()*(s_0+6*s_r+IF(circ_int,eq_c1/2,0))/2))+2*IF(circ_int,0,eq_c2/2)),IF(circ_int,0,eq_c2/2)-(((32+0.5)*(4*IF(circ_int,0,eq_c1/2)+4*IF(circ_int,0,eq_c2/2)+2*PI()*(s_0+6*s_r+IF(circ_int,eq_c1/2,0)))/INDEX(lk_legs,7))-((((2*IF(circ_int,0,eq_c2/2))+(PI()*(s_0+6*s_r+IF(circ_int,eq_c1/2,0))/2))+2*IF(circ_int,0,eq_c1/2))+(PI()*(s_0+6*s_r+IF(circ_int,eq_c1/2,0))/2))),IF(((32+0.5)*(4*IF(circ_int,0,eq_c1/2)+4*IF(circ_int,0,eq_c2/2)+2*PI()*(s_0+6*s_r+IF(circ_int,eq_c1/2,0)))/INDEX(lk_legs,7))&lt;((((((2*IF(circ_int,0,eq_c2/2))+(PI()*(s_0+6*s_r+IF(circ_int,eq_c1/2,0))/2))+2*IF(circ_int,0,eq_c1/2))+(PI()*(s_0+6*s_r+IF(circ_int,eq_c1/2,0))/2))+2*IF(circ_int,0,eq_c2/2))+(PI()*(s_0+6*s_r+IF(circ_int,eq_c1/2,0))/2)),-IF(circ_int,0,eq_c2/2)+(s_0+6*s_r+IF(circ_int,eq_c1/2,0))*SIN(PI()+(((32+0.5)*(4*IF(circ_int,0,eq_c1/2)+4*IF(circ_int,0,eq_c2/2)+2*PI()*(s_0+6*s_r+IF(circ_int,eq_c1/2,0)))/INDEX(lk_legs,7))-(((((2*IF(circ_int,0,eq_c2/2))+(PI()*(s_0+6*s_r+IF(circ_int,eq_c1/2,0))/2))+2*IF(circ_int,0,eq_c1/2))+(PI()*(s_0+6*s_r+IF(circ_int,eq_c1/2,0))/2))+2*IF(circ_int,0,eq_c2/2)))/(s_0+6*s_r+IF(circ_int,eq_c1/2,0))),IF(((32+0.5)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(32+0.5)*(4*IF(circ_int,0,eq_c1/2)+4*IF(circ_int,0,eq_c2/2)+2*PI()*(s_0+6*s_r+IF(circ_int,eq_c1/2,0)))/INDEX(lk_legs,7))-(((((((2*IF(circ_int,0,eq_c2/2))+(PI()*(s_0+6*s_r+IF(circ_int,eq_c1/2,0))/2))+2*IF(circ_int,0,eq_c1/2))+(PI()*(s_0+6*s_r+IF(circ_int,eq_c1/2,0))/2))+2*IF(circ_int,0,eq_c2/2))+(PI()*(s_0+6*s_r+IF(circ_int,eq_c1/2,0))/2))+2*IF(circ_int,0,eq_c1/2)))/(s_0+6*s_r+IF(circ_int,eq_c1/2,0)))))))))),NA())</f>
        <v/>
      </c>
      <c r="CM35">
        <f>IF(AND(links_on,8&lt;=n_per),IF(circ_int,(g_ox)+(c_1/2+(s_0+7*s_r))*-0.748511,CHOOSE(INDEX(lk_kind,8),(g_ox-eq_c1/2)+((s_0+7*s_r))*-0.707107,0,eq_a1+eq_c1+(s_0+7*s_r),eq_a1+eq_c1+(s_0+7*s_r))),NA())</f>
        <v/>
      </c>
      <c r="CN35">
        <f>IF(AND(links_on,8&lt;=n_per),IF(circ_int,(g_oy)+(c_1/2+(s_0+7*s_r))*-0.663123,CHOOSE(INDEX(lk_kind,8),(g_oy-eq_c2/2)+((s_0+7*s_r))*-0.707107,g_oy-eq_c2/2-(s_0+7*s_r),0,0)),NA())</f>
        <v/>
      </c>
      <c r="CP35">
        <f>IF(AND(AND(links_on,8&lt;=n_per),INDEX(lk_kind,8)=1,32&lt;INDEX(lk_legs,8)),g_ox+IF(((32+0.5)*(4*IF(circ_int,0,eq_c1/2)+4*IF(circ_int,0,eq_c2/2)+2*PI()*(s_0+7*s_r+IF(circ_int,eq_c1/2,0)))/INDEX(lk_legs,8))&lt;(2*IF(circ_int,0,eq_c2/2)),IF(circ_int,0,eq_c1/2)+(s_0+7*s_r+IF(circ_int,eq_c1/2,0)),IF(((32+0.5)*(4*IF(circ_int,0,eq_c1/2)+4*IF(circ_int,0,eq_c2/2)+2*PI()*(s_0+7*s_r+IF(circ_int,eq_c1/2,0)))/INDEX(lk_legs,8))&lt;((2*IF(circ_int,0,eq_c2/2))+(PI()*(s_0+7*s_r+IF(circ_int,eq_c1/2,0))/2)),IF(circ_int,0,eq_c1/2)+(s_0+7*s_r+IF(circ_int,eq_c1/2,0))*COS((((32+0.5)*(4*IF(circ_int,0,eq_c1/2)+4*IF(circ_int,0,eq_c2/2)+2*PI()*(s_0+7*s_r+IF(circ_int,eq_c1/2,0)))/INDEX(lk_legs,8))-(2*IF(circ_int,0,eq_c2/2)))/(s_0+7*s_r+IF(circ_int,eq_c1/2,0))),IF(((32+0.5)*(4*IF(circ_int,0,eq_c1/2)+4*IF(circ_int,0,eq_c2/2)+2*PI()*(s_0+7*s_r+IF(circ_int,eq_c1/2,0)))/INDEX(lk_legs,8))&lt;(((2*IF(circ_int,0,eq_c2/2))+(PI()*(s_0+7*s_r+IF(circ_int,eq_c1/2,0))/2))+2*IF(circ_int,0,eq_c1/2)),IF(circ_int,0,eq_c1/2)-(((32+0.5)*(4*IF(circ_int,0,eq_c1/2)+4*IF(circ_int,0,eq_c2/2)+2*PI()*(s_0+7*s_r+IF(circ_int,eq_c1/2,0)))/INDEX(lk_legs,8))-((2*IF(circ_int,0,eq_c2/2))+(PI()*(s_0+7*s_r+IF(circ_int,eq_c1/2,0))/2))),IF(((32+0.5)*(4*IF(circ_int,0,eq_c1/2)+4*IF(circ_int,0,eq_c2/2)+2*PI()*(s_0+7*s_r+IF(circ_int,eq_c1/2,0)))/INDEX(lk_legs,8))&lt;((((2*IF(circ_int,0,eq_c2/2))+(PI()*(s_0+7*s_r+IF(circ_int,eq_c1/2,0))/2))+2*IF(circ_int,0,eq_c1/2))+(PI()*(s_0+7*s_r+IF(circ_int,eq_c1/2,0))/2)),-IF(circ_int,0,eq_c1/2)+(s_0+7*s_r+IF(circ_int,eq_c1/2,0))*COS(PI()/2+(((32+0.5)*(4*IF(circ_int,0,eq_c1/2)+4*IF(circ_int,0,eq_c2/2)+2*PI()*(s_0+7*s_r+IF(circ_int,eq_c1/2,0)))/INDEX(lk_legs,8))-(((2*IF(circ_int,0,eq_c2/2))+(PI()*(s_0+7*s_r+IF(circ_int,eq_c1/2,0))/2))+2*IF(circ_int,0,eq_c1/2)))/(s_0+7*s_r+IF(circ_int,eq_c1/2,0))),IF(((32+0.5)*(4*IF(circ_int,0,eq_c1/2)+4*IF(circ_int,0,eq_c2/2)+2*PI()*(s_0+7*s_r+IF(circ_int,eq_c1/2,0)))/INDEX(lk_legs,8))&lt;(((((2*IF(circ_int,0,eq_c2/2))+(PI()*(s_0+7*s_r+IF(circ_int,eq_c1/2,0))/2))+2*IF(circ_int,0,eq_c1/2))+(PI()*(s_0+7*s_r+IF(circ_int,eq_c1/2,0))/2))+2*IF(circ_int,0,eq_c2/2)),-IF(circ_int,0,eq_c1/2)-(s_0+7*s_r+IF(circ_int,eq_c1/2,0)),IF(((32+0.5)*(4*IF(circ_int,0,eq_c1/2)+4*IF(circ_int,0,eq_c2/2)+2*PI()*(s_0+7*s_r+IF(circ_int,eq_c1/2,0)))/INDEX(lk_legs,8))&lt;((((((2*IF(circ_int,0,eq_c2/2))+(PI()*(s_0+7*s_r+IF(circ_int,eq_c1/2,0))/2))+2*IF(circ_int,0,eq_c1/2))+(PI()*(s_0+7*s_r+IF(circ_int,eq_c1/2,0))/2))+2*IF(circ_int,0,eq_c2/2))+(PI()*(s_0+7*s_r+IF(circ_int,eq_c1/2,0))/2)),-IF(circ_int,0,eq_c1/2)+(s_0+7*s_r+IF(circ_int,eq_c1/2,0))*COS(PI()+(((32+0.5)*(4*IF(circ_int,0,eq_c1/2)+4*IF(circ_int,0,eq_c2/2)+2*PI()*(s_0+7*s_r+IF(circ_int,eq_c1/2,0)))/INDEX(lk_legs,8))-(((((2*IF(circ_int,0,eq_c2/2))+(PI()*(s_0+7*s_r+IF(circ_int,eq_c1/2,0))/2))+2*IF(circ_int,0,eq_c1/2))+(PI()*(s_0+7*s_r+IF(circ_int,eq_c1/2,0))/2))+2*IF(circ_int,0,eq_c2/2)))/(s_0+7*s_r+IF(circ_int,eq_c1/2,0))),IF(((32+0.5)*(4*IF(circ_int,0,eq_c1/2)+4*IF(circ_int,0,eq_c2/2)+2*PI()*(s_0+7*s_r+IF(circ_int,eq_c1/2,0)))/INDEX(lk_legs,8))&lt;(((((((2*IF(circ_int,0,eq_c2/2))+(PI()*(s_0+7*s_r+IF(circ_int,eq_c1/2,0))/2))+2*IF(circ_int,0,eq_c1/2))+(PI()*(s_0+7*s_r+IF(circ_int,eq_c1/2,0))/2))+2*IF(circ_int,0,eq_c2/2))+(PI()*(s_0+7*s_r+IF(circ_int,eq_c1/2,0))/2))+2*IF(circ_int,0,eq_c1/2)),-IF(circ_int,0,eq_c1/2)+(((32+0.5)*(4*IF(circ_int,0,eq_c1/2)+4*IF(circ_int,0,eq_c2/2)+2*PI()*(s_0+7*s_r+IF(circ_int,eq_c1/2,0)))/INDEX(lk_legs,8))-((((((2*IF(circ_int,0,eq_c2/2))+(PI()*(s_0+7*s_r+IF(circ_int,eq_c1/2,0))/2))+2*IF(circ_int,0,eq_c1/2))+(PI()*(s_0+7*s_r+IF(circ_int,eq_c1/2,0))/2))+2*IF(circ_int,0,eq_c2/2))+(PI()*(s_0+7*s_r+IF(circ_int,eq_c1/2,0))/2))),IF(circ_int,0,eq_c1/2)+(s_0+7*s_r+IF(circ_int,eq_c1/2,0))*COS(3*PI()/2+(((32+0.5)*(4*IF(circ_int,0,eq_c1/2)+4*IF(circ_int,0,eq_c2/2)+2*PI()*(s_0+7*s_r+IF(circ_int,eq_c1/2,0)))/INDEX(lk_legs,8))-(((((((2*IF(circ_int,0,eq_c2/2))+(PI()*(s_0+7*s_r+IF(circ_int,eq_c1/2,0))/2))+2*IF(circ_int,0,eq_c1/2))+(PI()*(s_0+7*s_r+IF(circ_int,eq_c1/2,0))/2))+2*IF(circ_int,0,eq_c2/2))+(PI()*(s_0+7*s_r+IF(circ_int,eq_c1/2,0))/2))+2*IF(circ_int,0,eq_c1/2)))/(s_0+7*s_r+IF(circ_int,eq_c1/2,0)))))))))),NA())</f>
        <v/>
      </c>
      <c r="CQ35">
        <f>IF(AND(AND(links_on,8&lt;=n_per),INDEX(lk_kind,8)=1,32&lt;INDEX(lk_legs,8)),g_oy+IF(((32+0.5)*(4*IF(circ_int,0,eq_c1/2)+4*IF(circ_int,0,eq_c2/2)+2*PI()*(s_0+7*s_r+IF(circ_int,eq_c1/2,0)))/INDEX(lk_legs,8))&lt;(2*IF(circ_int,0,eq_c2/2)),-IF(circ_int,0,eq_c2/2)+((32+0.5)*(4*IF(circ_int,0,eq_c1/2)+4*IF(circ_int,0,eq_c2/2)+2*PI()*(s_0+7*s_r+IF(circ_int,eq_c1/2,0)))/INDEX(lk_legs,8)),IF(((32+0.5)*(4*IF(circ_int,0,eq_c1/2)+4*IF(circ_int,0,eq_c2/2)+2*PI()*(s_0+7*s_r+IF(circ_int,eq_c1/2,0)))/INDEX(lk_legs,8))&lt;((2*IF(circ_int,0,eq_c2/2))+(PI()*(s_0+7*s_r+IF(circ_int,eq_c1/2,0))/2)),IF(circ_int,0,eq_c2/2)+(s_0+7*s_r+IF(circ_int,eq_c1/2,0))*SIN((((32+0.5)*(4*IF(circ_int,0,eq_c1/2)+4*IF(circ_int,0,eq_c2/2)+2*PI()*(s_0+7*s_r+IF(circ_int,eq_c1/2,0)))/INDEX(lk_legs,8))-(2*IF(circ_int,0,eq_c2/2)))/(s_0+7*s_r+IF(circ_int,eq_c1/2,0))),IF(((32+0.5)*(4*IF(circ_int,0,eq_c1/2)+4*IF(circ_int,0,eq_c2/2)+2*PI()*(s_0+7*s_r+IF(circ_int,eq_c1/2,0)))/INDEX(lk_legs,8))&lt;(((2*IF(circ_int,0,eq_c2/2))+(PI()*(s_0+7*s_r+IF(circ_int,eq_c1/2,0))/2))+2*IF(circ_int,0,eq_c1/2)),IF(circ_int,0,eq_c2/2)+(s_0+7*s_r+IF(circ_int,eq_c1/2,0)),IF(((32+0.5)*(4*IF(circ_int,0,eq_c1/2)+4*IF(circ_int,0,eq_c2/2)+2*PI()*(s_0+7*s_r+IF(circ_int,eq_c1/2,0)))/INDEX(lk_legs,8))&lt;((((2*IF(circ_int,0,eq_c2/2))+(PI()*(s_0+7*s_r+IF(circ_int,eq_c1/2,0))/2))+2*IF(circ_int,0,eq_c1/2))+(PI()*(s_0+7*s_r+IF(circ_int,eq_c1/2,0))/2)),IF(circ_int,0,eq_c2/2)+(s_0+7*s_r+IF(circ_int,eq_c1/2,0))*SIN(PI()/2+(((32+0.5)*(4*IF(circ_int,0,eq_c1/2)+4*IF(circ_int,0,eq_c2/2)+2*PI()*(s_0+7*s_r+IF(circ_int,eq_c1/2,0)))/INDEX(lk_legs,8))-(((2*IF(circ_int,0,eq_c2/2))+(PI()*(s_0+7*s_r+IF(circ_int,eq_c1/2,0))/2))+2*IF(circ_int,0,eq_c1/2)))/(s_0+7*s_r+IF(circ_int,eq_c1/2,0))),IF(((32+0.5)*(4*IF(circ_int,0,eq_c1/2)+4*IF(circ_int,0,eq_c2/2)+2*PI()*(s_0+7*s_r+IF(circ_int,eq_c1/2,0)))/INDEX(lk_legs,8))&lt;(((((2*IF(circ_int,0,eq_c2/2))+(PI()*(s_0+7*s_r+IF(circ_int,eq_c1/2,0))/2))+2*IF(circ_int,0,eq_c1/2))+(PI()*(s_0+7*s_r+IF(circ_int,eq_c1/2,0))/2))+2*IF(circ_int,0,eq_c2/2)),IF(circ_int,0,eq_c2/2)-(((32+0.5)*(4*IF(circ_int,0,eq_c1/2)+4*IF(circ_int,0,eq_c2/2)+2*PI()*(s_0+7*s_r+IF(circ_int,eq_c1/2,0)))/INDEX(lk_legs,8))-((((2*IF(circ_int,0,eq_c2/2))+(PI()*(s_0+7*s_r+IF(circ_int,eq_c1/2,0))/2))+2*IF(circ_int,0,eq_c1/2))+(PI()*(s_0+7*s_r+IF(circ_int,eq_c1/2,0))/2))),IF(((32+0.5)*(4*IF(circ_int,0,eq_c1/2)+4*IF(circ_int,0,eq_c2/2)+2*PI()*(s_0+7*s_r+IF(circ_int,eq_c1/2,0)))/INDEX(lk_legs,8))&lt;((((((2*IF(circ_int,0,eq_c2/2))+(PI()*(s_0+7*s_r+IF(circ_int,eq_c1/2,0))/2))+2*IF(circ_int,0,eq_c1/2))+(PI()*(s_0+7*s_r+IF(circ_int,eq_c1/2,0))/2))+2*IF(circ_int,0,eq_c2/2))+(PI()*(s_0+7*s_r+IF(circ_int,eq_c1/2,0))/2)),-IF(circ_int,0,eq_c2/2)+(s_0+7*s_r+IF(circ_int,eq_c1/2,0))*SIN(PI()+(((32+0.5)*(4*IF(circ_int,0,eq_c1/2)+4*IF(circ_int,0,eq_c2/2)+2*PI()*(s_0+7*s_r+IF(circ_int,eq_c1/2,0)))/INDEX(lk_legs,8))-(((((2*IF(circ_int,0,eq_c2/2))+(PI()*(s_0+7*s_r+IF(circ_int,eq_c1/2,0))/2))+2*IF(circ_int,0,eq_c1/2))+(PI()*(s_0+7*s_r+IF(circ_int,eq_c1/2,0))/2))+2*IF(circ_int,0,eq_c2/2)))/(s_0+7*s_r+IF(circ_int,eq_c1/2,0))),IF(((32+0.5)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(32+0.5)*(4*IF(circ_int,0,eq_c1/2)+4*IF(circ_int,0,eq_c2/2)+2*PI()*(s_0+7*s_r+IF(circ_int,eq_c1/2,0)))/INDEX(lk_legs,8))-(((((((2*IF(circ_int,0,eq_c2/2))+(PI()*(s_0+7*s_r+IF(circ_int,eq_c1/2,0))/2))+2*IF(circ_int,0,eq_c1/2))+(PI()*(s_0+7*s_r+IF(circ_int,eq_c1/2,0))/2))+2*IF(circ_int,0,eq_c2/2))+(PI()*(s_0+7*s_r+IF(circ_int,eq_c1/2,0))/2))+2*IF(circ_int,0,eq_c1/2)))/(s_0+7*s_r+IF(circ_int,eq_c1/2,0)))))))))),NA())</f>
        <v/>
      </c>
      <c r="CS35">
        <f>IF(AND(links_on,9&lt;=n_per),IF(circ_int,(g_ox)+(c_1/2+(s_0+8*s_r))*-0.748511,CHOOSE(INDEX(lk_kind,9),(g_ox-eq_c1/2)+((s_0+8*s_r))*-0.707107,0,eq_a1+eq_c1+(s_0+8*s_r),eq_a1+eq_c1+(s_0+8*s_r))),NA())</f>
        <v/>
      </c>
      <c r="CT35">
        <f>IF(AND(links_on,9&lt;=n_per),IF(circ_int,(g_oy)+(c_1/2+(s_0+8*s_r))*-0.663123,CHOOSE(INDEX(lk_kind,9),(g_oy-eq_c2/2)+((s_0+8*s_r))*-0.707107,g_oy-eq_c2/2-(s_0+8*s_r),0,0)),NA())</f>
        <v/>
      </c>
      <c r="CV35">
        <f>IF(AND(AND(links_on,9&lt;=n_per),INDEX(lk_kind,9)=1,32&lt;INDEX(lk_legs,9)),g_ox+IF(((32+0.5)*(4*IF(circ_int,0,eq_c1/2)+4*IF(circ_int,0,eq_c2/2)+2*PI()*(s_0+8*s_r+IF(circ_int,eq_c1/2,0)))/INDEX(lk_legs,9))&lt;(2*IF(circ_int,0,eq_c2/2)),IF(circ_int,0,eq_c1/2)+(s_0+8*s_r+IF(circ_int,eq_c1/2,0)),IF(((32+0.5)*(4*IF(circ_int,0,eq_c1/2)+4*IF(circ_int,0,eq_c2/2)+2*PI()*(s_0+8*s_r+IF(circ_int,eq_c1/2,0)))/INDEX(lk_legs,9))&lt;((2*IF(circ_int,0,eq_c2/2))+(PI()*(s_0+8*s_r+IF(circ_int,eq_c1/2,0))/2)),IF(circ_int,0,eq_c1/2)+(s_0+8*s_r+IF(circ_int,eq_c1/2,0))*COS((((32+0.5)*(4*IF(circ_int,0,eq_c1/2)+4*IF(circ_int,0,eq_c2/2)+2*PI()*(s_0+8*s_r+IF(circ_int,eq_c1/2,0)))/INDEX(lk_legs,9))-(2*IF(circ_int,0,eq_c2/2)))/(s_0+8*s_r+IF(circ_int,eq_c1/2,0))),IF(((32+0.5)*(4*IF(circ_int,0,eq_c1/2)+4*IF(circ_int,0,eq_c2/2)+2*PI()*(s_0+8*s_r+IF(circ_int,eq_c1/2,0)))/INDEX(lk_legs,9))&lt;(((2*IF(circ_int,0,eq_c2/2))+(PI()*(s_0+8*s_r+IF(circ_int,eq_c1/2,0))/2))+2*IF(circ_int,0,eq_c1/2)),IF(circ_int,0,eq_c1/2)-(((32+0.5)*(4*IF(circ_int,0,eq_c1/2)+4*IF(circ_int,0,eq_c2/2)+2*PI()*(s_0+8*s_r+IF(circ_int,eq_c1/2,0)))/INDEX(lk_legs,9))-((2*IF(circ_int,0,eq_c2/2))+(PI()*(s_0+8*s_r+IF(circ_int,eq_c1/2,0))/2))),IF(((32+0.5)*(4*IF(circ_int,0,eq_c1/2)+4*IF(circ_int,0,eq_c2/2)+2*PI()*(s_0+8*s_r+IF(circ_int,eq_c1/2,0)))/INDEX(lk_legs,9))&lt;((((2*IF(circ_int,0,eq_c2/2))+(PI()*(s_0+8*s_r+IF(circ_int,eq_c1/2,0))/2))+2*IF(circ_int,0,eq_c1/2))+(PI()*(s_0+8*s_r+IF(circ_int,eq_c1/2,0))/2)),-IF(circ_int,0,eq_c1/2)+(s_0+8*s_r+IF(circ_int,eq_c1/2,0))*COS(PI()/2+(((32+0.5)*(4*IF(circ_int,0,eq_c1/2)+4*IF(circ_int,0,eq_c2/2)+2*PI()*(s_0+8*s_r+IF(circ_int,eq_c1/2,0)))/INDEX(lk_legs,9))-(((2*IF(circ_int,0,eq_c2/2))+(PI()*(s_0+8*s_r+IF(circ_int,eq_c1/2,0))/2))+2*IF(circ_int,0,eq_c1/2)))/(s_0+8*s_r+IF(circ_int,eq_c1/2,0))),IF(((32+0.5)*(4*IF(circ_int,0,eq_c1/2)+4*IF(circ_int,0,eq_c2/2)+2*PI()*(s_0+8*s_r+IF(circ_int,eq_c1/2,0)))/INDEX(lk_legs,9))&lt;(((((2*IF(circ_int,0,eq_c2/2))+(PI()*(s_0+8*s_r+IF(circ_int,eq_c1/2,0))/2))+2*IF(circ_int,0,eq_c1/2))+(PI()*(s_0+8*s_r+IF(circ_int,eq_c1/2,0))/2))+2*IF(circ_int,0,eq_c2/2)),-IF(circ_int,0,eq_c1/2)-(s_0+8*s_r+IF(circ_int,eq_c1/2,0)),IF(((32+0.5)*(4*IF(circ_int,0,eq_c1/2)+4*IF(circ_int,0,eq_c2/2)+2*PI()*(s_0+8*s_r+IF(circ_int,eq_c1/2,0)))/INDEX(lk_legs,9))&lt;((((((2*IF(circ_int,0,eq_c2/2))+(PI()*(s_0+8*s_r+IF(circ_int,eq_c1/2,0))/2))+2*IF(circ_int,0,eq_c1/2))+(PI()*(s_0+8*s_r+IF(circ_int,eq_c1/2,0))/2))+2*IF(circ_int,0,eq_c2/2))+(PI()*(s_0+8*s_r+IF(circ_int,eq_c1/2,0))/2)),-IF(circ_int,0,eq_c1/2)+(s_0+8*s_r+IF(circ_int,eq_c1/2,0))*COS(PI()+(((32+0.5)*(4*IF(circ_int,0,eq_c1/2)+4*IF(circ_int,0,eq_c2/2)+2*PI()*(s_0+8*s_r+IF(circ_int,eq_c1/2,0)))/INDEX(lk_legs,9))-(((((2*IF(circ_int,0,eq_c2/2))+(PI()*(s_0+8*s_r+IF(circ_int,eq_c1/2,0))/2))+2*IF(circ_int,0,eq_c1/2))+(PI()*(s_0+8*s_r+IF(circ_int,eq_c1/2,0))/2))+2*IF(circ_int,0,eq_c2/2)))/(s_0+8*s_r+IF(circ_int,eq_c1/2,0))),IF(((32+0.5)*(4*IF(circ_int,0,eq_c1/2)+4*IF(circ_int,0,eq_c2/2)+2*PI()*(s_0+8*s_r+IF(circ_int,eq_c1/2,0)))/INDEX(lk_legs,9))&lt;(((((((2*IF(circ_int,0,eq_c2/2))+(PI()*(s_0+8*s_r+IF(circ_int,eq_c1/2,0))/2))+2*IF(circ_int,0,eq_c1/2))+(PI()*(s_0+8*s_r+IF(circ_int,eq_c1/2,0))/2))+2*IF(circ_int,0,eq_c2/2))+(PI()*(s_0+8*s_r+IF(circ_int,eq_c1/2,0))/2))+2*IF(circ_int,0,eq_c1/2)),-IF(circ_int,0,eq_c1/2)+(((32+0.5)*(4*IF(circ_int,0,eq_c1/2)+4*IF(circ_int,0,eq_c2/2)+2*PI()*(s_0+8*s_r+IF(circ_int,eq_c1/2,0)))/INDEX(lk_legs,9))-((((((2*IF(circ_int,0,eq_c2/2))+(PI()*(s_0+8*s_r+IF(circ_int,eq_c1/2,0))/2))+2*IF(circ_int,0,eq_c1/2))+(PI()*(s_0+8*s_r+IF(circ_int,eq_c1/2,0))/2))+2*IF(circ_int,0,eq_c2/2))+(PI()*(s_0+8*s_r+IF(circ_int,eq_c1/2,0))/2))),IF(circ_int,0,eq_c1/2)+(s_0+8*s_r+IF(circ_int,eq_c1/2,0))*COS(3*PI()/2+(((32+0.5)*(4*IF(circ_int,0,eq_c1/2)+4*IF(circ_int,0,eq_c2/2)+2*PI()*(s_0+8*s_r+IF(circ_int,eq_c1/2,0)))/INDEX(lk_legs,9))-(((((((2*IF(circ_int,0,eq_c2/2))+(PI()*(s_0+8*s_r+IF(circ_int,eq_c1/2,0))/2))+2*IF(circ_int,0,eq_c1/2))+(PI()*(s_0+8*s_r+IF(circ_int,eq_c1/2,0))/2))+2*IF(circ_int,0,eq_c2/2))+(PI()*(s_0+8*s_r+IF(circ_int,eq_c1/2,0))/2))+2*IF(circ_int,0,eq_c1/2)))/(s_0+8*s_r+IF(circ_int,eq_c1/2,0)))))))))),NA())</f>
        <v/>
      </c>
      <c r="CW35">
        <f>IF(AND(AND(links_on,9&lt;=n_per),INDEX(lk_kind,9)=1,32&lt;INDEX(lk_legs,9)),g_oy+IF(((32+0.5)*(4*IF(circ_int,0,eq_c1/2)+4*IF(circ_int,0,eq_c2/2)+2*PI()*(s_0+8*s_r+IF(circ_int,eq_c1/2,0)))/INDEX(lk_legs,9))&lt;(2*IF(circ_int,0,eq_c2/2)),-IF(circ_int,0,eq_c2/2)+((32+0.5)*(4*IF(circ_int,0,eq_c1/2)+4*IF(circ_int,0,eq_c2/2)+2*PI()*(s_0+8*s_r+IF(circ_int,eq_c1/2,0)))/INDEX(lk_legs,9)),IF(((32+0.5)*(4*IF(circ_int,0,eq_c1/2)+4*IF(circ_int,0,eq_c2/2)+2*PI()*(s_0+8*s_r+IF(circ_int,eq_c1/2,0)))/INDEX(lk_legs,9))&lt;((2*IF(circ_int,0,eq_c2/2))+(PI()*(s_0+8*s_r+IF(circ_int,eq_c1/2,0))/2)),IF(circ_int,0,eq_c2/2)+(s_0+8*s_r+IF(circ_int,eq_c1/2,0))*SIN((((32+0.5)*(4*IF(circ_int,0,eq_c1/2)+4*IF(circ_int,0,eq_c2/2)+2*PI()*(s_0+8*s_r+IF(circ_int,eq_c1/2,0)))/INDEX(lk_legs,9))-(2*IF(circ_int,0,eq_c2/2)))/(s_0+8*s_r+IF(circ_int,eq_c1/2,0))),IF(((32+0.5)*(4*IF(circ_int,0,eq_c1/2)+4*IF(circ_int,0,eq_c2/2)+2*PI()*(s_0+8*s_r+IF(circ_int,eq_c1/2,0)))/INDEX(lk_legs,9))&lt;(((2*IF(circ_int,0,eq_c2/2))+(PI()*(s_0+8*s_r+IF(circ_int,eq_c1/2,0))/2))+2*IF(circ_int,0,eq_c1/2)),IF(circ_int,0,eq_c2/2)+(s_0+8*s_r+IF(circ_int,eq_c1/2,0)),IF(((32+0.5)*(4*IF(circ_int,0,eq_c1/2)+4*IF(circ_int,0,eq_c2/2)+2*PI()*(s_0+8*s_r+IF(circ_int,eq_c1/2,0)))/INDEX(lk_legs,9))&lt;((((2*IF(circ_int,0,eq_c2/2))+(PI()*(s_0+8*s_r+IF(circ_int,eq_c1/2,0))/2))+2*IF(circ_int,0,eq_c1/2))+(PI()*(s_0+8*s_r+IF(circ_int,eq_c1/2,0))/2)),IF(circ_int,0,eq_c2/2)+(s_0+8*s_r+IF(circ_int,eq_c1/2,0))*SIN(PI()/2+(((32+0.5)*(4*IF(circ_int,0,eq_c1/2)+4*IF(circ_int,0,eq_c2/2)+2*PI()*(s_0+8*s_r+IF(circ_int,eq_c1/2,0)))/INDEX(lk_legs,9))-(((2*IF(circ_int,0,eq_c2/2))+(PI()*(s_0+8*s_r+IF(circ_int,eq_c1/2,0))/2))+2*IF(circ_int,0,eq_c1/2)))/(s_0+8*s_r+IF(circ_int,eq_c1/2,0))),IF(((32+0.5)*(4*IF(circ_int,0,eq_c1/2)+4*IF(circ_int,0,eq_c2/2)+2*PI()*(s_0+8*s_r+IF(circ_int,eq_c1/2,0)))/INDEX(lk_legs,9))&lt;(((((2*IF(circ_int,0,eq_c2/2))+(PI()*(s_0+8*s_r+IF(circ_int,eq_c1/2,0))/2))+2*IF(circ_int,0,eq_c1/2))+(PI()*(s_0+8*s_r+IF(circ_int,eq_c1/2,0))/2))+2*IF(circ_int,0,eq_c2/2)),IF(circ_int,0,eq_c2/2)-(((32+0.5)*(4*IF(circ_int,0,eq_c1/2)+4*IF(circ_int,0,eq_c2/2)+2*PI()*(s_0+8*s_r+IF(circ_int,eq_c1/2,0)))/INDEX(lk_legs,9))-((((2*IF(circ_int,0,eq_c2/2))+(PI()*(s_0+8*s_r+IF(circ_int,eq_c1/2,0))/2))+2*IF(circ_int,0,eq_c1/2))+(PI()*(s_0+8*s_r+IF(circ_int,eq_c1/2,0))/2))),IF(((32+0.5)*(4*IF(circ_int,0,eq_c1/2)+4*IF(circ_int,0,eq_c2/2)+2*PI()*(s_0+8*s_r+IF(circ_int,eq_c1/2,0)))/INDEX(lk_legs,9))&lt;((((((2*IF(circ_int,0,eq_c2/2))+(PI()*(s_0+8*s_r+IF(circ_int,eq_c1/2,0))/2))+2*IF(circ_int,0,eq_c1/2))+(PI()*(s_0+8*s_r+IF(circ_int,eq_c1/2,0))/2))+2*IF(circ_int,0,eq_c2/2))+(PI()*(s_0+8*s_r+IF(circ_int,eq_c1/2,0))/2)),-IF(circ_int,0,eq_c2/2)+(s_0+8*s_r+IF(circ_int,eq_c1/2,0))*SIN(PI()+(((32+0.5)*(4*IF(circ_int,0,eq_c1/2)+4*IF(circ_int,0,eq_c2/2)+2*PI()*(s_0+8*s_r+IF(circ_int,eq_c1/2,0)))/INDEX(lk_legs,9))-(((((2*IF(circ_int,0,eq_c2/2))+(PI()*(s_0+8*s_r+IF(circ_int,eq_c1/2,0))/2))+2*IF(circ_int,0,eq_c1/2))+(PI()*(s_0+8*s_r+IF(circ_int,eq_c1/2,0))/2))+2*IF(circ_int,0,eq_c2/2)))/(s_0+8*s_r+IF(circ_int,eq_c1/2,0))),IF(((32+0.5)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(32+0.5)*(4*IF(circ_int,0,eq_c1/2)+4*IF(circ_int,0,eq_c2/2)+2*PI()*(s_0+8*s_r+IF(circ_int,eq_c1/2,0)))/INDEX(lk_legs,9))-(((((((2*IF(circ_int,0,eq_c2/2))+(PI()*(s_0+8*s_r+IF(circ_int,eq_c1/2,0))/2))+2*IF(circ_int,0,eq_c1/2))+(PI()*(s_0+8*s_r+IF(circ_int,eq_c1/2,0))/2))+2*IF(circ_int,0,eq_c2/2))+(PI()*(s_0+8*s_r+IF(circ_int,eq_c1/2,0))/2))+2*IF(circ_int,0,eq_c1/2)))/(s_0+8*s_r+IF(circ_int,eq_c1/2,0)))))))))),NA())</f>
        <v/>
      </c>
      <c r="CY35">
        <f>IF(AND(links_on,10&lt;=n_per),IF(circ_int,(g_ox)+(c_1/2+(s_0+9*s_r))*-0.748511,CHOOSE(INDEX(lk_kind,10),(g_ox-eq_c1/2)+((s_0+9*s_r))*-0.707107,0,eq_a1+eq_c1+(s_0+9*s_r),eq_a1+eq_c1+(s_0+9*s_r))),NA())</f>
        <v/>
      </c>
      <c r="CZ35">
        <f>IF(AND(links_on,10&lt;=n_per),IF(circ_int,(g_oy)+(c_1/2+(s_0+9*s_r))*-0.663123,CHOOSE(INDEX(lk_kind,10),(g_oy-eq_c2/2)+((s_0+9*s_r))*-0.707107,g_oy-eq_c2/2-(s_0+9*s_r),0,0)),NA())</f>
        <v/>
      </c>
      <c r="DB35">
        <f>IF(AND(AND(links_on,10&lt;=n_per),INDEX(lk_kind,10)=1,32&lt;INDEX(lk_legs,10)),g_ox+IF(((32+0.5)*(4*IF(circ_int,0,eq_c1/2)+4*IF(circ_int,0,eq_c2/2)+2*PI()*(s_0+9*s_r+IF(circ_int,eq_c1/2,0)))/INDEX(lk_legs,10))&lt;(2*IF(circ_int,0,eq_c2/2)),IF(circ_int,0,eq_c1/2)+(s_0+9*s_r+IF(circ_int,eq_c1/2,0)),IF(((32+0.5)*(4*IF(circ_int,0,eq_c1/2)+4*IF(circ_int,0,eq_c2/2)+2*PI()*(s_0+9*s_r+IF(circ_int,eq_c1/2,0)))/INDEX(lk_legs,10))&lt;((2*IF(circ_int,0,eq_c2/2))+(PI()*(s_0+9*s_r+IF(circ_int,eq_c1/2,0))/2)),IF(circ_int,0,eq_c1/2)+(s_0+9*s_r+IF(circ_int,eq_c1/2,0))*COS((((32+0.5)*(4*IF(circ_int,0,eq_c1/2)+4*IF(circ_int,0,eq_c2/2)+2*PI()*(s_0+9*s_r+IF(circ_int,eq_c1/2,0)))/INDEX(lk_legs,10))-(2*IF(circ_int,0,eq_c2/2)))/(s_0+9*s_r+IF(circ_int,eq_c1/2,0))),IF(((32+0.5)*(4*IF(circ_int,0,eq_c1/2)+4*IF(circ_int,0,eq_c2/2)+2*PI()*(s_0+9*s_r+IF(circ_int,eq_c1/2,0)))/INDEX(lk_legs,10))&lt;(((2*IF(circ_int,0,eq_c2/2))+(PI()*(s_0+9*s_r+IF(circ_int,eq_c1/2,0))/2))+2*IF(circ_int,0,eq_c1/2)),IF(circ_int,0,eq_c1/2)-(((32+0.5)*(4*IF(circ_int,0,eq_c1/2)+4*IF(circ_int,0,eq_c2/2)+2*PI()*(s_0+9*s_r+IF(circ_int,eq_c1/2,0)))/INDEX(lk_legs,10))-((2*IF(circ_int,0,eq_c2/2))+(PI()*(s_0+9*s_r+IF(circ_int,eq_c1/2,0))/2))),IF(((32+0.5)*(4*IF(circ_int,0,eq_c1/2)+4*IF(circ_int,0,eq_c2/2)+2*PI()*(s_0+9*s_r+IF(circ_int,eq_c1/2,0)))/INDEX(lk_legs,10))&lt;((((2*IF(circ_int,0,eq_c2/2))+(PI()*(s_0+9*s_r+IF(circ_int,eq_c1/2,0))/2))+2*IF(circ_int,0,eq_c1/2))+(PI()*(s_0+9*s_r+IF(circ_int,eq_c1/2,0))/2)),-IF(circ_int,0,eq_c1/2)+(s_0+9*s_r+IF(circ_int,eq_c1/2,0))*COS(PI()/2+(((32+0.5)*(4*IF(circ_int,0,eq_c1/2)+4*IF(circ_int,0,eq_c2/2)+2*PI()*(s_0+9*s_r+IF(circ_int,eq_c1/2,0)))/INDEX(lk_legs,10))-(((2*IF(circ_int,0,eq_c2/2))+(PI()*(s_0+9*s_r+IF(circ_int,eq_c1/2,0))/2))+2*IF(circ_int,0,eq_c1/2)))/(s_0+9*s_r+IF(circ_int,eq_c1/2,0))),IF(((32+0.5)*(4*IF(circ_int,0,eq_c1/2)+4*IF(circ_int,0,eq_c2/2)+2*PI()*(s_0+9*s_r+IF(circ_int,eq_c1/2,0)))/INDEX(lk_legs,10))&lt;(((((2*IF(circ_int,0,eq_c2/2))+(PI()*(s_0+9*s_r+IF(circ_int,eq_c1/2,0))/2))+2*IF(circ_int,0,eq_c1/2))+(PI()*(s_0+9*s_r+IF(circ_int,eq_c1/2,0))/2))+2*IF(circ_int,0,eq_c2/2)),-IF(circ_int,0,eq_c1/2)-(s_0+9*s_r+IF(circ_int,eq_c1/2,0)),IF(((32+0.5)*(4*IF(circ_int,0,eq_c1/2)+4*IF(circ_int,0,eq_c2/2)+2*PI()*(s_0+9*s_r+IF(circ_int,eq_c1/2,0)))/INDEX(lk_legs,10))&lt;((((((2*IF(circ_int,0,eq_c2/2))+(PI()*(s_0+9*s_r+IF(circ_int,eq_c1/2,0))/2))+2*IF(circ_int,0,eq_c1/2))+(PI()*(s_0+9*s_r+IF(circ_int,eq_c1/2,0))/2))+2*IF(circ_int,0,eq_c2/2))+(PI()*(s_0+9*s_r+IF(circ_int,eq_c1/2,0))/2)),-IF(circ_int,0,eq_c1/2)+(s_0+9*s_r+IF(circ_int,eq_c1/2,0))*COS(PI()+(((32+0.5)*(4*IF(circ_int,0,eq_c1/2)+4*IF(circ_int,0,eq_c2/2)+2*PI()*(s_0+9*s_r+IF(circ_int,eq_c1/2,0)))/INDEX(lk_legs,10))-(((((2*IF(circ_int,0,eq_c2/2))+(PI()*(s_0+9*s_r+IF(circ_int,eq_c1/2,0))/2))+2*IF(circ_int,0,eq_c1/2))+(PI()*(s_0+9*s_r+IF(circ_int,eq_c1/2,0))/2))+2*IF(circ_int,0,eq_c2/2)))/(s_0+9*s_r+IF(circ_int,eq_c1/2,0))),IF(((32+0.5)*(4*IF(circ_int,0,eq_c1/2)+4*IF(circ_int,0,eq_c2/2)+2*PI()*(s_0+9*s_r+IF(circ_int,eq_c1/2,0)))/INDEX(lk_legs,10))&lt;(((((((2*IF(circ_int,0,eq_c2/2))+(PI()*(s_0+9*s_r+IF(circ_int,eq_c1/2,0))/2))+2*IF(circ_int,0,eq_c1/2))+(PI()*(s_0+9*s_r+IF(circ_int,eq_c1/2,0))/2))+2*IF(circ_int,0,eq_c2/2))+(PI()*(s_0+9*s_r+IF(circ_int,eq_c1/2,0))/2))+2*IF(circ_int,0,eq_c1/2)),-IF(circ_int,0,eq_c1/2)+(((32+0.5)*(4*IF(circ_int,0,eq_c1/2)+4*IF(circ_int,0,eq_c2/2)+2*PI()*(s_0+9*s_r+IF(circ_int,eq_c1/2,0)))/INDEX(lk_legs,10))-((((((2*IF(circ_int,0,eq_c2/2))+(PI()*(s_0+9*s_r+IF(circ_int,eq_c1/2,0))/2))+2*IF(circ_int,0,eq_c1/2))+(PI()*(s_0+9*s_r+IF(circ_int,eq_c1/2,0))/2))+2*IF(circ_int,0,eq_c2/2))+(PI()*(s_0+9*s_r+IF(circ_int,eq_c1/2,0))/2))),IF(circ_int,0,eq_c1/2)+(s_0+9*s_r+IF(circ_int,eq_c1/2,0))*COS(3*PI()/2+(((32+0.5)*(4*IF(circ_int,0,eq_c1/2)+4*IF(circ_int,0,eq_c2/2)+2*PI()*(s_0+9*s_r+IF(circ_int,eq_c1/2,0)))/INDEX(lk_legs,10))-(((((((2*IF(circ_int,0,eq_c2/2))+(PI()*(s_0+9*s_r+IF(circ_int,eq_c1/2,0))/2))+2*IF(circ_int,0,eq_c1/2))+(PI()*(s_0+9*s_r+IF(circ_int,eq_c1/2,0))/2))+2*IF(circ_int,0,eq_c2/2))+(PI()*(s_0+9*s_r+IF(circ_int,eq_c1/2,0))/2))+2*IF(circ_int,0,eq_c1/2)))/(s_0+9*s_r+IF(circ_int,eq_c1/2,0)))))))))),NA())</f>
        <v/>
      </c>
      <c r="DC35">
        <f>IF(AND(AND(links_on,10&lt;=n_per),INDEX(lk_kind,10)=1,32&lt;INDEX(lk_legs,10)),g_oy+IF(((32+0.5)*(4*IF(circ_int,0,eq_c1/2)+4*IF(circ_int,0,eq_c2/2)+2*PI()*(s_0+9*s_r+IF(circ_int,eq_c1/2,0)))/INDEX(lk_legs,10))&lt;(2*IF(circ_int,0,eq_c2/2)),-IF(circ_int,0,eq_c2/2)+((32+0.5)*(4*IF(circ_int,0,eq_c1/2)+4*IF(circ_int,0,eq_c2/2)+2*PI()*(s_0+9*s_r+IF(circ_int,eq_c1/2,0)))/INDEX(lk_legs,10)),IF(((32+0.5)*(4*IF(circ_int,0,eq_c1/2)+4*IF(circ_int,0,eq_c2/2)+2*PI()*(s_0+9*s_r+IF(circ_int,eq_c1/2,0)))/INDEX(lk_legs,10))&lt;((2*IF(circ_int,0,eq_c2/2))+(PI()*(s_0+9*s_r+IF(circ_int,eq_c1/2,0))/2)),IF(circ_int,0,eq_c2/2)+(s_0+9*s_r+IF(circ_int,eq_c1/2,0))*SIN((((32+0.5)*(4*IF(circ_int,0,eq_c1/2)+4*IF(circ_int,0,eq_c2/2)+2*PI()*(s_0+9*s_r+IF(circ_int,eq_c1/2,0)))/INDEX(lk_legs,10))-(2*IF(circ_int,0,eq_c2/2)))/(s_0+9*s_r+IF(circ_int,eq_c1/2,0))),IF(((32+0.5)*(4*IF(circ_int,0,eq_c1/2)+4*IF(circ_int,0,eq_c2/2)+2*PI()*(s_0+9*s_r+IF(circ_int,eq_c1/2,0)))/INDEX(lk_legs,10))&lt;(((2*IF(circ_int,0,eq_c2/2))+(PI()*(s_0+9*s_r+IF(circ_int,eq_c1/2,0))/2))+2*IF(circ_int,0,eq_c1/2)),IF(circ_int,0,eq_c2/2)+(s_0+9*s_r+IF(circ_int,eq_c1/2,0)),IF(((32+0.5)*(4*IF(circ_int,0,eq_c1/2)+4*IF(circ_int,0,eq_c2/2)+2*PI()*(s_0+9*s_r+IF(circ_int,eq_c1/2,0)))/INDEX(lk_legs,10))&lt;((((2*IF(circ_int,0,eq_c2/2))+(PI()*(s_0+9*s_r+IF(circ_int,eq_c1/2,0))/2))+2*IF(circ_int,0,eq_c1/2))+(PI()*(s_0+9*s_r+IF(circ_int,eq_c1/2,0))/2)),IF(circ_int,0,eq_c2/2)+(s_0+9*s_r+IF(circ_int,eq_c1/2,0))*SIN(PI()/2+(((32+0.5)*(4*IF(circ_int,0,eq_c1/2)+4*IF(circ_int,0,eq_c2/2)+2*PI()*(s_0+9*s_r+IF(circ_int,eq_c1/2,0)))/INDEX(lk_legs,10))-(((2*IF(circ_int,0,eq_c2/2))+(PI()*(s_0+9*s_r+IF(circ_int,eq_c1/2,0))/2))+2*IF(circ_int,0,eq_c1/2)))/(s_0+9*s_r+IF(circ_int,eq_c1/2,0))),IF(((32+0.5)*(4*IF(circ_int,0,eq_c1/2)+4*IF(circ_int,0,eq_c2/2)+2*PI()*(s_0+9*s_r+IF(circ_int,eq_c1/2,0)))/INDEX(lk_legs,10))&lt;(((((2*IF(circ_int,0,eq_c2/2))+(PI()*(s_0+9*s_r+IF(circ_int,eq_c1/2,0))/2))+2*IF(circ_int,0,eq_c1/2))+(PI()*(s_0+9*s_r+IF(circ_int,eq_c1/2,0))/2))+2*IF(circ_int,0,eq_c2/2)),IF(circ_int,0,eq_c2/2)-(((32+0.5)*(4*IF(circ_int,0,eq_c1/2)+4*IF(circ_int,0,eq_c2/2)+2*PI()*(s_0+9*s_r+IF(circ_int,eq_c1/2,0)))/INDEX(lk_legs,10))-((((2*IF(circ_int,0,eq_c2/2))+(PI()*(s_0+9*s_r+IF(circ_int,eq_c1/2,0))/2))+2*IF(circ_int,0,eq_c1/2))+(PI()*(s_0+9*s_r+IF(circ_int,eq_c1/2,0))/2))),IF(((32+0.5)*(4*IF(circ_int,0,eq_c1/2)+4*IF(circ_int,0,eq_c2/2)+2*PI()*(s_0+9*s_r+IF(circ_int,eq_c1/2,0)))/INDEX(lk_legs,10))&lt;((((((2*IF(circ_int,0,eq_c2/2))+(PI()*(s_0+9*s_r+IF(circ_int,eq_c1/2,0))/2))+2*IF(circ_int,0,eq_c1/2))+(PI()*(s_0+9*s_r+IF(circ_int,eq_c1/2,0))/2))+2*IF(circ_int,0,eq_c2/2))+(PI()*(s_0+9*s_r+IF(circ_int,eq_c1/2,0))/2)),-IF(circ_int,0,eq_c2/2)+(s_0+9*s_r+IF(circ_int,eq_c1/2,0))*SIN(PI()+(((32+0.5)*(4*IF(circ_int,0,eq_c1/2)+4*IF(circ_int,0,eq_c2/2)+2*PI()*(s_0+9*s_r+IF(circ_int,eq_c1/2,0)))/INDEX(lk_legs,10))-(((((2*IF(circ_int,0,eq_c2/2))+(PI()*(s_0+9*s_r+IF(circ_int,eq_c1/2,0))/2))+2*IF(circ_int,0,eq_c1/2))+(PI()*(s_0+9*s_r+IF(circ_int,eq_c1/2,0))/2))+2*IF(circ_int,0,eq_c2/2)))/(s_0+9*s_r+IF(circ_int,eq_c1/2,0))),IF(((32+0.5)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(32+0.5)*(4*IF(circ_int,0,eq_c1/2)+4*IF(circ_int,0,eq_c2/2)+2*PI()*(s_0+9*s_r+IF(circ_int,eq_c1/2,0)))/INDEX(lk_legs,10))-(((((((2*IF(circ_int,0,eq_c2/2))+(PI()*(s_0+9*s_r+IF(circ_int,eq_c1/2,0))/2))+2*IF(circ_int,0,eq_c1/2))+(PI()*(s_0+9*s_r+IF(circ_int,eq_c1/2,0))/2))+2*IF(circ_int,0,eq_c2/2))+(PI()*(s_0+9*s_r+IF(circ_int,eq_c1/2,0))/2))+2*IF(circ_int,0,eq_c1/2)))/(s_0+9*s_r+IF(circ_int,eq_c1/2,0)))))))))),NA())</f>
        <v/>
      </c>
      <c r="DE35">
        <f>IF(AND(links_on,11&lt;=n_per),IF(circ_int,(g_ox)+(c_1/2+(s_0+10*s_r))*-0.748511,CHOOSE(INDEX(lk_kind,11),(g_ox-eq_c1/2)+((s_0+10*s_r))*-0.707107,0,eq_a1+eq_c1+(s_0+10*s_r),eq_a1+eq_c1+(s_0+10*s_r))),NA())</f>
        <v/>
      </c>
      <c r="DF35">
        <f>IF(AND(links_on,11&lt;=n_per),IF(circ_int,(g_oy)+(c_1/2+(s_0+10*s_r))*-0.663123,CHOOSE(INDEX(lk_kind,11),(g_oy-eq_c2/2)+((s_0+10*s_r))*-0.707107,g_oy-eq_c2/2-(s_0+10*s_r),0,0)),NA())</f>
        <v/>
      </c>
      <c r="DH35">
        <f>IF(AND(AND(links_on,11&lt;=n_per),INDEX(lk_kind,11)=1,32&lt;INDEX(lk_legs,11)),g_ox+IF(((32+0.5)*(4*IF(circ_int,0,eq_c1/2)+4*IF(circ_int,0,eq_c2/2)+2*PI()*(s_0+10*s_r+IF(circ_int,eq_c1/2,0)))/INDEX(lk_legs,11))&lt;(2*IF(circ_int,0,eq_c2/2)),IF(circ_int,0,eq_c1/2)+(s_0+10*s_r+IF(circ_int,eq_c1/2,0)),IF(((32+0.5)*(4*IF(circ_int,0,eq_c1/2)+4*IF(circ_int,0,eq_c2/2)+2*PI()*(s_0+10*s_r+IF(circ_int,eq_c1/2,0)))/INDEX(lk_legs,11))&lt;((2*IF(circ_int,0,eq_c2/2))+(PI()*(s_0+10*s_r+IF(circ_int,eq_c1/2,0))/2)),IF(circ_int,0,eq_c1/2)+(s_0+10*s_r+IF(circ_int,eq_c1/2,0))*COS((((32+0.5)*(4*IF(circ_int,0,eq_c1/2)+4*IF(circ_int,0,eq_c2/2)+2*PI()*(s_0+10*s_r+IF(circ_int,eq_c1/2,0)))/INDEX(lk_legs,11))-(2*IF(circ_int,0,eq_c2/2)))/(s_0+10*s_r+IF(circ_int,eq_c1/2,0))),IF(((32+0.5)*(4*IF(circ_int,0,eq_c1/2)+4*IF(circ_int,0,eq_c2/2)+2*PI()*(s_0+10*s_r+IF(circ_int,eq_c1/2,0)))/INDEX(lk_legs,11))&lt;(((2*IF(circ_int,0,eq_c2/2))+(PI()*(s_0+10*s_r+IF(circ_int,eq_c1/2,0))/2))+2*IF(circ_int,0,eq_c1/2)),IF(circ_int,0,eq_c1/2)-(((32+0.5)*(4*IF(circ_int,0,eq_c1/2)+4*IF(circ_int,0,eq_c2/2)+2*PI()*(s_0+10*s_r+IF(circ_int,eq_c1/2,0)))/INDEX(lk_legs,11))-((2*IF(circ_int,0,eq_c2/2))+(PI()*(s_0+10*s_r+IF(circ_int,eq_c1/2,0))/2))),IF(((32+0.5)*(4*IF(circ_int,0,eq_c1/2)+4*IF(circ_int,0,eq_c2/2)+2*PI()*(s_0+10*s_r+IF(circ_int,eq_c1/2,0)))/INDEX(lk_legs,11))&lt;((((2*IF(circ_int,0,eq_c2/2))+(PI()*(s_0+10*s_r+IF(circ_int,eq_c1/2,0))/2))+2*IF(circ_int,0,eq_c1/2))+(PI()*(s_0+10*s_r+IF(circ_int,eq_c1/2,0))/2)),-IF(circ_int,0,eq_c1/2)+(s_0+10*s_r+IF(circ_int,eq_c1/2,0))*COS(PI()/2+(((32+0.5)*(4*IF(circ_int,0,eq_c1/2)+4*IF(circ_int,0,eq_c2/2)+2*PI()*(s_0+10*s_r+IF(circ_int,eq_c1/2,0)))/INDEX(lk_legs,11))-(((2*IF(circ_int,0,eq_c2/2))+(PI()*(s_0+10*s_r+IF(circ_int,eq_c1/2,0))/2))+2*IF(circ_int,0,eq_c1/2)))/(s_0+10*s_r+IF(circ_int,eq_c1/2,0))),IF(((32+0.5)*(4*IF(circ_int,0,eq_c1/2)+4*IF(circ_int,0,eq_c2/2)+2*PI()*(s_0+10*s_r+IF(circ_int,eq_c1/2,0)))/INDEX(lk_legs,11))&lt;(((((2*IF(circ_int,0,eq_c2/2))+(PI()*(s_0+10*s_r+IF(circ_int,eq_c1/2,0))/2))+2*IF(circ_int,0,eq_c1/2))+(PI()*(s_0+10*s_r+IF(circ_int,eq_c1/2,0))/2))+2*IF(circ_int,0,eq_c2/2)),-IF(circ_int,0,eq_c1/2)-(s_0+10*s_r+IF(circ_int,eq_c1/2,0)),IF(((32+0.5)*(4*IF(circ_int,0,eq_c1/2)+4*IF(circ_int,0,eq_c2/2)+2*PI()*(s_0+10*s_r+IF(circ_int,eq_c1/2,0)))/INDEX(lk_legs,11))&lt;((((((2*IF(circ_int,0,eq_c2/2))+(PI()*(s_0+10*s_r+IF(circ_int,eq_c1/2,0))/2))+2*IF(circ_int,0,eq_c1/2))+(PI()*(s_0+10*s_r+IF(circ_int,eq_c1/2,0))/2))+2*IF(circ_int,0,eq_c2/2))+(PI()*(s_0+10*s_r+IF(circ_int,eq_c1/2,0))/2)),-IF(circ_int,0,eq_c1/2)+(s_0+10*s_r+IF(circ_int,eq_c1/2,0))*COS(PI()+(((32+0.5)*(4*IF(circ_int,0,eq_c1/2)+4*IF(circ_int,0,eq_c2/2)+2*PI()*(s_0+10*s_r+IF(circ_int,eq_c1/2,0)))/INDEX(lk_legs,11))-(((((2*IF(circ_int,0,eq_c2/2))+(PI()*(s_0+10*s_r+IF(circ_int,eq_c1/2,0))/2))+2*IF(circ_int,0,eq_c1/2))+(PI()*(s_0+10*s_r+IF(circ_int,eq_c1/2,0))/2))+2*IF(circ_int,0,eq_c2/2)))/(s_0+10*s_r+IF(circ_int,eq_c1/2,0))),IF(((32+0.5)*(4*IF(circ_int,0,eq_c1/2)+4*IF(circ_int,0,eq_c2/2)+2*PI()*(s_0+10*s_r+IF(circ_int,eq_c1/2,0)))/INDEX(lk_legs,11))&lt;(((((((2*IF(circ_int,0,eq_c2/2))+(PI()*(s_0+10*s_r+IF(circ_int,eq_c1/2,0))/2))+2*IF(circ_int,0,eq_c1/2))+(PI()*(s_0+10*s_r+IF(circ_int,eq_c1/2,0))/2))+2*IF(circ_int,0,eq_c2/2))+(PI()*(s_0+10*s_r+IF(circ_int,eq_c1/2,0))/2))+2*IF(circ_int,0,eq_c1/2)),-IF(circ_int,0,eq_c1/2)+(((32+0.5)*(4*IF(circ_int,0,eq_c1/2)+4*IF(circ_int,0,eq_c2/2)+2*PI()*(s_0+10*s_r+IF(circ_int,eq_c1/2,0)))/INDEX(lk_legs,11))-((((((2*IF(circ_int,0,eq_c2/2))+(PI()*(s_0+10*s_r+IF(circ_int,eq_c1/2,0))/2))+2*IF(circ_int,0,eq_c1/2))+(PI()*(s_0+10*s_r+IF(circ_int,eq_c1/2,0))/2))+2*IF(circ_int,0,eq_c2/2))+(PI()*(s_0+10*s_r+IF(circ_int,eq_c1/2,0))/2))),IF(circ_int,0,eq_c1/2)+(s_0+10*s_r+IF(circ_int,eq_c1/2,0))*COS(3*PI()/2+(((32+0.5)*(4*IF(circ_int,0,eq_c1/2)+4*IF(circ_int,0,eq_c2/2)+2*PI()*(s_0+10*s_r+IF(circ_int,eq_c1/2,0)))/INDEX(lk_legs,11))-(((((((2*IF(circ_int,0,eq_c2/2))+(PI()*(s_0+10*s_r+IF(circ_int,eq_c1/2,0))/2))+2*IF(circ_int,0,eq_c1/2))+(PI()*(s_0+10*s_r+IF(circ_int,eq_c1/2,0))/2))+2*IF(circ_int,0,eq_c2/2))+(PI()*(s_0+10*s_r+IF(circ_int,eq_c1/2,0))/2))+2*IF(circ_int,0,eq_c1/2)))/(s_0+10*s_r+IF(circ_int,eq_c1/2,0)))))))))),NA())</f>
        <v/>
      </c>
      <c r="DI35">
        <f>IF(AND(AND(links_on,11&lt;=n_per),INDEX(lk_kind,11)=1,32&lt;INDEX(lk_legs,11)),g_oy+IF(((32+0.5)*(4*IF(circ_int,0,eq_c1/2)+4*IF(circ_int,0,eq_c2/2)+2*PI()*(s_0+10*s_r+IF(circ_int,eq_c1/2,0)))/INDEX(lk_legs,11))&lt;(2*IF(circ_int,0,eq_c2/2)),-IF(circ_int,0,eq_c2/2)+((32+0.5)*(4*IF(circ_int,0,eq_c1/2)+4*IF(circ_int,0,eq_c2/2)+2*PI()*(s_0+10*s_r+IF(circ_int,eq_c1/2,0)))/INDEX(lk_legs,11)),IF(((32+0.5)*(4*IF(circ_int,0,eq_c1/2)+4*IF(circ_int,0,eq_c2/2)+2*PI()*(s_0+10*s_r+IF(circ_int,eq_c1/2,0)))/INDEX(lk_legs,11))&lt;((2*IF(circ_int,0,eq_c2/2))+(PI()*(s_0+10*s_r+IF(circ_int,eq_c1/2,0))/2)),IF(circ_int,0,eq_c2/2)+(s_0+10*s_r+IF(circ_int,eq_c1/2,0))*SIN((((32+0.5)*(4*IF(circ_int,0,eq_c1/2)+4*IF(circ_int,0,eq_c2/2)+2*PI()*(s_0+10*s_r+IF(circ_int,eq_c1/2,0)))/INDEX(lk_legs,11))-(2*IF(circ_int,0,eq_c2/2)))/(s_0+10*s_r+IF(circ_int,eq_c1/2,0))),IF(((32+0.5)*(4*IF(circ_int,0,eq_c1/2)+4*IF(circ_int,0,eq_c2/2)+2*PI()*(s_0+10*s_r+IF(circ_int,eq_c1/2,0)))/INDEX(lk_legs,11))&lt;(((2*IF(circ_int,0,eq_c2/2))+(PI()*(s_0+10*s_r+IF(circ_int,eq_c1/2,0))/2))+2*IF(circ_int,0,eq_c1/2)),IF(circ_int,0,eq_c2/2)+(s_0+10*s_r+IF(circ_int,eq_c1/2,0)),IF(((32+0.5)*(4*IF(circ_int,0,eq_c1/2)+4*IF(circ_int,0,eq_c2/2)+2*PI()*(s_0+10*s_r+IF(circ_int,eq_c1/2,0)))/INDEX(lk_legs,11))&lt;((((2*IF(circ_int,0,eq_c2/2))+(PI()*(s_0+10*s_r+IF(circ_int,eq_c1/2,0))/2))+2*IF(circ_int,0,eq_c1/2))+(PI()*(s_0+10*s_r+IF(circ_int,eq_c1/2,0))/2)),IF(circ_int,0,eq_c2/2)+(s_0+10*s_r+IF(circ_int,eq_c1/2,0))*SIN(PI()/2+(((32+0.5)*(4*IF(circ_int,0,eq_c1/2)+4*IF(circ_int,0,eq_c2/2)+2*PI()*(s_0+10*s_r+IF(circ_int,eq_c1/2,0)))/INDEX(lk_legs,11))-(((2*IF(circ_int,0,eq_c2/2))+(PI()*(s_0+10*s_r+IF(circ_int,eq_c1/2,0))/2))+2*IF(circ_int,0,eq_c1/2)))/(s_0+10*s_r+IF(circ_int,eq_c1/2,0))),IF(((32+0.5)*(4*IF(circ_int,0,eq_c1/2)+4*IF(circ_int,0,eq_c2/2)+2*PI()*(s_0+10*s_r+IF(circ_int,eq_c1/2,0)))/INDEX(lk_legs,11))&lt;(((((2*IF(circ_int,0,eq_c2/2))+(PI()*(s_0+10*s_r+IF(circ_int,eq_c1/2,0))/2))+2*IF(circ_int,0,eq_c1/2))+(PI()*(s_0+10*s_r+IF(circ_int,eq_c1/2,0))/2))+2*IF(circ_int,0,eq_c2/2)),IF(circ_int,0,eq_c2/2)-(((32+0.5)*(4*IF(circ_int,0,eq_c1/2)+4*IF(circ_int,0,eq_c2/2)+2*PI()*(s_0+10*s_r+IF(circ_int,eq_c1/2,0)))/INDEX(lk_legs,11))-((((2*IF(circ_int,0,eq_c2/2))+(PI()*(s_0+10*s_r+IF(circ_int,eq_c1/2,0))/2))+2*IF(circ_int,0,eq_c1/2))+(PI()*(s_0+10*s_r+IF(circ_int,eq_c1/2,0))/2))),IF(((32+0.5)*(4*IF(circ_int,0,eq_c1/2)+4*IF(circ_int,0,eq_c2/2)+2*PI()*(s_0+10*s_r+IF(circ_int,eq_c1/2,0)))/INDEX(lk_legs,11))&lt;((((((2*IF(circ_int,0,eq_c2/2))+(PI()*(s_0+10*s_r+IF(circ_int,eq_c1/2,0))/2))+2*IF(circ_int,0,eq_c1/2))+(PI()*(s_0+10*s_r+IF(circ_int,eq_c1/2,0))/2))+2*IF(circ_int,0,eq_c2/2))+(PI()*(s_0+10*s_r+IF(circ_int,eq_c1/2,0))/2)),-IF(circ_int,0,eq_c2/2)+(s_0+10*s_r+IF(circ_int,eq_c1/2,0))*SIN(PI()+(((32+0.5)*(4*IF(circ_int,0,eq_c1/2)+4*IF(circ_int,0,eq_c2/2)+2*PI()*(s_0+10*s_r+IF(circ_int,eq_c1/2,0)))/INDEX(lk_legs,11))-(((((2*IF(circ_int,0,eq_c2/2))+(PI()*(s_0+10*s_r+IF(circ_int,eq_c1/2,0))/2))+2*IF(circ_int,0,eq_c1/2))+(PI()*(s_0+10*s_r+IF(circ_int,eq_c1/2,0))/2))+2*IF(circ_int,0,eq_c2/2)))/(s_0+10*s_r+IF(circ_int,eq_c1/2,0))),IF(((32+0.5)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(32+0.5)*(4*IF(circ_int,0,eq_c1/2)+4*IF(circ_int,0,eq_c2/2)+2*PI()*(s_0+10*s_r+IF(circ_int,eq_c1/2,0)))/INDEX(lk_legs,11))-(((((((2*IF(circ_int,0,eq_c2/2))+(PI()*(s_0+10*s_r+IF(circ_int,eq_c1/2,0))/2))+2*IF(circ_int,0,eq_c1/2))+(PI()*(s_0+10*s_r+IF(circ_int,eq_c1/2,0))/2))+2*IF(circ_int,0,eq_c2/2))+(PI()*(s_0+10*s_r+IF(circ_int,eq_c1/2,0))/2))+2*IF(circ_int,0,eq_c1/2)))/(s_0+10*s_r+IF(circ_int,eq_c1/2,0)))))))))),NA())</f>
        <v/>
      </c>
      <c r="DK35">
        <f>IF(AND(links_on,12&lt;=n_per),IF(circ_int,(g_ox)+(c_1/2+(s_0+11*s_r))*-0.748511,CHOOSE(INDEX(lk_kind,12),(g_ox-eq_c1/2)+((s_0+11*s_r))*-0.707107,0,eq_a1+eq_c1+(s_0+11*s_r),eq_a1+eq_c1+(s_0+11*s_r))),NA())</f>
        <v/>
      </c>
      <c r="DL35">
        <f>IF(AND(links_on,12&lt;=n_per),IF(circ_int,(g_oy)+(c_1/2+(s_0+11*s_r))*-0.663123,CHOOSE(INDEX(lk_kind,12),(g_oy-eq_c2/2)+((s_0+11*s_r))*-0.707107,g_oy-eq_c2/2-(s_0+11*s_r),0,0)),NA())</f>
        <v/>
      </c>
      <c r="DN35">
        <f>IF(AND(AND(links_on,12&lt;=n_per),INDEX(lk_kind,12)=1,32&lt;INDEX(lk_legs,12)),g_ox+IF(((32+0.5)*(4*IF(circ_int,0,eq_c1/2)+4*IF(circ_int,0,eq_c2/2)+2*PI()*(s_0+11*s_r+IF(circ_int,eq_c1/2,0)))/INDEX(lk_legs,12))&lt;(2*IF(circ_int,0,eq_c2/2)),IF(circ_int,0,eq_c1/2)+(s_0+11*s_r+IF(circ_int,eq_c1/2,0)),IF(((32+0.5)*(4*IF(circ_int,0,eq_c1/2)+4*IF(circ_int,0,eq_c2/2)+2*PI()*(s_0+11*s_r+IF(circ_int,eq_c1/2,0)))/INDEX(lk_legs,12))&lt;((2*IF(circ_int,0,eq_c2/2))+(PI()*(s_0+11*s_r+IF(circ_int,eq_c1/2,0))/2)),IF(circ_int,0,eq_c1/2)+(s_0+11*s_r+IF(circ_int,eq_c1/2,0))*COS((((32+0.5)*(4*IF(circ_int,0,eq_c1/2)+4*IF(circ_int,0,eq_c2/2)+2*PI()*(s_0+11*s_r+IF(circ_int,eq_c1/2,0)))/INDEX(lk_legs,12))-(2*IF(circ_int,0,eq_c2/2)))/(s_0+11*s_r+IF(circ_int,eq_c1/2,0))),IF(((32+0.5)*(4*IF(circ_int,0,eq_c1/2)+4*IF(circ_int,0,eq_c2/2)+2*PI()*(s_0+11*s_r+IF(circ_int,eq_c1/2,0)))/INDEX(lk_legs,12))&lt;(((2*IF(circ_int,0,eq_c2/2))+(PI()*(s_0+11*s_r+IF(circ_int,eq_c1/2,0))/2))+2*IF(circ_int,0,eq_c1/2)),IF(circ_int,0,eq_c1/2)-(((32+0.5)*(4*IF(circ_int,0,eq_c1/2)+4*IF(circ_int,0,eq_c2/2)+2*PI()*(s_0+11*s_r+IF(circ_int,eq_c1/2,0)))/INDEX(lk_legs,12))-((2*IF(circ_int,0,eq_c2/2))+(PI()*(s_0+11*s_r+IF(circ_int,eq_c1/2,0))/2))),IF(((32+0.5)*(4*IF(circ_int,0,eq_c1/2)+4*IF(circ_int,0,eq_c2/2)+2*PI()*(s_0+11*s_r+IF(circ_int,eq_c1/2,0)))/INDEX(lk_legs,12))&lt;((((2*IF(circ_int,0,eq_c2/2))+(PI()*(s_0+11*s_r+IF(circ_int,eq_c1/2,0))/2))+2*IF(circ_int,0,eq_c1/2))+(PI()*(s_0+11*s_r+IF(circ_int,eq_c1/2,0))/2)),-IF(circ_int,0,eq_c1/2)+(s_0+11*s_r+IF(circ_int,eq_c1/2,0))*COS(PI()/2+(((32+0.5)*(4*IF(circ_int,0,eq_c1/2)+4*IF(circ_int,0,eq_c2/2)+2*PI()*(s_0+11*s_r+IF(circ_int,eq_c1/2,0)))/INDEX(lk_legs,12))-(((2*IF(circ_int,0,eq_c2/2))+(PI()*(s_0+11*s_r+IF(circ_int,eq_c1/2,0))/2))+2*IF(circ_int,0,eq_c1/2)))/(s_0+11*s_r+IF(circ_int,eq_c1/2,0))),IF(((32+0.5)*(4*IF(circ_int,0,eq_c1/2)+4*IF(circ_int,0,eq_c2/2)+2*PI()*(s_0+11*s_r+IF(circ_int,eq_c1/2,0)))/INDEX(lk_legs,12))&lt;(((((2*IF(circ_int,0,eq_c2/2))+(PI()*(s_0+11*s_r+IF(circ_int,eq_c1/2,0))/2))+2*IF(circ_int,0,eq_c1/2))+(PI()*(s_0+11*s_r+IF(circ_int,eq_c1/2,0))/2))+2*IF(circ_int,0,eq_c2/2)),-IF(circ_int,0,eq_c1/2)-(s_0+11*s_r+IF(circ_int,eq_c1/2,0)),IF(((32+0.5)*(4*IF(circ_int,0,eq_c1/2)+4*IF(circ_int,0,eq_c2/2)+2*PI()*(s_0+11*s_r+IF(circ_int,eq_c1/2,0)))/INDEX(lk_legs,12))&lt;((((((2*IF(circ_int,0,eq_c2/2))+(PI()*(s_0+11*s_r+IF(circ_int,eq_c1/2,0))/2))+2*IF(circ_int,0,eq_c1/2))+(PI()*(s_0+11*s_r+IF(circ_int,eq_c1/2,0))/2))+2*IF(circ_int,0,eq_c2/2))+(PI()*(s_0+11*s_r+IF(circ_int,eq_c1/2,0))/2)),-IF(circ_int,0,eq_c1/2)+(s_0+11*s_r+IF(circ_int,eq_c1/2,0))*COS(PI()+(((32+0.5)*(4*IF(circ_int,0,eq_c1/2)+4*IF(circ_int,0,eq_c2/2)+2*PI()*(s_0+11*s_r+IF(circ_int,eq_c1/2,0)))/INDEX(lk_legs,12))-(((((2*IF(circ_int,0,eq_c2/2))+(PI()*(s_0+11*s_r+IF(circ_int,eq_c1/2,0))/2))+2*IF(circ_int,0,eq_c1/2))+(PI()*(s_0+11*s_r+IF(circ_int,eq_c1/2,0))/2))+2*IF(circ_int,0,eq_c2/2)))/(s_0+11*s_r+IF(circ_int,eq_c1/2,0))),IF(((32+0.5)*(4*IF(circ_int,0,eq_c1/2)+4*IF(circ_int,0,eq_c2/2)+2*PI()*(s_0+11*s_r+IF(circ_int,eq_c1/2,0)))/INDEX(lk_legs,12))&lt;(((((((2*IF(circ_int,0,eq_c2/2))+(PI()*(s_0+11*s_r+IF(circ_int,eq_c1/2,0))/2))+2*IF(circ_int,0,eq_c1/2))+(PI()*(s_0+11*s_r+IF(circ_int,eq_c1/2,0))/2))+2*IF(circ_int,0,eq_c2/2))+(PI()*(s_0+11*s_r+IF(circ_int,eq_c1/2,0))/2))+2*IF(circ_int,0,eq_c1/2)),-IF(circ_int,0,eq_c1/2)+(((32+0.5)*(4*IF(circ_int,0,eq_c1/2)+4*IF(circ_int,0,eq_c2/2)+2*PI()*(s_0+11*s_r+IF(circ_int,eq_c1/2,0)))/INDEX(lk_legs,12))-((((((2*IF(circ_int,0,eq_c2/2))+(PI()*(s_0+11*s_r+IF(circ_int,eq_c1/2,0))/2))+2*IF(circ_int,0,eq_c1/2))+(PI()*(s_0+11*s_r+IF(circ_int,eq_c1/2,0))/2))+2*IF(circ_int,0,eq_c2/2))+(PI()*(s_0+11*s_r+IF(circ_int,eq_c1/2,0))/2))),IF(circ_int,0,eq_c1/2)+(s_0+11*s_r+IF(circ_int,eq_c1/2,0))*COS(3*PI()/2+(((32+0.5)*(4*IF(circ_int,0,eq_c1/2)+4*IF(circ_int,0,eq_c2/2)+2*PI()*(s_0+11*s_r+IF(circ_int,eq_c1/2,0)))/INDEX(lk_legs,12))-(((((((2*IF(circ_int,0,eq_c2/2))+(PI()*(s_0+11*s_r+IF(circ_int,eq_c1/2,0))/2))+2*IF(circ_int,0,eq_c1/2))+(PI()*(s_0+11*s_r+IF(circ_int,eq_c1/2,0))/2))+2*IF(circ_int,0,eq_c2/2))+(PI()*(s_0+11*s_r+IF(circ_int,eq_c1/2,0))/2))+2*IF(circ_int,0,eq_c1/2)))/(s_0+11*s_r+IF(circ_int,eq_c1/2,0)))))))))),NA())</f>
        <v/>
      </c>
      <c r="DO35">
        <f>IF(AND(AND(links_on,12&lt;=n_per),INDEX(lk_kind,12)=1,32&lt;INDEX(lk_legs,12)),g_oy+IF(((32+0.5)*(4*IF(circ_int,0,eq_c1/2)+4*IF(circ_int,0,eq_c2/2)+2*PI()*(s_0+11*s_r+IF(circ_int,eq_c1/2,0)))/INDEX(lk_legs,12))&lt;(2*IF(circ_int,0,eq_c2/2)),-IF(circ_int,0,eq_c2/2)+((32+0.5)*(4*IF(circ_int,0,eq_c1/2)+4*IF(circ_int,0,eq_c2/2)+2*PI()*(s_0+11*s_r+IF(circ_int,eq_c1/2,0)))/INDEX(lk_legs,12)),IF(((32+0.5)*(4*IF(circ_int,0,eq_c1/2)+4*IF(circ_int,0,eq_c2/2)+2*PI()*(s_0+11*s_r+IF(circ_int,eq_c1/2,0)))/INDEX(lk_legs,12))&lt;((2*IF(circ_int,0,eq_c2/2))+(PI()*(s_0+11*s_r+IF(circ_int,eq_c1/2,0))/2)),IF(circ_int,0,eq_c2/2)+(s_0+11*s_r+IF(circ_int,eq_c1/2,0))*SIN((((32+0.5)*(4*IF(circ_int,0,eq_c1/2)+4*IF(circ_int,0,eq_c2/2)+2*PI()*(s_0+11*s_r+IF(circ_int,eq_c1/2,0)))/INDEX(lk_legs,12))-(2*IF(circ_int,0,eq_c2/2)))/(s_0+11*s_r+IF(circ_int,eq_c1/2,0))),IF(((32+0.5)*(4*IF(circ_int,0,eq_c1/2)+4*IF(circ_int,0,eq_c2/2)+2*PI()*(s_0+11*s_r+IF(circ_int,eq_c1/2,0)))/INDEX(lk_legs,12))&lt;(((2*IF(circ_int,0,eq_c2/2))+(PI()*(s_0+11*s_r+IF(circ_int,eq_c1/2,0))/2))+2*IF(circ_int,0,eq_c1/2)),IF(circ_int,0,eq_c2/2)+(s_0+11*s_r+IF(circ_int,eq_c1/2,0)),IF(((32+0.5)*(4*IF(circ_int,0,eq_c1/2)+4*IF(circ_int,0,eq_c2/2)+2*PI()*(s_0+11*s_r+IF(circ_int,eq_c1/2,0)))/INDEX(lk_legs,12))&lt;((((2*IF(circ_int,0,eq_c2/2))+(PI()*(s_0+11*s_r+IF(circ_int,eq_c1/2,0))/2))+2*IF(circ_int,0,eq_c1/2))+(PI()*(s_0+11*s_r+IF(circ_int,eq_c1/2,0))/2)),IF(circ_int,0,eq_c2/2)+(s_0+11*s_r+IF(circ_int,eq_c1/2,0))*SIN(PI()/2+(((32+0.5)*(4*IF(circ_int,0,eq_c1/2)+4*IF(circ_int,0,eq_c2/2)+2*PI()*(s_0+11*s_r+IF(circ_int,eq_c1/2,0)))/INDEX(lk_legs,12))-(((2*IF(circ_int,0,eq_c2/2))+(PI()*(s_0+11*s_r+IF(circ_int,eq_c1/2,0))/2))+2*IF(circ_int,0,eq_c1/2)))/(s_0+11*s_r+IF(circ_int,eq_c1/2,0))),IF(((32+0.5)*(4*IF(circ_int,0,eq_c1/2)+4*IF(circ_int,0,eq_c2/2)+2*PI()*(s_0+11*s_r+IF(circ_int,eq_c1/2,0)))/INDEX(lk_legs,12))&lt;(((((2*IF(circ_int,0,eq_c2/2))+(PI()*(s_0+11*s_r+IF(circ_int,eq_c1/2,0))/2))+2*IF(circ_int,0,eq_c1/2))+(PI()*(s_0+11*s_r+IF(circ_int,eq_c1/2,0))/2))+2*IF(circ_int,0,eq_c2/2)),IF(circ_int,0,eq_c2/2)-(((32+0.5)*(4*IF(circ_int,0,eq_c1/2)+4*IF(circ_int,0,eq_c2/2)+2*PI()*(s_0+11*s_r+IF(circ_int,eq_c1/2,0)))/INDEX(lk_legs,12))-((((2*IF(circ_int,0,eq_c2/2))+(PI()*(s_0+11*s_r+IF(circ_int,eq_c1/2,0))/2))+2*IF(circ_int,0,eq_c1/2))+(PI()*(s_0+11*s_r+IF(circ_int,eq_c1/2,0))/2))),IF(((32+0.5)*(4*IF(circ_int,0,eq_c1/2)+4*IF(circ_int,0,eq_c2/2)+2*PI()*(s_0+11*s_r+IF(circ_int,eq_c1/2,0)))/INDEX(lk_legs,12))&lt;((((((2*IF(circ_int,0,eq_c2/2))+(PI()*(s_0+11*s_r+IF(circ_int,eq_c1/2,0))/2))+2*IF(circ_int,0,eq_c1/2))+(PI()*(s_0+11*s_r+IF(circ_int,eq_c1/2,0))/2))+2*IF(circ_int,0,eq_c2/2))+(PI()*(s_0+11*s_r+IF(circ_int,eq_c1/2,0))/2)),-IF(circ_int,0,eq_c2/2)+(s_0+11*s_r+IF(circ_int,eq_c1/2,0))*SIN(PI()+(((32+0.5)*(4*IF(circ_int,0,eq_c1/2)+4*IF(circ_int,0,eq_c2/2)+2*PI()*(s_0+11*s_r+IF(circ_int,eq_c1/2,0)))/INDEX(lk_legs,12))-(((((2*IF(circ_int,0,eq_c2/2))+(PI()*(s_0+11*s_r+IF(circ_int,eq_c1/2,0))/2))+2*IF(circ_int,0,eq_c1/2))+(PI()*(s_0+11*s_r+IF(circ_int,eq_c1/2,0))/2))+2*IF(circ_int,0,eq_c2/2)))/(s_0+11*s_r+IF(circ_int,eq_c1/2,0))),IF(((32+0.5)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(32+0.5)*(4*IF(circ_int,0,eq_c1/2)+4*IF(circ_int,0,eq_c2/2)+2*PI()*(s_0+11*s_r+IF(circ_int,eq_c1/2,0)))/INDEX(lk_legs,12))-(((((((2*IF(circ_int,0,eq_c2/2))+(PI()*(s_0+11*s_r+IF(circ_int,eq_c1/2,0))/2))+2*IF(circ_int,0,eq_c1/2))+(PI()*(s_0+11*s_r+IF(circ_int,eq_c1/2,0))/2))+2*IF(circ_int,0,eq_c2/2))+(PI()*(s_0+11*s_r+IF(circ_int,eq_c1/2,0))/2))+2*IF(circ_int,0,eq_c1/2)))/(s_0+11*s_r+IF(circ_int,eq_c1/2,0)))))))))),NA())</f>
        <v/>
      </c>
    </row>
    <row r="36">
      <c r="A36">
        <f>IF(shape="Circular",(g_ox)+(c_1/2+0)*-0.663123,CHOOSE(1,(g_ox-eq_c1/2)+(0)*-0.608761,0,eq_a1+eq_c1+0,eq_a1+eq_c1+0))</f>
        <v/>
      </c>
      <c r="B36">
        <f>IF(shape="Circular",(g_oy)+(c_1/2+0)*-0.748511,CHOOSE(1,(g_oy-eq_c2/2)+(0)*-0.793353,g_oy-eq_c2/2-0,0,0))</f>
        <v/>
      </c>
      <c r="D36">
        <f>IF(circ_int,(g_ox)+(c_1/2+2*d_eff)*-0.663123,CHOOSE(geo_idx,(g_ox-eq_c1/2)+(2*d_eff)*-0.608761,0,eq_a1+eq_c1+2*d_eff,eq_a1+eq_c1+2*d_eff))</f>
        <v/>
      </c>
      <c r="E36">
        <f>IF(circ_int,(g_oy)+(c_1/2+2*d_eff)*-0.748511,CHOOSE(geo_idx,(g_oy-eq_c2/2)+(2*d_eff)*-0.793353,g_oy-eq_c2/2-2*d_eff,0,0))</f>
        <v/>
      </c>
      <c r="G36">
        <f>IF(AND(inputs_ok,punch_ok,A_sw&gt;0),IF(circ_int,(g_ox)+(c_1/2+r_out)*-0.663123,CHOOSE(kind_out,(g_ox-eq_c1/2)+(r_out)*-0.608761,0,eq_a1+eq_c1+r_out,eq_a1+eq_c1+r_out)),NA())</f>
        <v/>
      </c>
      <c r="H36">
        <f>IF(AND(inputs_ok,punch_ok,A_sw&gt;0),IF(circ_int,(g_oy)+(c_1/2+r_out)*-0.748511,CHOOSE(kind_out,(g_oy-eq_c2/2)+(r_out)*-0.793353,g_oy-eq_c2/2-r_out,0,0)),NA())</f>
        <v/>
      </c>
      <c r="AW36">
        <f>IF(AND(links_on,1&lt;=n_per),IF(circ_int,(g_ox)+(c_1/2+(s_0+0*s_r))*-0.663123,CHOOSE(INDEX(lk_kind,1),(g_ox-eq_c1/2)+((s_0+0*s_r))*-0.608761,0,eq_a1+eq_c1+(s_0+0*s_r),eq_a1+eq_c1+(s_0+0*s_r))),NA())</f>
        <v/>
      </c>
      <c r="AX36">
        <f>IF(AND(links_on,1&lt;=n_per),IF(circ_int,(g_oy)+(c_1/2+(s_0+0*s_r))*-0.748511,CHOOSE(INDEX(lk_kind,1),(g_oy-eq_c2/2)+((s_0+0*s_r))*-0.793353,g_oy-eq_c2/2-(s_0+0*s_r),0,0)),NA())</f>
        <v/>
      </c>
      <c r="AZ36">
        <f>IF(AND(AND(links_on,1&lt;=n_per),INDEX(lk_kind,1)=1,33&lt;INDEX(lk_legs,1)),g_ox+IF(((33+0.5)*(4*IF(circ_int,0,eq_c1/2)+4*IF(circ_int,0,eq_c2/2)+2*PI()*(s_0+0*s_r+IF(circ_int,eq_c1/2,0)))/INDEX(lk_legs,1))&lt;(2*IF(circ_int,0,eq_c2/2)),IF(circ_int,0,eq_c1/2)+(s_0+0*s_r+IF(circ_int,eq_c1/2,0)),IF(((33+0.5)*(4*IF(circ_int,0,eq_c1/2)+4*IF(circ_int,0,eq_c2/2)+2*PI()*(s_0+0*s_r+IF(circ_int,eq_c1/2,0)))/INDEX(lk_legs,1))&lt;((2*IF(circ_int,0,eq_c2/2))+(PI()*(s_0+0*s_r+IF(circ_int,eq_c1/2,0))/2)),IF(circ_int,0,eq_c1/2)+(s_0+0*s_r+IF(circ_int,eq_c1/2,0))*COS((((33+0.5)*(4*IF(circ_int,0,eq_c1/2)+4*IF(circ_int,0,eq_c2/2)+2*PI()*(s_0+0*s_r+IF(circ_int,eq_c1/2,0)))/INDEX(lk_legs,1))-(2*IF(circ_int,0,eq_c2/2)))/(s_0+0*s_r+IF(circ_int,eq_c1/2,0))),IF(((33+0.5)*(4*IF(circ_int,0,eq_c1/2)+4*IF(circ_int,0,eq_c2/2)+2*PI()*(s_0+0*s_r+IF(circ_int,eq_c1/2,0)))/INDEX(lk_legs,1))&lt;(((2*IF(circ_int,0,eq_c2/2))+(PI()*(s_0+0*s_r+IF(circ_int,eq_c1/2,0))/2))+2*IF(circ_int,0,eq_c1/2)),IF(circ_int,0,eq_c1/2)-(((33+0.5)*(4*IF(circ_int,0,eq_c1/2)+4*IF(circ_int,0,eq_c2/2)+2*PI()*(s_0+0*s_r+IF(circ_int,eq_c1/2,0)))/INDEX(lk_legs,1))-((2*IF(circ_int,0,eq_c2/2))+(PI()*(s_0+0*s_r+IF(circ_int,eq_c1/2,0))/2))),IF(((33+0.5)*(4*IF(circ_int,0,eq_c1/2)+4*IF(circ_int,0,eq_c2/2)+2*PI()*(s_0+0*s_r+IF(circ_int,eq_c1/2,0)))/INDEX(lk_legs,1))&lt;((((2*IF(circ_int,0,eq_c2/2))+(PI()*(s_0+0*s_r+IF(circ_int,eq_c1/2,0))/2))+2*IF(circ_int,0,eq_c1/2))+(PI()*(s_0+0*s_r+IF(circ_int,eq_c1/2,0))/2)),-IF(circ_int,0,eq_c1/2)+(s_0+0*s_r+IF(circ_int,eq_c1/2,0))*COS(PI()/2+(((33+0.5)*(4*IF(circ_int,0,eq_c1/2)+4*IF(circ_int,0,eq_c2/2)+2*PI()*(s_0+0*s_r+IF(circ_int,eq_c1/2,0)))/INDEX(lk_legs,1))-(((2*IF(circ_int,0,eq_c2/2))+(PI()*(s_0+0*s_r+IF(circ_int,eq_c1/2,0))/2))+2*IF(circ_int,0,eq_c1/2)))/(s_0+0*s_r+IF(circ_int,eq_c1/2,0))),IF(((33+0.5)*(4*IF(circ_int,0,eq_c1/2)+4*IF(circ_int,0,eq_c2/2)+2*PI()*(s_0+0*s_r+IF(circ_int,eq_c1/2,0)))/INDEX(lk_legs,1))&lt;(((((2*IF(circ_int,0,eq_c2/2))+(PI()*(s_0+0*s_r+IF(circ_int,eq_c1/2,0))/2))+2*IF(circ_int,0,eq_c1/2))+(PI()*(s_0+0*s_r+IF(circ_int,eq_c1/2,0))/2))+2*IF(circ_int,0,eq_c2/2)),-IF(circ_int,0,eq_c1/2)-(s_0+0*s_r+IF(circ_int,eq_c1/2,0)),IF(((33+0.5)*(4*IF(circ_int,0,eq_c1/2)+4*IF(circ_int,0,eq_c2/2)+2*PI()*(s_0+0*s_r+IF(circ_int,eq_c1/2,0)))/INDEX(lk_legs,1))&lt;((((((2*IF(circ_int,0,eq_c2/2))+(PI()*(s_0+0*s_r+IF(circ_int,eq_c1/2,0))/2))+2*IF(circ_int,0,eq_c1/2))+(PI()*(s_0+0*s_r+IF(circ_int,eq_c1/2,0))/2))+2*IF(circ_int,0,eq_c2/2))+(PI()*(s_0+0*s_r+IF(circ_int,eq_c1/2,0))/2)),-IF(circ_int,0,eq_c1/2)+(s_0+0*s_r+IF(circ_int,eq_c1/2,0))*COS(PI()+(((33+0.5)*(4*IF(circ_int,0,eq_c1/2)+4*IF(circ_int,0,eq_c2/2)+2*PI()*(s_0+0*s_r+IF(circ_int,eq_c1/2,0)))/INDEX(lk_legs,1))-(((((2*IF(circ_int,0,eq_c2/2))+(PI()*(s_0+0*s_r+IF(circ_int,eq_c1/2,0))/2))+2*IF(circ_int,0,eq_c1/2))+(PI()*(s_0+0*s_r+IF(circ_int,eq_c1/2,0))/2))+2*IF(circ_int,0,eq_c2/2)))/(s_0+0*s_r+IF(circ_int,eq_c1/2,0))),IF(((33+0.5)*(4*IF(circ_int,0,eq_c1/2)+4*IF(circ_int,0,eq_c2/2)+2*PI()*(s_0+0*s_r+IF(circ_int,eq_c1/2,0)))/INDEX(lk_legs,1))&lt;(((((((2*IF(circ_int,0,eq_c2/2))+(PI()*(s_0+0*s_r+IF(circ_int,eq_c1/2,0))/2))+2*IF(circ_int,0,eq_c1/2))+(PI()*(s_0+0*s_r+IF(circ_int,eq_c1/2,0))/2))+2*IF(circ_int,0,eq_c2/2))+(PI()*(s_0+0*s_r+IF(circ_int,eq_c1/2,0))/2))+2*IF(circ_int,0,eq_c1/2)),-IF(circ_int,0,eq_c1/2)+(((33+0.5)*(4*IF(circ_int,0,eq_c1/2)+4*IF(circ_int,0,eq_c2/2)+2*PI()*(s_0+0*s_r+IF(circ_int,eq_c1/2,0)))/INDEX(lk_legs,1))-((((((2*IF(circ_int,0,eq_c2/2))+(PI()*(s_0+0*s_r+IF(circ_int,eq_c1/2,0))/2))+2*IF(circ_int,0,eq_c1/2))+(PI()*(s_0+0*s_r+IF(circ_int,eq_c1/2,0))/2))+2*IF(circ_int,0,eq_c2/2))+(PI()*(s_0+0*s_r+IF(circ_int,eq_c1/2,0))/2))),IF(circ_int,0,eq_c1/2)+(s_0+0*s_r+IF(circ_int,eq_c1/2,0))*COS(3*PI()/2+(((33+0.5)*(4*IF(circ_int,0,eq_c1/2)+4*IF(circ_int,0,eq_c2/2)+2*PI()*(s_0+0*s_r+IF(circ_int,eq_c1/2,0)))/INDEX(lk_legs,1))-(((((((2*IF(circ_int,0,eq_c2/2))+(PI()*(s_0+0*s_r+IF(circ_int,eq_c1/2,0))/2))+2*IF(circ_int,0,eq_c1/2))+(PI()*(s_0+0*s_r+IF(circ_int,eq_c1/2,0))/2))+2*IF(circ_int,0,eq_c2/2))+(PI()*(s_0+0*s_r+IF(circ_int,eq_c1/2,0))/2))+2*IF(circ_int,0,eq_c1/2)))/(s_0+0*s_r+IF(circ_int,eq_c1/2,0)))))))))),NA())</f>
        <v/>
      </c>
      <c r="BA36">
        <f>IF(AND(AND(links_on,1&lt;=n_per),INDEX(lk_kind,1)=1,33&lt;INDEX(lk_legs,1)),g_oy+IF(((33+0.5)*(4*IF(circ_int,0,eq_c1/2)+4*IF(circ_int,0,eq_c2/2)+2*PI()*(s_0+0*s_r+IF(circ_int,eq_c1/2,0)))/INDEX(lk_legs,1))&lt;(2*IF(circ_int,0,eq_c2/2)),-IF(circ_int,0,eq_c2/2)+((33+0.5)*(4*IF(circ_int,0,eq_c1/2)+4*IF(circ_int,0,eq_c2/2)+2*PI()*(s_0+0*s_r+IF(circ_int,eq_c1/2,0)))/INDEX(lk_legs,1)),IF(((33+0.5)*(4*IF(circ_int,0,eq_c1/2)+4*IF(circ_int,0,eq_c2/2)+2*PI()*(s_0+0*s_r+IF(circ_int,eq_c1/2,0)))/INDEX(lk_legs,1))&lt;((2*IF(circ_int,0,eq_c2/2))+(PI()*(s_0+0*s_r+IF(circ_int,eq_c1/2,0))/2)),IF(circ_int,0,eq_c2/2)+(s_0+0*s_r+IF(circ_int,eq_c1/2,0))*SIN((((33+0.5)*(4*IF(circ_int,0,eq_c1/2)+4*IF(circ_int,0,eq_c2/2)+2*PI()*(s_0+0*s_r+IF(circ_int,eq_c1/2,0)))/INDEX(lk_legs,1))-(2*IF(circ_int,0,eq_c2/2)))/(s_0+0*s_r+IF(circ_int,eq_c1/2,0))),IF(((33+0.5)*(4*IF(circ_int,0,eq_c1/2)+4*IF(circ_int,0,eq_c2/2)+2*PI()*(s_0+0*s_r+IF(circ_int,eq_c1/2,0)))/INDEX(lk_legs,1))&lt;(((2*IF(circ_int,0,eq_c2/2))+(PI()*(s_0+0*s_r+IF(circ_int,eq_c1/2,0))/2))+2*IF(circ_int,0,eq_c1/2)),IF(circ_int,0,eq_c2/2)+(s_0+0*s_r+IF(circ_int,eq_c1/2,0)),IF(((33+0.5)*(4*IF(circ_int,0,eq_c1/2)+4*IF(circ_int,0,eq_c2/2)+2*PI()*(s_0+0*s_r+IF(circ_int,eq_c1/2,0)))/INDEX(lk_legs,1))&lt;((((2*IF(circ_int,0,eq_c2/2))+(PI()*(s_0+0*s_r+IF(circ_int,eq_c1/2,0))/2))+2*IF(circ_int,0,eq_c1/2))+(PI()*(s_0+0*s_r+IF(circ_int,eq_c1/2,0))/2)),IF(circ_int,0,eq_c2/2)+(s_0+0*s_r+IF(circ_int,eq_c1/2,0))*SIN(PI()/2+(((33+0.5)*(4*IF(circ_int,0,eq_c1/2)+4*IF(circ_int,0,eq_c2/2)+2*PI()*(s_0+0*s_r+IF(circ_int,eq_c1/2,0)))/INDEX(lk_legs,1))-(((2*IF(circ_int,0,eq_c2/2))+(PI()*(s_0+0*s_r+IF(circ_int,eq_c1/2,0))/2))+2*IF(circ_int,0,eq_c1/2)))/(s_0+0*s_r+IF(circ_int,eq_c1/2,0))),IF(((33+0.5)*(4*IF(circ_int,0,eq_c1/2)+4*IF(circ_int,0,eq_c2/2)+2*PI()*(s_0+0*s_r+IF(circ_int,eq_c1/2,0)))/INDEX(lk_legs,1))&lt;(((((2*IF(circ_int,0,eq_c2/2))+(PI()*(s_0+0*s_r+IF(circ_int,eq_c1/2,0))/2))+2*IF(circ_int,0,eq_c1/2))+(PI()*(s_0+0*s_r+IF(circ_int,eq_c1/2,0))/2))+2*IF(circ_int,0,eq_c2/2)),IF(circ_int,0,eq_c2/2)-(((33+0.5)*(4*IF(circ_int,0,eq_c1/2)+4*IF(circ_int,0,eq_c2/2)+2*PI()*(s_0+0*s_r+IF(circ_int,eq_c1/2,0)))/INDEX(lk_legs,1))-((((2*IF(circ_int,0,eq_c2/2))+(PI()*(s_0+0*s_r+IF(circ_int,eq_c1/2,0))/2))+2*IF(circ_int,0,eq_c1/2))+(PI()*(s_0+0*s_r+IF(circ_int,eq_c1/2,0))/2))),IF(((33+0.5)*(4*IF(circ_int,0,eq_c1/2)+4*IF(circ_int,0,eq_c2/2)+2*PI()*(s_0+0*s_r+IF(circ_int,eq_c1/2,0)))/INDEX(lk_legs,1))&lt;((((((2*IF(circ_int,0,eq_c2/2))+(PI()*(s_0+0*s_r+IF(circ_int,eq_c1/2,0))/2))+2*IF(circ_int,0,eq_c1/2))+(PI()*(s_0+0*s_r+IF(circ_int,eq_c1/2,0))/2))+2*IF(circ_int,0,eq_c2/2))+(PI()*(s_0+0*s_r+IF(circ_int,eq_c1/2,0))/2)),-IF(circ_int,0,eq_c2/2)+(s_0+0*s_r+IF(circ_int,eq_c1/2,0))*SIN(PI()+(((33+0.5)*(4*IF(circ_int,0,eq_c1/2)+4*IF(circ_int,0,eq_c2/2)+2*PI()*(s_0+0*s_r+IF(circ_int,eq_c1/2,0)))/INDEX(lk_legs,1))-(((((2*IF(circ_int,0,eq_c2/2))+(PI()*(s_0+0*s_r+IF(circ_int,eq_c1/2,0))/2))+2*IF(circ_int,0,eq_c1/2))+(PI()*(s_0+0*s_r+IF(circ_int,eq_c1/2,0))/2))+2*IF(circ_int,0,eq_c2/2)))/(s_0+0*s_r+IF(circ_int,eq_c1/2,0))),IF(((33+0.5)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(33+0.5)*(4*IF(circ_int,0,eq_c1/2)+4*IF(circ_int,0,eq_c2/2)+2*PI()*(s_0+0*s_r+IF(circ_int,eq_c1/2,0)))/INDEX(lk_legs,1))-(((((((2*IF(circ_int,0,eq_c2/2))+(PI()*(s_0+0*s_r+IF(circ_int,eq_c1/2,0))/2))+2*IF(circ_int,0,eq_c1/2))+(PI()*(s_0+0*s_r+IF(circ_int,eq_c1/2,0))/2))+2*IF(circ_int,0,eq_c2/2))+(PI()*(s_0+0*s_r+IF(circ_int,eq_c1/2,0))/2))+2*IF(circ_int,0,eq_c1/2)))/(s_0+0*s_r+IF(circ_int,eq_c1/2,0)))))))))),NA())</f>
        <v/>
      </c>
      <c r="BC36">
        <f>IF(AND(links_on,2&lt;=n_per),IF(circ_int,(g_ox)+(c_1/2+(s_0+1*s_r))*-0.663123,CHOOSE(INDEX(lk_kind,2),(g_ox-eq_c1/2)+((s_0+1*s_r))*-0.608761,0,eq_a1+eq_c1+(s_0+1*s_r),eq_a1+eq_c1+(s_0+1*s_r))),NA())</f>
        <v/>
      </c>
      <c r="BD36">
        <f>IF(AND(links_on,2&lt;=n_per),IF(circ_int,(g_oy)+(c_1/2+(s_0+1*s_r))*-0.748511,CHOOSE(INDEX(lk_kind,2),(g_oy-eq_c2/2)+((s_0+1*s_r))*-0.793353,g_oy-eq_c2/2-(s_0+1*s_r),0,0)),NA())</f>
        <v/>
      </c>
      <c r="BF36">
        <f>IF(AND(AND(links_on,2&lt;=n_per),INDEX(lk_kind,2)=1,33&lt;INDEX(lk_legs,2)),g_ox+IF(((33+0.5)*(4*IF(circ_int,0,eq_c1/2)+4*IF(circ_int,0,eq_c2/2)+2*PI()*(s_0+1*s_r+IF(circ_int,eq_c1/2,0)))/INDEX(lk_legs,2))&lt;(2*IF(circ_int,0,eq_c2/2)),IF(circ_int,0,eq_c1/2)+(s_0+1*s_r+IF(circ_int,eq_c1/2,0)),IF(((33+0.5)*(4*IF(circ_int,0,eq_c1/2)+4*IF(circ_int,0,eq_c2/2)+2*PI()*(s_0+1*s_r+IF(circ_int,eq_c1/2,0)))/INDEX(lk_legs,2))&lt;((2*IF(circ_int,0,eq_c2/2))+(PI()*(s_0+1*s_r+IF(circ_int,eq_c1/2,0))/2)),IF(circ_int,0,eq_c1/2)+(s_0+1*s_r+IF(circ_int,eq_c1/2,0))*COS((((33+0.5)*(4*IF(circ_int,0,eq_c1/2)+4*IF(circ_int,0,eq_c2/2)+2*PI()*(s_0+1*s_r+IF(circ_int,eq_c1/2,0)))/INDEX(lk_legs,2))-(2*IF(circ_int,0,eq_c2/2)))/(s_0+1*s_r+IF(circ_int,eq_c1/2,0))),IF(((33+0.5)*(4*IF(circ_int,0,eq_c1/2)+4*IF(circ_int,0,eq_c2/2)+2*PI()*(s_0+1*s_r+IF(circ_int,eq_c1/2,0)))/INDEX(lk_legs,2))&lt;(((2*IF(circ_int,0,eq_c2/2))+(PI()*(s_0+1*s_r+IF(circ_int,eq_c1/2,0))/2))+2*IF(circ_int,0,eq_c1/2)),IF(circ_int,0,eq_c1/2)-(((33+0.5)*(4*IF(circ_int,0,eq_c1/2)+4*IF(circ_int,0,eq_c2/2)+2*PI()*(s_0+1*s_r+IF(circ_int,eq_c1/2,0)))/INDEX(lk_legs,2))-((2*IF(circ_int,0,eq_c2/2))+(PI()*(s_0+1*s_r+IF(circ_int,eq_c1/2,0))/2))),IF(((33+0.5)*(4*IF(circ_int,0,eq_c1/2)+4*IF(circ_int,0,eq_c2/2)+2*PI()*(s_0+1*s_r+IF(circ_int,eq_c1/2,0)))/INDEX(lk_legs,2))&lt;((((2*IF(circ_int,0,eq_c2/2))+(PI()*(s_0+1*s_r+IF(circ_int,eq_c1/2,0))/2))+2*IF(circ_int,0,eq_c1/2))+(PI()*(s_0+1*s_r+IF(circ_int,eq_c1/2,0))/2)),-IF(circ_int,0,eq_c1/2)+(s_0+1*s_r+IF(circ_int,eq_c1/2,0))*COS(PI()/2+(((33+0.5)*(4*IF(circ_int,0,eq_c1/2)+4*IF(circ_int,0,eq_c2/2)+2*PI()*(s_0+1*s_r+IF(circ_int,eq_c1/2,0)))/INDEX(lk_legs,2))-(((2*IF(circ_int,0,eq_c2/2))+(PI()*(s_0+1*s_r+IF(circ_int,eq_c1/2,0))/2))+2*IF(circ_int,0,eq_c1/2)))/(s_0+1*s_r+IF(circ_int,eq_c1/2,0))),IF(((33+0.5)*(4*IF(circ_int,0,eq_c1/2)+4*IF(circ_int,0,eq_c2/2)+2*PI()*(s_0+1*s_r+IF(circ_int,eq_c1/2,0)))/INDEX(lk_legs,2))&lt;(((((2*IF(circ_int,0,eq_c2/2))+(PI()*(s_0+1*s_r+IF(circ_int,eq_c1/2,0))/2))+2*IF(circ_int,0,eq_c1/2))+(PI()*(s_0+1*s_r+IF(circ_int,eq_c1/2,0))/2))+2*IF(circ_int,0,eq_c2/2)),-IF(circ_int,0,eq_c1/2)-(s_0+1*s_r+IF(circ_int,eq_c1/2,0)),IF(((33+0.5)*(4*IF(circ_int,0,eq_c1/2)+4*IF(circ_int,0,eq_c2/2)+2*PI()*(s_0+1*s_r+IF(circ_int,eq_c1/2,0)))/INDEX(lk_legs,2))&lt;((((((2*IF(circ_int,0,eq_c2/2))+(PI()*(s_0+1*s_r+IF(circ_int,eq_c1/2,0))/2))+2*IF(circ_int,0,eq_c1/2))+(PI()*(s_0+1*s_r+IF(circ_int,eq_c1/2,0))/2))+2*IF(circ_int,0,eq_c2/2))+(PI()*(s_0+1*s_r+IF(circ_int,eq_c1/2,0))/2)),-IF(circ_int,0,eq_c1/2)+(s_0+1*s_r+IF(circ_int,eq_c1/2,0))*COS(PI()+(((33+0.5)*(4*IF(circ_int,0,eq_c1/2)+4*IF(circ_int,0,eq_c2/2)+2*PI()*(s_0+1*s_r+IF(circ_int,eq_c1/2,0)))/INDEX(lk_legs,2))-(((((2*IF(circ_int,0,eq_c2/2))+(PI()*(s_0+1*s_r+IF(circ_int,eq_c1/2,0))/2))+2*IF(circ_int,0,eq_c1/2))+(PI()*(s_0+1*s_r+IF(circ_int,eq_c1/2,0))/2))+2*IF(circ_int,0,eq_c2/2)))/(s_0+1*s_r+IF(circ_int,eq_c1/2,0))),IF(((33+0.5)*(4*IF(circ_int,0,eq_c1/2)+4*IF(circ_int,0,eq_c2/2)+2*PI()*(s_0+1*s_r+IF(circ_int,eq_c1/2,0)))/INDEX(lk_legs,2))&lt;(((((((2*IF(circ_int,0,eq_c2/2))+(PI()*(s_0+1*s_r+IF(circ_int,eq_c1/2,0))/2))+2*IF(circ_int,0,eq_c1/2))+(PI()*(s_0+1*s_r+IF(circ_int,eq_c1/2,0))/2))+2*IF(circ_int,0,eq_c2/2))+(PI()*(s_0+1*s_r+IF(circ_int,eq_c1/2,0))/2))+2*IF(circ_int,0,eq_c1/2)),-IF(circ_int,0,eq_c1/2)+(((33+0.5)*(4*IF(circ_int,0,eq_c1/2)+4*IF(circ_int,0,eq_c2/2)+2*PI()*(s_0+1*s_r+IF(circ_int,eq_c1/2,0)))/INDEX(lk_legs,2))-((((((2*IF(circ_int,0,eq_c2/2))+(PI()*(s_0+1*s_r+IF(circ_int,eq_c1/2,0))/2))+2*IF(circ_int,0,eq_c1/2))+(PI()*(s_0+1*s_r+IF(circ_int,eq_c1/2,0))/2))+2*IF(circ_int,0,eq_c2/2))+(PI()*(s_0+1*s_r+IF(circ_int,eq_c1/2,0))/2))),IF(circ_int,0,eq_c1/2)+(s_0+1*s_r+IF(circ_int,eq_c1/2,0))*COS(3*PI()/2+(((33+0.5)*(4*IF(circ_int,0,eq_c1/2)+4*IF(circ_int,0,eq_c2/2)+2*PI()*(s_0+1*s_r+IF(circ_int,eq_c1/2,0)))/INDEX(lk_legs,2))-(((((((2*IF(circ_int,0,eq_c2/2))+(PI()*(s_0+1*s_r+IF(circ_int,eq_c1/2,0))/2))+2*IF(circ_int,0,eq_c1/2))+(PI()*(s_0+1*s_r+IF(circ_int,eq_c1/2,0))/2))+2*IF(circ_int,0,eq_c2/2))+(PI()*(s_0+1*s_r+IF(circ_int,eq_c1/2,0))/2))+2*IF(circ_int,0,eq_c1/2)))/(s_0+1*s_r+IF(circ_int,eq_c1/2,0)))))))))),NA())</f>
        <v/>
      </c>
      <c r="BG36">
        <f>IF(AND(AND(links_on,2&lt;=n_per),INDEX(lk_kind,2)=1,33&lt;INDEX(lk_legs,2)),g_oy+IF(((33+0.5)*(4*IF(circ_int,0,eq_c1/2)+4*IF(circ_int,0,eq_c2/2)+2*PI()*(s_0+1*s_r+IF(circ_int,eq_c1/2,0)))/INDEX(lk_legs,2))&lt;(2*IF(circ_int,0,eq_c2/2)),-IF(circ_int,0,eq_c2/2)+((33+0.5)*(4*IF(circ_int,0,eq_c1/2)+4*IF(circ_int,0,eq_c2/2)+2*PI()*(s_0+1*s_r+IF(circ_int,eq_c1/2,0)))/INDEX(lk_legs,2)),IF(((33+0.5)*(4*IF(circ_int,0,eq_c1/2)+4*IF(circ_int,0,eq_c2/2)+2*PI()*(s_0+1*s_r+IF(circ_int,eq_c1/2,0)))/INDEX(lk_legs,2))&lt;((2*IF(circ_int,0,eq_c2/2))+(PI()*(s_0+1*s_r+IF(circ_int,eq_c1/2,0))/2)),IF(circ_int,0,eq_c2/2)+(s_0+1*s_r+IF(circ_int,eq_c1/2,0))*SIN((((33+0.5)*(4*IF(circ_int,0,eq_c1/2)+4*IF(circ_int,0,eq_c2/2)+2*PI()*(s_0+1*s_r+IF(circ_int,eq_c1/2,0)))/INDEX(lk_legs,2))-(2*IF(circ_int,0,eq_c2/2)))/(s_0+1*s_r+IF(circ_int,eq_c1/2,0))),IF(((33+0.5)*(4*IF(circ_int,0,eq_c1/2)+4*IF(circ_int,0,eq_c2/2)+2*PI()*(s_0+1*s_r+IF(circ_int,eq_c1/2,0)))/INDEX(lk_legs,2))&lt;(((2*IF(circ_int,0,eq_c2/2))+(PI()*(s_0+1*s_r+IF(circ_int,eq_c1/2,0))/2))+2*IF(circ_int,0,eq_c1/2)),IF(circ_int,0,eq_c2/2)+(s_0+1*s_r+IF(circ_int,eq_c1/2,0)),IF(((33+0.5)*(4*IF(circ_int,0,eq_c1/2)+4*IF(circ_int,0,eq_c2/2)+2*PI()*(s_0+1*s_r+IF(circ_int,eq_c1/2,0)))/INDEX(lk_legs,2))&lt;((((2*IF(circ_int,0,eq_c2/2))+(PI()*(s_0+1*s_r+IF(circ_int,eq_c1/2,0))/2))+2*IF(circ_int,0,eq_c1/2))+(PI()*(s_0+1*s_r+IF(circ_int,eq_c1/2,0))/2)),IF(circ_int,0,eq_c2/2)+(s_0+1*s_r+IF(circ_int,eq_c1/2,0))*SIN(PI()/2+(((33+0.5)*(4*IF(circ_int,0,eq_c1/2)+4*IF(circ_int,0,eq_c2/2)+2*PI()*(s_0+1*s_r+IF(circ_int,eq_c1/2,0)))/INDEX(lk_legs,2))-(((2*IF(circ_int,0,eq_c2/2))+(PI()*(s_0+1*s_r+IF(circ_int,eq_c1/2,0))/2))+2*IF(circ_int,0,eq_c1/2)))/(s_0+1*s_r+IF(circ_int,eq_c1/2,0))),IF(((33+0.5)*(4*IF(circ_int,0,eq_c1/2)+4*IF(circ_int,0,eq_c2/2)+2*PI()*(s_0+1*s_r+IF(circ_int,eq_c1/2,0)))/INDEX(lk_legs,2))&lt;(((((2*IF(circ_int,0,eq_c2/2))+(PI()*(s_0+1*s_r+IF(circ_int,eq_c1/2,0))/2))+2*IF(circ_int,0,eq_c1/2))+(PI()*(s_0+1*s_r+IF(circ_int,eq_c1/2,0))/2))+2*IF(circ_int,0,eq_c2/2)),IF(circ_int,0,eq_c2/2)-(((33+0.5)*(4*IF(circ_int,0,eq_c1/2)+4*IF(circ_int,0,eq_c2/2)+2*PI()*(s_0+1*s_r+IF(circ_int,eq_c1/2,0)))/INDEX(lk_legs,2))-((((2*IF(circ_int,0,eq_c2/2))+(PI()*(s_0+1*s_r+IF(circ_int,eq_c1/2,0))/2))+2*IF(circ_int,0,eq_c1/2))+(PI()*(s_0+1*s_r+IF(circ_int,eq_c1/2,0))/2))),IF(((33+0.5)*(4*IF(circ_int,0,eq_c1/2)+4*IF(circ_int,0,eq_c2/2)+2*PI()*(s_0+1*s_r+IF(circ_int,eq_c1/2,0)))/INDEX(lk_legs,2))&lt;((((((2*IF(circ_int,0,eq_c2/2))+(PI()*(s_0+1*s_r+IF(circ_int,eq_c1/2,0))/2))+2*IF(circ_int,0,eq_c1/2))+(PI()*(s_0+1*s_r+IF(circ_int,eq_c1/2,0))/2))+2*IF(circ_int,0,eq_c2/2))+(PI()*(s_0+1*s_r+IF(circ_int,eq_c1/2,0))/2)),-IF(circ_int,0,eq_c2/2)+(s_0+1*s_r+IF(circ_int,eq_c1/2,0))*SIN(PI()+(((33+0.5)*(4*IF(circ_int,0,eq_c1/2)+4*IF(circ_int,0,eq_c2/2)+2*PI()*(s_0+1*s_r+IF(circ_int,eq_c1/2,0)))/INDEX(lk_legs,2))-(((((2*IF(circ_int,0,eq_c2/2))+(PI()*(s_0+1*s_r+IF(circ_int,eq_c1/2,0))/2))+2*IF(circ_int,0,eq_c1/2))+(PI()*(s_0+1*s_r+IF(circ_int,eq_c1/2,0))/2))+2*IF(circ_int,0,eq_c2/2)))/(s_0+1*s_r+IF(circ_int,eq_c1/2,0))),IF(((33+0.5)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(33+0.5)*(4*IF(circ_int,0,eq_c1/2)+4*IF(circ_int,0,eq_c2/2)+2*PI()*(s_0+1*s_r+IF(circ_int,eq_c1/2,0)))/INDEX(lk_legs,2))-(((((((2*IF(circ_int,0,eq_c2/2))+(PI()*(s_0+1*s_r+IF(circ_int,eq_c1/2,0))/2))+2*IF(circ_int,0,eq_c1/2))+(PI()*(s_0+1*s_r+IF(circ_int,eq_c1/2,0))/2))+2*IF(circ_int,0,eq_c2/2))+(PI()*(s_0+1*s_r+IF(circ_int,eq_c1/2,0))/2))+2*IF(circ_int,0,eq_c1/2)))/(s_0+1*s_r+IF(circ_int,eq_c1/2,0)))))))))),NA())</f>
        <v/>
      </c>
      <c r="BI36">
        <f>IF(AND(links_on,3&lt;=n_per),IF(circ_int,(g_ox)+(c_1/2+(s_0+2*s_r))*-0.663123,CHOOSE(INDEX(lk_kind,3),(g_ox-eq_c1/2)+((s_0+2*s_r))*-0.608761,0,eq_a1+eq_c1+(s_0+2*s_r),eq_a1+eq_c1+(s_0+2*s_r))),NA())</f>
        <v/>
      </c>
      <c r="BJ36">
        <f>IF(AND(links_on,3&lt;=n_per),IF(circ_int,(g_oy)+(c_1/2+(s_0+2*s_r))*-0.748511,CHOOSE(INDEX(lk_kind,3),(g_oy-eq_c2/2)+((s_0+2*s_r))*-0.793353,g_oy-eq_c2/2-(s_0+2*s_r),0,0)),NA())</f>
        <v/>
      </c>
      <c r="BL36">
        <f>IF(AND(AND(links_on,3&lt;=n_per),INDEX(lk_kind,3)=1,33&lt;INDEX(lk_legs,3)),g_ox+IF(((33+0.5)*(4*IF(circ_int,0,eq_c1/2)+4*IF(circ_int,0,eq_c2/2)+2*PI()*(s_0+2*s_r+IF(circ_int,eq_c1/2,0)))/INDEX(lk_legs,3))&lt;(2*IF(circ_int,0,eq_c2/2)),IF(circ_int,0,eq_c1/2)+(s_0+2*s_r+IF(circ_int,eq_c1/2,0)),IF(((33+0.5)*(4*IF(circ_int,0,eq_c1/2)+4*IF(circ_int,0,eq_c2/2)+2*PI()*(s_0+2*s_r+IF(circ_int,eq_c1/2,0)))/INDEX(lk_legs,3))&lt;((2*IF(circ_int,0,eq_c2/2))+(PI()*(s_0+2*s_r+IF(circ_int,eq_c1/2,0))/2)),IF(circ_int,0,eq_c1/2)+(s_0+2*s_r+IF(circ_int,eq_c1/2,0))*COS((((33+0.5)*(4*IF(circ_int,0,eq_c1/2)+4*IF(circ_int,0,eq_c2/2)+2*PI()*(s_0+2*s_r+IF(circ_int,eq_c1/2,0)))/INDEX(lk_legs,3))-(2*IF(circ_int,0,eq_c2/2)))/(s_0+2*s_r+IF(circ_int,eq_c1/2,0))),IF(((33+0.5)*(4*IF(circ_int,0,eq_c1/2)+4*IF(circ_int,0,eq_c2/2)+2*PI()*(s_0+2*s_r+IF(circ_int,eq_c1/2,0)))/INDEX(lk_legs,3))&lt;(((2*IF(circ_int,0,eq_c2/2))+(PI()*(s_0+2*s_r+IF(circ_int,eq_c1/2,0))/2))+2*IF(circ_int,0,eq_c1/2)),IF(circ_int,0,eq_c1/2)-(((33+0.5)*(4*IF(circ_int,0,eq_c1/2)+4*IF(circ_int,0,eq_c2/2)+2*PI()*(s_0+2*s_r+IF(circ_int,eq_c1/2,0)))/INDEX(lk_legs,3))-((2*IF(circ_int,0,eq_c2/2))+(PI()*(s_0+2*s_r+IF(circ_int,eq_c1/2,0))/2))),IF(((33+0.5)*(4*IF(circ_int,0,eq_c1/2)+4*IF(circ_int,0,eq_c2/2)+2*PI()*(s_0+2*s_r+IF(circ_int,eq_c1/2,0)))/INDEX(lk_legs,3))&lt;((((2*IF(circ_int,0,eq_c2/2))+(PI()*(s_0+2*s_r+IF(circ_int,eq_c1/2,0))/2))+2*IF(circ_int,0,eq_c1/2))+(PI()*(s_0+2*s_r+IF(circ_int,eq_c1/2,0))/2)),-IF(circ_int,0,eq_c1/2)+(s_0+2*s_r+IF(circ_int,eq_c1/2,0))*COS(PI()/2+(((33+0.5)*(4*IF(circ_int,0,eq_c1/2)+4*IF(circ_int,0,eq_c2/2)+2*PI()*(s_0+2*s_r+IF(circ_int,eq_c1/2,0)))/INDEX(lk_legs,3))-(((2*IF(circ_int,0,eq_c2/2))+(PI()*(s_0+2*s_r+IF(circ_int,eq_c1/2,0))/2))+2*IF(circ_int,0,eq_c1/2)))/(s_0+2*s_r+IF(circ_int,eq_c1/2,0))),IF(((33+0.5)*(4*IF(circ_int,0,eq_c1/2)+4*IF(circ_int,0,eq_c2/2)+2*PI()*(s_0+2*s_r+IF(circ_int,eq_c1/2,0)))/INDEX(lk_legs,3))&lt;(((((2*IF(circ_int,0,eq_c2/2))+(PI()*(s_0+2*s_r+IF(circ_int,eq_c1/2,0))/2))+2*IF(circ_int,0,eq_c1/2))+(PI()*(s_0+2*s_r+IF(circ_int,eq_c1/2,0))/2))+2*IF(circ_int,0,eq_c2/2)),-IF(circ_int,0,eq_c1/2)-(s_0+2*s_r+IF(circ_int,eq_c1/2,0)),IF(((33+0.5)*(4*IF(circ_int,0,eq_c1/2)+4*IF(circ_int,0,eq_c2/2)+2*PI()*(s_0+2*s_r+IF(circ_int,eq_c1/2,0)))/INDEX(lk_legs,3))&lt;((((((2*IF(circ_int,0,eq_c2/2))+(PI()*(s_0+2*s_r+IF(circ_int,eq_c1/2,0))/2))+2*IF(circ_int,0,eq_c1/2))+(PI()*(s_0+2*s_r+IF(circ_int,eq_c1/2,0))/2))+2*IF(circ_int,0,eq_c2/2))+(PI()*(s_0+2*s_r+IF(circ_int,eq_c1/2,0))/2)),-IF(circ_int,0,eq_c1/2)+(s_0+2*s_r+IF(circ_int,eq_c1/2,0))*COS(PI()+(((33+0.5)*(4*IF(circ_int,0,eq_c1/2)+4*IF(circ_int,0,eq_c2/2)+2*PI()*(s_0+2*s_r+IF(circ_int,eq_c1/2,0)))/INDEX(lk_legs,3))-(((((2*IF(circ_int,0,eq_c2/2))+(PI()*(s_0+2*s_r+IF(circ_int,eq_c1/2,0))/2))+2*IF(circ_int,0,eq_c1/2))+(PI()*(s_0+2*s_r+IF(circ_int,eq_c1/2,0))/2))+2*IF(circ_int,0,eq_c2/2)))/(s_0+2*s_r+IF(circ_int,eq_c1/2,0))),IF(((33+0.5)*(4*IF(circ_int,0,eq_c1/2)+4*IF(circ_int,0,eq_c2/2)+2*PI()*(s_0+2*s_r+IF(circ_int,eq_c1/2,0)))/INDEX(lk_legs,3))&lt;(((((((2*IF(circ_int,0,eq_c2/2))+(PI()*(s_0+2*s_r+IF(circ_int,eq_c1/2,0))/2))+2*IF(circ_int,0,eq_c1/2))+(PI()*(s_0+2*s_r+IF(circ_int,eq_c1/2,0))/2))+2*IF(circ_int,0,eq_c2/2))+(PI()*(s_0+2*s_r+IF(circ_int,eq_c1/2,0))/2))+2*IF(circ_int,0,eq_c1/2)),-IF(circ_int,0,eq_c1/2)+(((33+0.5)*(4*IF(circ_int,0,eq_c1/2)+4*IF(circ_int,0,eq_c2/2)+2*PI()*(s_0+2*s_r+IF(circ_int,eq_c1/2,0)))/INDEX(lk_legs,3))-((((((2*IF(circ_int,0,eq_c2/2))+(PI()*(s_0+2*s_r+IF(circ_int,eq_c1/2,0))/2))+2*IF(circ_int,0,eq_c1/2))+(PI()*(s_0+2*s_r+IF(circ_int,eq_c1/2,0))/2))+2*IF(circ_int,0,eq_c2/2))+(PI()*(s_0+2*s_r+IF(circ_int,eq_c1/2,0))/2))),IF(circ_int,0,eq_c1/2)+(s_0+2*s_r+IF(circ_int,eq_c1/2,0))*COS(3*PI()/2+(((33+0.5)*(4*IF(circ_int,0,eq_c1/2)+4*IF(circ_int,0,eq_c2/2)+2*PI()*(s_0+2*s_r+IF(circ_int,eq_c1/2,0)))/INDEX(lk_legs,3))-(((((((2*IF(circ_int,0,eq_c2/2))+(PI()*(s_0+2*s_r+IF(circ_int,eq_c1/2,0))/2))+2*IF(circ_int,0,eq_c1/2))+(PI()*(s_0+2*s_r+IF(circ_int,eq_c1/2,0))/2))+2*IF(circ_int,0,eq_c2/2))+(PI()*(s_0+2*s_r+IF(circ_int,eq_c1/2,0))/2))+2*IF(circ_int,0,eq_c1/2)))/(s_0+2*s_r+IF(circ_int,eq_c1/2,0)))))))))),NA())</f>
        <v/>
      </c>
      <c r="BM36">
        <f>IF(AND(AND(links_on,3&lt;=n_per),INDEX(lk_kind,3)=1,33&lt;INDEX(lk_legs,3)),g_oy+IF(((33+0.5)*(4*IF(circ_int,0,eq_c1/2)+4*IF(circ_int,0,eq_c2/2)+2*PI()*(s_0+2*s_r+IF(circ_int,eq_c1/2,0)))/INDEX(lk_legs,3))&lt;(2*IF(circ_int,0,eq_c2/2)),-IF(circ_int,0,eq_c2/2)+((33+0.5)*(4*IF(circ_int,0,eq_c1/2)+4*IF(circ_int,0,eq_c2/2)+2*PI()*(s_0+2*s_r+IF(circ_int,eq_c1/2,0)))/INDEX(lk_legs,3)),IF(((33+0.5)*(4*IF(circ_int,0,eq_c1/2)+4*IF(circ_int,0,eq_c2/2)+2*PI()*(s_0+2*s_r+IF(circ_int,eq_c1/2,0)))/INDEX(lk_legs,3))&lt;((2*IF(circ_int,0,eq_c2/2))+(PI()*(s_0+2*s_r+IF(circ_int,eq_c1/2,0))/2)),IF(circ_int,0,eq_c2/2)+(s_0+2*s_r+IF(circ_int,eq_c1/2,0))*SIN((((33+0.5)*(4*IF(circ_int,0,eq_c1/2)+4*IF(circ_int,0,eq_c2/2)+2*PI()*(s_0+2*s_r+IF(circ_int,eq_c1/2,0)))/INDEX(lk_legs,3))-(2*IF(circ_int,0,eq_c2/2)))/(s_0+2*s_r+IF(circ_int,eq_c1/2,0))),IF(((33+0.5)*(4*IF(circ_int,0,eq_c1/2)+4*IF(circ_int,0,eq_c2/2)+2*PI()*(s_0+2*s_r+IF(circ_int,eq_c1/2,0)))/INDEX(lk_legs,3))&lt;(((2*IF(circ_int,0,eq_c2/2))+(PI()*(s_0+2*s_r+IF(circ_int,eq_c1/2,0))/2))+2*IF(circ_int,0,eq_c1/2)),IF(circ_int,0,eq_c2/2)+(s_0+2*s_r+IF(circ_int,eq_c1/2,0)),IF(((33+0.5)*(4*IF(circ_int,0,eq_c1/2)+4*IF(circ_int,0,eq_c2/2)+2*PI()*(s_0+2*s_r+IF(circ_int,eq_c1/2,0)))/INDEX(lk_legs,3))&lt;((((2*IF(circ_int,0,eq_c2/2))+(PI()*(s_0+2*s_r+IF(circ_int,eq_c1/2,0))/2))+2*IF(circ_int,0,eq_c1/2))+(PI()*(s_0+2*s_r+IF(circ_int,eq_c1/2,0))/2)),IF(circ_int,0,eq_c2/2)+(s_0+2*s_r+IF(circ_int,eq_c1/2,0))*SIN(PI()/2+(((33+0.5)*(4*IF(circ_int,0,eq_c1/2)+4*IF(circ_int,0,eq_c2/2)+2*PI()*(s_0+2*s_r+IF(circ_int,eq_c1/2,0)))/INDEX(lk_legs,3))-(((2*IF(circ_int,0,eq_c2/2))+(PI()*(s_0+2*s_r+IF(circ_int,eq_c1/2,0))/2))+2*IF(circ_int,0,eq_c1/2)))/(s_0+2*s_r+IF(circ_int,eq_c1/2,0))),IF(((33+0.5)*(4*IF(circ_int,0,eq_c1/2)+4*IF(circ_int,0,eq_c2/2)+2*PI()*(s_0+2*s_r+IF(circ_int,eq_c1/2,0)))/INDEX(lk_legs,3))&lt;(((((2*IF(circ_int,0,eq_c2/2))+(PI()*(s_0+2*s_r+IF(circ_int,eq_c1/2,0))/2))+2*IF(circ_int,0,eq_c1/2))+(PI()*(s_0+2*s_r+IF(circ_int,eq_c1/2,0))/2))+2*IF(circ_int,0,eq_c2/2)),IF(circ_int,0,eq_c2/2)-(((33+0.5)*(4*IF(circ_int,0,eq_c1/2)+4*IF(circ_int,0,eq_c2/2)+2*PI()*(s_0+2*s_r+IF(circ_int,eq_c1/2,0)))/INDEX(lk_legs,3))-((((2*IF(circ_int,0,eq_c2/2))+(PI()*(s_0+2*s_r+IF(circ_int,eq_c1/2,0))/2))+2*IF(circ_int,0,eq_c1/2))+(PI()*(s_0+2*s_r+IF(circ_int,eq_c1/2,0))/2))),IF(((33+0.5)*(4*IF(circ_int,0,eq_c1/2)+4*IF(circ_int,0,eq_c2/2)+2*PI()*(s_0+2*s_r+IF(circ_int,eq_c1/2,0)))/INDEX(lk_legs,3))&lt;((((((2*IF(circ_int,0,eq_c2/2))+(PI()*(s_0+2*s_r+IF(circ_int,eq_c1/2,0))/2))+2*IF(circ_int,0,eq_c1/2))+(PI()*(s_0+2*s_r+IF(circ_int,eq_c1/2,0))/2))+2*IF(circ_int,0,eq_c2/2))+(PI()*(s_0+2*s_r+IF(circ_int,eq_c1/2,0))/2)),-IF(circ_int,0,eq_c2/2)+(s_0+2*s_r+IF(circ_int,eq_c1/2,0))*SIN(PI()+(((33+0.5)*(4*IF(circ_int,0,eq_c1/2)+4*IF(circ_int,0,eq_c2/2)+2*PI()*(s_0+2*s_r+IF(circ_int,eq_c1/2,0)))/INDEX(lk_legs,3))-(((((2*IF(circ_int,0,eq_c2/2))+(PI()*(s_0+2*s_r+IF(circ_int,eq_c1/2,0))/2))+2*IF(circ_int,0,eq_c1/2))+(PI()*(s_0+2*s_r+IF(circ_int,eq_c1/2,0))/2))+2*IF(circ_int,0,eq_c2/2)))/(s_0+2*s_r+IF(circ_int,eq_c1/2,0))),IF(((33+0.5)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(33+0.5)*(4*IF(circ_int,0,eq_c1/2)+4*IF(circ_int,0,eq_c2/2)+2*PI()*(s_0+2*s_r+IF(circ_int,eq_c1/2,0)))/INDEX(lk_legs,3))-(((((((2*IF(circ_int,0,eq_c2/2))+(PI()*(s_0+2*s_r+IF(circ_int,eq_c1/2,0))/2))+2*IF(circ_int,0,eq_c1/2))+(PI()*(s_0+2*s_r+IF(circ_int,eq_c1/2,0))/2))+2*IF(circ_int,0,eq_c2/2))+(PI()*(s_0+2*s_r+IF(circ_int,eq_c1/2,0))/2))+2*IF(circ_int,0,eq_c1/2)))/(s_0+2*s_r+IF(circ_int,eq_c1/2,0)))))))))),NA())</f>
        <v/>
      </c>
      <c r="BO36">
        <f>IF(AND(links_on,4&lt;=n_per),IF(circ_int,(g_ox)+(c_1/2+(s_0+3*s_r))*-0.663123,CHOOSE(INDEX(lk_kind,4),(g_ox-eq_c1/2)+((s_0+3*s_r))*-0.608761,0,eq_a1+eq_c1+(s_0+3*s_r),eq_a1+eq_c1+(s_0+3*s_r))),NA())</f>
        <v/>
      </c>
      <c r="BP36">
        <f>IF(AND(links_on,4&lt;=n_per),IF(circ_int,(g_oy)+(c_1/2+(s_0+3*s_r))*-0.748511,CHOOSE(INDEX(lk_kind,4),(g_oy-eq_c2/2)+((s_0+3*s_r))*-0.793353,g_oy-eq_c2/2-(s_0+3*s_r),0,0)),NA())</f>
        <v/>
      </c>
      <c r="BR36">
        <f>IF(AND(AND(links_on,4&lt;=n_per),INDEX(lk_kind,4)=1,33&lt;INDEX(lk_legs,4)),g_ox+IF(((33+0.5)*(4*IF(circ_int,0,eq_c1/2)+4*IF(circ_int,0,eq_c2/2)+2*PI()*(s_0+3*s_r+IF(circ_int,eq_c1/2,0)))/INDEX(lk_legs,4))&lt;(2*IF(circ_int,0,eq_c2/2)),IF(circ_int,0,eq_c1/2)+(s_0+3*s_r+IF(circ_int,eq_c1/2,0)),IF(((33+0.5)*(4*IF(circ_int,0,eq_c1/2)+4*IF(circ_int,0,eq_c2/2)+2*PI()*(s_0+3*s_r+IF(circ_int,eq_c1/2,0)))/INDEX(lk_legs,4))&lt;((2*IF(circ_int,0,eq_c2/2))+(PI()*(s_0+3*s_r+IF(circ_int,eq_c1/2,0))/2)),IF(circ_int,0,eq_c1/2)+(s_0+3*s_r+IF(circ_int,eq_c1/2,0))*COS((((33+0.5)*(4*IF(circ_int,0,eq_c1/2)+4*IF(circ_int,0,eq_c2/2)+2*PI()*(s_0+3*s_r+IF(circ_int,eq_c1/2,0)))/INDEX(lk_legs,4))-(2*IF(circ_int,0,eq_c2/2)))/(s_0+3*s_r+IF(circ_int,eq_c1/2,0))),IF(((33+0.5)*(4*IF(circ_int,0,eq_c1/2)+4*IF(circ_int,0,eq_c2/2)+2*PI()*(s_0+3*s_r+IF(circ_int,eq_c1/2,0)))/INDEX(lk_legs,4))&lt;(((2*IF(circ_int,0,eq_c2/2))+(PI()*(s_0+3*s_r+IF(circ_int,eq_c1/2,0))/2))+2*IF(circ_int,0,eq_c1/2)),IF(circ_int,0,eq_c1/2)-(((33+0.5)*(4*IF(circ_int,0,eq_c1/2)+4*IF(circ_int,0,eq_c2/2)+2*PI()*(s_0+3*s_r+IF(circ_int,eq_c1/2,0)))/INDEX(lk_legs,4))-((2*IF(circ_int,0,eq_c2/2))+(PI()*(s_0+3*s_r+IF(circ_int,eq_c1/2,0))/2))),IF(((33+0.5)*(4*IF(circ_int,0,eq_c1/2)+4*IF(circ_int,0,eq_c2/2)+2*PI()*(s_0+3*s_r+IF(circ_int,eq_c1/2,0)))/INDEX(lk_legs,4))&lt;((((2*IF(circ_int,0,eq_c2/2))+(PI()*(s_0+3*s_r+IF(circ_int,eq_c1/2,0))/2))+2*IF(circ_int,0,eq_c1/2))+(PI()*(s_0+3*s_r+IF(circ_int,eq_c1/2,0))/2)),-IF(circ_int,0,eq_c1/2)+(s_0+3*s_r+IF(circ_int,eq_c1/2,0))*COS(PI()/2+(((33+0.5)*(4*IF(circ_int,0,eq_c1/2)+4*IF(circ_int,0,eq_c2/2)+2*PI()*(s_0+3*s_r+IF(circ_int,eq_c1/2,0)))/INDEX(lk_legs,4))-(((2*IF(circ_int,0,eq_c2/2))+(PI()*(s_0+3*s_r+IF(circ_int,eq_c1/2,0))/2))+2*IF(circ_int,0,eq_c1/2)))/(s_0+3*s_r+IF(circ_int,eq_c1/2,0))),IF(((33+0.5)*(4*IF(circ_int,0,eq_c1/2)+4*IF(circ_int,0,eq_c2/2)+2*PI()*(s_0+3*s_r+IF(circ_int,eq_c1/2,0)))/INDEX(lk_legs,4))&lt;(((((2*IF(circ_int,0,eq_c2/2))+(PI()*(s_0+3*s_r+IF(circ_int,eq_c1/2,0))/2))+2*IF(circ_int,0,eq_c1/2))+(PI()*(s_0+3*s_r+IF(circ_int,eq_c1/2,0))/2))+2*IF(circ_int,0,eq_c2/2)),-IF(circ_int,0,eq_c1/2)-(s_0+3*s_r+IF(circ_int,eq_c1/2,0)),IF(((33+0.5)*(4*IF(circ_int,0,eq_c1/2)+4*IF(circ_int,0,eq_c2/2)+2*PI()*(s_0+3*s_r+IF(circ_int,eq_c1/2,0)))/INDEX(lk_legs,4))&lt;((((((2*IF(circ_int,0,eq_c2/2))+(PI()*(s_0+3*s_r+IF(circ_int,eq_c1/2,0))/2))+2*IF(circ_int,0,eq_c1/2))+(PI()*(s_0+3*s_r+IF(circ_int,eq_c1/2,0))/2))+2*IF(circ_int,0,eq_c2/2))+(PI()*(s_0+3*s_r+IF(circ_int,eq_c1/2,0))/2)),-IF(circ_int,0,eq_c1/2)+(s_0+3*s_r+IF(circ_int,eq_c1/2,0))*COS(PI()+(((33+0.5)*(4*IF(circ_int,0,eq_c1/2)+4*IF(circ_int,0,eq_c2/2)+2*PI()*(s_0+3*s_r+IF(circ_int,eq_c1/2,0)))/INDEX(lk_legs,4))-(((((2*IF(circ_int,0,eq_c2/2))+(PI()*(s_0+3*s_r+IF(circ_int,eq_c1/2,0))/2))+2*IF(circ_int,0,eq_c1/2))+(PI()*(s_0+3*s_r+IF(circ_int,eq_c1/2,0))/2))+2*IF(circ_int,0,eq_c2/2)))/(s_0+3*s_r+IF(circ_int,eq_c1/2,0))),IF(((33+0.5)*(4*IF(circ_int,0,eq_c1/2)+4*IF(circ_int,0,eq_c2/2)+2*PI()*(s_0+3*s_r+IF(circ_int,eq_c1/2,0)))/INDEX(lk_legs,4))&lt;(((((((2*IF(circ_int,0,eq_c2/2))+(PI()*(s_0+3*s_r+IF(circ_int,eq_c1/2,0))/2))+2*IF(circ_int,0,eq_c1/2))+(PI()*(s_0+3*s_r+IF(circ_int,eq_c1/2,0))/2))+2*IF(circ_int,0,eq_c2/2))+(PI()*(s_0+3*s_r+IF(circ_int,eq_c1/2,0))/2))+2*IF(circ_int,0,eq_c1/2)),-IF(circ_int,0,eq_c1/2)+(((33+0.5)*(4*IF(circ_int,0,eq_c1/2)+4*IF(circ_int,0,eq_c2/2)+2*PI()*(s_0+3*s_r+IF(circ_int,eq_c1/2,0)))/INDEX(lk_legs,4))-((((((2*IF(circ_int,0,eq_c2/2))+(PI()*(s_0+3*s_r+IF(circ_int,eq_c1/2,0))/2))+2*IF(circ_int,0,eq_c1/2))+(PI()*(s_0+3*s_r+IF(circ_int,eq_c1/2,0))/2))+2*IF(circ_int,0,eq_c2/2))+(PI()*(s_0+3*s_r+IF(circ_int,eq_c1/2,0))/2))),IF(circ_int,0,eq_c1/2)+(s_0+3*s_r+IF(circ_int,eq_c1/2,0))*COS(3*PI()/2+(((33+0.5)*(4*IF(circ_int,0,eq_c1/2)+4*IF(circ_int,0,eq_c2/2)+2*PI()*(s_0+3*s_r+IF(circ_int,eq_c1/2,0)))/INDEX(lk_legs,4))-(((((((2*IF(circ_int,0,eq_c2/2))+(PI()*(s_0+3*s_r+IF(circ_int,eq_c1/2,0))/2))+2*IF(circ_int,0,eq_c1/2))+(PI()*(s_0+3*s_r+IF(circ_int,eq_c1/2,0))/2))+2*IF(circ_int,0,eq_c2/2))+(PI()*(s_0+3*s_r+IF(circ_int,eq_c1/2,0))/2))+2*IF(circ_int,0,eq_c1/2)))/(s_0+3*s_r+IF(circ_int,eq_c1/2,0)))))))))),NA())</f>
        <v/>
      </c>
      <c r="BS36">
        <f>IF(AND(AND(links_on,4&lt;=n_per),INDEX(lk_kind,4)=1,33&lt;INDEX(lk_legs,4)),g_oy+IF(((33+0.5)*(4*IF(circ_int,0,eq_c1/2)+4*IF(circ_int,0,eq_c2/2)+2*PI()*(s_0+3*s_r+IF(circ_int,eq_c1/2,0)))/INDEX(lk_legs,4))&lt;(2*IF(circ_int,0,eq_c2/2)),-IF(circ_int,0,eq_c2/2)+((33+0.5)*(4*IF(circ_int,0,eq_c1/2)+4*IF(circ_int,0,eq_c2/2)+2*PI()*(s_0+3*s_r+IF(circ_int,eq_c1/2,0)))/INDEX(lk_legs,4)),IF(((33+0.5)*(4*IF(circ_int,0,eq_c1/2)+4*IF(circ_int,0,eq_c2/2)+2*PI()*(s_0+3*s_r+IF(circ_int,eq_c1/2,0)))/INDEX(lk_legs,4))&lt;((2*IF(circ_int,0,eq_c2/2))+(PI()*(s_0+3*s_r+IF(circ_int,eq_c1/2,0))/2)),IF(circ_int,0,eq_c2/2)+(s_0+3*s_r+IF(circ_int,eq_c1/2,0))*SIN((((33+0.5)*(4*IF(circ_int,0,eq_c1/2)+4*IF(circ_int,0,eq_c2/2)+2*PI()*(s_0+3*s_r+IF(circ_int,eq_c1/2,0)))/INDEX(lk_legs,4))-(2*IF(circ_int,0,eq_c2/2)))/(s_0+3*s_r+IF(circ_int,eq_c1/2,0))),IF(((33+0.5)*(4*IF(circ_int,0,eq_c1/2)+4*IF(circ_int,0,eq_c2/2)+2*PI()*(s_0+3*s_r+IF(circ_int,eq_c1/2,0)))/INDEX(lk_legs,4))&lt;(((2*IF(circ_int,0,eq_c2/2))+(PI()*(s_0+3*s_r+IF(circ_int,eq_c1/2,0))/2))+2*IF(circ_int,0,eq_c1/2)),IF(circ_int,0,eq_c2/2)+(s_0+3*s_r+IF(circ_int,eq_c1/2,0)),IF(((33+0.5)*(4*IF(circ_int,0,eq_c1/2)+4*IF(circ_int,0,eq_c2/2)+2*PI()*(s_0+3*s_r+IF(circ_int,eq_c1/2,0)))/INDEX(lk_legs,4))&lt;((((2*IF(circ_int,0,eq_c2/2))+(PI()*(s_0+3*s_r+IF(circ_int,eq_c1/2,0))/2))+2*IF(circ_int,0,eq_c1/2))+(PI()*(s_0+3*s_r+IF(circ_int,eq_c1/2,0))/2)),IF(circ_int,0,eq_c2/2)+(s_0+3*s_r+IF(circ_int,eq_c1/2,0))*SIN(PI()/2+(((33+0.5)*(4*IF(circ_int,0,eq_c1/2)+4*IF(circ_int,0,eq_c2/2)+2*PI()*(s_0+3*s_r+IF(circ_int,eq_c1/2,0)))/INDEX(lk_legs,4))-(((2*IF(circ_int,0,eq_c2/2))+(PI()*(s_0+3*s_r+IF(circ_int,eq_c1/2,0))/2))+2*IF(circ_int,0,eq_c1/2)))/(s_0+3*s_r+IF(circ_int,eq_c1/2,0))),IF(((33+0.5)*(4*IF(circ_int,0,eq_c1/2)+4*IF(circ_int,0,eq_c2/2)+2*PI()*(s_0+3*s_r+IF(circ_int,eq_c1/2,0)))/INDEX(lk_legs,4))&lt;(((((2*IF(circ_int,0,eq_c2/2))+(PI()*(s_0+3*s_r+IF(circ_int,eq_c1/2,0))/2))+2*IF(circ_int,0,eq_c1/2))+(PI()*(s_0+3*s_r+IF(circ_int,eq_c1/2,0))/2))+2*IF(circ_int,0,eq_c2/2)),IF(circ_int,0,eq_c2/2)-(((33+0.5)*(4*IF(circ_int,0,eq_c1/2)+4*IF(circ_int,0,eq_c2/2)+2*PI()*(s_0+3*s_r+IF(circ_int,eq_c1/2,0)))/INDEX(lk_legs,4))-((((2*IF(circ_int,0,eq_c2/2))+(PI()*(s_0+3*s_r+IF(circ_int,eq_c1/2,0))/2))+2*IF(circ_int,0,eq_c1/2))+(PI()*(s_0+3*s_r+IF(circ_int,eq_c1/2,0))/2))),IF(((33+0.5)*(4*IF(circ_int,0,eq_c1/2)+4*IF(circ_int,0,eq_c2/2)+2*PI()*(s_0+3*s_r+IF(circ_int,eq_c1/2,0)))/INDEX(lk_legs,4))&lt;((((((2*IF(circ_int,0,eq_c2/2))+(PI()*(s_0+3*s_r+IF(circ_int,eq_c1/2,0))/2))+2*IF(circ_int,0,eq_c1/2))+(PI()*(s_0+3*s_r+IF(circ_int,eq_c1/2,0))/2))+2*IF(circ_int,0,eq_c2/2))+(PI()*(s_0+3*s_r+IF(circ_int,eq_c1/2,0))/2)),-IF(circ_int,0,eq_c2/2)+(s_0+3*s_r+IF(circ_int,eq_c1/2,0))*SIN(PI()+(((33+0.5)*(4*IF(circ_int,0,eq_c1/2)+4*IF(circ_int,0,eq_c2/2)+2*PI()*(s_0+3*s_r+IF(circ_int,eq_c1/2,0)))/INDEX(lk_legs,4))-(((((2*IF(circ_int,0,eq_c2/2))+(PI()*(s_0+3*s_r+IF(circ_int,eq_c1/2,0))/2))+2*IF(circ_int,0,eq_c1/2))+(PI()*(s_0+3*s_r+IF(circ_int,eq_c1/2,0))/2))+2*IF(circ_int,0,eq_c2/2)))/(s_0+3*s_r+IF(circ_int,eq_c1/2,0))),IF(((33+0.5)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(33+0.5)*(4*IF(circ_int,0,eq_c1/2)+4*IF(circ_int,0,eq_c2/2)+2*PI()*(s_0+3*s_r+IF(circ_int,eq_c1/2,0)))/INDEX(lk_legs,4))-(((((((2*IF(circ_int,0,eq_c2/2))+(PI()*(s_0+3*s_r+IF(circ_int,eq_c1/2,0))/2))+2*IF(circ_int,0,eq_c1/2))+(PI()*(s_0+3*s_r+IF(circ_int,eq_c1/2,0))/2))+2*IF(circ_int,0,eq_c2/2))+(PI()*(s_0+3*s_r+IF(circ_int,eq_c1/2,0))/2))+2*IF(circ_int,0,eq_c1/2)))/(s_0+3*s_r+IF(circ_int,eq_c1/2,0)))))))))),NA())</f>
        <v/>
      </c>
      <c r="BU36">
        <f>IF(AND(links_on,5&lt;=n_per),IF(circ_int,(g_ox)+(c_1/2+(s_0+4*s_r))*-0.663123,CHOOSE(INDEX(lk_kind,5),(g_ox-eq_c1/2)+((s_0+4*s_r))*-0.608761,0,eq_a1+eq_c1+(s_0+4*s_r),eq_a1+eq_c1+(s_0+4*s_r))),NA())</f>
        <v/>
      </c>
      <c r="BV36">
        <f>IF(AND(links_on,5&lt;=n_per),IF(circ_int,(g_oy)+(c_1/2+(s_0+4*s_r))*-0.748511,CHOOSE(INDEX(lk_kind,5),(g_oy-eq_c2/2)+((s_0+4*s_r))*-0.793353,g_oy-eq_c2/2-(s_0+4*s_r),0,0)),NA())</f>
        <v/>
      </c>
      <c r="BX36">
        <f>IF(AND(AND(links_on,5&lt;=n_per),INDEX(lk_kind,5)=1,33&lt;INDEX(lk_legs,5)),g_ox+IF(((33+0.5)*(4*IF(circ_int,0,eq_c1/2)+4*IF(circ_int,0,eq_c2/2)+2*PI()*(s_0+4*s_r+IF(circ_int,eq_c1/2,0)))/INDEX(lk_legs,5))&lt;(2*IF(circ_int,0,eq_c2/2)),IF(circ_int,0,eq_c1/2)+(s_0+4*s_r+IF(circ_int,eq_c1/2,0)),IF(((33+0.5)*(4*IF(circ_int,0,eq_c1/2)+4*IF(circ_int,0,eq_c2/2)+2*PI()*(s_0+4*s_r+IF(circ_int,eq_c1/2,0)))/INDEX(lk_legs,5))&lt;((2*IF(circ_int,0,eq_c2/2))+(PI()*(s_0+4*s_r+IF(circ_int,eq_c1/2,0))/2)),IF(circ_int,0,eq_c1/2)+(s_0+4*s_r+IF(circ_int,eq_c1/2,0))*COS((((33+0.5)*(4*IF(circ_int,0,eq_c1/2)+4*IF(circ_int,0,eq_c2/2)+2*PI()*(s_0+4*s_r+IF(circ_int,eq_c1/2,0)))/INDEX(lk_legs,5))-(2*IF(circ_int,0,eq_c2/2)))/(s_0+4*s_r+IF(circ_int,eq_c1/2,0))),IF(((33+0.5)*(4*IF(circ_int,0,eq_c1/2)+4*IF(circ_int,0,eq_c2/2)+2*PI()*(s_0+4*s_r+IF(circ_int,eq_c1/2,0)))/INDEX(lk_legs,5))&lt;(((2*IF(circ_int,0,eq_c2/2))+(PI()*(s_0+4*s_r+IF(circ_int,eq_c1/2,0))/2))+2*IF(circ_int,0,eq_c1/2)),IF(circ_int,0,eq_c1/2)-(((33+0.5)*(4*IF(circ_int,0,eq_c1/2)+4*IF(circ_int,0,eq_c2/2)+2*PI()*(s_0+4*s_r+IF(circ_int,eq_c1/2,0)))/INDEX(lk_legs,5))-((2*IF(circ_int,0,eq_c2/2))+(PI()*(s_0+4*s_r+IF(circ_int,eq_c1/2,0))/2))),IF(((33+0.5)*(4*IF(circ_int,0,eq_c1/2)+4*IF(circ_int,0,eq_c2/2)+2*PI()*(s_0+4*s_r+IF(circ_int,eq_c1/2,0)))/INDEX(lk_legs,5))&lt;((((2*IF(circ_int,0,eq_c2/2))+(PI()*(s_0+4*s_r+IF(circ_int,eq_c1/2,0))/2))+2*IF(circ_int,0,eq_c1/2))+(PI()*(s_0+4*s_r+IF(circ_int,eq_c1/2,0))/2)),-IF(circ_int,0,eq_c1/2)+(s_0+4*s_r+IF(circ_int,eq_c1/2,0))*COS(PI()/2+(((33+0.5)*(4*IF(circ_int,0,eq_c1/2)+4*IF(circ_int,0,eq_c2/2)+2*PI()*(s_0+4*s_r+IF(circ_int,eq_c1/2,0)))/INDEX(lk_legs,5))-(((2*IF(circ_int,0,eq_c2/2))+(PI()*(s_0+4*s_r+IF(circ_int,eq_c1/2,0))/2))+2*IF(circ_int,0,eq_c1/2)))/(s_0+4*s_r+IF(circ_int,eq_c1/2,0))),IF(((33+0.5)*(4*IF(circ_int,0,eq_c1/2)+4*IF(circ_int,0,eq_c2/2)+2*PI()*(s_0+4*s_r+IF(circ_int,eq_c1/2,0)))/INDEX(lk_legs,5))&lt;(((((2*IF(circ_int,0,eq_c2/2))+(PI()*(s_0+4*s_r+IF(circ_int,eq_c1/2,0))/2))+2*IF(circ_int,0,eq_c1/2))+(PI()*(s_0+4*s_r+IF(circ_int,eq_c1/2,0))/2))+2*IF(circ_int,0,eq_c2/2)),-IF(circ_int,0,eq_c1/2)-(s_0+4*s_r+IF(circ_int,eq_c1/2,0)),IF(((33+0.5)*(4*IF(circ_int,0,eq_c1/2)+4*IF(circ_int,0,eq_c2/2)+2*PI()*(s_0+4*s_r+IF(circ_int,eq_c1/2,0)))/INDEX(lk_legs,5))&lt;((((((2*IF(circ_int,0,eq_c2/2))+(PI()*(s_0+4*s_r+IF(circ_int,eq_c1/2,0))/2))+2*IF(circ_int,0,eq_c1/2))+(PI()*(s_0+4*s_r+IF(circ_int,eq_c1/2,0))/2))+2*IF(circ_int,0,eq_c2/2))+(PI()*(s_0+4*s_r+IF(circ_int,eq_c1/2,0))/2)),-IF(circ_int,0,eq_c1/2)+(s_0+4*s_r+IF(circ_int,eq_c1/2,0))*COS(PI()+(((33+0.5)*(4*IF(circ_int,0,eq_c1/2)+4*IF(circ_int,0,eq_c2/2)+2*PI()*(s_0+4*s_r+IF(circ_int,eq_c1/2,0)))/INDEX(lk_legs,5))-(((((2*IF(circ_int,0,eq_c2/2))+(PI()*(s_0+4*s_r+IF(circ_int,eq_c1/2,0))/2))+2*IF(circ_int,0,eq_c1/2))+(PI()*(s_0+4*s_r+IF(circ_int,eq_c1/2,0))/2))+2*IF(circ_int,0,eq_c2/2)))/(s_0+4*s_r+IF(circ_int,eq_c1/2,0))),IF(((33+0.5)*(4*IF(circ_int,0,eq_c1/2)+4*IF(circ_int,0,eq_c2/2)+2*PI()*(s_0+4*s_r+IF(circ_int,eq_c1/2,0)))/INDEX(lk_legs,5))&lt;(((((((2*IF(circ_int,0,eq_c2/2))+(PI()*(s_0+4*s_r+IF(circ_int,eq_c1/2,0))/2))+2*IF(circ_int,0,eq_c1/2))+(PI()*(s_0+4*s_r+IF(circ_int,eq_c1/2,0))/2))+2*IF(circ_int,0,eq_c2/2))+(PI()*(s_0+4*s_r+IF(circ_int,eq_c1/2,0))/2))+2*IF(circ_int,0,eq_c1/2)),-IF(circ_int,0,eq_c1/2)+(((33+0.5)*(4*IF(circ_int,0,eq_c1/2)+4*IF(circ_int,0,eq_c2/2)+2*PI()*(s_0+4*s_r+IF(circ_int,eq_c1/2,0)))/INDEX(lk_legs,5))-((((((2*IF(circ_int,0,eq_c2/2))+(PI()*(s_0+4*s_r+IF(circ_int,eq_c1/2,0))/2))+2*IF(circ_int,0,eq_c1/2))+(PI()*(s_0+4*s_r+IF(circ_int,eq_c1/2,0))/2))+2*IF(circ_int,0,eq_c2/2))+(PI()*(s_0+4*s_r+IF(circ_int,eq_c1/2,0))/2))),IF(circ_int,0,eq_c1/2)+(s_0+4*s_r+IF(circ_int,eq_c1/2,0))*COS(3*PI()/2+(((33+0.5)*(4*IF(circ_int,0,eq_c1/2)+4*IF(circ_int,0,eq_c2/2)+2*PI()*(s_0+4*s_r+IF(circ_int,eq_c1/2,0)))/INDEX(lk_legs,5))-(((((((2*IF(circ_int,0,eq_c2/2))+(PI()*(s_0+4*s_r+IF(circ_int,eq_c1/2,0))/2))+2*IF(circ_int,0,eq_c1/2))+(PI()*(s_0+4*s_r+IF(circ_int,eq_c1/2,0))/2))+2*IF(circ_int,0,eq_c2/2))+(PI()*(s_0+4*s_r+IF(circ_int,eq_c1/2,0))/2))+2*IF(circ_int,0,eq_c1/2)))/(s_0+4*s_r+IF(circ_int,eq_c1/2,0)))))))))),NA())</f>
        <v/>
      </c>
      <c r="BY36">
        <f>IF(AND(AND(links_on,5&lt;=n_per),INDEX(lk_kind,5)=1,33&lt;INDEX(lk_legs,5)),g_oy+IF(((33+0.5)*(4*IF(circ_int,0,eq_c1/2)+4*IF(circ_int,0,eq_c2/2)+2*PI()*(s_0+4*s_r+IF(circ_int,eq_c1/2,0)))/INDEX(lk_legs,5))&lt;(2*IF(circ_int,0,eq_c2/2)),-IF(circ_int,0,eq_c2/2)+((33+0.5)*(4*IF(circ_int,0,eq_c1/2)+4*IF(circ_int,0,eq_c2/2)+2*PI()*(s_0+4*s_r+IF(circ_int,eq_c1/2,0)))/INDEX(lk_legs,5)),IF(((33+0.5)*(4*IF(circ_int,0,eq_c1/2)+4*IF(circ_int,0,eq_c2/2)+2*PI()*(s_0+4*s_r+IF(circ_int,eq_c1/2,0)))/INDEX(lk_legs,5))&lt;((2*IF(circ_int,0,eq_c2/2))+(PI()*(s_0+4*s_r+IF(circ_int,eq_c1/2,0))/2)),IF(circ_int,0,eq_c2/2)+(s_0+4*s_r+IF(circ_int,eq_c1/2,0))*SIN((((33+0.5)*(4*IF(circ_int,0,eq_c1/2)+4*IF(circ_int,0,eq_c2/2)+2*PI()*(s_0+4*s_r+IF(circ_int,eq_c1/2,0)))/INDEX(lk_legs,5))-(2*IF(circ_int,0,eq_c2/2)))/(s_0+4*s_r+IF(circ_int,eq_c1/2,0))),IF(((33+0.5)*(4*IF(circ_int,0,eq_c1/2)+4*IF(circ_int,0,eq_c2/2)+2*PI()*(s_0+4*s_r+IF(circ_int,eq_c1/2,0)))/INDEX(lk_legs,5))&lt;(((2*IF(circ_int,0,eq_c2/2))+(PI()*(s_0+4*s_r+IF(circ_int,eq_c1/2,0))/2))+2*IF(circ_int,0,eq_c1/2)),IF(circ_int,0,eq_c2/2)+(s_0+4*s_r+IF(circ_int,eq_c1/2,0)),IF(((33+0.5)*(4*IF(circ_int,0,eq_c1/2)+4*IF(circ_int,0,eq_c2/2)+2*PI()*(s_0+4*s_r+IF(circ_int,eq_c1/2,0)))/INDEX(lk_legs,5))&lt;((((2*IF(circ_int,0,eq_c2/2))+(PI()*(s_0+4*s_r+IF(circ_int,eq_c1/2,0))/2))+2*IF(circ_int,0,eq_c1/2))+(PI()*(s_0+4*s_r+IF(circ_int,eq_c1/2,0))/2)),IF(circ_int,0,eq_c2/2)+(s_0+4*s_r+IF(circ_int,eq_c1/2,0))*SIN(PI()/2+(((33+0.5)*(4*IF(circ_int,0,eq_c1/2)+4*IF(circ_int,0,eq_c2/2)+2*PI()*(s_0+4*s_r+IF(circ_int,eq_c1/2,0)))/INDEX(lk_legs,5))-(((2*IF(circ_int,0,eq_c2/2))+(PI()*(s_0+4*s_r+IF(circ_int,eq_c1/2,0))/2))+2*IF(circ_int,0,eq_c1/2)))/(s_0+4*s_r+IF(circ_int,eq_c1/2,0))),IF(((33+0.5)*(4*IF(circ_int,0,eq_c1/2)+4*IF(circ_int,0,eq_c2/2)+2*PI()*(s_0+4*s_r+IF(circ_int,eq_c1/2,0)))/INDEX(lk_legs,5))&lt;(((((2*IF(circ_int,0,eq_c2/2))+(PI()*(s_0+4*s_r+IF(circ_int,eq_c1/2,0))/2))+2*IF(circ_int,0,eq_c1/2))+(PI()*(s_0+4*s_r+IF(circ_int,eq_c1/2,0))/2))+2*IF(circ_int,0,eq_c2/2)),IF(circ_int,0,eq_c2/2)-(((33+0.5)*(4*IF(circ_int,0,eq_c1/2)+4*IF(circ_int,0,eq_c2/2)+2*PI()*(s_0+4*s_r+IF(circ_int,eq_c1/2,0)))/INDEX(lk_legs,5))-((((2*IF(circ_int,0,eq_c2/2))+(PI()*(s_0+4*s_r+IF(circ_int,eq_c1/2,0))/2))+2*IF(circ_int,0,eq_c1/2))+(PI()*(s_0+4*s_r+IF(circ_int,eq_c1/2,0))/2))),IF(((33+0.5)*(4*IF(circ_int,0,eq_c1/2)+4*IF(circ_int,0,eq_c2/2)+2*PI()*(s_0+4*s_r+IF(circ_int,eq_c1/2,0)))/INDEX(lk_legs,5))&lt;((((((2*IF(circ_int,0,eq_c2/2))+(PI()*(s_0+4*s_r+IF(circ_int,eq_c1/2,0))/2))+2*IF(circ_int,0,eq_c1/2))+(PI()*(s_0+4*s_r+IF(circ_int,eq_c1/2,0))/2))+2*IF(circ_int,0,eq_c2/2))+(PI()*(s_0+4*s_r+IF(circ_int,eq_c1/2,0))/2)),-IF(circ_int,0,eq_c2/2)+(s_0+4*s_r+IF(circ_int,eq_c1/2,0))*SIN(PI()+(((33+0.5)*(4*IF(circ_int,0,eq_c1/2)+4*IF(circ_int,0,eq_c2/2)+2*PI()*(s_0+4*s_r+IF(circ_int,eq_c1/2,0)))/INDEX(lk_legs,5))-(((((2*IF(circ_int,0,eq_c2/2))+(PI()*(s_0+4*s_r+IF(circ_int,eq_c1/2,0))/2))+2*IF(circ_int,0,eq_c1/2))+(PI()*(s_0+4*s_r+IF(circ_int,eq_c1/2,0))/2))+2*IF(circ_int,0,eq_c2/2)))/(s_0+4*s_r+IF(circ_int,eq_c1/2,0))),IF(((33+0.5)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(33+0.5)*(4*IF(circ_int,0,eq_c1/2)+4*IF(circ_int,0,eq_c2/2)+2*PI()*(s_0+4*s_r+IF(circ_int,eq_c1/2,0)))/INDEX(lk_legs,5))-(((((((2*IF(circ_int,0,eq_c2/2))+(PI()*(s_0+4*s_r+IF(circ_int,eq_c1/2,0))/2))+2*IF(circ_int,0,eq_c1/2))+(PI()*(s_0+4*s_r+IF(circ_int,eq_c1/2,0))/2))+2*IF(circ_int,0,eq_c2/2))+(PI()*(s_0+4*s_r+IF(circ_int,eq_c1/2,0))/2))+2*IF(circ_int,0,eq_c1/2)))/(s_0+4*s_r+IF(circ_int,eq_c1/2,0)))))))))),NA())</f>
        <v/>
      </c>
      <c r="CA36">
        <f>IF(AND(links_on,6&lt;=n_per),IF(circ_int,(g_ox)+(c_1/2+(s_0+5*s_r))*-0.663123,CHOOSE(INDEX(lk_kind,6),(g_ox-eq_c1/2)+((s_0+5*s_r))*-0.608761,0,eq_a1+eq_c1+(s_0+5*s_r),eq_a1+eq_c1+(s_0+5*s_r))),NA())</f>
        <v/>
      </c>
      <c r="CB36">
        <f>IF(AND(links_on,6&lt;=n_per),IF(circ_int,(g_oy)+(c_1/2+(s_0+5*s_r))*-0.748511,CHOOSE(INDEX(lk_kind,6),(g_oy-eq_c2/2)+((s_0+5*s_r))*-0.793353,g_oy-eq_c2/2-(s_0+5*s_r),0,0)),NA())</f>
        <v/>
      </c>
      <c r="CD36">
        <f>IF(AND(AND(links_on,6&lt;=n_per),INDEX(lk_kind,6)=1,33&lt;INDEX(lk_legs,6)),g_ox+IF(((33+0.5)*(4*IF(circ_int,0,eq_c1/2)+4*IF(circ_int,0,eq_c2/2)+2*PI()*(s_0+5*s_r+IF(circ_int,eq_c1/2,0)))/INDEX(lk_legs,6))&lt;(2*IF(circ_int,0,eq_c2/2)),IF(circ_int,0,eq_c1/2)+(s_0+5*s_r+IF(circ_int,eq_c1/2,0)),IF(((33+0.5)*(4*IF(circ_int,0,eq_c1/2)+4*IF(circ_int,0,eq_c2/2)+2*PI()*(s_0+5*s_r+IF(circ_int,eq_c1/2,0)))/INDEX(lk_legs,6))&lt;((2*IF(circ_int,0,eq_c2/2))+(PI()*(s_0+5*s_r+IF(circ_int,eq_c1/2,0))/2)),IF(circ_int,0,eq_c1/2)+(s_0+5*s_r+IF(circ_int,eq_c1/2,0))*COS((((33+0.5)*(4*IF(circ_int,0,eq_c1/2)+4*IF(circ_int,0,eq_c2/2)+2*PI()*(s_0+5*s_r+IF(circ_int,eq_c1/2,0)))/INDEX(lk_legs,6))-(2*IF(circ_int,0,eq_c2/2)))/(s_0+5*s_r+IF(circ_int,eq_c1/2,0))),IF(((33+0.5)*(4*IF(circ_int,0,eq_c1/2)+4*IF(circ_int,0,eq_c2/2)+2*PI()*(s_0+5*s_r+IF(circ_int,eq_c1/2,0)))/INDEX(lk_legs,6))&lt;(((2*IF(circ_int,0,eq_c2/2))+(PI()*(s_0+5*s_r+IF(circ_int,eq_c1/2,0))/2))+2*IF(circ_int,0,eq_c1/2)),IF(circ_int,0,eq_c1/2)-(((33+0.5)*(4*IF(circ_int,0,eq_c1/2)+4*IF(circ_int,0,eq_c2/2)+2*PI()*(s_0+5*s_r+IF(circ_int,eq_c1/2,0)))/INDEX(lk_legs,6))-((2*IF(circ_int,0,eq_c2/2))+(PI()*(s_0+5*s_r+IF(circ_int,eq_c1/2,0))/2))),IF(((33+0.5)*(4*IF(circ_int,0,eq_c1/2)+4*IF(circ_int,0,eq_c2/2)+2*PI()*(s_0+5*s_r+IF(circ_int,eq_c1/2,0)))/INDEX(lk_legs,6))&lt;((((2*IF(circ_int,0,eq_c2/2))+(PI()*(s_0+5*s_r+IF(circ_int,eq_c1/2,0))/2))+2*IF(circ_int,0,eq_c1/2))+(PI()*(s_0+5*s_r+IF(circ_int,eq_c1/2,0))/2)),-IF(circ_int,0,eq_c1/2)+(s_0+5*s_r+IF(circ_int,eq_c1/2,0))*COS(PI()/2+(((33+0.5)*(4*IF(circ_int,0,eq_c1/2)+4*IF(circ_int,0,eq_c2/2)+2*PI()*(s_0+5*s_r+IF(circ_int,eq_c1/2,0)))/INDEX(lk_legs,6))-(((2*IF(circ_int,0,eq_c2/2))+(PI()*(s_0+5*s_r+IF(circ_int,eq_c1/2,0))/2))+2*IF(circ_int,0,eq_c1/2)))/(s_0+5*s_r+IF(circ_int,eq_c1/2,0))),IF(((33+0.5)*(4*IF(circ_int,0,eq_c1/2)+4*IF(circ_int,0,eq_c2/2)+2*PI()*(s_0+5*s_r+IF(circ_int,eq_c1/2,0)))/INDEX(lk_legs,6))&lt;(((((2*IF(circ_int,0,eq_c2/2))+(PI()*(s_0+5*s_r+IF(circ_int,eq_c1/2,0))/2))+2*IF(circ_int,0,eq_c1/2))+(PI()*(s_0+5*s_r+IF(circ_int,eq_c1/2,0))/2))+2*IF(circ_int,0,eq_c2/2)),-IF(circ_int,0,eq_c1/2)-(s_0+5*s_r+IF(circ_int,eq_c1/2,0)),IF(((33+0.5)*(4*IF(circ_int,0,eq_c1/2)+4*IF(circ_int,0,eq_c2/2)+2*PI()*(s_0+5*s_r+IF(circ_int,eq_c1/2,0)))/INDEX(lk_legs,6))&lt;((((((2*IF(circ_int,0,eq_c2/2))+(PI()*(s_0+5*s_r+IF(circ_int,eq_c1/2,0))/2))+2*IF(circ_int,0,eq_c1/2))+(PI()*(s_0+5*s_r+IF(circ_int,eq_c1/2,0))/2))+2*IF(circ_int,0,eq_c2/2))+(PI()*(s_0+5*s_r+IF(circ_int,eq_c1/2,0))/2)),-IF(circ_int,0,eq_c1/2)+(s_0+5*s_r+IF(circ_int,eq_c1/2,0))*COS(PI()+(((33+0.5)*(4*IF(circ_int,0,eq_c1/2)+4*IF(circ_int,0,eq_c2/2)+2*PI()*(s_0+5*s_r+IF(circ_int,eq_c1/2,0)))/INDEX(lk_legs,6))-(((((2*IF(circ_int,0,eq_c2/2))+(PI()*(s_0+5*s_r+IF(circ_int,eq_c1/2,0))/2))+2*IF(circ_int,0,eq_c1/2))+(PI()*(s_0+5*s_r+IF(circ_int,eq_c1/2,0))/2))+2*IF(circ_int,0,eq_c2/2)))/(s_0+5*s_r+IF(circ_int,eq_c1/2,0))),IF(((33+0.5)*(4*IF(circ_int,0,eq_c1/2)+4*IF(circ_int,0,eq_c2/2)+2*PI()*(s_0+5*s_r+IF(circ_int,eq_c1/2,0)))/INDEX(lk_legs,6))&lt;(((((((2*IF(circ_int,0,eq_c2/2))+(PI()*(s_0+5*s_r+IF(circ_int,eq_c1/2,0))/2))+2*IF(circ_int,0,eq_c1/2))+(PI()*(s_0+5*s_r+IF(circ_int,eq_c1/2,0))/2))+2*IF(circ_int,0,eq_c2/2))+(PI()*(s_0+5*s_r+IF(circ_int,eq_c1/2,0))/2))+2*IF(circ_int,0,eq_c1/2)),-IF(circ_int,0,eq_c1/2)+(((33+0.5)*(4*IF(circ_int,0,eq_c1/2)+4*IF(circ_int,0,eq_c2/2)+2*PI()*(s_0+5*s_r+IF(circ_int,eq_c1/2,0)))/INDEX(lk_legs,6))-((((((2*IF(circ_int,0,eq_c2/2))+(PI()*(s_0+5*s_r+IF(circ_int,eq_c1/2,0))/2))+2*IF(circ_int,0,eq_c1/2))+(PI()*(s_0+5*s_r+IF(circ_int,eq_c1/2,0))/2))+2*IF(circ_int,0,eq_c2/2))+(PI()*(s_0+5*s_r+IF(circ_int,eq_c1/2,0))/2))),IF(circ_int,0,eq_c1/2)+(s_0+5*s_r+IF(circ_int,eq_c1/2,0))*COS(3*PI()/2+(((33+0.5)*(4*IF(circ_int,0,eq_c1/2)+4*IF(circ_int,0,eq_c2/2)+2*PI()*(s_0+5*s_r+IF(circ_int,eq_c1/2,0)))/INDEX(lk_legs,6))-(((((((2*IF(circ_int,0,eq_c2/2))+(PI()*(s_0+5*s_r+IF(circ_int,eq_c1/2,0))/2))+2*IF(circ_int,0,eq_c1/2))+(PI()*(s_0+5*s_r+IF(circ_int,eq_c1/2,0))/2))+2*IF(circ_int,0,eq_c2/2))+(PI()*(s_0+5*s_r+IF(circ_int,eq_c1/2,0))/2))+2*IF(circ_int,0,eq_c1/2)))/(s_0+5*s_r+IF(circ_int,eq_c1/2,0)))))))))),NA())</f>
        <v/>
      </c>
      <c r="CE36">
        <f>IF(AND(AND(links_on,6&lt;=n_per),INDEX(lk_kind,6)=1,33&lt;INDEX(lk_legs,6)),g_oy+IF(((33+0.5)*(4*IF(circ_int,0,eq_c1/2)+4*IF(circ_int,0,eq_c2/2)+2*PI()*(s_0+5*s_r+IF(circ_int,eq_c1/2,0)))/INDEX(lk_legs,6))&lt;(2*IF(circ_int,0,eq_c2/2)),-IF(circ_int,0,eq_c2/2)+((33+0.5)*(4*IF(circ_int,0,eq_c1/2)+4*IF(circ_int,0,eq_c2/2)+2*PI()*(s_0+5*s_r+IF(circ_int,eq_c1/2,0)))/INDEX(lk_legs,6)),IF(((33+0.5)*(4*IF(circ_int,0,eq_c1/2)+4*IF(circ_int,0,eq_c2/2)+2*PI()*(s_0+5*s_r+IF(circ_int,eq_c1/2,0)))/INDEX(lk_legs,6))&lt;((2*IF(circ_int,0,eq_c2/2))+(PI()*(s_0+5*s_r+IF(circ_int,eq_c1/2,0))/2)),IF(circ_int,0,eq_c2/2)+(s_0+5*s_r+IF(circ_int,eq_c1/2,0))*SIN((((33+0.5)*(4*IF(circ_int,0,eq_c1/2)+4*IF(circ_int,0,eq_c2/2)+2*PI()*(s_0+5*s_r+IF(circ_int,eq_c1/2,0)))/INDEX(lk_legs,6))-(2*IF(circ_int,0,eq_c2/2)))/(s_0+5*s_r+IF(circ_int,eq_c1/2,0))),IF(((33+0.5)*(4*IF(circ_int,0,eq_c1/2)+4*IF(circ_int,0,eq_c2/2)+2*PI()*(s_0+5*s_r+IF(circ_int,eq_c1/2,0)))/INDEX(lk_legs,6))&lt;(((2*IF(circ_int,0,eq_c2/2))+(PI()*(s_0+5*s_r+IF(circ_int,eq_c1/2,0))/2))+2*IF(circ_int,0,eq_c1/2)),IF(circ_int,0,eq_c2/2)+(s_0+5*s_r+IF(circ_int,eq_c1/2,0)),IF(((33+0.5)*(4*IF(circ_int,0,eq_c1/2)+4*IF(circ_int,0,eq_c2/2)+2*PI()*(s_0+5*s_r+IF(circ_int,eq_c1/2,0)))/INDEX(lk_legs,6))&lt;((((2*IF(circ_int,0,eq_c2/2))+(PI()*(s_0+5*s_r+IF(circ_int,eq_c1/2,0))/2))+2*IF(circ_int,0,eq_c1/2))+(PI()*(s_0+5*s_r+IF(circ_int,eq_c1/2,0))/2)),IF(circ_int,0,eq_c2/2)+(s_0+5*s_r+IF(circ_int,eq_c1/2,0))*SIN(PI()/2+(((33+0.5)*(4*IF(circ_int,0,eq_c1/2)+4*IF(circ_int,0,eq_c2/2)+2*PI()*(s_0+5*s_r+IF(circ_int,eq_c1/2,0)))/INDEX(lk_legs,6))-(((2*IF(circ_int,0,eq_c2/2))+(PI()*(s_0+5*s_r+IF(circ_int,eq_c1/2,0))/2))+2*IF(circ_int,0,eq_c1/2)))/(s_0+5*s_r+IF(circ_int,eq_c1/2,0))),IF(((33+0.5)*(4*IF(circ_int,0,eq_c1/2)+4*IF(circ_int,0,eq_c2/2)+2*PI()*(s_0+5*s_r+IF(circ_int,eq_c1/2,0)))/INDEX(lk_legs,6))&lt;(((((2*IF(circ_int,0,eq_c2/2))+(PI()*(s_0+5*s_r+IF(circ_int,eq_c1/2,0))/2))+2*IF(circ_int,0,eq_c1/2))+(PI()*(s_0+5*s_r+IF(circ_int,eq_c1/2,0))/2))+2*IF(circ_int,0,eq_c2/2)),IF(circ_int,0,eq_c2/2)-(((33+0.5)*(4*IF(circ_int,0,eq_c1/2)+4*IF(circ_int,0,eq_c2/2)+2*PI()*(s_0+5*s_r+IF(circ_int,eq_c1/2,0)))/INDEX(lk_legs,6))-((((2*IF(circ_int,0,eq_c2/2))+(PI()*(s_0+5*s_r+IF(circ_int,eq_c1/2,0))/2))+2*IF(circ_int,0,eq_c1/2))+(PI()*(s_0+5*s_r+IF(circ_int,eq_c1/2,0))/2))),IF(((33+0.5)*(4*IF(circ_int,0,eq_c1/2)+4*IF(circ_int,0,eq_c2/2)+2*PI()*(s_0+5*s_r+IF(circ_int,eq_c1/2,0)))/INDEX(lk_legs,6))&lt;((((((2*IF(circ_int,0,eq_c2/2))+(PI()*(s_0+5*s_r+IF(circ_int,eq_c1/2,0))/2))+2*IF(circ_int,0,eq_c1/2))+(PI()*(s_0+5*s_r+IF(circ_int,eq_c1/2,0))/2))+2*IF(circ_int,0,eq_c2/2))+(PI()*(s_0+5*s_r+IF(circ_int,eq_c1/2,0))/2)),-IF(circ_int,0,eq_c2/2)+(s_0+5*s_r+IF(circ_int,eq_c1/2,0))*SIN(PI()+(((33+0.5)*(4*IF(circ_int,0,eq_c1/2)+4*IF(circ_int,0,eq_c2/2)+2*PI()*(s_0+5*s_r+IF(circ_int,eq_c1/2,0)))/INDEX(lk_legs,6))-(((((2*IF(circ_int,0,eq_c2/2))+(PI()*(s_0+5*s_r+IF(circ_int,eq_c1/2,0))/2))+2*IF(circ_int,0,eq_c1/2))+(PI()*(s_0+5*s_r+IF(circ_int,eq_c1/2,0))/2))+2*IF(circ_int,0,eq_c2/2)))/(s_0+5*s_r+IF(circ_int,eq_c1/2,0))),IF(((33+0.5)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(33+0.5)*(4*IF(circ_int,0,eq_c1/2)+4*IF(circ_int,0,eq_c2/2)+2*PI()*(s_0+5*s_r+IF(circ_int,eq_c1/2,0)))/INDEX(lk_legs,6))-(((((((2*IF(circ_int,0,eq_c2/2))+(PI()*(s_0+5*s_r+IF(circ_int,eq_c1/2,0))/2))+2*IF(circ_int,0,eq_c1/2))+(PI()*(s_0+5*s_r+IF(circ_int,eq_c1/2,0))/2))+2*IF(circ_int,0,eq_c2/2))+(PI()*(s_0+5*s_r+IF(circ_int,eq_c1/2,0))/2))+2*IF(circ_int,0,eq_c1/2)))/(s_0+5*s_r+IF(circ_int,eq_c1/2,0)))))))))),NA())</f>
        <v/>
      </c>
      <c r="CG36">
        <f>IF(AND(links_on,7&lt;=n_per),IF(circ_int,(g_ox)+(c_1/2+(s_0+6*s_r))*-0.663123,CHOOSE(INDEX(lk_kind,7),(g_ox-eq_c1/2)+((s_0+6*s_r))*-0.608761,0,eq_a1+eq_c1+(s_0+6*s_r),eq_a1+eq_c1+(s_0+6*s_r))),NA())</f>
        <v/>
      </c>
      <c r="CH36">
        <f>IF(AND(links_on,7&lt;=n_per),IF(circ_int,(g_oy)+(c_1/2+(s_0+6*s_r))*-0.748511,CHOOSE(INDEX(lk_kind,7),(g_oy-eq_c2/2)+((s_0+6*s_r))*-0.793353,g_oy-eq_c2/2-(s_0+6*s_r),0,0)),NA())</f>
        <v/>
      </c>
      <c r="CJ36">
        <f>IF(AND(AND(links_on,7&lt;=n_per),INDEX(lk_kind,7)=1,33&lt;INDEX(lk_legs,7)),g_ox+IF(((33+0.5)*(4*IF(circ_int,0,eq_c1/2)+4*IF(circ_int,0,eq_c2/2)+2*PI()*(s_0+6*s_r+IF(circ_int,eq_c1/2,0)))/INDEX(lk_legs,7))&lt;(2*IF(circ_int,0,eq_c2/2)),IF(circ_int,0,eq_c1/2)+(s_0+6*s_r+IF(circ_int,eq_c1/2,0)),IF(((33+0.5)*(4*IF(circ_int,0,eq_c1/2)+4*IF(circ_int,0,eq_c2/2)+2*PI()*(s_0+6*s_r+IF(circ_int,eq_c1/2,0)))/INDEX(lk_legs,7))&lt;((2*IF(circ_int,0,eq_c2/2))+(PI()*(s_0+6*s_r+IF(circ_int,eq_c1/2,0))/2)),IF(circ_int,0,eq_c1/2)+(s_0+6*s_r+IF(circ_int,eq_c1/2,0))*COS((((33+0.5)*(4*IF(circ_int,0,eq_c1/2)+4*IF(circ_int,0,eq_c2/2)+2*PI()*(s_0+6*s_r+IF(circ_int,eq_c1/2,0)))/INDEX(lk_legs,7))-(2*IF(circ_int,0,eq_c2/2)))/(s_0+6*s_r+IF(circ_int,eq_c1/2,0))),IF(((33+0.5)*(4*IF(circ_int,0,eq_c1/2)+4*IF(circ_int,0,eq_c2/2)+2*PI()*(s_0+6*s_r+IF(circ_int,eq_c1/2,0)))/INDEX(lk_legs,7))&lt;(((2*IF(circ_int,0,eq_c2/2))+(PI()*(s_0+6*s_r+IF(circ_int,eq_c1/2,0))/2))+2*IF(circ_int,0,eq_c1/2)),IF(circ_int,0,eq_c1/2)-(((33+0.5)*(4*IF(circ_int,0,eq_c1/2)+4*IF(circ_int,0,eq_c2/2)+2*PI()*(s_0+6*s_r+IF(circ_int,eq_c1/2,0)))/INDEX(lk_legs,7))-((2*IF(circ_int,0,eq_c2/2))+(PI()*(s_0+6*s_r+IF(circ_int,eq_c1/2,0))/2))),IF(((33+0.5)*(4*IF(circ_int,0,eq_c1/2)+4*IF(circ_int,0,eq_c2/2)+2*PI()*(s_0+6*s_r+IF(circ_int,eq_c1/2,0)))/INDEX(lk_legs,7))&lt;((((2*IF(circ_int,0,eq_c2/2))+(PI()*(s_0+6*s_r+IF(circ_int,eq_c1/2,0))/2))+2*IF(circ_int,0,eq_c1/2))+(PI()*(s_0+6*s_r+IF(circ_int,eq_c1/2,0))/2)),-IF(circ_int,0,eq_c1/2)+(s_0+6*s_r+IF(circ_int,eq_c1/2,0))*COS(PI()/2+(((33+0.5)*(4*IF(circ_int,0,eq_c1/2)+4*IF(circ_int,0,eq_c2/2)+2*PI()*(s_0+6*s_r+IF(circ_int,eq_c1/2,0)))/INDEX(lk_legs,7))-(((2*IF(circ_int,0,eq_c2/2))+(PI()*(s_0+6*s_r+IF(circ_int,eq_c1/2,0))/2))+2*IF(circ_int,0,eq_c1/2)))/(s_0+6*s_r+IF(circ_int,eq_c1/2,0))),IF(((33+0.5)*(4*IF(circ_int,0,eq_c1/2)+4*IF(circ_int,0,eq_c2/2)+2*PI()*(s_0+6*s_r+IF(circ_int,eq_c1/2,0)))/INDEX(lk_legs,7))&lt;(((((2*IF(circ_int,0,eq_c2/2))+(PI()*(s_0+6*s_r+IF(circ_int,eq_c1/2,0))/2))+2*IF(circ_int,0,eq_c1/2))+(PI()*(s_0+6*s_r+IF(circ_int,eq_c1/2,0))/2))+2*IF(circ_int,0,eq_c2/2)),-IF(circ_int,0,eq_c1/2)-(s_0+6*s_r+IF(circ_int,eq_c1/2,0)),IF(((33+0.5)*(4*IF(circ_int,0,eq_c1/2)+4*IF(circ_int,0,eq_c2/2)+2*PI()*(s_0+6*s_r+IF(circ_int,eq_c1/2,0)))/INDEX(lk_legs,7))&lt;((((((2*IF(circ_int,0,eq_c2/2))+(PI()*(s_0+6*s_r+IF(circ_int,eq_c1/2,0))/2))+2*IF(circ_int,0,eq_c1/2))+(PI()*(s_0+6*s_r+IF(circ_int,eq_c1/2,0))/2))+2*IF(circ_int,0,eq_c2/2))+(PI()*(s_0+6*s_r+IF(circ_int,eq_c1/2,0))/2)),-IF(circ_int,0,eq_c1/2)+(s_0+6*s_r+IF(circ_int,eq_c1/2,0))*COS(PI()+(((33+0.5)*(4*IF(circ_int,0,eq_c1/2)+4*IF(circ_int,0,eq_c2/2)+2*PI()*(s_0+6*s_r+IF(circ_int,eq_c1/2,0)))/INDEX(lk_legs,7))-(((((2*IF(circ_int,0,eq_c2/2))+(PI()*(s_0+6*s_r+IF(circ_int,eq_c1/2,0))/2))+2*IF(circ_int,0,eq_c1/2))+(PI()*(s_0+6*s_r+IF(circ_int,eq_c1/2,0))/2))+2*IF(circ_int,0,eq_c2/2)))/(s_0+6*s_r+IF(circ_int,eq_c1/2,0))),IF(((33+0.5)*(4*IF(circ_int,0,eq_c1/2)+4*IF(circ_int,0,eq_c2/2)+2*PI()*(s_0+6*s_r+IF(circ_int,eq_c1/2,0)))/INDEX(lk_legs,7))&lt;(((((((2*IF(circ_int,0,eq_c2/2))+(PI()*(s_0+6*s_r+IF(circ_int,eq_c1/2,0))/2))+2*IF(circ_int,0,eq_c1/2))+(PI()*(s_0+6*s_r+IF(circ_int,eq_c1/2,0))/2))+2*IF(circ_int,0,eq_c2/2))+(PI()*(s_0+6*s_r+IF(circ_int,eq_c1/2,0))/2))+2*IF(circ_int,0,eq_c1/2)),-IF(circ_int,0,eq_c1/2)+(((33+0.5)*(4*IF(circ_int,0,eq_c1/2)+4*IF(circ_int,0,eq_c2/2)+2*PI()*(s_0+6*s_r+IF(circ_int,eq_c1/2,0)))/INDEX(lk_legs,7))-((((((2*IF(circ_int,0,eq_c2/2))+(PI()*(s_0+6*s_r+IF(circ_int,eq_c1/2,0))/2))+2*IF(circ_int,0,eq_c1/2))+(PI()*(s_0+6*s_r+IF(circ_int,eq_c1/2,0))/2))+2*IF(circ_int,0,eq_c2/2))+(PI()*(s_0+6*s_r+IF(circ_int,eq_c1/2,0))/2))),IF(circ_int,0,eq_c1/2)+(s_0+6*s_r+IF(circ_int,eq_c1/2,0))*COS(3*PI()/2+(((33+0.5)*(4*IF(circ_int,0,eq_c1/2)+4*IF(circ_int,0,eq_c2/2)+2*PI()*(s_0+6*s_r+IF(circ_int,eq_c1/2,0)))/INDEX(lk_legs,7))-(((((((2*IF(circ_int,0,eq_c2/2))+(PI()*(s_0+6*s_r+IF(circ_int,eq_c1/2,0))/2))+2*IF(circ_int,0,eq_c1/2))+(PI()*(s_0+6*s_r+IF(circ_int,eq_c1/2,0))/2))+2*IF(circ_int,0,eq_c2/2))+(PI()*(s_0+6*s_r+IF(circ_int,eq_c1/2,0))/2))+2*IF(circ_int,0,eq_c1/2)))/(s_0+6*s_r+IF(circ_int,eq_c1/2,0)))))))))),NA())</f>
        <v/>
      </c>
      <c r="CK36">
        <f>IF(AND(AND(links_on,7&lt;=n_per),INDEX(lk_kind,7)=1,33&lt;INDEX(lk_legs,7)),g_oy+IF(((33+0.5)*(4*IF(circ_int,0,eq_c1/2)+4*IF(circ_int,0,eq_c2/2)+2*PI()*(s_0+6*s_r+IF(circ_int,eq_c1/2,0)))/INDEX(lk_legs,7))&lt;(2*IF(circ_int,0,eq_c2/2)),-IF(circ_int,0,eq_c2/2)+((33+0.5)*(4*IF(circ_int,0,eq_c1/2)+4*IF(circ_int,0,eq_c2/2)+2*PI()*(s_0+6*s_r+IF(circ_int,eq_c1/2,0)))/INDEX(lk_legs,7)),IF(((33+0.5)*(4*IF(circ_int,0,eq_c1/2)+4*IF(circ_int,0,eq_c2/2)+2*PI()*(s_0+6*s_r+IF(circ_int,eq_c1/2,0)))/INDEX(lk_legs,7))&lt;((2*IF(circ_int,0,eq_c2/2))+(PI()*(s_0+6*s_r+IF(circ_int,eq_c1/2,0))/2)),IF(circ_int,0,eq_c2/2)+(s_0+6*s_r+IF(circ_int,eq_c1/2,0))*SIN((((33+0.5)*(4*IF(circ_int,0,eq_c1/2)+4*IF(circ_int,0,eq_c2/2)+2*PI()*(s_0+6*s_r+IF(circ_int,eq_c1/2,0)))/INDEX(lk_legs,7))-(2*IF(circ_int,0,eq_c2/2)))/(s_0+6*s_r+IF(circ_int,eq_c1/2,0))),IF(((33+0.5)*(4*IF(circ_int,0,eq_c1/2)+4*IF(circ_int,0,eq_c2/2)+2*PI()*(s_0+6*s_r+IF(circ_int,eq_c1/2,0)))/INDEX(lk_legs,7))&lt;(((2*IF(circ_int,0,eq_c2/2))+(PI()*(s_0+6*s_r+IF(circ_int,eq_c1/2,0))/2))+2*IF(circ_int,0,eq_c1/2)),IF(circ_int,0,eq_c2/2)+(s_0+6*s_r+IF(circ_int,eq_c1/2,0)),IF(((33+0.5)*(4*IF(circ_int,0,eq_c1/2)+4*IF(circ_int,0,eq_c2/2)+2*PI()*(s_0+6*s_r+IF(circ_int,eq_c1/2,0)))/INDEX(lk_legs,7))&lt;((((2*IF(circ_int,0,eq_c2/2))+(PI()*(s_0+6*s_r+IF(circ_int,eq_c1/2,0))/2))+2*IF(circ_int,0,eq_c1/2))+(PI()*(s_0+6*s_r+IF(circ_int,eq_c1/2,0))/2)),IF(circ_int,0,eq_c2/2)+(s_0+6*s_r+IF(circ_int,eq_c1/2,0))*SIN(PI()/2+(((33+0.5)*(4*IF(circ_int,0,eq_c1/2)+4*IF(circ_int,0,eq_c2/2)+2*PI()*(s_0+6*s_r+IF(circ_int,eq_c1/2,0)))/INDEX(lk_legs,7))-(((2*IF(circ_int,0,eq_c2/2))+(PI()*(s_0+6*s_r+IF(circ_int,eq_c1/2,0))/2))+2*IF(circ_int,0,eq_c1/2)))/(s_0+6*s_r+IF(circ_int,eq_c1/2,0))),IF(((33+0.5)*(4*IF(circ_int,0,eq_c1/2)+4*IF(circ_int,0,eq_c2/2)+2*PI()*(s_0+6*s_r+IF(circ_int,eq_c1/2,0)))/INDEX(lk_legs,7))&lt;(((((2*IF(circ_int,0,eq_c2/2))+(PI()*(s_0+6*s_r+IF(circ_int,eq_c1/2,0))/2))+2*IF(circ_int,0,eq_c1/2))+(PI()*(s_0+6*s_r+IF(circ_int,eq_c1/2,0))/2))+2*IF(circ_int,0,eq_c2/2)),IF(circ_int,0,eq_c2/2)-(((33+0.5)*(4*IF(circ_int,0,eq_c1/2)+4*IF(circ_int,0,eq_c2/2)+2*PI()*(s_0+6*s_r+IF(circ_int,eq_c1/2,0)))/INDEX(lk_legs,7))-((((2*IF(circ_int,0,eq_c2/2))+(PI()*(s_0+6*s_r+IF(circ_int,eq_c1/2,0))/2))+2*IF(circ_int,0,eq_c1/2))+(PI()*(s_0+6*s_r+IF(circ_int,eq_c1/2,0))/2))),IF(((33+0.5)*(4*IF(circ_int,0,eq_c1/2)+4*IF(circ_int,0,eq_c2/2)+2*PI()*(s_0+6*s_r+IF(circ_int,eq_c1/2,0)))/INDEX(lk_legs,7))&lt;((((((2*IF(circ_int,0,eq_c2/2))+(PI()*(s_0+6*s_r+IF(circ_int,eq_c1/2,0))/2))+2*IF(circ_int,0,eq_c1/2))+(PI()*(s_0+6*s_r+IF(circ_int,eq_c1/2,0))/2))+2*IF(circ_int,0,eq_c2/2))+(PI()*(s_0+6*s_r+IF(circ_int,eq_c1/2,0))/2)),-IF(circ_int,0,eq_c2/2)+(s_0+6*s_r+IF(circ_int,eq_c1/2,0))*SIN(PI()+(((33+0.5)*(4*IF(circ_int,0,eq_c1/2)+4*IF(circ_int,0,eq_c2/2)+2*PI()*(s_0+6*s_r+IF(circ_int,eq_c1/2,0)))/INDEX(lk_legs,7))-(((((2*IF(circ_int,0,eq_c2/2))+(PI()*(s_0+6*s_r+IF(circ_int,eq_c1/2,0))/2))+2*IF(circ_int,0,eq_c1/2))+(PI()*(s_0+6*s_r+IF(circ_int,eq_c1/2,0))/2))+2*IF(circ_int,0,eq_c2/2)))/(s_0+6*s_r+IF(circ_int,eq_c1/2,0))),IF(((33+0.5)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(33+0.5)*(4*IF(circ_int,0,eq_c1/2)+4*IF(circ_int,0,eq_c2/2)+2*PI()*(s_0+6*s_r+IF(circ_int,eq_c1/2,0)))/INDEX(lk_legs,7))-(((((((2*IF(circ_int,0,eq_c2/2))+(PI()*(s_0+6*s_r+IF(circ_int,eq_c1/2,0))/2))+2*IF(circ_int,0,eq_c1/2))+(PI()*(s_0+6*s_r+IF(circ_int,eq_c1/2,0))/2))+2*IF(circ_int,0,eq_c2/2))+(PI()*(s_0+6*s_r+IF(circ_int,eq_c1/2,0))/2))+2*IF(circ_int,0,eq_c1/2)))/(s_0+6*s_r+IF(circ_int,eq_c1/2,0)))))))))),NA())</f>
        <v/>
      </c>
      <c r="CM36">
        <f>IF(AND(links_on,8&lt;=n_per),IF(circ_int,(g_ox)+(c_1/2+(s_0+7*s_r))*-0.663123,CHOOSE(INDEX(lk_kind,8),(g_ox-eq_c1/2)+((s_0+7*s_r))*-0.608761,0,eq_a1+eq_c1+(s_0+7*s_r),eq_a1+eq_c1+(s_0+7*s_r))),NA())</f>
        <v/>
      </c>
      <c r="CN36">
        <f>IF(AND(links_on,8&lt;=n_per),IF(circ_int,(g_oy)+(c_1/2+(s_0+7*s_r))*-0.748511,CHOOSE(INDEX(lk_kind,8),(g_oy-eq_c2/2)+((s_0+7*s_r))*-0.793353,g_oy-eq_c2/2-(s_0+7*s_r),0,0)),NA())</f>
        <v/>
      </c>
      <c r="CP36">
        <f>IF(AND(AND(links_on,8&lt;=n_per),INDEX(lk_kind,8)=1,33&lt;INDEX(lk_legs,8)),g_ox+IF(((33+0.5)*(4*IF(circ_int,0,eq_c1/2)+4*IF(circ_int,0,eq_c2/2)+2*PI()*(s_0+7*s_r+IF(circ_int,eq_c1/2,0)))/INDEX(lk_legs,8))&lt;(2*IF(circ_int,0,eq_c2/2)),IF(circ_int,0,eq_c1/2)+(s_0+7*s_r+IF(circ_int,eq_c1/2,0)),IF(((33+0.5)*(4*IF(circ_int,0,eq_c1/2)+4*IF(circ_int,0,eq_c2/2)+2*PI()*(s_0+7*s_r+IF(circ_int,eq_c1/2,0)))/INDEX(lk_legs,8))&lt;((2*IF(circ_int,0,eq_c2/2))+(PI()*(s_0+7*s_r+IF(circ_int,eq_c1/2,0))/2)),IF(circ_int,0,eq_c1/2)+(s_0+7*s_r+IF(circ_int,eq_c1/2,0))*COS((((33+0.5)*(4*IF(circ_int,0,eq_c1/2)+4*IF(circ_int,0,eq_c2/2)+2*PI()*(s_0+7*s_r+IF(circ_int,eq_c1/2,0)))/INDEX(lk_legs,8))-(2*IF(circ_int,0,eq_c2/2)))/(s_0+7*s_r+IF(circ_int,eq_c1/2,0))),IF(((33+0.5)*(4*IF(circ_int,0,eq_c1/2)+4*IF(circ_int,0,eq_c2/2)+2*PI()*(s_0+7*s_r+IF(circ_int,eq_c1/2,0)))/INDEX(lk_legs,8))&lt;(((2*IF(circ_int,0,eq_c2/2))+(PI()*(s_0+7*s_r+IF(circ_int,eq_c1/2,0))/2))+2*IF(circ_int,0,eq_c1/2)),IF(circ_int,0,eq_c1/2)-(((33+0.5)*(4*IF(circ_int,0,eq_c1/2)+4*IF(circ_int,0,eq_c2/2)+2*PI()*(s_0+7*s_r+IF(circ_int,eq_c1/2,0)))/INDEX(lk_legs,8))-((2*IF(circ_int,0,eq_c2/2))+(PI()*(s_0+7*s_r+IF(circ_int,eq_c1/2,0))/2))),IF(((33+0.5)*(4*IF(circ_int,0,eq_c1/2)+4*IF(circ_int,0,eq_c2/2)+2*PI()*(s_0+7*s_r+IF(circ_int,eq_c1/2,0)))/INDEX(lk_legs,8))&lt;((((2*IF(circ_int,0,eq_c2/2))+(PI()*(s_0+7*s_r+IF(circ_int,eq_c1/2,0))/2))+2*IF(circ_int,0,eq_c1/2))+(PI()*(s_0+7*s_r+IF(circ_int,eq_c1/2,0))/2)),-IF(circ_int,0,eq_c1/2)+(s_0+7*s_r+IF(circ_int,eq_c1/2,0))*COS(PI()/2+(((33+0.5)*(4*IF(circ_int,0,eq_c1/2)+4*IF(circ_int,0,eq_c2/2)+2*PI()*(s_0+7*s_r+IF(circ_int,eq_c1/2,0)))/INDEX(lk_legs,8))-(((2*IF(circ_int,0,eq_c2/2))+(PI()*(s_0+7*s_r+IF(circ_int,eq_c1/2,0))/2))+2*IF(circ_int,0,eq_c1/2)))/(s_0+7*s_r+IF(circ_int,eq_c1/2,0))),IF(((33+0.5)*(4*IF(circ_int,0,eq_c1/2)+4*IF(circ_int,0,eq_c2/2)+2*PI()*(s_0+7*s_r+IF(circ_int,eq_c1/2,0)))/INDEX(lk_legs,8))&lt;(((((2*IF(circ_int,0,eq_c2/2))+(PI()*(s_0+7*s_r+IF(circ_int,eq_c1/2,0))/2))+2*IF(circ_int,0,eq_c1/2))+(PI()*(s_0+7*s_r+IF(circ_int,eq_c1/2,0))/2))+2*IF(circ_int,0,eq_c2/2)),-IF(circ_int,0,eq_c1/2)-(s_0+7*s_r+IF(circ_int,eq_c1/2,0)),IF(((33+0.5)*(4*IF(circ_int,0,eq_c1/2)+4*IF(circ_int,0,eq_c2/2)+2*PI()*(s_0+7*s_r+IF(circ_int,eq_c1/2,0)))/INDEX(lk_legs,8))&lt;((((((2*IF(circ_int,0,eq_c2/2))+(PI()*(s_0+7*s_r+IF(circ_int,eq_c1/2,0))/2))+2*IF(circ_int,0,eq_c1/2))+(PI()*(s_0+7*s_r+IF(circ_int,eq_c1/2,0))/2))+2*IF(circ_int,0,eq_c2/2))+(PI()*(s_0+7*s_r+IF(circ_int,eq_c1/2,0))/2)),-IF(circ_int,0,eq_c1/2)+(s_0+7*s_r+IF(circ_int,eq_c1/2,0))*COS(PI()+(((33+0.5)*(4*IF(circ_int,0,eq_c1/2)+4*IF(circ_int,0,eq_c2/2)+2*PI()*(s_0+7*s_r+IF(circ_int,eq_c1/2,0)))/INDEX(lk_legs,8))-(((((2*IF(circ_int,0,eq_c2/2))+(PI()*(s_0+7*s_r+IF(circ_int,eq_c1/2,0))/2))+2*IF(circ_int,0,eq_c1/2))+(PI()*(s_0+7*s_r+IF(circ_int,eq_c1/2,0))/2))+2*IF(circ_int,0,eq_c2/2)))/(s_0+7*s_r+IF(circ_int,eq_c1/2,0))),IF(((33+0.5)*(4*IF(circ_int,0,eq_c1/2)+4*IF(circ_int,0,eq_c2/2)+2*PI()*(s_0+7*s_r+IF(circ_int,eq_c1/2,0)))/INDEX(lk_legs,8))&lt;(((((((2*IF(circ_int,0,eq_c2/2))+(PI()*(s_0+7*s_r+IF(circ_int,eq_c1/2,0))/2))+2*IF(circ_int,0,eq_c1/2))+(PI()*(s_0+7*s_r+IF(circ_int,eq_c1/2,0))/2))+2*IF(circ_int,0,eq_c2/2))+(PI()*(s_0+7*s_r+IF(circ_int,eq_c1/2,0))/2))+2*IF(circ_int,0,eq_c1/2)),-IF(circ_int,0,eq_c1/2)+(((33+0.5)*(4*IF(circ_int,0,eq_c1/2)+4*IF(circ_int,0,eq_c2/2)+2*PI()*(s_0+7*s_r+IF(circ_int,eq_c1/2,0)))/INDEX(lk_legs,8))-((((((2*IF(circ_int,0,eq_c2/2))+(PI()*(s_0+7*s_r+IF(circ_int,eq_c1/2,0))/2))+2*IF(circ_int,0,eq_c1/2))+(PI()*(s_0+7*s_r+IF(circ_int,eq_c1/2,0))/2))+2*IF(circ_int,0,eq_c2/2))+(PI()*(s_0+7*s_r+IF(circ_int,eq_c1/2,0))/2))),IF(circ_int,0,eq_c1/2)+(s_0+7*s_r+IF(circ_int,eq_c1/2,0))*COS(3*PI()/2+(((33+0.5)*(4*IF(circ_int,0,eq_c1/2)+4*IF(circ_int,0,eq_c2/2)+2*PI()*(s_0+7*s_r+IF(circ_int,eq_c1/2,0)))/INDEX(lk_legs,8))-(((((((2*IF(circ_int,0,eq_c2/2))+(PI()*(s_0+7*s_r+IF(circ_int,eq_c1/2,0))/2))+2*IF(circ_int,0,eq_c1/2))+(PI()*(s_0+7*s_r+IF(circ_int,eq_c1/2,0))/2))+2*IF(circ_int,0,eq_c2/2))+(PI()*(s_0+7*s_r+IF(circ_int,eq_c1/2,0))/2))+2*IF(circ_int,0,eq_c1/2)))/(s_0+7*s_r+IF(circ_int,eq_c1/2,0)))))))))),NA())</f>
        <v/>
      </c>
      <c r="CQ36">
        <f>IF(AND(AND(links_on,8&lt;=n_per),INDEX(lk_kind,8)=1,33&lt;INDEX(lk_legs,8)),g_oy+IF(((33+0.5)*(4*IF(circ_int,0,eq_c1/2)+4*IF(circ_int,0,eq_c2/2)+2*PI()*(s_0+7*s_r+IF(circ_int,eq_c1/2,0)))/INDEX(lk_legs,8))&lt;(2*IF(circ_int,0,eq_c2/2)),-IF(circ_int,0,eq_c2/2)+((33+0.5)*(4*IF(circ_int,0,eq_c1/2)+4*IF(circ_int,0,eq_c2/2)+2*PI()*(s_0+7*s_r+IF(circ_int,eq_c1/2,0)))/INDEX(lk_legs,8)),IF(((33+0.5)*(4*IF(circ_int,0,eq_c1/2)+4*IF(circ_int,0,eq_c2/2)+2*PI()*(s_0+7*s_r+IF(circ_int,eq_c1/2,0)))/INDEX(lk_legs,8))&lt;((2*IF(circ_int,0,eq_c2/2))+(PI()*(s_0+7*s_r+IF(circ_int,eq_c1/2,0))/2)),IF(circ_int,0,eq_c2/2)+(s_0+7*s_r+IF(circ_int,eq_c1/2,0))*SIN((((33+0.5)*(4*IF(circ_int,0,eq_c1/2)+4*IF(circ_int,0,eq_c2/2)+2*PI()*(s_0+7*s_r+IF(circ_int,eq_c1/2,0)))/INDEX(lk_legs,8))-(2*IF(circ_int,0,eq_c2/2)))/(s_0+7*s_r+IF(circ_int,eq_c1/2,0))),IF(((33+0.5)*(4*IF(circ_int,0,eq_c1/2)+4*IF(circ_int,0,eq_c2/2)+2*PI()*(s_0+7*s_r+IF(circ_int,eq_c1/2,0)))/INDEX(lk_legs,8))&lt;(((2*IF(circ_int,0,eq_c2/2))+(PI()*(s_0+7*s_r+IF(circ_int,eq_c1/2,0))/2))+2*IF(circ_int,0,eq_c1/2)),IF(circ_int,0,eq_c2/2)+(s_0+7*s_r+IF(circ_int,eq_c1/2,0)),IF(((33+0.5)*(4*IF(circ_int,0,eq_c1/2)+4*IF(circ_int,0,eq_c2/2)+2*PI()*(s_0+7*s_r+IF(circ_int,eq_c1/2,0)))/INDEX(lk_legs,8))&lt;((((2*IF(circ_int,0,eq_c2/2))+(PI()*(s_0+7*s_r+IF(circ_int,eq_c1/2,0))/2))+2*IF(circ_int,0,eq_c1/2))+(PI()*(s_0+7*s_r+IF(circ_int,eq_c1/2,0))/2)),IF(circ_int,0,eq_c2/2)+(s_0+7*s_r+IF(circ_int,eq_c1/2,0))*SIN(PI()/2+(((33+0.5)*(4*IF(circ_int,0,eq_c1/2)+4*IF(circ_int,0,eq_c2/2)+2*PI()*(s_0+7*s_r+IF(circ_int,eq_c1/2,0)))/INDEX(lk_legs,8))-(((2*IF(circ_int,0,eq_c2/2))+(PI()*(s_0+7*s_r+IF(circ_int,eq_c1/2,0))/2))+2*IF(circ_int,0,eq_c1/2)))/(s_0+7*s_r+IF(circ_int,eq_c1/2,0))),IF(((33+0.5)*(4*IF(circ_int,0,eq_c1/2)+4*IF(circ_int,0,eq_c2/2)+2*PI()*(s_0+7*s_r+IF(circ_int,eq_c1/2,0)))/INDEX(lk_legs,8))&lt;(((((2*IF(circ_int,0,eq_c2/2))+(PI()*(s_0+7*s_r+IF(circ_int,eq_c1/2,0))/2))+2*IF(circ_int,0,eq_c1/2))+(PI()*(s_0+7*s_r+IF(circ_int,eq_c1/2,0))/2))+2*IF(circ_int,0,eq_c2/2)),IF(circ_int,0,eq_c2/2)-(((33+0.5)*(4*IF(circ_int,0,eq_c1/2)+4*IF(circ_int,0,eq_c2/2)+2*PI()*(s_0+7*s_r+IF(circ_int,eq_c1/2,0)))/INDEX(lk_legs,8))-((((2*IF(circ_int,0,eq_c2/2))+(PI()*(s_0+7*s_r+IF(circ_int,eq_c1/2,0))/2))+2*IF(circ_int,0,eq_c1/2))+(PI()*(s_0+7*s_r+IF(circ_int,eq_c1/2,0))/2))),IF(((33+0.5)*(4*IF(circ_int,0,eq_c1/2)+4*IF(circ_int,0,eq_c2/2)+2*PI()*(s_0+7*s_r+IF(circ_int,eq_c1/2,0)))/INDEX(lk_legs,8))&lt;((((((2*IF(circ_int,0,eq_c2/2))+(PI()*(s_0+7*s_r+IF(circ_int,eq_c1/2,0))/2))+2*IF(circ_int,0,eq_c1/2))+(PI()*(s_0+7*s_r+IF(circ_int,eq_c1/2,0))/2))+2*IF(circ_int,0,eq_c2/2))+(PI()*(s_0+7*s_r+IF(circ_int,eq_c1/2,0))/2)),-IF(circ_int,0,eq_c2/2)+(s_0+7*s_r+IF(circ_int,eq_c1/2,0))*SIN(PI()+(((33+0.5)*(4*IF(circ_int,0,eq_c1/2)+4*IF(circ_int,0,eq_c2/2)+2*PI()*(s_0+7*s_r+IF(circ_int,eq_c1/2,0)))/INDEX(lk_legs,8))-(((((2*IF(circ_int,0,eq_c2/2))+(PI()*(s_0+7*s_r+IF(circ_int,eq_c1/2,0))/2))+2*IF(circ_int,0,eq_c1/2))+(PI()*(s_0+7*s_r+IF(circ_int,eq_c1/2,0))/2))+2*IF(circ_int,0,eq_c2/2)))/(s_0+7*s_r+IF(circ_int,eq_c1/2,0))),IF(((33+0.5)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(33+0.5)*(4*IF(circ_int,0,eq_c1/2)+4*IF(circ_int,0,eq_c2/2)+2*PI()*(s_0+7*s_r+IF(circ_int,eq_c1/2,0)))/INDEX(lk_legs,8))-(((((((2*IF(circ_int,0,eq_c2/2))+(PI()*(s_0+7*s_r+IF(circ_int,eq_c1/2,0))/2))+2*IF(circ_int,0,eq_c1/2))+(PI()*(s_0+7*s_r+IF(circ_int,eq_c1/2,0))/2))+2*IF(circ_int,0,eq_c2/2))+(PI()*(s_0+7*s_r+IF(circ_int,eq_c1/2,0))/2))+2*IF(circ_int,0,eq_c1/2)))/(s_0+7*s_r+IF(circ_int,eq_c1/2,0)))))))))),NA())</f>
        <v/>
      </c>
      <c r="CS36">
        <f>IF(AND(links_on,9&lt;=n_per),IF(circ_int,(g_ox)+(c_1/2+(s_0+8*s_r))*-0.663123,CHOOSE(INDEX(lk_kind,9),(g_ox-eq_c1/2)+((s_0+8*s_r))*-0.608761,0,eq_a1+eq_c1+(s_0+8*s_r),eq_a1+eq_c1+(s_0+8*s_r))),NA())</f>
        <v/>
      </c>
      <c r="CT36">
        <f>IF(AND(links_on,9&lt;=n_per),IF(circ_int,(g_oy)+(c_1/2+(s_0+8*s_r))*-0.748511,CHOOSE(INDEX(lk_kind,9),(g_oy-eq_c2/2)+((s_0+8*s_r))*-0.793353,g_oy-eq_c2/2-(s_0+8*s_r),0,0)),NA())</f>
        <v/>
      </c>
      <c r="CV36">
        <f>IF(AND(AND(links_on,9&lt;=n_per),INDEX(lk_kind,9)=1,33&lt;INDEX(lk_legs,9)),g_ox+IF(((33+0.5)*(4*IF(circ_int,0,eq_c1/2)+4*IF(circ_int,0,eq_c2/2)+2*PI()*(s_0+8*s_r+IF(circ_int,eq_c1/2,0)))/INDEX(lk_legs,9))&lt;(2*IF(circ_int,0,eq_c2/2)),IF(circ_int,0,eq_c1/2)+(s_0+8*s_r+IF(circ_int,eq_c1/2,0)),IF(((33+0.5)*(4*IF(circ_int,0,eq_c1/2)+4*IF(circ_int,0,eq_c2/2)+2*PI()*(s_0+8*s_r+IF(circ_int,eq_c1/2,0)))/INDEX(lk_legs,9))&lt;((2*IF(circ_int,0,eq_c2/2))+(PI()*(s_0+8*s_r+IF(circ_int,eq_c1/2,0))/2)),IF(circ_int,0,eq_c1/2)+(s_0+8*s_r+IF(circ_int,eq_c1/2,0))*COS((((33+0.5)*(4*IF(circ_int,0,eq_c1/2)+4*IF(circ_int,0,eq_c2/2)+2*PI()*(s_0+8*s_r+IF(circ_int,eq_c1/2,0)))/INDEX(lk_legs,9))-(2*IF(circ_int,0,eq_c2/2)))/(s_0+8*s_r+IF(circ_int,eq_c1/2,0))),IF(((33+0.5)*(4*IF(circ_int,0,eq_c1/2)+4*IF(circ_int,0,eq_c2/2)+2*PI()*(s_0+8*s_r+IF(circ_int,eq_c1/2,0)))/INDEX(lk_legs,9))&lt;(((2*IF(circ_int,0,eq_c2/2))+(PI()*(s_0+8*s_r+IF(circ_int,eq_c1/2,0))/2))+2*IF(circ_int,0,eq_c1/2)),IF(circ_int,0,eq_c1/2)-(((33+0.5)*(4*IF(circ_int,0,eq_c1/2)+4*IF(circ_int,0,eq_c2/2)+2*PI()*(s_0+8*s_r+IF(circ_int,eq_c1/2,0)))/INDEX(lk_legs,9))-((2*IF(circ_int,0,eq_c2/2))+(PI()*(s_0+8*s_r+IF(circ_int,eq_c1/2,0))/2))),IF(((33+0.5)*(4*IF(circ_int,0,eq_c1/2)+4*IF(circ_int,0,eq_c2/2)+2*PI()*(s_0+8*s_r+IF(circ_int,eq_c1/2,0)))/INDEX(lk_legs,9))&lt;((((2*IF(circ_int,0,eq_c2/2))+(PI()*(s_0+8*s_r+IF(circ_int,eq_c1/2,0))/2))+2*IF(circ_int,0,eq_c1/2))+(PI()*(s_0+8*s_r+IF(circ_int,eq_c1/2,0))/2)),-IF(circ_int,0,eq_c1/2)+(s_0+8*s_r+IF(circ_int,eq_c1/2,0))*COS(PI()/2+(((33+0.5)*(4*IF(circ_int,0,eq_c1/2)+4*IF(circ_int,0,eq_c2/2)+2*PI()*(s_0+8*s_r+IF(circ_int,eq_c1/2,0)))/INDEX(lk_legs,9))-(((2*IF(circ_int,0,eq_c2/2))+(PI()*(s_0+8*s_r+IF(circ_int,eq_c1/2,0))/2))+2*IF(circ_int,0,eq_c1/2)))/(s_0+8*s_r+IF(circ_int,eq_c1/2,0))),IF(((33+0.5)*(4*IF(circ_int,0,eq_c1/2)+4*IF(circ_int,0,eq_c2/2)+2*PI()*(s_0+8*s_r+IF(circ_int,eq_c1/2,0)))/INDEX(lk_legs,9))&lt;(((((2*IF(circ_int,0,eq_c2/2))+(PI()*(s_0+8*s_r+IF(circ_int,eq_c1/2,0))/2))+2*IF(circ_int,0,eq_c1/2))+(PI()*(s_0+8*s_r+IF(circ_int,eq_c1/2,0))/2))+2*IF(circ_int,0,eq_c2/2)),-IF(circ_int,0,eq_c1/2)-(s_0+8*s_r+IF(circ_int,eq_c1/2,0)),IF(((33+0.5)*(4*IF(circ_int,0,eq_c1/2)+4*IF(circ_int,0,eq_c2/2)+2*PI()*(s_0+8*s_r+IF(circ_int,eq_c1/2,0)))/INDEX(lk_legs,9))&lt;((((((2*IF(circ_int,0,eq_c2/2))+(PI()*(s_0+8*s_r+IF(circ_int,eq_c1/2,0))/2))+2*IF(circ_int,0,eq_c1/2))+(PI()*(s_0+8*s_r+IF(circ_int,eq_c1/2,0))/2))+2*IF(circ_int,0,eq_c2/2))+(PI()*(s_0+8*s_r+IF(circ_int,eq_c1/2,0))/2)),-IF(circ_int,0,eq_c1/2)+(s_0+8*s_r+IF(circ_int,eq_c1/2,0))*COS(PI()+(((33+0.5)*(4*IF(circ_int,0,eq_c1/2)+4*IF(circ_int,0,eq_c2/2)+2*PI()*(s_0+8*s_r+IF(circ_int,eq_c1/2,0)))/INDEX(lk_legs,9))-(((((2*IF(circ_int,0,eq_c2/2))+(PI()*(s_0+8*s_r+IF(circ_int,eq_c1/2,0))/2))+2*IF(circ_int,0,eq_c1/2))+(PI()*(s_0+8*s_r+IF(circ_int,eq_c1/2,0))/2))+2*IF(circ_int,0,eq_c2/2)))/(s_0+8*s_r+IF(circ_int,eq_c1/2,0))),IF(((33+0.5)*(4*IF(circ_int,0,eq_c1/2)+4*IF(circ_int,0,eq_c2/2)+2*PI()*(s_0+8*s_r+IF(circ_int,eq_c1/2,0)))/INDEX(lk_legs,9))&lt;(((((((2*IF(circ_int,0,eq_c2/2))+(PI()*(s_0+8*s_r+IF(circ_int,eq_c1/2,0))/2))+2*IF(circ_int,0,eq_c1/2))+(PI()*(s_0+8*s_r+IF(circ_int,eq_c1/2,0))/2))+2*IF(circ_int,0,eq_c2/2))+(PI()*(s_0+8*s_r+IF(circ_int,eq_c1/2,0))/2))+2*IF(circ_int,0,eq_c1/2)),-IF(circ_int,0,eq_c1/2)+(((33+0.5)*(4*IF(circ_int,0,eq_c1/2)+4*IF(circ_int,0,eq_c2/2)+2*PI()*(s_0+8*s_r+IF(circ_int,eq_c1/2,0)))/INDEX(lk_legs,9))-((((((2*IF(circ_int,0,eq_c2/2))+(PI()*(s_0+8*s_r+IF(circ_int,eq_c1/2,0))/2))+2*IF(circ_int,0,eq_c1/2))+(PI()*(s_0+8*s_r+IF(circ_int,eq_c1/2,0))/2))+2*IF(circ_int,0,eq_c2/2))+(PI()*(s_0+8*s_r+IF(circ_int,eq_c1/2,0))/2))),IF(circ_int,0,eq_c1/2)+(s_0+8*s_r+IF(circ_int,eq_c1/2,0))*COS(3*PI()/2+(((33+0.5)*(4*IF(circ_int,0,eq_c1/2)+4*IF(circ_int,0,eq_c2/2)+2*PI()*(s_0+8*s_r+IF(circ_int,eq_c1/2,0)))/INDEX(lk_legs,9))-(((((((2*IF(circ_int,0,eq_c2/2))+(PI()*(s_0+8*s_r+IF(circ_int,eq_c1/2,0))/2))+2*IF(circ_int,0,eq_c1/2))+(PI()*(s_0+8*s_r+IF(circ_int,eq_c1/2,0))/2))+2*IF(circ_int,0,eq_c2/2))+(PI()*(s_0+8*s_r+IF(circ_int,eq_c1/2,0))/2))+2*IF(circ_int,0,eq_c1/2)))/(s_0+8*s_r+IF(circ_int,eq_c1/2,0)))))))))),NA())</f>
        <v/>
      </c>
      <c r="CW36">
        <f>IF(AND(AND(links_on,9&lt;=n_per),INDEX(lk_kind,9)=1,33&lt;INDEX(lk_legs,9)),g_oy+IF(((33+0.5)*(4*IF(circ_int,0,eq_c1/2)+4*IF(circ_int,0,eq_c2/2)+2*PI()*(s_0+8*s_r+IF(circ_int,eq_c1/2,0)))/INDEX(lk_legs,9))&lt;(2*IF(circ_int,0,eq_c2/2)),-IF(circ_int,0,eq_c2/2)+((33+0.5)*(4*IF(circ_int,0,eq_c1/2)+4*IF(circ_int,0,eq_c2/2)+2*PI()*(s_0+8*s_r+IF(circ_int,eq_c1/2,0)))/INDEX(lk_legs,9)),IF(((33+0.5)*(4*IF(circ_int,0,eq_c1/2)+4*IF(circ_int,0,eq_c2/2)+2*PI()*(s_0+8*s_r+IF(circ_int,eq_c1/2,0)))/INDEX(lk_legs,9))&lt;((2*IF(circ_int,0,eq_c2/2))+(PI()*(s_0+8*s_r+IF(circ_int,eq_c1/2,0))/2)),IF(circ_int,0,eq_c2/2)+(s_0+8*s_r+IF(circ_int,eq_c1/2,0))*SIN((((33+0.5)*(4*IF(circ_int,0,eq_c1/2)+4*IF(circ_int,0,eq_c2/2)+2*PI()*(s_0+8*s_r+IF(circ_int,eq_c1/2,0)))/INDEX(lk_legs,9))-(2*IF(circ_int,0,eq_c2/2)))/(s_0+8*s_r+IF(circ_int,eq_c1/2,0))),IF(((33+0.5)*(4*IF(circ_int,0,eq_c1/2)+4*IF(circ_int,0,eq_c2/2)+2*PI()*(s_0+8*s_r+IF(circ_int,eq_c1/2,0)))/INDEX(lk_legs,9))&lt;(((2*IF(circ_int,0,eq_c2/2))+(PI()*(s_0+8*s_r+IF(circ_int,eq_c1/2,0))/2))+2*IF(circ_int,0,eq_c1/2)),IF(circ_int,0,eq_c2/2)+(s_0+8*s_r+IF(circ_int,eq_c1/2,0)),IF(((33+0.5)*(4*IF(circ_int,0,eq_c1/2)+4*IF(circ_int,0,eq_c2/2)+2*PI()*(s_0+8*s_r+IF(circ_int,eq_c1/2,0)))/INDEX(lk_legs,9))&lt;((((2*IF(circ_int,0,eq_c2/2))+(PI()*(s_0+8*s_r+IF(circ_int,eq_c1/2,0))/2))+2*IF(circ_int,0,eq_c1/2))+(PI()*(s_0+8*s_r+IF(circ_int,eq_c1/2,0))/2)),IF(circ_int,0,eq_c2/2)+(s_0+8*s_r+IF(circ_int,eq_c1/2,0))*SIN(PI()/2+(((33+0.5)*(4*IF(circ_int,0,eq_c1/2)+4*IF(circ_int,0,eq_c2/2)+2*PI()*(s_0+8*s_r+IF(circ_int,eq_c1/2,0)))/INDEX(lk_legs,9))-(((2*IF(circ_int,0,eq_c2/2))+(PI()*(s_0+8*s_r+IF(circ_int,eq_c1/2,0))/2))+2*IF(circ_int,0,eq_c1/2)))/(s_0+8*s_r+IF(circ_int,eq_c1/2,0))),IF(((33+0.5)*(4*IF(circ_int,0,eq_c1/2)+4*IF(circ_int,0,eq_c2/2)+2*PI()*(s_0+8*s_r+IF(circ_int,eq_c1/2,0)))/INDEX(lk_legs,9))&lt;(((((2*IF(circ_int,0,eq_c2/2))+(PI()*(s_0+8*s_r+IF(circ_int,eq_c1/2,0))/2))+2*IF(circ_int,0,eq_c1/2))+(PI()*(s_0+8*s_r+IF(circ_int,eq_c1/2,0))/2))+2*IF(circ_int,0,eq_c2/2)),IF(circ_int,0,eq_c2/2)-(((33+0.5)*(4*IF(circ_int,0,eq_c1/2)+4*IF(circ_int,0,eq_c2/2)+2*PI()*(s_0+8*s_r+IF(circ_int,eq_c1/2,0)))/INDEX(lk_legs,9))-((((2*IF(circ_int,0,eq_c2/2))+(PI()*(s_0+8*s_r+IF(circ_int,eq_c1/2,0))/2))+2*IF(circ_int,0,eq_c1/2))+(PI()*(s_0+8*s_r+IF(circ_int,eq_c1/2,0))/2))),IF(((33+0.5)*(4*IF(circ_int,0,eq_c1/2)+4*IF(circ_int,0,eq_c2/2)+2*PI()*(s_0+8*s_r+IF(circ_int,eq_c1/2,0)))/INDEX(lk_legs,9))&lt;((((((2*IF(circ_int,0,eq_c2/2))+(PI()*(s_0+8*s_r+IF(circ_int,eq_c1/2,0))/2))+2*IF(circ_int,0,eq_c1/2))+(PI()*(s_0+8*s_r+IF(circ_int,eq_c1/2,0))/2))+2*IF(circ_int,0,eq_c2/2))+(PI()*(s_0+8*s_r+IF(circ_int,eq_c1/2,0))/2)),-IF(circ_int,0,eq_c2/2)+(s_0+8*s_r+IF(circ_int,eq_c1/2,0))*SIN(PI()+(((33+0.5)*(4*IF(circ_int,0,eq_c1/2)+4*IF(circ_int,0,eq_c2/2)+2*PI()*(s_0+8*s_r+IF(circ_int,eq_c1/2,0)))/INDEX(lk_legs,9))-(((((2*IF(circ_int,0,eq_c2/2))+(PI()*(s_0+8*s_r+IF(circ_int,eq_c1/2,0))/2))+2*IF(circ_int,0,eq_c1/2))+(PI()*(s_0+8*s_r+IF(circ_int,eq_c1/2,0))/2))+2*IF(circ_int,0,eq_c2/2)))/(s_0+8*s_r+IF(circ_int,eq_c1/2,0))),IF(((33+0.5)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(33+0.5)*(4*IF(circ_int,0,eq_c1/2)+4*IF(circ_int,0,eq_c2/2)+2*PI()*(s_0+8*s_r+IF(circ_int,eq_c1/2,0)))/INDEX(lk_legs,9))-(((((((2*IF(circ_int,0,eq_c2/2))+(PI()*(s_0+8*s_r+IF(circ_int,eq_c1/2,0))/2))+2*IF(circ_int,0,eq_c1/2))+(PI()*(s_0+8*s_r+IF(circ_int,eq_c1/2,0))/2))+2*IF(circ_int,0,eq_c2/2))+(PI()*(s_0+8*s_r+IF(circ_int,eq_c1/2,0))/2))+2*IF(circ_int,0,eq_c1/2)))/(s_0+8*s_r+IF(circ_int,eq_c1/2,0)))))))))),NA())</f>
        <v/>
      </c>
      <c r="CY36">
        <f>IF(AND(links_on,10&lt;=n_per),IF(circ_int,(g_ox)+(c_1/2+(s_0+9*s_r))*-0.663123,CHOOSE(INDEX(lk_kind,10),(g_ox-eq_c1/2)+((s_0+9*s_r))*-0.608761,0,eq_a1+eq_c1+(s_0+9*s_r),eq_a1+eq_c1+(s_0+9*s_r))),NA())</f>
        <v/>
      </c>
      <c r="CZ36">
        <f>IF(AND(links_on,10&lt;=n_per),IF(circ_int,(g_oy)+(c_1/2+(s_0+9*s_r))*-0.748511,CHOOSE(INDEX(lk_kind,10),(g_oy-eq_c2/2)+((s_0+9*s_r))*-0.793353,g_oy-eq_c2/2-(s_0+9*s_r),0,0)),NA())</f>
        <v/>
      </c>
      <c r="DB36">
        <f>IF(AND(AND(links_on,10&lt;=n_per),INDEX(lk_kind,10)=1,33&lt;INDEX(lk_legs,10)),g_ox+IF(((33+0.5)*(4*IF(circ_int,0,eq_c1/2)+4*IF(circ_int,0,eq_c2/2)+2*PI()*(s_0+9*s_r+IF(circ_int,eq_c1/2,0)))/INDEX(lk_legs,10))&lt;(2*IF(circ_int,0,eq_c2/2)),IF(circ_int,0,eq_c1/2)+(s_0+9*s_r+IF(circ_int,eq_c1/2,0)),IF(((33+0.5)*(4*IF(circ_int,0,eq_c1/2)+4*IF(circ_int,0,eq_c2/2)+2*PI()*(s_0+9*s_r+IF(circ_int,eq_c1/2,0)))/INDEX(lk_legs,10))&lt;((2*IF(circ_int,0,eq_c2/2))+(PI()*(s_0+9*s_r+IF(circ_int,eq_c1/2,0))/2)),IF(circ_int,0,eq_c1/2)+(s_0+9*s_r+IF(circ_int,eq_c1/2,0))*COS((((33+0.5)*(4*IF(circ_int,0,eq_c1/2)+4*IF(circ_int,0,eq_c2/2)+2*PI()*(s_0+9*s_r+IF(circ_int,eq_c1/2,0)))/INDEX(lk_legs,10))-(2*IF(circ_int,0,eq_c2/2)))/(s_0+9*s_r+IF(circ_int,eq_c1/2,0))),IF(((33+0.5)*(4*IF(circ_int,0,eq_c1/2)+4*IF(circ_int,0,eq_c2/2)+2*PI()*(s_0+9*s_r+IF(circ_int,eq_c1/2,0)))/INDEX(lk_legs,10))&lt;(((2*IF(circ_int,0,eq_c2/2))+(PI()*(s_0+9*s_r+IF(circ_int,eq_c1/2,0))/2))+2*IF(circ_int,0,eq_c1/2)),IF(circ_int,0,eq_c1/2)-(((33+0.5)*(4*IF(circ_int,0,eq_c1/2)+4*IF(circ_int,0,eq_c2/2)+2*PI()*(s_0+9*s_r+IF(circ_int,eq_c1/2,0)))/INDEX(lk_legs,10))-((2*IF(circ_int,0,eq_c2/2))+(PI()*(s_0+9*s_r+IF(circ_int,eq_c1/2,0))/2))),IF(((33+0.5)*(4*IF(circ_int,0,eq_c1/2)+4*IF(circ_int,0,eq_c2/2)+2*PI()*(s_0+9*s_r+IF(circ_int,eq_c1/2,0)))/INDEX(lk_legs,10))&lt;((((2*IF(circ_int,0,eq_c2/2))+(PI()*(s_0+9*s_r+IF(circ_int,eq_c1/2,0))/2))+2*IF(circ_int,0,eq_c1/2))+(PI()*(s_0+9*s_r+IF(circ_int,eq_c1/2,0))/2)),-IF(circ_int,0,eq_c1/2)+(s_0+9*s_r+IF(circ_int,eq_c1/2,0))*COS(PI()/2+(((33+0.5)*(4*IF(circ_int,0,eq_c1/2)+4*IF(circ_int,0,eq_c2/2)+2*PI()*(s_0+9*s_r+IF(circ_int,eq_c1/2,0)))/INDEX(lk_legs,10))-(((2*IF(circ_int,0,eq_c2/2))+(PI()*(s_0+9*s_r+IF(circ_int,eq_c1/2,0))/2))+2*IF(circ_int,0,eq_c1/2)))/(s_0+9*s_r+IF(circ_int,eq_c1/2,0))),IF(((33+0.5)*(4*IF(circ_int,0,eq_c1/2)+4*IF(circ_int,0,eq_c2/2)+2*PI()*(s_0+9*s_r+IF(circ_int,eq_c1/2,0)))/INDEX(lk_legs,10))&lt;(((((2*IF(circ_int,0,eq_c2/2))+(PI()*(s_0+9*s_r+IF(circ_int,eq_c1/2,0))/2))+2*IF(circ_int,0,eq_c1/2))+(PI()*(s_0+9*s_r+IF(circ_int,eq_c1/2,0))/2))+2*IF(circ_int,0,eq_c2/2)),-IF(circ_int,0,eq_c1/2)-(s_0+9*s_r+IF(circ_int,eq_c1/2,0)),IF(((33+0.5)*(4*IF(circ_int,0,eq_c1/2)+4*IF(circ_int,0,eq_c2/2)+2*PI()*(s_0+9*s_r+IF(circ_int,eq_c1/2,0)))/INDEX(lk_legs,10))&lt;((((((2*IF(circ_int,0,eq_c2/2))+(PI()*(s_0+9*s_r+IF(circ_int,eq_c1/2,0))/2))+2*IF(circ_int,0,eq_c1/2))+(PI()*(s_0+9*s_r+IF(circ_int,eq_c1/2,0))/2))+2*IF(circ_int,0,eq_c2/2))+(PI()*(s_0+9*s_r+IF(circ_int,eq_c1/2,0))/2)),-IF(circ_int,0,eq_c1/2)+(s_0+9*s_r+IF(circ_int,eq_c1/2,0))*COS(PI()+(((33+0.5)*(4*IF(circ_int,0,eq_c1/2)+4*IF(circ_int,0,eq_c2/2)+2*PI()*(s_0+9*s_r+IF(circ_int,eq_c1/2,0)))/INDEX(lk_legs,10))-(((((2*IF(circ_int,0,eq_c2/2))+(PI()*(s_0+9*s_r+IF(circ_int,eq_c1/2,0))/2))+2*IF(circ_int,0,eq_c1/2))+(PI()*(s_0+9*s_r+IF(circ_int,eq_c1/2,0))/2))+2*IF(circ_int,0,eq_c2/2)))/(s_0+9*s_r+IF(circ_int,eq_c1/2,0))),IF(((33+0.5)*(4*IF(circ_int,0,eq_c1/2)+4*IF(circ_int,0,eq_c2/2)+2*PI()*(s_0+9*s_r+IF(circ_int,eq_c1/2,0)))/INDEX(lk_legs,10))&lt;(((((((2*IF(circ_int,0,eq_c2/2))+(PI()*(s_0+9*s_r+IF(circ_int,eq_c1/2,0))/2))+2*IF(circ_int,0,eq_c1/2))+(PI()*(s_0+9*s_r+IF(circ_int,eq_c1/2,0))/2))+2*IF(circ_int,0,eq_c2/2))+(PI()*(s_0+9*s_r+IF(circ_int,eq_c1/2,0))/2))+2*IF(circ_int,0,eq_c1/2)),-IF(circ_int,0,eq_c1/2)+(((33+0.5)*(4*IF(circ_int,0,eq_c1/2)+4*IF(circ_int,0,eq_c2/2)+2*PI()*(s_0+9*s_r+IF(circ_int,eq_c1/2,0)))/INDEX(lk_legs,10))-((((((2*IF(circ_int,0,eq_c2/2))+(PI()*(s_0+9*s_r+IF(circ_int,eq_c1/2,0))/2))+2*IF(circ_int,0,eq_c1/2))+(PI()*(s_0+9*s_r+IF(circ_int,eq_c1/2,0))/2))+2*IF(circ_int,0,eq_c2/2))+(PI()*(s_0+9*s_r+IF(circ_int,eq_c1/2,0))/2))),IF(circ_int,0,eq_c1/2)+(s_0+9*s_r+IF(circ_int,eq_c1/2,0))*COS(3*PI()/2+(((33+0.5)*(4*IF(circ_int,0,eq_c1/2)+4*IF(circ_int,0,eq_c2/2)+2*PI()*(s_0+9*s_r+IF(circ_int,eq_c1/2,0)))/INDEX(lk_legs,10))-(((((((2*IF(circ_int,0,eq_c2/2))+(PI()*(s_0+9*s_r+IF(circ_int,eq_c1/2,0))/2))+2*IF(circ_int,0,eq_c1/2))+(PI()*(s_0+9*s_r+IF(circ_int,eq_c1/2,0))/2))+2*IF(circ_int,0,eq_c2/2))+(PI()*(s_0+9*s_r+IF(circ_int,eq_c1/2,0))/2))+2*IF(circ_int,0,eq_c1/2)))/(s_0+9*s_r+IF(circ_int,eq_c1/2,0)))))))))),NA())</f>
        <v/>
      </c>
      <c r="DC36">
        <f>IF(AND(AND(links_on,10&lt;=n_per),INDEX(lk_kind,10)=1,33&lt;INDEX(lk_legs,10)),g_oy+IF(((33+0.5)*(4*IF(circ_int,0,eq_c1/2)+4*IF(circ_int,0,eq_c2/2)+2*PI()*(s_0+9*s_r+IF(circ_int,eq_c1/2,0)))/INDEX(lk_legs,10))&lt;(2*IF(circ_int,0,eq_c2/2)),-IF(circ_int,0,eq_c2/2)+((33+0.5)*(4*IF(circ_int,0,eq_c1/2)+4*IF(circ_int,0,eq_c2/2)+2*PI()*(s_0+9*s_r+IF(circ_int,eq_c1/2,0)))/INDEX(lk_legs,10)),IF(((33+0.5)*(4*IF(circ_int,0,eq_c1/2)+4*IF(circ_int,0,eq_c2/2)+2*PI()*(s_0+9*s_r+IF(circ_int,eq_c1/2,0)))/INDEX(lk_legs,10))&lt;((2*IF(circ_int,0,eq_c2/2))+(PI()*(s_0+9*s_r+IF(circ_int,eq_c1/2,0))/2)),IF(circ_int,0,eq_c2/2)+(s_0+9*s_r+IF(circ_int,eq_c1/2,0))*SIN((((33+0.5)*(4*IF(circ_int,0,eq_c1/2)+4*IF(circ_int,0,eq_c2/2)+2*PI()*(s_0+9*s_r+IF(circ_int,eq_c1/2,0)))/INDEX(lk_legs,10))-(2*IF(circ_int,0,eq_c2/2)))/(s_0+9*s_r+IF(circ_int,eq_c1/2,0))),IF(((33+0.5)*(4*IF(circ_int,0,eq_c1/2)+4*IF(circ_int,0,eq_c2/2)+2*PI()*(s_0+9*s_r+IF(circ_int,eq_c1/2,0)))/INDEX(lk_legs,10))&lt;(((2*IF(circ_int,0,eq_c2/2))+(PI()*(s_0+9*s_r+IF(circ_int,eq_c1/2,0))/2))+2*IF(circ_int,0,eq_c1/2)),IF(circ_int,0,eq_c2/2)+(s_0+9*s_r+IF(circ_int,eq_c1/2,0)),IF(((33+0.5)*(4*IF(circ_int,0,eq_c1/2)+4*IF(circ_int,0,eq_c2/2)+2*PI()*(s_0+9*s_r+IF(circ_int,eq_c1/2,0)))/INDEX(lk_legs,10))&lt;((((2*IF(circ_int,0,eq_c2/2))+(PI()*(s_0+9*s_r+IF(circ_int,eq_c1/2,0))/2))+2*IF(circ_int,0,eq_c1/2))+(PI()*(s_0+9*s_r+IF(circ_int,eq_c1/2,0))/2)),IF(circ_int,0,eq_c2/2)+(s_0+9*s_r+IF(circ_int,eq_c1/2,0))*SIN(PI()/2+(((33+0.5)*(4*IF(circ_int,0,eq_c1/2)+4*IF(circ_int,0,eq_c2/2)+2*PI()*(s_0+9*s_r+IF(circ_int,eq_c1/2,0)))/INDEX(lk_legs,10))-(((2*IF(circ_int,0,eq_c2/2))+(PI()*(s_0+9*s_r+IF(circ_int,eq_c1/2,0))/2))+2*IF(circ_int,0,eq_c1/2)))/(s_0+9*s_r+IF(circ_int,eq_c1/2,0))),IF(((33+0.5)*(4*IF(circ_int,0,eq_c1/2)+4*IF(circ_int,0,eq_c2/2)+2*PI()*(s_0+9*s_r+IF(circ_int,eq_c1/2,0)))/INDEX(lk_legs,10))&lt;(((((2*IF(circ_int,0,eq_c2/2))+(PI()*(s_0+9*s_r+IF(circ_int,eq_c1/2,0))/2))+2*IF(circ_int,0,eq_c1/2))+(PI()*(s_0+9*s_r+IF(circ_int,eq_c1/2,0))/2))+2*IF(circ_int,0,eq_c2/2)),IF(circ_int,0,eq_c2/2)-(((33+0.5)*(4*IF(circ_int,0,eq_c1/2)+4*IF(circ_int,0,eq_c2/2)+2*PI()*(s_0+9*s_r+IF(circ_int,eq_c1/2,0)))/INDEX(lk_legs,10))-((((2*IF(circ_int,0,eq_c2/2))+(PI()*(s_0+9*s_r+IF(circ_int,eq_c1/2,0))/2))+2*IF(circ_int,0,eq_c1/2))+(PI()*(s_0+9*s_r+IF(circ_int,eq_c1/2,0))/2))),IF(((33+0.5)*(4*IF(circ_int,0,eq_c1/2)+4*IF(circ_int,0,eq_c2/2)+2*PI()*(s_0+9*s_r+IF(circ_int,eq_c1/2,0)))/INDEX(lk_legs,10))&lt;((((((2*IF(circ_int,0,eq_c2/2))+(PI()*(s_0+9*s_r+IF(circ_int,eq_c1/2,0))/2))+2*IF(circ_int,0,eq_c1/2))+(PI()*(s_0+9*s_r+IF(circ_int,eq_c1/2,0))/2))+2*IF(circ_int,0,eq_c2/2))+(PI()*(s_0+9*s_r+IF(circ_int,eq_c1/2,0))/2)),-IF(circ_int,0,eq_c2/2)+(s_0+9*s_r+IF(circ_int,eq_c1/2,0))*SIN(PI()+(((33+0.5)*(4*IF(circ_int,0,eq_c1/2)+4*IF(circ_int,0,eq_c2/2)+2*PI()*(s_0+9*s_r+IF(circ_int,eq_c1/2,0)))/INDEX(lk_legs,10))-(((((2*IF(circ_int,0,eq_c2/2))+(PI()*(s_0+9*s_r+IF(circ_int,eq_c1/2,0))/2))+2*IF(circ_int,0,eq_c1/2))+(PI()*(s_0+9*s_r+IF(circ_int,eq_c1/2,0))/2))+2*IF(circ_int,0,eq_c2/2)))/(s_0+9*s_r+IF(circ_int,eq_c1/2,0))),IF(((33+0.5)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(33+0.5)*(4*IF(circ_int,0,eq_c1/2)+4*IF(circ_int,0,eq_c2/2)+2*PI()*(s_0+9*s_r+IF(circ_int,eq_c1/2,0)))/INDEX(lk_legs,10))-(((((((2*IF(circ_int,0,eq_c2/2))+(PI()*(s_0+9*s_r+IF(circ_int,eq_c1/2,0))/2))+2*IF(circ_int,0,eq_c1/2))+(PI()*(s_0+9*s_r+IF(circ_int,eq_c1/2,0))/2))+2*IF(circ_int,0,eq_c2/2))+(PI()*(s_0+9*s_r+IF(circ_int,eq_c1/2,0))/2))+2*IF(circ_int,0,eq_c1/2)))/(s_0+9*s_r+IF(circ_int,eq_c1/2,0)))))))))),NA())</f>
        <v/>
      </c>
      <c r="DE36">
        <f>IF(AND(links_on,11&lt;=n_per),IF(circ_int,(g_ox)+(c_1/2+(s_0+10*s_r))*-0.663123,CHOOSE(INDEX(lk_kind,11),(g_ox-eq_c1/2)+((s_0+10*s_r))*-0.608761,0,eq_a1+eq_c1+(s_0+10*s_r),eq_a1+eq_c1+(s_0+10*s_r))),NA())</f>
        <v/>
      </c>
      <c r="DF36">
        <f>IF(AND(links_on,11&lt;=n_per),IF(circ_int,(g_oy)+(c_1/2+(s_0+10*s_r))*-0.748511,CHOOSE(INDEX(lk_kind,11),(g_oy-eq_c2/2)+((s_0+10*s_r))*-0.793353,g_oy-eq_c2/2-(s_0+10*s_r),0,0)),NA())</f>
        <v/>
      </c>
      <c r="DH36">
        <f>IF(AND(AND(links_on,11&lt;=n_per),INDEX(lk_kind,11)=1,33&lt;INDEX(lk_legs,11)),g_ox+IF(((33+0.5)*(4*IF(circ_int,0,eq_c1/2)+4*IF(circ_int,0,eq_c2/2)+2*PI()*(s_0+10*s_r+IF(circ_int,eq_c1/2,0)))/INDEX(lk_legs,11))&lt;(2*IF(circ_int,0,eq_c2/2)),IF(circ_int,0,eq_c1/2)+(s_0+10*s_r+IF(circ_int,eq_c1/2,0)),IF(((33+0.5)*(4*IF(circ_int,0,eq_c1/2)+4*IF(circ_int,0,eq_c2/2)+2*PI()*(s_0+10*s_r+IF(circ_int,eq_c1/2,0)))/INDEX(lk_legs,11))&lt;((2*IF(circ_int,0,eq_c2/2))+(PI()*(s_0+10*s_r+IF(circ_int,eq_c1/2,0))/2)),IF(circ_int,0,eq_c1/2)+(s_0+10*s_r+IF(circ_int,eq_c1/2,0))*COS((((33+0.5)*(4*IF(circ_int,0,eq_c1/2)+4*IF(circ_int,0,eq_c2/2)+2*PI()*(s_0+10*s_r+IF(circ_int,eq_c1/2,0)))/INDEX(lk_legs,11))-(2*IF(circ_int,0,eq_c2/2)))/(s_0+10*s_r+IF(circ_int,eq_c1/2,0))),IF(((33+0.5)*(4*IF(circ_int,0,eq_c1/2)+4*IF(circ_int,0,eq_c2/2)+2*PI()*(s_0+10*s_r+IF(circ_int,eq_c1/2,0)))/INDEX(lk_legs,11))&lt;(((2*IF(circ_int,0,eq_c2/2))+(PI()*(s_0+10*s_r+IF(circ_int,eq_c1/2,0))/2))+2*IF(circ_int,0,eq_c1/2)),IF(circ_int,0,eq_c1/2)-(((33+0.5)*(4*IF(circ_int,0,eq_c1/2)+4*IF(circ_int,0,eq_c2/2)+2*PI()*(s_0+10*s_r+IF(circ_int,eq_c1/2,0)))/INDEX(lk_legs,11))-((2*IF(circ_int,0,eq_c2/2))+(PI()*(s_0+10*s_r+IF(circ_int,eq_c1/2,0))/2))),IF(((33+0.5)*(4*IF(circ_int,0,eq_c1/2)+4*IF(circ_int,0,eq_c2/2)+2*PI()*(s_0+10*s_r+IF(circ_int,eq_c1/2,0)))/INDEX(lk_legs,11))&lt;((((2*IF(circ_int,0,eq_c2/2))+(PI()*(s_0+10*s_r+IF(circ_int,eq_c1/2,0))/2))+2*IF(circ_int,0,eq_c1/2))+(PI()*(s_0+10*s_r+IF(circ_int,eq_c1/2,0))/2)),-IF(circ_int,0,eq_c1/2)+(s_0+10*s_r+IF(circ_int,eq_c1/2,0))*COS(PI()/2+(((33+0.5)*(4*IF(circ_int,0,eq_c1/2)+4*IF(circ_int,0,eq_c2/2)+2*PI()*(s_0+10*s_r+IF(circ_int,eq_c1/2,0)))/INDEX(lk_legs,11))-(((2*IF(circ_int,0,eq_c2/2))+(PI()*(s_0+10*s_r+IF(circ_int,eq_c1/2,0))/2))+2*IF(circ_int,0,eq_c1/2)))/(s_0+10*s_r+IF(circ_int,eq_c1/2,0))),IF(((33+0.5)*(4*IF(circ_int,0,eq_c1/2)+4*IF(circ_int,0,eq_c2/2)+2*PI()*(s_0+10*s_r+IF(circ_int,eq_c1/2,0)))/INDEX(lk_legs,11))&lt;(((((2*IF(circ_int,0,eq_c2/2))+(PI()*(s_0+10*s_r+IF(circ_int,eq_c1/2,0))/2))+2*IF(circ_int,0,eq_c1/2))+(PI()*(s_0+10*s_r+IF(circ_int,eq_c1/2,0))/2))+2*IF(circ_int,0,eq_c2/2)),-IF(circ_int,0,eq_c1/2)-(s_0+10*s_r+IF(circ_int,eq_c1/2,0)),IF(((33+0.5)*(4*IF(circ_int,0,eq_c1/2)+4*IF(circ_int,0,eq_c2/2)+2*PI()*(s_0+10*s_r+IF(circ_int,eq_c1/2,0)))/INDEX(lk_legs,11))&lt;((((((2*IF(circ_int,0,eq_c2/2))+(PI()*(s_0+10*s_r+IF(circ_int,eq_c1/2,0))/2))+2*IF(circ_int,0,eq_c1/2))+(PI()*(s_0+10*s_r+IF(circ_int,eq_c1/2,0))/2))+2*IF(circ_int,0,eq_c2/2))+(PI()*(s_0+10*s_r+IF(circ_int,eq_c1/2,0))/2)),-IF(circ_int,0,eq_c1/2)+(s_0+10*s_r+IF(circ_int,eq_c1/2,0))*COS(PI()+(((33+0.5)*(4*IF(circ_int,0,eq_c1/2)+4*IF(circ_int,0,eq_c2/2)+2*PI()*(s_0+10*s_r+IF(circ_int,eq_c1/2,0)))/INDEX(lk_legs,11))-(((((2*IF(circ_int,0,eq_c2/2))+(PI()*(s_0+10*s_r+IF(circ_int,eq_c1/2,0))/2))+2*IF(circ_int,0,eq_c1/2))+(PI()*(s_0+10*s_r+IF(circ_int,eq_c1/2,0))/2))+2*IF(circ_int,0,eq_c2/2)))/(s_0+10*s_r+IF(circ_int,eq_c1/2,0))),IF(((33+0.5)*(4*IF(circ_int,0,eq_c1/2)+4*IF(circ_int,0,eq_c2/2)+2*PI()*(s_0+10*s_r+IF(circ_int,eq_c1/2,0)))/INDEX(lk_legs,11))&lt;(((((((2*IF(circ_int,0,eq_c2/2))+(PI()*(s_0+10*s_r+IF(circ_int,eq_c1/2,0))/2))+2*IF(circ_int,0,eq_c1/2))+(PI()*(s_0+10*s_r+IF(circ_int,eq_c1/2,0))/2))+2*IF(circ_int,0,eq_c2/2))+(PI()*(s_0+10*s_r+IF(circ_int,eq_c1/2,0))/2))+2*IF(circ_int,0,eq_c1/2)),-IF(circ_int,0,eq_c1/2)+(((33+0.5)*(4*IF(circ_int,0,eq_c1/2)+4*IF(circ_int,0,eq_c2/2)+2*PI()*(s_0+10*s_r+IF(circ_int,eq_c1/2,0)))/INDEX(lk_legs,11))-((((((2*IF(circ_int,0,eq_c2/2))+(PI()*(s_0+10*s_r+IF(circ_int,eq_c1/2,0))/2))+2*IF(circ_int,0,eq_c1/2))+(PI()*(s_0+10*s_r+IF(circ_int,eq_c1/2,0))/2))+2*IF(circ_int,0,eq_c2/2))+(PI()*(s_0+10*s_r+IF(circ_int,eq_c1/2,0))/2))),IF(circ_int,0,eq_c1/2)+(s_0+10*s_r+IF(circ_int,eq_c1/2,0))*COS(3*PI()/2+(((33+0.5)*(4*IF(circ_int,0,eq_c1/2)+4*IF(circ_int,0,eq_c2/2)+2*PI()*(s_0+10*s_r+IF(circ_int,eq_c1/2,0)))/INDEX(lk_legs,11))-(((((((2*IF(circ_int,0,eq_c2/2))+(PI()*(s_0+10*s_r+IF(circ_int,eq_c1/2,0))/2))+2*IF(circ_int,0,eq_c1/2))+(PI()*(s_0+10*s_r+IF(circ_int,eq_c1/2,0))/2))+2*IF(circ_int,0,eq_c2/2))+(PI()*(s_0+10*s_r+IF(circ_int,eq_c1/2,0))/2))+2*IF(circ_int,0,eq_c1/2)))/(s_0+10*s_r+IF(circ_int,eq_c1/2,0)))))))))),NA())</f>
        <v/>
      </c>
      <c r="DI36">
        <f>IF(AND(AND(links_on,11&lt;=n_per),INDEX(lk_kind,11)=1,33&lt;INDEX(lk_legs,11)),g_oy+IF(((33+0.5)*(4*IF(circ_int,0,eq_c1/2)+4*IF(circ_int,0,eq_c2/2)+2*PI()*(s_0+10*s_r+IF(circ_int,eq_c1/2,0)))/INDEX(lk_legs,11))&lt;(2*IF(circ_int,0,eq_c2/2)),-IF(circ_int,0,eq_c2/2)+((33+0.5)*(4*IF(circ_int,0,eq_c1/2)+4*IF(circ_int,0,eq_c2/2)+2*PI()*(s_0+10*s_r+IF(circ_int,eq_c1/2,0)))/INDEX(lk_legs,11)),IF(((33+0.5)*(4*IF(circ_int,0,eq_c1/2)+4*IF(circ_int,0,eq_c2/2)+2*PI()*(s_0+10*s_r+IF(circ_int,eq_c1/2,0)))/INDEX(lk_legs,11))&lt;((2*IF(circ_int,0,eq_c2/2))+(PI()*(s_0+10*s_r+IF(circ_int,eq_c1/2,0))/2)),IF(circ_int,0,eq_c2/2)+(s_0+10*s_r+IF(circ_int,eq_c1/2,0))*SIN((((33+0.5)*(4*IF(circ_int,0,eq_c1/2)+4*IF(circ_int,0,eq_c2/2)+2*PI()*(s_0+10*s_r+IF(circ_int,eq_c1/2,0)))/INDEX(lk_legs,11))-(2*IF(circ_int,0,eq_c2/2)))/(s_0+10*s_r+IF(circ_int,eq_c1/2,0))),IF(((33+0.5)*(4*IF(circ_int,0,eq_c1/2)+4*IF(circ_int,0,eq_c2/2)+2*PI()*(s_0+10*s_r+IF(circ_int,eq_c1/2,0)))/INDEX(lk_legs,11))&lt;(((2*IF(circ_int,0,eq_c2/2))+(PI()*(s_0+10*s_r+IF(circ_int,eq_c1/2,0))/2))+2*IF(circ_int,0,eq_c1/2)),IF(circ_int,0,eq_c2/2)+(s_0+10*s_r+IF(circ_int,eq_c1/2,0)),IF(((33+0.5)*(4*IF(circ_int,0,eq_c1/2)+4*IF(circ_int,0,eq_c2/2)+2*PI()*(s_0+10*s_r+IF(circ_int,eq_c1/2,0)))/INDEX(lk_legs,11))&lt;((((2*IF(circ_int,0,eq_c2/2))+(PI()*(s_0+10*s_r+IF(circ_int,eq_c1/2,0))/2))+2*IF(circ_int,0,eq_c1/2))+(PI()*(s_0+10*s_r+IF(circ_int,eq_c1/2,0))/2)),IF(circ_int,0,eq_c2/2)+(s_0+10*s_r+IF(circ_int,eq_c1/2,0))*SIN(PI()/2+(((33+0.5)*(4*IF(circ_int,0,eq_c1/2)+4*IF(circ_int,0,eq_c2/2)+2*PI()*(s_0+10*s_r+IF(circ_int,eq_c1/2,0)))/INDEX(lk_legs,11))-(((2*IF(circ_int,0,eq_c2/2))+(PI()*(s_0+10*s_r+IF(circ_int,eq_c1/2,0))/2))+2*IF(circ_int,0,eq_c1/2)))/(s_0+10*s_r+IF(circ_int,eq_c1/2,0))),IF(((33+0.5)*(4*IF(circ_int,0,eq_c1/2)+4*IF(circ_int,0,eq_c2/2)+2*PI()*(s_0+10*s_r+IF(circ_int,eq_c1/2,0)))/INDEX(lk_legs,11))&lt;(((((2*IF(circ_int,0,eq_c2/2))+(PI()*(s_0+10*s_r+IF(circ_int,eq_c1/2,0))/2))+2*IF(circ_int,0,eq_c1/2))+(PI()*(s_0+10*s_r+IF(circ_int,eq_c1/2,0))/2))+2*IF(circ_int,0,eq_c2/2)),IF(circ_int,0,eq_c2/2)-(((33+0.5)*(4*IF(circ_int,0,eq_c1/2)+4*IF(circ_int,0,eq_c2/2)+2*PI()*(s_0+10*s_r+IF(circ_int,eq_c1/2,0)))/INDEX(lk_legs,11))-((((2*IF(circ_int,0,eq_c2/2))+(PI()*(s_0+10*s_r+IF(circ_int,eq_c1/2,0))/2))+2*IF(circ_int,0,eq_c1/2))+(PI()*(s_0+10*s_r+IF(circ_int,eq_c1/2,0))/2))),IF(((33+0.5)*(4*IF(circ_int,0,eq_c1/2)+4*IF(circ_int,0,eq_c2/2)+2*PI()*(s_0+10*s_r+IF(circ_int,eq_c1/2,0)))/INDEX(lk_legs,11))&lt;((((((2*IF(circ_int,0,eq_c2/2))+(PI()*(s_0+10*s_r+IF(circ_int,eq_c1/2,0))/2))+2*IF(circ_int,0,eq_c1/2))+(PI()*(s_0+10*s_r+IF(circ_int,eq_c1/2,0))/2))+2*IF(circ_int,0,eq_c2/2))+(PI()*(s_0+10*s_r+IF(circ_int,eq_c1/2,0))/2)),-IF(circ_int,0,eq_c2/2)+(s_0+10*s_r+IF(circ_int,eq_c1/2,0))*SIN(PI()+(((33+0.5)*(4*IF(circ_int,0,eq_c1/2)+4*IF(circ_int,0,eq_c2/2)+2*PI()*(s_0+10*s_r+IF(circ_int,eq_c1/2,0)))/INDEX(lk_legs,11))-(((((2*IF(circ_int,0,eq_c2/2))+(PI()*(s_0+10*s_r+IF(circ_int,eq_c1/2,0))/2))+2*IF(circ_int,0,eq_c1/2))+(PI()*(s_0+10*s_r+IF(circ_int,eq_c1/2,0))/2))+2*IF(circ_int,0,eq_c2/2)))/(s_0+10*s_r+IF(circ_int,eq_c1/2,0))),IF(((33+0.5)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(33+0.5)*(4*IF(circ_int,0,eq_c1/2)+4*IF(circ_int,0,eq_c2/2)+2*PI()*(s_0+10*s_r+IF(circ_int,eq_c1/2,0)))/INDEX(lk_legs,11))-(((((((2*IF(circ_int,0,eq_c2/2))+(PI()*(s_0+10*s_r+IF(circ_int,eq_c1/2,0))/2))+2*IF(circ_int,0,eq_c1/2))+(PI()*(s_0+10*s_r+IF(circ_int,eq_c1/2,0))/2))+2*IF(circ_int,0,eq_c2/2))+(PI()*(s_0+10*s_r+IF(circ_int,eq_c1/2,0))/2))+2*IF(circ_int,0,eq_c1/2)))/(s_0+10*s_r+IF(circ_int,eq_c1/2,0)))))))))),NA())</f>
        <v/>
      </c>
      <c r="DK36">
        <f>IF(AND(links_on,12&lt;=n_per),IF(circ_int,(g_ox)+(c_1/2+(s_0+11*s_r))*-0.663123,CHOOSE(INDEX(lk_kind,12),(g_ox-eq_c1/2)+((s_0+11*s_r))*-0.608761,0,eq_a1+eq_c1+(s_0+11*s_r),eq_a1+eq_c1+(s_0+11*s_r))),NA())</f>
        <v/>
      </c>
      <c r="DL36">
        <f>IF(AND(links_on,12&lt;=n_per),IF(circ_int,(g_oy)+(c_1/2+(s_0+11*s_r))*-0.748511,CHOOSE(INDEX(lk_kind,12),(g_oy-eq_c2/2)+((s_0+11*s_r))*-0.793353,g_oy-eq_c2/2-(s_0+11*s_r),0,0)),NA())</f>
        <v/>
      </c>
      <c r="DN36">
        <f>IF(AND(AND(links_on,12&lt;=n_per),INDEX(lk_kind,12)=1,33&lt;INDEX(lk_legs,12)),g_ox+IF(((33+0.5)*(4*IF(circ_int,0,eq_c1/2)+4*IF(circ_int,0,eq_c2/2)+2*PI()*(s_0+11*s_r+IF(circ_int,eq_c1/2,0)))/INDEX(lk_legs,12))&lt;(2*IF(circ_int,0,eq_c2/2)),IF(circ_int,0,eq_c1/2)+(s_0+11*s_r+IF(circ_int,eq_c1/2,0)),IF(((33+0.5)*(4*IF(circ_int,0,eq_c1/2)+4*IF(circ_int,0,eq_c2/2)+2*PI()*(s_0+11*s_r+IF(circ_int,eq_c1/2,0)))/INDEX(lk_legs,12))&lt;((2*IF(circ_int,0,eq_c2/2))+(PI()*(s_0+11*s_r+IF(circ_int,eq_c1/2,0))/2)),IF(circ_int,0,eq_c1/2)+(s_0+11*s_r+IF(circ_int,eq_c1/2,0))*COS((((33+0.5)*(4*IF(circ_int,0,eq_c1/2)+4*IF(circ_int,0,eq_c2/2)+2*PI()*(s_0+11*s_r+IF(circ_int,eq_c1/2,0)))/INDEX(lk_legs,12))-(2*IF(circ_int,0,eq_c2/2)))/(s_0+11*s_r+IF(circ_int,eq_c1/2,0))),IF(((33+0.5)*(4*IF(circ_int,0,eq_c1/2)+4*IF(circ_int,0,eq_c2/2)+2*PI()*(s_0+11*s_r+IF(circ_int,eq_c1/2,0)))/INDEX(lk_legs,12))&lt;(((2*IF(circ_int,0,eq_c2/2))+(PI()*(s_0+11*s_r+IF(circ_int,eq_c1/2,0))/2))+2*IF(circ_int,0,eq_c1/2)),IF(circ_int,0,eq_c1/2)-(((33+0.5)*(4*IF(circ_int,0,eq_c1/2)+4*IF(circ_int,0,eq_c2/2)+2*PI()*(s_0+11*s_r+IF(circ_int,eq_c1/2,0)))/INDEX(lk_legs,12))-((2*IF(circ_int,0,eq_c2/2))+(PI()*(s_0+11*s_r+IF(circ_int,eq_c1/2,0))/2))),IF(((33+0.5)*(4*IF(circ_int,0,eq_c1/2)+4*IF(circ_int,0,eq_c2/2)+2*PI()*(s_0+11*s_r+IF(circ_int,eq_c1/2,0)))/INDEX(lk_legs,12))&lt;((((2*IF(circ_int,0,eq_c2/2))+(PI()*(s_0+11*s_r+IF(circ_int,eq_c1/2,0))/2))+2*IF(circ_int,0,eq_c1/2))+(PI()*(s_0+11*s_r+IF(circ_int,eq_c1/2,0))/2)),-IF(circ_int,0,eq_c1/2)+(s_0+11*s_r+IF(circ_int,eq_c1/2,0))*COS(PI()/2+(((33+0.5)*(4*IF(circ_int,0,eq_c1/2)+4*IF(circ_int,0,eq_c2/2)+2*PI()*(s_0+11*s_r+IF(circ_int,eq_c1/2,0)))/INDEX(lk_legs,12))-(((2*IF(circ_int,0,eq_c2/2))+(PI()*(s_0+11*s_r+IF(circ_int,eq_c1/2,0))/2))+2*IF(circ_int,0,eq_c1/2)))/(s_0+11*s_r+IF(circ_int,eq_c1/2,0))),IF(((33+0.5)*(4*IF(circ_int,0,eq_c1/2)+4*IF(circ_int,0,eq_c2/2)+2*PI()*(s_0+11*s_r+IF(circ_int,eq_c1/2,0)))/INDEX(lk_legs,12))&lt;(((((2*IF(circ_int,0,eq_c2/2))+(PI()*(s_0+11*s_r+IF(circ_int,eq_c1/2,0))/2))+2*IF(circ_int,0,eq_c1/2))+(PI()*(s_0+11*s_r+IF(circ_int,eq_c1/2,0))/2))+2*IF(circ_int,0,eq_c2/2)),-IF(circ_int,0,eq_c1/2)-(s_0+11*s_r+IF(circ_int,eq_c1/2,0)),IF(((33+0.5)*(4*IF(circ_int,0,eq_c1/2)+4*IF(circ_int,0,eq_c2/2)+2*PI()*(s_0+11*s_r+IF(circ_int,eq_c1/2,0)))/INDEX(lk_legs,12))&lt;((((((2*IF(circ_int,0,eq_c2/2))+(PI()*(s_0+11*s_r+IF(circ_int,eq_c1/2,0))/2))+2*IF(circ_int,0,eq_c1/2))+(PI()*(s_0+11*s_r+IF(circ_int,eq_c1/2,0))/2))+2*IF(circ_int,0,eq_c2/2))+(PI()*(s_0+11*s_r+IF(circ_int,eq_c1/2,0))/2)),-IF(circ_int,0,eq_c1/2)+(s_0+11*s_r+IF(circ_int,eq_c1/2,0))*COS(PI()+(((33+0.5)*(4*IF(circ_int,0,eq_c1/2)+4*IF(circ_int,0,eq_c2/2)+2*PI()*(s_0+11*s_r+IF(circ_int,eq_c1/2,0)))/INDEX(lk_legs,12))-(((((2*IF(circ_int,0,eq_c2/2))+(PI()*(s_0+11*s_r+IF(circ_int,eq_c1/2,0))/2))+2*IF(circ_int,0,eq_c1/2))+(PI()*(s_0+11*s_r+IF(circ_int,eq_c1/2,0))/2))+2*IF(circ_int,0,eq_c2/2)))/(s_0+11*s_r+IF(circ_int,eq_c1/2,0))),IF(((33+0.5)*(4*IF(circ_int,0,eq_c1/2)+4*IF(circ_int,0,eq_c2/2)+2*PI()*(s_0+11*s_r+IF(circ_int,eq_c1/2,0)))/INDEX(lk_legs,12))&lt;(((((((2*IF(circ_int,0,eq_c2/2))+(PI()*(s_0+11*s_r+IF(circ_int,eq_c1/2,0))/2))+2*IF(circ_int,0,eq_c1/2))+(PI()*(s_0+11*s_r+IF(circ_int,eq_c1/2,0))/2))+2*IF(circ_int,0,eq_c2/2))+(PI()*(s_0+11*s_r+IF(circ_int,eq_c1/2,0))/2))+2*IF(circ_int,0,eq_c1/2)),-IF(circ_int,0,eq_c1/2)+(((33+0.5)*(4*IF(circ_int,0,eq_c1/2)+4*IF(circ_int,0,eq_c2/2)+2*PI()*(s_0+11*s_r+IF(circ_int,eq_c1/2,0)))/INDEX(lk_legs,12))-((((((2*IF(circ_int,0,eq_c2/2))+(PI()*(s_0+11*s_r+IF(circ_int,eq_c1/2,0))/2))+2*IF(circ_int,0,eq_c1/2))+(PI()*(s_0+11*s_r+IF(circ_int,eq_c1/2,0))/2))+2*IF(circ_int,0,eq_c2/2))+(PI()*(s_0+11*s_r+IF(circ_int,eq_c1/2,0))/2))),IF(circ_int,0,eq_c1/2)+(s_0+11*s_r+IF(circ_int,eq_c1/2,0))*COS(3*PI()/2+(((33+0.5)*(4*IF(circ_int,0,eq_c1/2)+4*IF(circ_int,0,eq_c2/2)+2*PI()*(s_0+11*s_r+IF(circ_int,eq_c1/2,0)))/INDEX(lk_legs,12))-(((((((2*IF(circ_int,0,eq_c2/2))+(PI()*(s_0+11*s_r+IF(circ_int,eq_c1/2,0))/2))+2*IF(circ_int,0,eq_c1/2))+(PI()*(s_0+11*s_r+IF(circ_int,eq_c1/2,0))/2))+2*IF(circ_int,0,eq_c2/2))+(PI()*(s_0+11*s_r+IF(circ_int,eq_c1/2,0))/2))+2*IF(circ_int,0,eq_c1/2)))/(s_0+11*s_r+IF(circ_int,eq_c1/2,0)))))))))),NA())</f>
        <v/>
      </c>
      <c r="DO36">
        <f>IF(AND(AND(links_on,12&lt;=n_per),INDEX(lk_kind,12)=1,33&lt;INDEX(lk_legs,12)),g_oy+IF(((33+0.5)*(4*IF(circ_int,0,eq_c1/2)+4*IF(circ_int,0,eq_c2/2)+2*PI()*(s_0+11*s_r+IF(circ_int,eq_c1/2,0)))/INDEX(lk_legs,12))&lt;(2*IF(circ_int,0,eq_c2/2)),-IF(circ_int,0,eq_c2/2)+((33+0.5)*(4*IF(circ_int,0,eq_c1/2)+4*IF(circ_int,0,eq_c2/2)+2*PI()*(s_0+11*s_r+IF(circ_int,eq_c1/2,0)))/INDEX(lk_legs,12)),IF(((33+0.5)*(4*IF(circ_int,0,eq_c1/2)+4*IF(circ_int,0,eq_c2/2)+2*PI()*(s_0+11*s_r+IF(circ_int,eq_c1/2,0)))/INDEX(lk_legs,12))&lt;((2*IF(circ_int,0,eq_c2/2))+(PI()*(s_0+11*s_r+IF(circ_int,eq_c1/2,0))/2)),IF(circ_int,0,eq_c2/2)+(s_0+11*s_r+IF(circ_int,eq_c1/2,0))*SIN((((33+0.5)*(4*IF(circ_int,0,eq_c1/2)+4*IF(circ_int,0,eq_c2/2)+2*PI()*(s_0+11*s_r+IF(circ_int,eq_c1/2,0)))/INDEX(lk_legs,12))-(2*IF(circ_int,0,eq_c2/2)))/(s_0+11*s_r+IF(circ_int,eq_c1/2,0))),IF(((33+0.5)*(4*IF(circ_int,0,eq_c1/2)+4*IF(circ_int,0,eq_c2/2)+2*PI()*(s_0+11*s_r+IF(circ_int,eq_c1/2,0)))/INDEX(lk_legs,12))&lt;(((2*IF(circ_int,0,eq_c2/2))+(PI()*(s_0+11*s_r+IF(circ_int,eq_c1/2,0))/2))+2*IF(circ_int,0,eq_c1/2)),IF(circ_int,0,eq_c2/2)+(s_0+11*s_r+IF(circ_int,eq_c1/2,0)),IF(((33+0.5)*(4*IF(circ_int,0,eq_c1/2)+4*IF(circ_int,0,eq_c2/2)+2*PI()*(s_0+11*s_r+IF(circ_int,eq_c1/2,0)))/INDEX(lk_legs,12))&lt;((((2*IF(circ_int,0,eq_c2/2))+(PI()*(s_0+11*s_r+IF(circ_int,eq_c1/2,0))/2))+2*IF(circ_int,0,eq_c1/2))+(PI()*(s_0+11*s_r+IF(circ_int,eq_c1/2,0))/2)),IF(circ_int,0,eq_c2/2)+(s_0+11*s_r+IF(circ_int,eq_c1/2,0))*SIN(PI()/2+(((33+0.5)*(4*IF(circ_int,0,eq_c1/2)+4*IF(circ_int,0,eq_c2/2)+2*PI()*(s_0+11*s_r+IF(circ_int,eq_c1/2,0)))/INDEX(lk_legs,12))-(((2*IF(circ_int,0,eq_c2/2))+(PI()*(s_0+11*s_r+IF(circ_int,eq_c1/2,0))/2))+2*IF(circ_int,0,eq_c1/2)))/(s_0+11*s_r+IF(circ_int,eq_c1/2,0))),IF(((33+0.5)*(4*IF(circ_int,0,eq_c1/2)+4*IF(circ_int,0,eq_c2/2)+2*PI()*(s_0+11*s_r+IF(circ_int,eq_c1/2,0)))/INDEX(lk_legs,12))&lt;(((((2*IF(circ_int,0,eq_c2/2))+(PI()*(s_0+11*s_r+IF(circ_int,eq_c1/2,0))/2))+2*IF(circ_int,0,eq_c1/2))+(PI()*(s_0+11*s_r+IF(circ_int,eq_c1/2,0))/2))+2*IF(circ_int,0,eq_c2/2)),IF(circ_int,0,eq_c2/2)-(((33+0.5)*(4*IF(circ_int,0,eq_c1/2)+4*IF(circ_int,0,eq_c2/2)+2*PI()*(s_0+11*s_r+IF(circ_int,eq_c1/2,0)))/INDEX(lk_legs,12))-((((2*IF(circ_int,0,eq_c2/2))+(PI()*(s_0+11*s_r+IF(circ_int,eq_c1/2,0))/2))+2*IF(circ_int,0,eq_c1/2))+(PI()*(s_0+11*s_r+IF(circ_int,eq_c1/2,0))/2))),IF(((33+0.5)*(4*IF(circ_int,0,eq_c1/2)+4*IF(circ_int,0,eq_c2/2)+2*PI()*(s_0+11*s_r+IF(circ_int,eq_c1/2,0)))/INDEX(lk_legs,12))&lt;((((((2*IF(circ_int,0,eq_c2/2))+(PI()*(s_0+11*s_r+IF(circ_int,eq_c1/2,0))/2))+2*IF(circ_int,0,eq_c1/2))+(PI()*(s_0+11*s_r+IF(circ_int,eq_c1/2,0))/2))+2*IF(circ_int,0,eq_c2/2))+(PI()*(s_0+11*s_r+IF(circ_int,eq_c1/2,0))/2)),-IF(circ_int,0,eq_c2/2)+(s_0+11*s_r+IF(circ_int,eq_c1/2,0))*SIN(PI()+(((33+0.5)*(4*IF(circ_int,0,eq_c1/2)+4*IF(circ_int,0,eq_c2/2)+2*PI()*(s_0+11*s_r+IF(circ_int,eq_c1/2,0)))/INDEX(lk_legs,12))-(((((2*IF(circ_int,0,eq_c2/2))+(PI()*(s_0+11*s_r+IF(circ_int,eq_c1/2,0))/2))+2*IF(circ_int,0,eq_c1/2))+(PI()*(s_0+11*s_r+IF(circ_int,eq_c1/2,0))/2))+2*IF(circ_int,0,eq_c2/2)))/(s_0+11*s_r+IF(circ_int,eq_c1/2,0))),IF(((33+0.5)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(33+0.5)*(4*IF(circ_int,0,eq_c1/2)+4*IF(circ_int,0,eq_c2/2)+2*PI()*(s_0+11*s_r+IF(circ_int,eq_c1/2,0)))/INDEX(lk_legs,12))-(((((((2*IF(circ_int,0,eq_c2/2))+(PI()*(s_0+11*s_r+IF(circ_int,eq_c1/2,0))/2))+2*IF(circ_int,0,eq_c1/2))+(PI()*(s_0+11*s_r+IF(circ_int,eq_c1/2,0))/2))+2*IF(circ_int,0,eq_c2/2))+(PI()*(s_0+11*s_r+IF(circ_int,eq_c1/2,0))/2))+2*IF(circ_int,0,eq_c1/2)))/(s_0+11*s_r+IF(circ_int,eq_c1/2,0)))))))))),NA())</f>
        <v/>
      </c>
    </row>
    <row r="37">
      <c r="A37">
        <f>IF(shape="Circular",(g_ox)+(c_1/2+0)*-0.568065,CHOOSE(1,(g_ox-eq_c1/2)+(0)*-0.500000,0,eq_a1+eq_c1+0,eq_a1+eq_c1+0))</f>
        <v/>
      </c>
      <c r="B37">
        <f>IF(shape="Circular",(g_oy)+(c_1/2+0)*-0.822984,CHOOSE(1,(g_oy-eq_c2/2)+(0)*-0.866025,g_oy-eq_c2/2-0,0,0))</f>
        <v/>
      </c>
      <c r="D37">
        <f>IF(circ_int,(g_ox)+(c_1/2+2*d_eff)*-0.568065,CHOOSE(geo_idx,(g_ox-eq_c1/2)+(2*d_eff)*-0.500000,0,eq_a1+eq_c1+2*d_eff,eq_a1+eq_c1+2*d_eff))</f>
        <v/>
      </c>
      <c r="E37">
        <f>IF(circ_int,(g_oy)+(c_1/2+2*d_eff)*-0.822984,CHOOSE(geo_idx,(g_oy-eq_c2/2)+(2*d_eff)*-0.866025,g_oy-eq_c2/2-2*d_eff,0,0))</f>
        <v/>
      </c>
      <c r="G37">
        <f>IF(AND(inputs_ok,punch_ok,A_sw&gt;0),IF(circ_int,(g_ox)+(c_1/2+r_out)*-0.568065,CHOOSE(kind_out,(g_ox-eq_c1/2)+(r_out)*-0.500000,0,eq_a1+eq_c1+r_out,eq_a1+eq_c1+r_out)),NA())</f>
        <v/>
      </c>
      <c r="H37">
        <f>IF(AND(inputs_ok,punch_ok,A_sw&gt;0),IF(circ_int,(g_oy)+(c_1/2+r_out)*-0.822984,CHOOSE(kind_out,(g_oy-eq_c2/2)+(r_out)*-0.866025,g_oy-eq_c2/2-r_out,0,0)),NA())</f>
        <v/>
      </c>
      <c r="AW37">
        <f>IF(AND(links_on,1&lt;=n_per),IF(circ_int,(g_ox)+(c_1/2+(s_0+0*s_r))*-0.568065,CHOOSE(INDEX(lk_kind,1),(g_ox-eq_c1/2)+((s_0+0*s_r))*-0.500000,0,eq_a1+eq_c1+(s_0+0*s_r),eq_a1+eq_c1+(s_0+0*s_r))),NA())</f>
        <v/>
      </c>
      <c r="AX37">
        <f>IF(AND(links_on,1&lt;=n_per),IF(circ_int,(g_oy)+(c_1/2+(s_0+0*s_r))*-0.822984,CHOOSE(INDEX(lk_kind,1),(g_oy-eq_c2/2)+((s_0+0*s_r))*-0.866025,g_oy-eq_c2/2-(s_0+0*s_r),0,0)),NA())</f>
        <v/>
      </c>
      <c r="AZ37">
        <f>IF(AND(AND(links_on,1&lt;=n_per),INDEX(lk_kind,1)=1,34&lt;INDEX(lk_legs,1)),g_ox+IF(((34+0.5)*(4*IF(circ_int,0,eq_c1/2)+4*IF(circ_int,0,eq_c2/2)+2*PI()*(s_0+0*s_r+IF(circ_int,eq_c1/2,0)))/INDEX(lk_legs,1))&lt;(2*IF(circ_int,0,eq_c2/2)),IF(circ_int,0,eq_c1/2)+(s_0+0*s_r+IF(circ_int,eq_c1/2,0)),IF(((34+0.5)*(4*IF(circ_int,0,eq_c1/2)+4*IF(circ_int,0,eq_c2/2)+2*PI()*(s_0+0*s_r+IF(circ_int,eq_c1/2,0)))/INDEX(lk_legs,1))&lt;((2*IF(circ_int,0,eq_c2/2))+(PI()*(s_0+0*s_r+IF(circ_int,eq_c1/2,0))/2)),IF(circ_int,0,eq_c1/2)+(s_0+0*s_r+IF(circ_int,eq_c1/2,0))*COS((((34+0.5)*(4*IF(circ_int,0,eq_c1/2)+4*IF(circ_int,0,eq_c2/2)+2*PI()*(s_0+0*s_r+IF(circ_int,eq_c1/2,0)))/INDEX(lk_legs,1))-(2*IF(circ_int,0,eq_c2/2)))/(s_0+0*s_r+IF(circ_int,eq_c1/2,0))),IF(((34+0.5)*(4*IF(circ_int,0,eq_c1/2)+4*IF(circ_int,0,eq_c2/2)+2*PI()*(s_0+0*s_r+IF(circ_int,eq_c1/2,0)))/INDEX(lk_legs,1))&lt;(((2*IF(circ_int,0,eq_c2/2))+(PI()*(s_0+0*s_r+IF(circ_int,eq_c1/2,0))/2))+2*IF(circ_int,0,eq_c1/2)),IF(circ_int,0,eq_c1/2)-(((34+0.5)*(4*IF(circ_int,0,eq_c1/2)+4*IF(circ_int,0,eq_c2/2)+2*PI()*(s_0+0*s_r+IF(circ_int,eq_c1/2,0)))/INDEX(lk_legs,1))-((2*IF(circ_int,0,eq_c2/2))+(PI()*(s_0+0*s_r+IF(circ_int,eq_c1/2,0))/2))),IF(((34+0.5)*(4*IF(circ_int,0,eq_c1/2)+4*IF(circ_int,0,eq_c2/2)+2*PI()*(s_0+0*s_r+IF(circ_int,eq_c1/2,0)))/INDEX(lk_legs,1))&lt;((((2*IF(circ_int,0,eq_c2/2))+(PI()*(s_0+0*s_r+IF(circ_int,eq_c1/2,0))/2))+2*IF(circ_int,0,eq_c1/2))+(PI()*(s_0+0*s_r+IF(circ_int,eq_c1/2,0))/2)),-IF(circ_int,0,eq_c1/2)+(s_0+0*s_r+IF(circ_int,eq_c1/2,0))*COS(PI()/2+(((34+0.5)*(4*IF(circ_int,0,eq_c1/2)+4*IF(circ_int,0,eq_c2/2)+2*PI()*(s_0+0*s_r+IF(circ_int,eq_c1/2,0)))/INDEX(lk_legs,1))-(((2*IF(circ_int,0,eq_c2/2))+(PI()*(s_0+0*s_r+IF(circ_int,eq_c1/2,0))/2))+2*IF(circ_int,0,eq_c1/2)))/(s_0+0*s_r+IF(circ_int,eq_c1/2,0))),IF(((34+0.5)*(4*IF(circ_int,0,eq_c1/2)+4*IF(circ_int,0,eq_c2/2)+2*PI()*(s_0+0*s_r+IF(circ_int,eq_c1/2,0)))/INDEX(lk_legs,1))&lt;(((((2*IF(circ_int,0,eq_c2/2))+(PI()*(s_0+0*s_r+IF(circ_int,eq_c1/2,0))/2))+2*IF(circ_int,0,eq_c1/2))+(PI()*(s_0+0*s_r+IF(circ_int,eq_c1/2,0))/2))+2*IF(circ_int,0,eq_c2/2)),-IF(circ_int,0,eq_c1/2)-(s_0+0*s_r+IF(circ_int,eq_c1/2,0)),IF(((34+0.5)*(4*IF(circ_int,0,eq_c1/2)+4*IF(circ_int,0,eq_c2/2)+2*PI()*(s_0+0*s_r+IF(circ_int,eq_c1/2,0)))/INDEX(lk_legs,1))&lt;((((((2*IF(circ_int,0,eq_c2/2))+(PI()*(s_0+0*s_r+IF(circ_int,eq_c1/2,0))/2))+2*IF(circ_int,0,eq_c1/2))+(PI()*(s_0+0*s_r+IF(circ_int,eq_c1/2,0))/2))+2*IF(circ_int,0,eq_c2/2))+(PI()*(s_0+0*s_r+IF(circ_int,eq_c1/2,0))/2)),-IF(circ_int,0,eq_c1/2)+(s_0+0*s_r+IF(circ_int,eq_c1/2,0))*COS(PI()+(((34+0.5)*(4*IF(circ_int,0,eq_c1/2)+4*IF(circ_int,0,eq_c2/2)+2*PI()*(s_0+0*s_r+IF(circ_int,eq_c1/2,0)))/INDEX(lk_legs,1))-(((((2*IF(circ_int,0,eq_c2/2))+(PI()*(s_0+0*s_r+IF(circ_int,eq_c1/2,0))/2))+2*IF(circ_int,0,eq_c1/2))+(PI()*(s_0+0*s_r+IF(circ_int,eq_c1/2,0))/2))+2*IF(circ_int,0,eq_c2/2)))/(s_0+0*s_r+IF(circ_int,eq_c1/2,0))),IF(((34+0.5)*(4*IF(circ_int,0,eq_c1/2)+4*IF(circ_int,0,eq_c2/2)+2*PI()*(s_0+0*s_r+IF(circ_int,eq_c1/2,0)))/INDEX(lk_legs,1))&lt;(((((((2*IF(circ_int,0,eq_c2/2))+(PI()*(s_0+0*s_r+IF(circ_int,eq_c1/2,0))/2))+2*IF(circ_int,0,eq_c1/2))+(PI()*(s_0+0*s_r+IF(circ_int,eq_c1/2,0))/2))+2*IF(circ_int,0,eq_c2/2))+(PI()*(s_0+0*s_r+IF(circ_int,eq_c1/2,0))/2))+2*IF(circ_int,0,eq_c1/2)),-IF(circ_int,0,eq_c1/2)+(((34+0.5)*(4*IF(circ_int,0,eq_c1/2)+4*IF(circ_int,0,eq_c2/2)+2*PI()*(s_0+0*s_r+IF(circ_int,eq_c1/2,0)))/INDEX(lk_legs,1))-((((((2*IF(circ_int,0,eq_c2/2))+(PI()*(s_0+0*s_r+IF(circ_int,eq_c1/2,0))/2))+2*IF(circ_int,0,eq_c1/2))+(PI()*(s_0+0*s_r+IF(circ_int,eq_c1/2,0))/2))+2*IF(circ_int,0,eq_c2/2))+(PI()*(s_0+0*s_r+IF(circ_int,eq_c1/2,0))/2))),IF(circ_int,0,eq_c1/2)+(s_0+0*s_r+IF(circ_int,eq_c1/2,0))*COS(3*PI()/2+(((34+0.5)*(4*IF(circ_int,0,eq_c1/2)+4*IF(circ_int,0,eq_c2/2)+2*PI()*(s_0+0*s_r+IF(circ_int,eq_c1/2,0)))/INDEX(lk_legs,1))-(((((((2*IF(circ_int,0,eq_c2/2))+(PI()*(s_0+0*s_r+IF(circ_int,eq_c1/2,0))/2))+2*IF(circ_int,0,eq_c1/2))+(PI()*(s_0+0*s_r+IF(circ_int,eq_c1/2,0))/2))+2*IF(circ_int,0,eq_c2/2))+(PI()*(s_0+0*s_r+IF(circ_int,eq_c1/2,0))/2))+2*IF(circ_int,0,eq_c1/2)))/(s_0+0*s_r+IF(circ_int,eq_c1/2,0)))))))))),NA())</f>
        <v/>
      </c>
      <c r="BA37">
        <f>IF(AND(AND(links_on,1&lt;=n_per),INDEX(lk_kind,1)=1,34&lt;INDEX(lk_legs,1)),g_oy+IF(((34+0.5)*(4*IF(circ_int,0,eq_c1/2)+4*IF(circ_int,0,eq_c2/2)+2*PI()*(s_0+0*s_r+IF(circ_int,eq_c1/2,0)))/INDEX(lk_legs,1))&lt;(2*IF(circ_int,0,eq_c2/2)),-IF(circ_int,0,eq_c2/2)+((34+0.5)*(4*IF(circ_int,0,eq_c1/2)+4*IF(circ_int,0,eq_c2/2)+2*PI()*(s_0+0*s_r+IF(circ_int,eq_c1/2,0)))/INDEX(lk_legs,1)),IF(((34+0.5)*(4*IF(circ_int,0,eq_c1/2)+4*IF(circ_int,0,eq_c2/2)+2*PI()*(s_0+0*s_r+IF(circ_int,eq_c1/2,0)))/INDEX(lk_legs,1))&lt;((2*IF(circ_int,0,eq_c2/2))+(PI()*(s_0+0*s_r+IF(circ_int,eq_c1/2,0))/2)),IF(circ_int,0,eq_c2/2)+(s_0+0*s_r+IF(circ_int,eq_c1/2,0))*SIN((((34+0.5)*(4*IF(circ_int,0,eq_c1/2)+4*IF(circ_int,0,eq_c2/2)+2*PI()*(s_0+0*s_r+IF(circ_int,eq_c1/2,0)))/INDEX(lk_legs,1))-(2*IF(circ_int,0,eq_c2/2)))/(s_0+0*s_r+IF(circ_int,eq_c1/2,0))),IF(((34+0.5)*(4*IF(circ_int,0,eq_c1/2)+4*IF(circ_int,0,eq_c2/2)+2*PI()*(s_0+0*s_r+IF(circ_int,eq_c1/2,0)))/INDEX(lk_legs,1))&lt;(((2*IF(circ_int,0,eq_c2/2))+(PI()*(s_0+0*s_r+IF(circ_int,eq_c1/2,0))/2))+2*IF(circ_int,0,eq_c1/2)),IF(circ_int,0,eq_c2/2)+(s_0+0*s_r+IF(circ_int,eq_c1/2,0)),IF(((34+0.5)*(4*IF(circ_int,0,eq_c1/2)+4*IF(circ_int,0,eq_c2/2)+2*PI()*(s_0+0*s_r+IF(circ_int,eq_c1/2,0)))/INDEX(lk_legs,1))&lt;((((2*IF(circ_int,0,eq_c2/2))+(PI()*(s_0+0*s_r+IF(circ_int,eq_c1/2,0))/2))+2*IF(circ_int,0,eq_c1/2))+(PI()*(s_0+0*s_r+IF(circ_int,eq_c1/2,0))/2)),IF(circ_int,0,eq_c2/2)+(s_0+0*s_r+IF(circ_int,eq_c1/2,0))*SIN(PI()/2+(((34+0.5)*(4*IF(circ_int,0,eq_c1/2)+4*IF(circ_int,0,eq_c2/2)+2*PI()*(s_0+0*s_r+IF(circ_int,eq_c1/2,0)))/INDEX(lk_legs,1))-(((2*IF(circ_int,0,eq_c2/2))+(PI()*(s_0+0*s_r+IF(circ_int,eq_c1/2,0))/2))+2*IF(circ_int,0,eq_c1/2)))/(s_0+0*s_r+IF(circ_int,eq_c1/2,0))),IF(((34+0.5)*(4*IF(circ_int,0,eq_c1/2)+4*IF(circ_int,0,eq_c2/2)+2*PI()*(s_0+0*s_r+IF(circ_int,eq_c1/2,0)))/INDEX(lk_legs,1))&lt;(((((2*IF(circ_int,0,eq_c2/2))+(PI()*(s_0+0*s_r+IF(circ_int,eq_c1/2,0))/2))+2*IF(circ_int,0,eq_c1/2))+(PI()*(s_0+0*s_r+IF(circ_int,eq_c1/2,0))/2))+2*IF(circ_int,0,eq_c2/2)),IF(circ_int,0,eq_c2/2)-(((34+0.5)*(4*IF(circ_int,0,eq_c1/2)+4*IF(circ_int,0,eq_c2/2)+2*PI()*(s_0+0*s_r+IF(circ_int,eq_c1/2,0)))/INDEX(lk_legs,1))-((((2*IF(circ_int,0,eq_c2/2))+(PI()*(s_0+0*s_r+IF(circ_int,eq_c1/2,0))/2))+2*IF(circ_int,0,eq_c1/2))+(PI()*(s_0+0*s_r+IF(circ_int,eq_c1/2,0))/2))),IF(((34+0.5)*(4*IF(circ_int,0,eq_c1/2)+4*IF(circ_int,0,eq_c2/2)+2*PI()*(s_0+0*s_r+IF(circ_int,eq_c1/2,0)))/INDEX(lk_legs,1))&lt;((((((2*IF(circ_int,0,eq_c2/2))+(PI()*(s_0+0*s_r+IF(circ_int,eq_c1/2,0))/2))+2*IF(circ_int,0,eq_c1/2))+(PI()*(s_0+0*s_r+IF(circ_int,eq_c1/2,0))/2))+2*IF(circ_int,0,eq_c2/2))+(PI()*(s_0+0*s_r+IF(circ_int,eq_c1/2,0))/2)),-IF(circ_int,0,eq_c2/2)+(s_0+0*s_r+IF(circ_int,eq_c1/2,0))*SIN(PI()+(((34+0.5)*(4*IF(circ_int,0,eq_c1/2)+4*IF(circ_int,0,eq_c2/2)+2*PI()*(s_0+0*s_r+IF(circ_int,eq_c1/2,0)))/INDEX(lk_legs,1))-(((((2*IF(circ_int,0,eq_c2/2))+(PI()*(s_0+0*s_r+IF(circ_int,eq_c1/2,0))/2))+2*IF(circ_int,0,eq_c1/2))+(PI()*(s_0+0*s_r+IF(circ_int,eq_c1/2,0))/2))+2*IF(circ_int,0,eq_c2/2)))/(s_0+0*s_r+IF(circ_int,eq_c1/2,0))),IF(((34+0.5)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(34+0.5)*(4*IF(circ_int,0,eq_c1/2)+4*IF(circ_int,0,eq_c2/2)+2*PI()*(s_0+0*s_r+IF(circ_int,eq_c1/2,0)))/INDEX(lk_legs,1))-(((((((2*IF(circ_int,0,eq_c2/2))+(PI()*(s_0+0*s_r+IF(circ_int,eq_c1/2,0))/2))+2*IF(circ_int,0,eq_c1/2))+(PI()*(s_0+0*s_r+IF(circ_int,eq_c1/2,0))/2))+2*IF(circ_int,0,eq_c2/2))+(PI()*(s_0+0*s_r+IF(circ_int,eq_c1/2,0))/2))+2*IF(circ_int,0,eq_c1/2)))/(s_0+0*s_r+IF(circ_int,eq_c1/2,0)))))))))),NA())</f>
        <v/>
      </c>
      <c r="BC37">
        <f>IF(AND(links_on,2&lt;=n_per),IF(circ_int,(g_ox)+(c_1/2+(s_0+1*s_r))*-0.568065,CHOOSE(INDEX(lk_kind,2),(g_ox-eq_c1/2)+((s_0+1*s_r))*-0.500000,0,eq_a1+eq_c1+(s_0+1*s_r),eq_a1+eq_c1+(s_0+1*s_r))),NA())</f>
        <v/>
      </c>
      <c r="BD37">
        <f>IF(AND(links_on,2&lt;=n_per),IF(circ_int,(g_oy)+(c_1/2+(s_0+1*s_r))*-0.822984,CHOOSE(INDEX(lk_kind,2),(g_oy-eq_c2/2)+((s_0+1*s_r))*-0.866025,g_oy-eq_c2/2-(s_0+1*s_r),0,0)),NA())</f>
        <v/>
      </c>
      <c r="BF37">
        <f>IF(AND(AND(links_on,2&lt;=n_per),INDEX(lk_kind,2)=1,34&lt;INDEX(lk_legs,2)),g_ox+IF(((34+0.5)*(4*IF(circ_int,0,eq_c1/2)+4*IF(circ_int,0,eq_c2/2)+2*PI()*(s_0+1*s_r+IF(circ_int,eq_c1/2,0)))/INDEX(lk_legs,2))&lt;(2*IF(circ_int,0,eq_c2/2)),IF(circ_int,0,eq_c1/2)+(s_0+1*s_r+IF(circ_int,eq_c1/2,0)),IF(((34+0.5)*(4*IF(circ_int,0,eq_c1/2)+4*IF(circ_int,0,eq_c2/2)+2*PI()*(s_0+1*s_r+IF(circ_int,eq_c1/2,0)))/INDEX(lk_legs,2))&lt;((2*IF(circ_int,0,eq_c2/2))+(PI()*(s_0+1*s_r+IF(circ_int,eq_c1/2,0))/2)),IF(circ_int,0,eq_c1/2)+(s_0+1*s_r+IF(circ_int,eq_c1/2,0))*COS((((34+0.5)*(4*IF(circ_int,0,eq_c1/2)+4*IF(circ_int,0,eq_c2/2)+2*PI()*(s_0+1*s_r+IF(circ_int,eq_c1/2,0)))/INDEX(lk_legs,2))-(2*IF(circ_int,0,eq_c2/2)))/(s_0+1*s_r+IF(circ_int,eq_c1/2,0))),IF(((34+0.5)*(4*IF(circ_int,0,eq_c1/2)+4*IF(circ_int,0,eq_c2/2)+2*PI()*(s_0+1*s_r+IF(circ_int,eq_c1/2,0)))/INDEX(lk_legs,2))&lt;(((2*IF(circ_int,0,eq_c2/2))+(PI()*(s_0+1*s_r+IF(circ_int,eq_c1/2,0))/2))+2*IF(circ_int,0,eq_c1/2)),IF(circ_int,0,eq_c1/2)-(((34+0.5)*(4*IF(circ_int,0,eq_c1/2)+4*IF(circ_int,0,eq_c2/2)+2*PI()*(s_0+1*s_r+IF(circ_int,eq_c1/2,0)))/INDEX(lk_legs,2))-((2*IF(circ_int,0,eq_c2/2))+(PI()*(s_0+1*s_r+IF(circ_int,eq_c1/2,0))/2))),IF(((34+0.5)*(4*IF(circ_int,0,eq_c1/2)+4*IF(circ_int,0,eq_c2/2)+2*PI()*(s_0+1*s_r+IF(circ_int,eq_c1/2,0)))/INDEX(lk_legs,2))&lt;((((2*IF(circ_int,0,eq_c2/2))+(PI()*(s_0+1*s_r+IF(circ_int,eq_c1/2,0))/2))+2*IF(circ_int,0,eq_c1/2))+(PI()*(s_0+1*s_r+IF(circ_int,eq_c1/2,0))/2)),-IF(circ_int,0,eq_c1/2)+(s_0+1*s_r+IF(circ_int,eq_c1/2,0))*COS(PI()/2+(((34+0.5)*(4*IF(circ_int,0,eq_c1/2)+4*IF(circ_int,0,eq_c2/2)+2*PI()*(s_0+1*s_r+IF(circ_int,eq_c1/2,0)))/INDEX(lk_legs,2))-(((2*IF(circ_int,0,eq_c2/2))+(PI()*(s_0+1*s_r+IF(circ_int,eq_c1/2,0))/2))+2*IF(circ_int,0,eq_c1/2)))/(s_0+1*s_r+IF(circ_int,eq_c1/2,0))),IF(((34+0.5)*(4*IF(circ_int,0,eq_c1/2)+4*IF(circ_int,0,eq_c2/2)+2*PI()*(s_0+1*s_r+IF(circ_int,eq_c1/2,0)))/INDEX(lk_legs,2))&lt;(((((2*IF(circ_int,0,eq_c2/2))+(PI()*(s_0+1*s_r+IF(circ_int,eq_c1/2,0))/2))+2*IF(circ_int,0,eq_c1/2))+(PI()*(s_0+1*s_r+IF(circ_int,eq_c1/2,0))/2))+2*IF(circ_int,0,eq_c2/2)),-IF(circ_int,0,eq_c1/2)-(s_0+1*s_r+IF(circ_int,eq_c1/2,0)),IF(((34+0.5)*(4*IF(circ_int,0,eq_c1/2)+4*IF(circ_int,0,eq_c2/2)+2*PI()*(s_0+1*s_r+IF(circ_int,eq_c1/2,0)))/INDEX(lk_legs,2))&lt;((((((2*IF(circ_int,0,eq_c2/2))+(PI()*(s_0+1*s_r+IF(circ_int,eq_c1/2,0))/2))+2*IF(circ_int,0,eq_c1/2))+(PI()*(s_0+1*s_r+IF(circ_int,eq_c1/2,0))/2))+2*IF(circ_int,0,eq_c2/2))+(PI()*(s_0+1*s_r+IF(circ_int,eq_c1/2,0))/2)),-IF(circ_int,0,eq_c1/2)+(s_0+1*s_r+IF(circ_int,eq_c1/2,0))*COS(PI()+(((34+0.5)*(4*IF(circ_int,0,eq_c1/2)+4*IF(circ_int,0,eq_c2/2)+2*PI()*(s_0+1*s_r+IF(circ_int,eq_c1/2,0)))/INDEX(lk_legs,2))-(((((2*IF(circ_int,0,eq_c2/2))+(PI()*(s_0+1*s_r+IF(circ_int,eq_c1/2,0))/2))+2*IF(circ_int,0,eq_c1/2))+(PI()*(s_0+1*s_r+IF(circ_int,eq_c1/2,0))/2))+2*IF(circ_int,0,eq_c2/2)))/(s_0+1*s_r+IF(circ_int,eq_c1/2,0))),IF(((34+0.5)*(4*IF(circ_int,0,eq_c1/2)+4*IF(circ_int,0,eq_c2/2)+2*PI()*(s_0+1*s_r+IF(circ_int,eq_c1/2,0)))/INDEX(lk_legs,2))&lt;(((((((2*IF(circ_int,0,eq_c2/2))+(PI()*(s_0+1*s_r+IF(circ_int,eq_c1/2,0))/2))+2*IF(circ_int,0,eq_c1/2))+(PI()*(s_0+1*s_r+IF(circ_int,eq_c1/2,0))/2))+2*IF(circ_int,0,eq_c2/2))+(PI()*(s_0+1*s_r+IF(circ_int,eq_c1/2,0))/2))+2*IF(circ_int,0,eq_c1/2)),-IF(circ_int,0,eq_c1/2)+(((34+0.5)*(4*IF(circ_int,0,eq_c1/2)+4*IF(circ_int,0,eq_c2/2)+2*PI()*(s_0+1*s_r+IF(circ_int,eq_c1/2,0)))/INDEX(lk_legs,2))-((((((2*IF(circ_int,0,eq_c2/2))+(PI()*(s_0+1*s_r+IF(circ_int,eq_c1/2,0))/2))+2*IF(circ_int,0,eq_c1/2))+(PI()*(s_0+1*s_r+IF(circ_int,eq_c1/2,0))/2))+2*IF(circ_int,0,eq_c2/2))+(PI()*(s_0+1*s_r+IF(circ_int,eq_c1/2,0))/2))),IF(circ_int,0,eq_c1/2)+(s_0+1*s_r+IF(circ_int,eq_c1/2,0))*COS(3*PI()/2+(((34+0.5)*(4*IF(circ_int,0,eq_c1/2)+4*IF(circ_int,0,eq_c2/2)+2*PI()*(s_0+1*s_r+IF(circ_int,eq_c1/2,0)))/INDEX(lk_legs,2))-(((((((2*IF(circ_int,0,eq_c2/2))+(PI()*(s_0+1*s_r+IF(circ_int,eq_c1/2,0))/2))+2*IF(circ_int,0,eq_c1/2))+(PI()*(s_0+1*s_r+IF(circ_int,eq_c1/2,0))/2))+2*IF(circ_int,0,eq_c2/2))+(PI()*(s_0+1*s_r+IF(circ_int,eq_c1/2,0))/2))+2*IF(circ_int,0,eq_c1/2)))/(s_0+1*s_r+IF(circ_int,eq_c1/2,0)))))))))),NA())</f>
        <v/>
      </c>
      <c r="BG37">
        <f>IF(AND(AND(links_on,2&lt;=n_per),INDEX(lk_kind,2)=1,34&lt;INDEX(lk_legs,2)),g_oy+IF(((34+0.5)*(4*IF(circ_int,0,eq_c1/2)+4*IF(circ_int,0,eq_c2/2)+2*PI()*(s_0+1*s_r+IF(circ_int,eq_c1/2,0)))/INDEX(lk_legs,2))&lt;(2*IF(circ_int,0,eq_c2/2)),-IF(circ_int,0,eq_c2/2)+((34+0.5)*(4*IF(circ_int,0,eq_c1/2)+4*IF(circ_int,0,eq_c2/2)+2*PI()*(s_0+1*s_r+IF(circ_int,eq_c1/2,0)))/INDEX(lk_legs,2)),IF(((34+0.5)*(4*IF(circ_int,0,eq_c1/2)+4*IF(circ_int,0,eq_c2/2)+2*PI()*(s_0+1*s_r+IF(circ_int,eq_c1/2,0)))/INDEX(lk_legs,2))&lt;((2*IF(circ_int,0,eq_c2/2))+(PI()*(s_0+1*s_r+IF(circ_int,eq_c1/2,0))/2)),IF(circ_int,0,eq_c2/2)+(s_0+1*s_r+IF(circ_int,eq_c1/2,0))*SIN((((34+0.5)*(4*IF(circ_int,0,eq_c1/2)+4*IF(circ_int,0,eq_c2/2)+2*PI()*(s_0+1*s_r+IF(circ_int,eq_c1/2,0)))/INDEX(lk_legs,2))-(2*IF(circ_int,0,eq_c2/2)))/(s_0+1*s_r+IF(circ_int,eq_c1/2,0))),IF(((34+0.5)*(4*IF(circ_int,0,eq_c1/2)+4*IF(circ_int,0,eq_c2/2)+2*PI()*(s_0+1*s_r+IF(circ_int,eq_c1/2,0)))/INDEX(lk_legs,2))&lt;(((2*IF(circ_int,0,eq_c2/2))+(PI()*(s_0+1*s_r+IF(circ_int,eq_c1/2,0))/2))+2*IF(circ_int,0,eq_c1/2)),IF(circ_int,0,eq_c2/2)+(s_0+1*s_r+IF(circ_int,eq_c1/2,0)),IF(((34+0.5)*(4*IF(circ_int,0,eq_c1/2)+4*IF(circ_int,0,eq_c2/2)+2*PI()*(s_0+1*s_r+IF(circ_int,eq_c1/2,0)))/INDEX(lk_legs,2))&lt;((((2*IF(circ_int,0,eq_c2/2))+(PI()*(s_0+1*s_r+IF(circ_int,eq_c1/2,0))/2))+2*IF(circ_int,0,eq_c1/2))+(PI()*(s_0+1*s_r+IF(circ_int,eq_c1/2,0))/2)),IF(circ_int,0,eq_c2/2)+(s_0+1*s_r+IF(circ_int,eq_c1/2,0))*SIN(PI()/2+(((34+0.5)*(4*IF(circ_int,0,eq_c1/2)+4*IF(circ_int,0,eq_c2/2)+2*PI()*(s_0+1*s_r+IF(circ_int,eq_c1/2,0)))/INDEX(lk_legs,2))-(((2*IF(circ_int,0,eq_c2/2))+(PI()*(s_0+1*s_r+IF(circ_int,eq_c1/2,0))/2))+2*IF(circ_int,0,eq_c1/2)))/(s_0+1*s_r+IF(circ_int,eq_c1/2,0))),IF(((34+0.5)*(4*IF(circ_int,0,eq_c1/2)+4*IF(circ_int,0,eq_c2/2)+2*PI()*(s_0+1*s_r+IF(circ_int,eq_c1/2,0)))/INDEX(lk_legs,2))&lt;(((((2*IF(circ_int,0,eq_c2/2))+(PI()*(s_0+1*s_r+IF(circ_int,eq_c1/2,0))/2))+2*IF(circ_int,0,eq_c1/2))+(PI()*(s_0+1*s_r+IF(circ_int,eq_c1/2,0))/2))+2*IF(circ_int,0,eq_c2/2)),IF(circ_int,0,eq_c2/2)-(((34+0.5)*(4*IF(circ_int,0,eq_c1/2)+4*IF(circ_int,0,eq_c2/2)+2*PI()*(s_0+1*s_r+IF(circ_int,eq_c1/2,0)))/INDEX(lk_legs,2))-((((2*IF(circ_int,0,eq_c2/2))+(PI()*(s_0+1*s_r+IF(circ_int,eq_c1/2,0))/2))+2*IF(circ_int,0,eq_c1/2))+(PI()*(s_0+1*s_r+IF(circ_int,eq_c1/2,0))/2))),IF(((34+0.5)*(4*IF(circ_int,0,eq_c1/2)+4*IF(circ_int,0,eq_c2/2)+2*PI()*(s_0+1*s_r+IF(circ_int,eq_c1/2,0)))/INDEX(lk_legs,2))&lt;((((((2*IF(circ_int,0,eq_c2/2))+(PI()*(s_0+1*s_r+IF(circ_int,eq_c1/2,0))/2))+2*IF(circ_int,0,eq_c1/2))+(PI()*(s_0+1*s_r+IF(circ_int,eq_c1/2,0))/2))+2*IF(circ_int,0,eq_c2/2))+(PI()*(s_0+1*s_r+IF(circ_int,eq_c1/2,0))/2)),-IF(circ_int,0,eq_c2/2)+(s_0+1*s_r+IF(circ_int,eq_c1/2,0))*SIN(PI()+(((34+0.5)*(4*IF(circ_int,0,eq_c1/2)+4*IF(circ_int,0,eq_c2/2)+2*PI()*(s_0+1*s_r+IF(circ_int,eq_c1/2,0)))/INDEX(lk_legs,2))-(((((2*IF(circ_int,0,eq_c2/2))+(PI()*(s_0+1*s_r+IF(circ_int,eq_c1/2,0))/2))+2*IF(circ_int,0,eq_c1/2))+(PI()*(s_0+1*s_r+IF(circ_int,eq_c1/2,0))/2))+2*IF(circ_int,0,eq_c2/2)))/(s_0+1*s_r+IF(circ_int,eq_c1/2,0))),IF(((34+0.5)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(34+0.5)*(4*IF(circ_int,0,eq_c1/2)+4*IF(circ_int,0,eq_c2/2)+2*PI()*(s_0+1*s_r+IF(circ_int,eq_c1/2,0)))/INDEX(lk_legs,2))-(((((((2*IF(circ_int,0,eq_c2/2))+(PI()*(s_0+1*s_r+IF(circ_int,eq_c1/2,0))/2))+2*IF(circ_int,0,eq_c1/2))+(PI()*(s_0+1*s_r+IF(circ_int,eq_c1/2,0))/2))+2*IF(circ_int,0,eq_c2/2))+(PI()*(s_0+1*s_r+IF(circ_int,eq_c1/2,0))/2))+2*IF(circ_int,0,eq_c1/2)))/(s_0+1*s_r+IF(circ_int,eq_c1/2,0)))))))))),NA())</f>
        <v/>
      </c>
      <c r="BI37">
        <f>IF(AND(links_on,3&lt;=n_per),IF(circ_int,(g_ox)+(c_1/2+(s_0+2*s_r))*-0.568065,CHOOSE(INDEX(lk_kind,3),(g_ox-eq_c1/2)+((s_0+2*s_r))*-0.500000,0,eq_a1+eq_c1+(s_0+2*s_r),eq_a1+eq_c1+(s_0+2*s_r))),NA())</f>
        <v/>
      </c>
      <c r="BJ37">
        <f>IF(AND(links_on,3&lt;=n_per),IF(circ_int,(g_oy)+(c_1/2+(s_0+2*s_r))*-0.822984,CHOOSE(INDEX(lk_kind,3),(g_oy-eq_c2/2)+((s_0+2*s_r))*-0.866025,g_oy-eq_c2/2-(s_0+2*s_r),0,0)),NA())</f>
        <v/>
      </c>
      <c r="BL37">
        <f>IF(AND(AND(links_on,3&lt;=n_per),INDEX(lk_kind,3)=1,34&lt;INDEX(lk_legs,3)),g_ox+IF(((34+0.5)*(4*IF(circ_int,0,eq_c1/2)+4*IF(circ_int,0,eq_c2/2)+2*PI()*(s_0+2*s_r+IF(circ_int,eq_c1/2,0)))/INDEX(lk_legs,3))&lt;(2*IF(circ_int,0,eq_c2/2)),IF(circ_int,0,eq_c1/2)+(s_0+2*s_r+IF(circ_int,eq_c1/2,0)),IF(((34+0.5)*(4*IF(circ_int,0,eq_c1/2)+4*IF(circ_int,0,eq_c2/2)+2*PI()*(s_0+2*s_r+IF(circ_int,eq_c1/2,0)))/INDEX(lk_legs,3))&lt;((2*IF(circ_int,0,eq_c2/2))+(PI()*(s_0+2*s_r+IF(circ_int,eq_c1/2,0))/2)),IF(circ_int,0,eq_c1/2)+(s_0+2*s_r+IF(circ_int,eq_c1/2,0))*COS((((34+0.5)*(4*IF(circ_int,0,eq_c1/2)+4*IF(circ_int,0,eq_c2/2)+2*PI()*(s_0+2*s_r+IF(circ_int,eq_c1/2,0)))/INDEX(lk_legs,3))-(2*IF(circ_int,0,eq_c2/2)))/(s_0+2*s_r+IF(circ_int,eq_c1/2,0))),IF(((34+0.5)*(4*IF(circ_int,0,eq_c1/2)+4*IF(circ_int,0,eq_c2/2)+2*PI()*(s_0+2*s_r+IF(circ_int,eq_c1/2,0)))/INDEX(lk_legs,3))&lt;(((2*IF(circ_int,0,eq_c2/2))+(PI()*(s_0+2*s_r+IF(circ_int,eq_c1/2,0))/2))+2*IF(circ_int,0,eq_c1/2)),IF(circ_int,0,eq_c1/2)-(((34+0.5)*(4*IF(circ_int,0,eq_c1/2)+4*IF(circ_int,0,eq_c2/2)+2*PI()*(s_0+2*s_r+IF(circ_int,eq_c1/2,0)))/INDEX(lk_legs,3))-((2*IF(circ_int,0,eq_c2/2))+(PI()*(s_0+2*s_r+IF(circ_int,eq_c1/2,0))/2))),IF(((34+0.5)*(4*IF(circ_int,0,eq_c1/2)+4*IF(circ_int,0,eq_c2/2)+2*PI()*(s_0+2*s_r+IF(circ_int,eq_c1/2,0)))/INDEX(lk_legs,3))&lt;((((2*IF(circ_int,0,eq_c2/2))+(PI()*(s_0+2*s_r+IF(circ_int,eq_c1/2,0))/2))+2*IF(circ_int,0,eq_c1/2))+(PI()*(s_0+2*s_r+IF(circ_int,eq_c1/2,0))/2)),-IF(circ_int,0,eq_c1/2)+(s_0+2*s_r+IF(circ_int,eq_c1/2,0))*COS(PI()/2+(((34+0.5)*(4*IF(circ_int,0,eq_c1/2)+4*IF(circ_int,0,eq_c2/2)+2*PI()*(s_0+2*s_r+IF(circ_int,eq_c1/2,0)))/INDEX(lk_legs,3))-(((2*IF(circ_int,0,eq_c2/2))+(PI()*(s_0+2*s_r+IF(circ_int,eq_c1/2,0))/2))+2*IF(circ_int,0,eq_c1/2)))/(s_0+2*s_r+IF(circ_int,eq_c1/2,0))),IF(((34+0.5)*(4*IF(circ_int,0,eq_c1/2)+4*IF(circ_int,0,eq_c2/2)+2*PI()*(s_0+2*s_r+IF(circ_int,eq_c1/2,0)))/INDEX(lk_legs,3))&lt;(((((2*IF(circ_int,0,eq_c2/2))+(PI()*(s_0+2*s_r+IF(circ_int,eq_c1/2,0))/2))+2*IF(circ_int,0,eq_c1/2))+(PI()*(s_0+2*s_r+IF(circ_int,eq_c1/2,0))/2))+2*IF(circ_int,0,eq_c2/2)),-IF(circ_int,0,eq_c1/2)-(s_0+2*s_r+IF(circ_int,eq_c1/2,0)),IF(((34+0.5)*(4*IF(circ_int,0,eq_c1/2)+4*IF(circ_int,0,eq_c2/2)+2*PI()*(s_0+2*s_r+IF(circ_int,eq_c1/2,0)))/INDEX(lk_legs,3))&lt;((((((2*IF(circ_int,0,eq_c2/2))+(PI()*(s_0+2*s_r+IF(circ_int,eq_c1/2,0))/2))+2*IF(circ_int,0,eq_c1/2))+(PI()*(s_0+2*s_r+IF(circ_int,eq_c1/2,0))/2))+2*IF(circ_int,0,eq_c2/2))+(PI()*(s_0+2*s_r+IF(circ_int,eq_c1/2,0))/2)),-IF(circ_int,0,eq_c1/2)+(s_0+2*s_r+IF(circ_int,eq_c1/2,0))*COS(PI()+(((34+0.5)*(4*IF(circ_int,0,eq_c1/2)+4*IF(circ_int,0,eq_c2/2)+2*PI()*(s_0+2*s_r+IF(circ_int,eq_c1/2,0)))/INDEX(lk_legs,3))-(((((2*IF(circ_int,0,eq_c2/2))+(PI()*(s_0+2*s_r+IF(circ_int,eq_c1/2,0))/2))+2*IF(circ_int,0,eq_c1/2))+(PI()*(s_0+2*s_r+IF(circ_int,eq_c1/2,0))/2))+2*IF(circ_int,0,eq_c2/2)))/(s_0+2*s_r+IF(circ_int,eq_c1/2,0))),IF(((34+0.5)*(4*IF(circ_int,0,eq_c1/2)+4*IF(circ_int,0,eq_c2/2)+2*PI()*(s_0+2*s_r+IF(circ_int,eq_c1/2,0)))/INDEX(lk_legs,3))&lt;(((((((2*IF(circ_int,0,eq_c2/2))+(PI()*(s_0+2*s_r+IF(circ_int,eq_c1/2,0))/2))+2*IF(circ_int,0,eq_c1/2))+(PI()*(s_0+2*s_r+IF(circ_int,eq_c1/2,0))/2))+2*IF(circ_int,0,eq_c2/2))+(PI()*(s_0+2*s_r+IF(circ_int,eq_c1/2,0))/2))+2*IF(circ_int,0,eq_c1/2)),-IF(circ_int,0,eq_c1/2)+(((34+0.5)*(4*IF(circ_int,0,eq_c1/2)+4*IF(circ_int,0,eq_c2/2)+2*PI()*(s_0+2*s_r+IF(circ_int,eq_c1/2,0)))/INDEX(lk_legs,3))-((((((2*IF(circ_int,0,eq_c2/2))+(PI()*(s_0+2*s_r+IF(circ_int,eq_c1/2,0))/2))+2*IF(circ_int,0,eq_c1/2))+(PI()*(s_0+2*s_r+IF(circ_int,eq_c1/2,0))/2))+2*IF(circ_int,0,eq_c2/2))+(PI()*(s_0+2*s_r+IF(circ_int,eq_c1/2,0))/2))),IF(circ_int,0,eq_c1/2)+(s_0+2*s_r+IF(circ_int,eq_c1/2,0))*COS(3*PI()/2+(((34+0.5)*(4*IF(circ_int,0,eq_c1/2)+4*IF(circ_int,0,eq_c2/2)+2*PI()*(s_0+2*s_r+IF(circ_int,eq_c1/2,0)))/INDEX(lk_legs,3))-(((((((2*IF(circ_int,0,eq_c2/2))+(PI()*(s_0+2*s_r+IF(circ_int,eq_c1/2,0))/2))+2*IF(circ_int,0,eq_c1/2))+(PI()*(s_0+2*s_r+IF(circ_int,eq_c1/2,0))/2))+2*IF(circ_int,0,eq_c2/2))+(PI()*(s_0+2*s_r+IF(circ_int,eq_c1/2,0))/2))+2*IF(circ_int,0,eq_c1/2)))/(s_0+2*s_r+IF(circ_int,eq_c1/2,0)))))))))),NA())</f>
        <v/>
      </c>
      <c r="BM37">
        <f>IF(AND(AND(links_on,3&lt;=n_per),INDEX(lk_kind,3)=1,34&lt;INDEX(lk_legs,3)),g_oy+IF(((34+0.5)*(4*IF(circ_int,0,eq_c1/2)+4*IF(circ_int,0,eq_c2/2)+2*PI()*(s_0+2*s_r+IF(circ_int,eq_c1/2,0)))/INDEX(lk_legs,3))&lt;(2*IF(circ_int,0,eq_c2/2)),-IF(circ_int,0,eq_c2/2)+((34+0.5)*(4*IF(circ_int,0,eq_c1/2)+4*IF(circ_int,0,eq_c2/2)+2*PI()*(s_0+2*s_r+IF(circ_int,eq_c1/2,0)))/INDEX(lk_legs,3)),IF(((34+0.5)*(4*IF(circ_int,0,eq_c1/2)+4*IF(circ_int,0,eq_c2/2)+2*PI()*(s_0+2*s_r+IF(circ_int,eq_c1/2,0)))/INDEX(lk_legs,3))&lt;((2*IF(circ_int,0,eq_c2/2))+(PI()*(s_0+2*s_r+IF(circ_int,eq_c1/2,0))/2)),IF(circ_int,0,eq_c2/2)+(s_0+2*s_r+IF(circ_int,eq_c1/2,0))*SIN((((34+0.5)*(4*IF(circ_int,0,eq_c1/2)+4*IF(circ_int,0,eq_c2/2)+2*PI()*(s_0+2*s_r+IF(circ_int,eq_c1/2,0)))/INDEX(lk_legs,3))-(2*IF(circ_int,0,eq_c2/2)))/(s_0+2*s_r+IF(circ_int,eq_c1/2,0))),IF(((34+0.5)*(4*IF(circ_int,0,eq_c1/2)+4*IF(circ_int,0,eq_c2/2)+2*PI()*(s_0+2*s_r+IF(circ_int,eq_c1/2,0)))/INDEX(lk_legs,3))&lt;(((2*IF(circ_int,0,eq_c2/2))+(PI()*(s_0+2*s_r+IF(circ_int,eq_c1/2,0))/2))+2*IF(circ_int,0,eq_c1/2)),IF(circ_int,0,eq_c2/2)+(s_0+2*s_r+IF(circ_int,eq_c1/2,0)),IF(((34+0.5)*(4*IF(circ_int,0,eq_c1/2)+4*IF(circ_int,0,eq_c2/2)+2*PI()*(s_0+2*s_r+IF(circ_int,eq_c1/2,0)))/INDEX(lk_legs,3))&lt;((((2*IF(circ_int,0,eq_c2/2))+(PI()*(s_0+2*s_r+IF(circ_int,eq_c1/2,0))/2))+2*IF(circ_int,0,eq_c1/2))+(PI()*(s_0+2*s_r+IF(circ_int,eq_c1/2,0))/2)),IF(circ_int,0,eq_c2/2)+(s_0+2*s_r+IF(circ_int,eq_c1/2,0))*SIN(PI()/2+(((34+0.5)*(4*IF(circ_int,0,eq_c1/2)+4*IF(circ_int,0,eq_c2/2)+2*PI()*(s_0+2*s_r+IF(circ_int,eq_c1/2,0)))/INDEX(lk_legs,3))-(((2*IF(circ_int,0,eq_c2/2))+(PI()*(s_0+2*s_r+IF(circ_int,eq_c1/2,0))/2))+2*IF(circ_int,0,eq_c1/2)))/(s_0+2*s_r+IF(circ_int,eq_c1/2,0))),IF(((34+0.5)*(4*IF(circ_int,0,eq_c1/2)+4*IF(circ_int,0,eq_c2/2)+2*PI()*(s_0+2*s_r+IF(circ_int,eq_c1/2,0)))/INDEX(lk_legs,3))&lt;(((((2*IF(circ_int,0,eq_c2/2))+(PI()*(s_0+2*s_r+IF(circ_int,eq_c1/2,0))/2))+2*IF(circ_int,0,eq_c1/2))+(PI()*(s_0+2*s_r+IF(circ_int,eq_c1/2,0))/2))+2*IF(circ_int,0,eq_c2/2)),IF(circ_int,0,eq_c2/2)-(((34+0.5)*(4*IF(circ_int,0,eq_c1/2)+4*IF(circ_int,0,eq_c2/2)+2*PI()*(s_0+2*s_r+IF(circ_int,eq_c1/2,0)))/INDEX(lk_legs,3))-((((2*IF(circ_int,0,eq_c2/2))+(PI()*(s_0+2*s_r+IF(circ_int,eq_c1/2,0))/2))+2*IF(circ_int,0,eq_c1/2))+(PI()*(s_0+2*s_r+IF(circ_int,eq_c1/2,0))/2))),IF(((34+0.5)*(4*IF(circ_int,0,eq_c1/2)+4*IF(circ_int,0,eq_c2/2)+2*PI()*(s_0+2*s_r+IF(circ_int,eq_c1/2,0)))/INDEX(lk_legs,3))&lt;((((((2*IF(circ_int,0,eq_c2/2))+(PI()*(s_0+2*s_r+IF(circ_int,eq_c1/2,0))/2))+2*IF(circ_int,0,eq_c1/2))+(PI()*(s_0+2*s_r+IF(circ_int,eq_c1/2,0))/2))+2*IF(circ_int,0,eq_c2/2))+(PI()*(s_0+2*s_r+IF(circ_int,eq_c1/2,0))/2)),-IF(circ_int,0,eq_c2/2)+(s_0+2*s_r+IF(circ_int,eq_c1/2,0))*SIN(PI()+(((34+0.5)*(4*IF(circ_int,0,eq_c1/2)+4*IF(circ_int,0,eq_c2/2)+2*PI()*(s_0+2*s_r+IF(circ_int,eq_c1/2,0)))/INDEX(lk_legs,3))-(((((2*IF(circ_int,0,eq_c2/2))+(PI()*(s_0+2*s_r+IF(circ_int,eq_c1/2,0))/2))+2*IF(circ_int,0,eq_c1/2))+(PI()*(s_0+2*s_r+IF(circ_int,eq_c1/2,0))/2))+2*IF(circ_int,0,eq_c2/2)))/(s_0+2*s_r+IF(circ_int,eq_c1/2,0))),IF(((34+0.5)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(34+0.5)*(4*IF(circ_int,0,eq_c1/2)+4*IF(circ_int,0,eq_c2/2)+2*PI()*(s_0+2*s_r+IF(circ_int,eq_c1/2,0)))/INDEX(lk_legs,3))-(((((((2*IF(circ_int,0,eq_c2/2))+(PI()*(s_0+2*s_r+IF(circ_int,eq_c1/2,0))/2))+2*IF(circ_int,0,eq_c1/2))+(PI()*(s_0+2*s_r+IF(circ_int,eq_c1/2,0))/2))+2*IF(circ_int,0,eq_c2/2))+(PI()*(s_0+2*s_r+IF(circ_int,eq_c1/2,0))/2))+2*IF(circ_int,0,eq_c1/2)))/(s_0+2*s_r+IF(circ_int,eq_c1/2,0)))))))))),NA())</f>
        <v/>
      </c>
      <c r="BO37">
        <f>IF(AND(links_on,4&lt;=n_per),IF(circ_int,(g_ox)+(c_1/2+(s_0+3*s_r))*-0.568065,CHOOSE(INDEX(lk_kind,4),(g_ox-eq_c1/2)+((s_0+3*s_r))*-0.500000,0,eq_a1+eq_c1+(s_0+3*s_r),eq_a1+eq_c1+(s_0+3*s_r))),NA())</f>
        <v/>
      </c>
      <c r="BP37">
        <f>IF(AND(links_on,4&lt;=n_per),IF(circ_int,(g_oy)+(c_1/2+(s_0+3*s_r))*-0.822984,CHOOSE(INDEX(lk_kind,4),(g_oy-eq_c2/2)+((s_0+3*s_r))*-0.866025,g_oy-eq_c2/2-(s_0+3*s_r),0,0)),NA())</f>
        <v/>
      </c>
      <c r="BR37">
        <f>IF(AND(AND(links_on,4&lt;=n_per),INDEX(lk_kind,4)=1,34&lt;INDEX(lk_legs,4)),g_ox+IF(((34+0.5)*(4*IF(circ_int,0,eq_c1/2)+4*IF(circ_int,0,eq_c2/2)+2*PI()*(s_0+3*s_r+IF(circ_int,eq_c1/2,0)))/INDEX(lk_legs,4))&lt;(2*IF(circ_int,0,eq_c2/2)),IF(circ_int,0,eq_c1/2)+(s_0+3*s_r+IF(circ_int,eq_c1/2,0)),IF(((34+0.5)*(4*IF(circ_int,0,eq_c1/2)+4*IF(circ_int,0,eq_c2/2)+2*PI()*(s_0+3*s_r+IF(circ_int,eq_c1/2,0)))/INDEX(lk_legs,4))&lt;((2*IF(circ_int,0,eq_c2/2))+(PI()*(s_0+3*s_r+IF(circ_int,eq_c1/2,0))/2)),IF(circ_int,0,eq_c1/2)+(s_0+3*s_r+IF(circ_int,eq_c1/2,0))*COS((((34+0.5)*(4*IF(circ_int,0,eq_c1/2)+4*IF(circ_int,0,eq_c2/2)+2*PI()*(s_0+3*s_r+IF(circ_int,eq_c1/2,0)))/INDEX(lk_legs,4))-(2*IF(circ_int,0,eq_c2/2)))/(s_0+3*s_r+IF(circ_int,eq_c1/2,0))),IF(((34+0.5)*(4*IF(circ_int,0,eq_c1/2)+4*IF(circ_int,0,eq_c2/2)+2*PI()*(s_0+3*s_r+IF(circ_int,eq_c1/2,0)))/INDEX(lk_legs,4))&lt;(((2*IF(circ_int,0,eq_c2/2))+(PI()*(s_0+3*s_r+IF(circ_int,eq_c1/2,0))/2))+2*IF(circ_int,0,eq_c1/2)),IF(circ_int,0,eq_c1/2)-(((34+0.5)*(4*IF(circ_int,0,eq_c1/2)+4*IF(circ_int,0,eq_c2/2)+2*PI()*(s_0+3*s_r+IF(circ_int,eq_c1/2,0)))/INDEX(lk_legs,4))-((2*IF(circ_int,0,eq_c2/2))+(PI()*(s_0+3*s_r+IF(circ_int,eq_c1/2,0))/2))),IF(((34+0.5)*(4*IF(circ_int,0,eq_c1/2)+4*IF(circ_int,0,eq_c2/2)+2*PI()*(s_0+3*s_r+IF(circ_int,eq_c1/2,0)))/INDEX(lk_legs,4))&lt;((((2*IF(circ_int,0,eq_c2/2))+(PI()*(s_0+3*s_r+IF(circ_int,eq_c1/2,0))/2))+2*IF(circ_int,0,eq_c1/2))+(PI()*(s_0+3*s_r+IF(circ_int,eq_c1/2,0))/2)),-IF(circ_int,0,eq_c1/2)+(s_0+3*s_r+IF(circ_int,eq_c1/2,0))*COS(PI()/2+(((34+0.5)*(4*IF(circ_int,0,eq_c1/2)+4*IF(circ_int,0,eq_c2/2)+2*PI()*(s_0+3*s_r+IF(circ_int,eq_c1/2,0)))/INDEX(lk_legs,4))-(((2*IF(circ_int,0,eq_c2/2))+(PI()*(s_0+3*s_r+IF(circ_int,eq_c1/2,0))/2))+2*IF(circ_int,0,eq_c1/2)))/(s_0+3*s_r+IF(circ_int,eq_c1/2,0))),IF(((34+0.5)*(4*IF(circ_int,0,eq_c1/2)+4*IF(circ_int,0,eq_c2/2)+2*PI()*(s_0+3*s_r+IF(circ_int,eq_c1/2,0)))/INDEX(lk_legs,4))&lt;(((((2*IF(circ_int,0,eq_c2/2))+(PI()*(s_0+3*s_r+IF(circ_int,eq_c1/2,0))/2))+2*IF(circ_int,0,eq_c1/2))+(PI()*(s_0+3*s_r+IF(circ_int,eq_c1/2,0))/2))+2*IF(circ_int,0,eq_c2/2)),-IF(circ_int,0,eq_c1/2)-(s_0+3*s_r+IF(circ_int,eq_c1/2,0)),IF(((34+0.5)*(4*IF(circ_int,0,eq_c1/2)+4*IF(circ_int,0,eq_c2/2)+2*PI()*(s_0+3*s_r+IF(circ_int,eq_c1/2,0)))/INDEX(lk_legs,4))&lt;((((((2*IF(circ_int,0,eq_c2/2))+(PI()*(s_0+3*s_r+IF(circ_int,eq_c1/2,0))/2))+2*IF(circ_int,0,eq_c1/2))+(PI()*(s_0+3*s_r+IF(circ_int,eq_c1/2,0))/2))+2*IF(circ_int,0,eq_c2/2))+(PI()*(s_0+3*s_r+IF(circ_int,eq_c1/2,0))/2)),-IF(circ_int,0,eq_c1/2)+(s_0+3*s_r+IF(circ_int,eq_c1/2,0))*COS(PI()+(((34+0.5)*(4*IF(circ_int,0,eq_c1/2)+4*IF(circ_int,0,eq_c2/2)+2*PI()*(s_0+3*s_r+IF(circ_int,eq_c1/2,0)))/INDEX(lk_legs,4))-(((((2*IF(circ_int,0,eq_c2/2))+(PI()*(s_0+3*s_r+IF(circ_int,eq_c1/2,0))/2))+2*IF(circ_int,0,eq_c1/2))+(PI()*(s_0+3*s_r+IF(circ_int,eq_c1/2,0))/2))+2*IF(circ_int,0,eq_c2/2)))/(s_0+3*s_r+IF(circ_int,eq_c1/2,0))),IF(((34+0.5)*(4*IF(circ_int,0,eq_c1/2)+4*IF(circ_int,0,eq_c2/2)+2*PI()*(s_0+3*s_r+IF(circ_int,eq_c1/2,0)))/INDEX(lk_legs,4))&lt;(((((((2*IF(circ_int,0,eq_c2/2))+(PI()*(s_0+3*s_r+IF(circ_int,eq_c1/2,0))/2))+2*IF(circ_int,0,eq_c1/2))+(PI()*(s_0+3*s_r+IF(circ_int,eq_c1/2,0))/2))+2*IF(circ_int,0,eq_c2/2))+(PI()*(s_0+3*s_r+IF(circ_int,eq_c1/2,0))/2))+2*IF(circ_int,0,eq_c1/2)),-IF(circ_int,0,eq_c1/2)+(((34+0.5)*(4*IF(circ_int,0,eq_c1/2)+4*IF(circ_int,0,eq_c2/2)+2*PI()*(s_0+3*s_r+IF(circ_int,eq_c1/2,0)))/INDEX(lk_legs,4))-((((((2*IF(circ_int,0,eq_c2/2))+(PI()*(s_0+3*s_r+IF(circ_int,eq_c1/2,0))/2))+2*IF(circ_int,0,eq_c1/2))+(PI()*(s_0+3*s_r+IF(circ_int,eq_c1/2,0))/2))+2*IF(circ_int,0,eq_c2/2))+(PI()*(s_0+3*s_r+IF(circ_int,eq_c1/2,0))/2))),IF(circ_int,0,eq_c1/2)+(s_0+3*s_r+IF(circ_int,eq_c1/2,0))*COS(3*PI()/2+(((34+0.5)*(4*IF(circ_int,0,eq_c1/2)+4*IF(circ_int,0,eq_c2/2)+2*PI()*(s_0+3*s_r+IF(circ_int,eq_c1/2,0)))/INDEX(lk_legs,4))-(((((((2*IF(circ_int,0,eq_c2/2))+(PI()*(s_0+3*s_r+IF(circ_int,eq_c1/2,0))/2))+2*IF(circ_int,0,eq_c1/2))+(PI()*(s_0+3*s_r+IF(circ_int,eq_c1/2,0))/2))+2*IF(circ_int,0,eq_c2/2))+(PI()*(s_0+3*s_r+IF(circ_int,eq_c1/2,0))/2))+2*IF(circ_int,0,eq_c1/2)))/(s_0+3*s_r+IF(circ_int,eq_c1/2,0)))))))))),NA())</f>
        <v/>
      </c>
      <c r="BS37">
        <f>IF(AND(AND(links_on,4&lt;=n_per),INDEX(lk_kind,4)=1,34&lt;INDEX(lk_legs,4)),g_oy+IF(((34+0.5)*(4*IF(circ_int,0,eq_c1/2)+4*IF(circ_int,0,eq_c2/2)+2*PI()*(s_0+3*s_r+IF(circ_int,eq_c1/2,0)))/INDEX(lk_legs,4))&lt;(2*IF(circ_int,0,eq_c2/2)),-IF(circ_int,0,eq_c2/2)+((34+0.5)*(4*IF(circ_int,0,eq_c1/2)+4*IF(circ_int,0,eq_c2/2)+2*PI()*(s_0+3*s_r+IF(circ_int,eq_c1/2,0)))/INDEX(lk_legs,4)),IF(((34+0.5)*(4*IF(circ_int,0,eq_c1/2)+4*IF(circ_int,0,eq_c2/2)+2*PI()*(s_0+3*s_r+IF(circ_int,eq_c1/2,0)))/INDEX(lk_legs,4))&lt;((2*IF(circ_int,0,eq_c2/2))+(PI()*(s_0+3*s_r+IF(circ_int,eq_c1/2,0))/2)),IF(circ_int,0,eq_c2/2)+(s_0+3*s_r+IF(circ_int,eq_c1/2,0))*SIN((((34+0.5)*(4*IF(circ_int,0,eq_c1/2)+4*IF(circ_int,0,eq_c2/2)+2*PI()*(s_0+3*s_r+IF(circ_int,eq_c1/2,0)))/INDEX(lk_legs,4))-(2*IF(circ_int,0,eq_c2/2)))/(s_0+3*s_r+IF(circ_int,eq_c1/2,0))),IF(((34+0.5)*(4*IF(circ_int,0,eq_c1/2)+4*IF(circ_int,0,eq_c2/2)+2*PI()*(s_0+3*s_r+IF(circ_int,eq_c1/2,0)))/INDEX(lk_legs,4))&lt;(((2*IF(circ_int,0,eq_c2/2))+(PI()*(s_0+3*s_r+IF(circ_int,eq_c1/2,0))/2))+2*IF(circ_int,0,eq_c1/2)),IF(circ_int,0,eq_c2/2)+(s_0+3*s_r+IF(circ_int,eq_c1/2,0)),IF(((34+0.5)*(4*IF(circ_int,0,eq_c1/2)+4*IF(circ_int,0,eq_c2/2)+2*PI()*(s_0+3*s_r+IF(circ_int,eq_c1/2,0)))/INDEX(lk_legs,4))&lt;((((2*IF(circ_int,0,eq_c2/2))+(PI()*(s_0+3*s_r+IF(circ_int,eq_c1/2,0))/2))+2*IF(circ_int,0,eq_c1/2))+(PI()*(s_0+3*s_r+IF(circ_int,eq_c1/2,0))/2)),IF(circ_int,0,eq_c2/2)+(s_0+3*s_r+IF(circ_int,eq_c1/2,0))*SIN(PI()/2+(((34+0.5)*(4*IF(circ_int,0,eq_c1/2)+4*IF(circ_int,0,eq_c2/2)+2*PI()*(s_0+3*s_r+IF(circ_int,eq_c1/2,0)))/INDEX(lk_legs,4))-(((2*IF(circ_int,0,eq_c2/2))+(PI()*(s_0+3*s_r+IF(circ_int,eq_c1/2,0))/2))+2*IF(circ_int,0,eq_c1/2)))/(s_0+3*s_r+IF(circ_int,eq_c1/2,0))),IF(((34+0.5)*(4*IF(circ_int,0,eq_c1/2)+4*IF(circ_int,0,eq_c2/2)+2*PI()*(s_0+3*s_r+IF(circ_int,eq_c1/2,0)))/INDEX(lk_legs,4))&lt;(((((2*IF(circ_int,0,eq_c2/2))+(PI()*(s_0+3*s_r+IF(circ_int,eq_c1/2,0))/2))+2*IF(circ_int,0,eq_c1/2))+(PI()*(s_0+3*s_r+IF(circ_int,eq_c1/2,0))/2))+2*IF(circ_int,0,eq_c2/2)),IF(circ_int,0,eq_c2/2)-(((34+0.5)*(4*IF(circ_int,0,eq_c1/2)+4*IF(circ_int,0,eq_c2/2)+2*PI()*(s_0+3*s_r+IF(circ_int,eq_c1/2,0)))/INDEX(lk_legs,4))-((((2*IF(circ_int,0,eq_c2/2))+(PI()*(s_0+3*s_r+IF(circ_int,eq_c1/2,0))/2))+2*IF(circ_int,0,eq_c1/2))+(PI()*(s_0+3*s_r+IF(circ_int,eq_c1/2,0))/2))),IF(((34+0.5)*(4*IF(circ_int,0,eq_c1/2)+4*IF(circ_int,0,eq_c2/2)+2*PI()*(s_0+3*s_r+IF(circ_int,eq_c1/2,0)))/INDEX(lk_legs,4))&lt;((((((2*IF(circ_int,0,eq_c2/2))+(PI()*(s_0+3*s_r+IF(circ_int,eq_c1/2,0))/2))+2*IF(circ_int,0,eq_c1/2))+(PI()*(s_0+3*s_r+IF(circ_int,eq_c1/2,0))/2))+2*IF(circ_int,0,eq_c2/2))+(PI()*(s_0+3*s_r+IF(circ_int,eq_c1/2,0))/2)),-IF(circ_int,0,eq_c2/2)+(s_0+3*s_r+IF(circ_int,eq_c1/2,0))*SIN(PI()+(((34+0.5)*(4*IF(circ_int,0,eq_c1/2)+4*IF(circ_int,0,eq_c2/2)+2*PI()*(s_0+3*s_r+IF(circ_int,eq_c1/2,0)))/INDEX(lk_legs,4))-(((((2*IF(circ_int,0,eq_c2/2))+(PI()*(s_0+3*s_r+IF(circ_int,eq_c1/2,0))/2))+2*IF(circ_int,0,eq_c1/2))+(PI()*(s_0+3*s_r+IF(circ_int,eq_c1/2,0))/2))+2*IF(circ_int,0,eq_c2/2)))/(s_0+3*s_r+IF(circ_int,eq_c1/2,0))),IF(((34+0.5)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(34+0.5)*(4*IF(circ_int,0,eq_c1/2)+4*IF(circ_int,0,eq_c2/2)+2*PI()*(s_0+3*s_r+IF(circ_int,eq_c1/2,0)))/INDEX(lk_legs,4))-(((((((2*IF(circ_int,0,eq_c2/2))+(PI()*(s_0+3*s_r+IF(circ_int,eq_c1/2,0))/2))+2*IF(circ_int,0,eq_c1/2))+(PI()*(s_0+3*s_r+IF(circ_int,eq_c1/2,0))/2))+2*IF(circ_int,0,eq_c2/2))+(PI()*(s_0+3*s_r+IF(circ_int,eq_c1/2,0))/2))+2*IF(circ_int,0,eq_c1/2)))/(s_0+3*s_r+IF(circ_int,eq_c1/2,0)))))))))),NA())</f>
        <v/>
      </c>
      <c r="BU37">
        <f>IF(AND(links_on,5&lt;=n_per),IF(circ_int,(g_ox)+(c_1/2+(s_0+4*s_r))*-0.568065,CHOOSE(INDEX(lk_kind,5),(g_ox-eq_c1/2)+((s_0+4*s_r))*-0.500000,0,eq_a1+eq_c1+(s_0+4*s_r),eq_a1+eq_c1+(s_0+4*s_r))),NA())</f>
        <v/>
      </c>
      <c r="BV37">
        <f>IF(AND(links_on,5&lt;=n_per),IF(circ_int,(g_oy)+(c_1/2+(s_0+4*s_r))*-0.822984,CHOOSE(INDEX(lk_kind,5),(g_oy-eq_c2/2)+((s_0+4*s_r))*-0.866025,g_oy-eq_c2/2-(s_0+4*s_r),0,0)),NA())</f>
        <v/>
      </c>
      <c r="BX37">
        <f>IF(AND(AND(links_on,5&lt;=n_per),INDEX(lk_kind,5)=1,34&lt;INDEX(lk_legs,5)),g_ox+IF(((34+0.5)*(4*IF(circ_int,0,eq_c1/2)+4*IF(circ_int,0,eq_c2/2)+2*PI()*(s_0+4*s_r+IF(circ_int,eq_c1/2,0)))/INDEX(lk_legs,5))&lt;(2*IF(circ_int,0,eq_c2/2)),IF(circ_int,0,eq_c1/2)+(s_0+4*s_r+IF(circ_int,eq_c1/2,0)),IF(((34+0.5)*(4*IF(circ_int,0,eq_c1/2)+4*IF(circ_int,0,eq_c2/2)+2*PI()*(s_0+4*s_r+IF(circ_int,eq_c1/2,0)))/INDEX(lk_legs,5))&lt;((2*IF(circ_int,0,eq_c2/2))+(PI()*(s_0+4*s_r+IF(circ_int,eq_c1/2,0))/2)),IF(circ_int,0,eq_c1/2)+(s_0+4*s_r+IF(circ_int,eq_c1/2,0))*COS((((34+0.5)*(4*IF(circ_int,0,eq_c1/2)+4*IF(circ_int,0,eq_c2/2)+2*PI()*(s_0+4*s_r+IF(circ_int,eq_c1/2,0)))/INDEX(lk_legs,5))-(2*IF(circ_int,0,eq_c2/2)))/(s_0+4*s_r+IF(circ_int,eq_c1/2,0))),IF(((34+0.5)*(4*IF(circ_int,0,eq_c1/2)+4*IF(circ_int,0,eq_c2/2)+2*PI()*(s_0+4*s_r+IF(circ_int,eq_c1/2,0)))/INDEX(lk_legs,5))&lt;(((2*IF(circ_int,0,eq_c2/2))+(PI()*(s_0+4*s_r+IF(circ_int,eq_c1/2,0))/2))+2*IF(circ_int,0,eq_c1/2)),IF(circ_int,0,eq_c1/2)-(((34+0.5)*(4*IF(circ_int,0,eq_c1/2)+4*IF(circ_int,0,eq_c2/2)+2*PI()*(s_0+4*s_r+IF(circ_int,eq_c1/2,0)))/INDEX(lk_legs,5))-((2*IF(circ_int,0,eq_c2/2))+(PI()*(s_0+4*s_r+IF(circ_int,eq_c1/2,0))/2))),IF(((34+0.5)*(4*IF(circ_int,0,eq_c1/2)+4*IF(circ_int,0,eq_c2/2)+2*PI()*(s_0+4*s_r+IF(circ_int,eq_c1/2,0)))/INDEX(lk_legs,5))&lt;((((2*IF(circ_int,0,eq_c2/2))+(PI()*(s_0+4*s_r+IF(circ_int,eq_c1/2,0))/2))+2*IF(circ_int,0,eq_c1/2))+(PI()*(s_0+4*s_r+IF(circ_int,eq_c1/2,0))/2)),-IF(circ_int,0,eq_c1/2)+(s_0+4*s_r+IF(circ_int,eq_c1/2,0))*COS(PI()/2+(((34+0.5)*(4*IF(circ_int,0,eq_c1/2)+4*IF(circ_int,0,eq_c2/2)+2*PI()*(s_0+4*s_r+IF(circ_int,eq_c1/2,0)))/INDEX(lk_legs,5))-(((2*IF(circ_int,0,eq_c2/2))+(PI()*(s_0+4*s_r+IF(circ_int,eq_c1/2,0))/2))+2*IF(circ_int,0,eq_c1/2)))/(s_0+4*s_r+IF(circ_int,eq_c1/2,0))),IF(((34+0.5)*(4*IF(circ_int,0,eq_c1/2)+4*IF(circ_int,0,eq_c2/2)+2*PI()*(s_0+4*s_r+IF(circ_int,eq_c1/2,0)))/INDEX(lk_legs,5))&lt;(((((2*IF(circ_int,0,eq_c2/2))+(PI()*(s_0+4*s_r+IF(circ_int,eq_c1/2,0))/2))+2*IF(circ_int,0,eq_c1/2))+(PI()*(s_0+4*s_r+IF(circ_int,eq_c1/2,0))/2))+2*IF(circ_int,0,eq_c2/2)),-IF(circ_int,0,eq_c1/2)-(s_0+4*s_r+IF(circ_int,eq_c1/2,0)),IF(((34+0.5)*(4*IF(circ_int,0,eq_c1/2)+4*IF(circ_int,0,eq_c2/2)+2*PI()*(s_0+4*s_r+IF(circ_int,eq_c1/2,0)))/INDEX(lk_legs,5))&lt;((((((2*IF(circ_int,0,eq_c2/2))+(PI()*(s_0+4*s_r+IF(circ_int,eq_c1/2,0))/2))+2*IF(circ_int,0,eq_c1/2))+(PI()*(s_0+4*s_r+IF(circ_int,eq_c1/2,0))/2))+2*IF(circ_int,0,eq_c2/2))+(PI()*(s_0+4*s_r+IF(circ_int,eq_c1/2,0))/2)),-IF(circ_int,0,eq_c1/2)+(s_0+4*s_r+IF(circ_int,eq_c1/2,0))*COS(PI()+(((34+0.5)*(4*IF(circ_int,0,eq_c1/2)+4*IF(circ_int,0,eq_c2/2)+2*PI()*(s_0+4*s_r+IF(circ_int,eq_c1/2,0)))/INDEX(lk_legs,5))-(((((2*IF(circ_int,0,eq_c2/2))+(PI()*(s_0+4*s_r+IF(circ_int,eq_c1/2,0))/2))+2*IF(circ_int,0,eq_c1/2))+(PI()*(s_0+4*s_r+IF(circ_int,eq_c1/2,0))/2))+2*IF(circ_int,0,eq_c2/2)))/(s_0+4*s_r+IF(circ_int,eq_c1/2,0))),IF(((34+0.5)*(4*IF(circ_int,0,eq_c1/2)+4*IF(circ_int,0,eq_c2/2)+2*PI()*(s_0+4*s_r+IF(circ_int,eq_c1/2,0)))/INDEX(lk_legs,5))&lt;(((((((2*IF(circ_int,0,eq_c2/2))+(PI()*(s_0+4*s_r+IF(circ_int,eq_c1/2,0))/2))+2*IF(circ_int,0,eq_c1/2))+(PI()*(s_0+4*s_r+IF(circ_int,eq_c1/2,0))/2))+2*IF(circ_int,0,eq_c2/2))+(PI()*(s_0+4*s_r+IF(circ_int,eq_c1/2,0))/2))+2*IF(circ_int,0,eq_c1/2)),-IF(circ_int,0,eq_c1/2)+(((34+0.5)*(4*IF(circ_int,0,eq_c1/2)+4*IF(circ_int,0,eq_c2/2)+2*PI()*(s_0+4*s_r+IF(circ_int,eq_c1/2,0)))/INDEX(lk_legs,5))-((((((2*IF(circ_int,0,eq_c2/2))+(PI()*(s_0+4*s_r+IF(circ_int,eq_c1/2,0))/2))+2*IF(circ_int,0,eq_c1/2))+(PI()*(s_0+4*s_r+IF(circ_int,eq_c1/2,0))/2))+2*IF(circ_int,0,eq_c2/2))+(PI()*(s_0+4*s_r+IF(circ_int,eq_c1/2,0))/2))),IF(circ_int,0,eq_c1/2)+(s_0+4*s_r+IF(circ_int,eq_c1/2,0))*COS(3*PI()/2+(((34+0.5)*(4*IF(circ_int,0,eq_c1/2)+4*IF(circ_int,0,eq_c2/2)+2*PI()*(s_0+4*s_r+IF(circ_int,eq_c1/2,0)))/INDEX(lk_legs,5))-(((((((2*IF(circ_int,0,eq_c2/2))+(PI()*(s_0+4*s_r+IF(circ_int,eq_c1/2,0))/2))+2*IF(circ_int,0,eq_c1/2))+(PI()*(s_0+4*s_r+IF(circ_int,eq_c1/2,0))/2))+2*IF(circ_int,0,eq_c2/2))+(PI()*(s_0+4*s_r+IF(circ_int,eq_c1/2,0))/2))+2*IF(circ_int,0,eq_c1/2)))/(s_0+4*s_r+IF(circ_int,eq_c1/2,0)))))))))),NA())</f>
        <v/>
      </c>
      <c r="BY37">
        <f>IF(AND(AND(links_on,5&lt;=n_per),INDEX(lk_kind,5)=1,34&lt;INDEX(lk_legs,5)),g_oy+IF(((34+0.5)*(4*IF(circ_int,0,eq_c1/2)+4*IF(circ_int,0,eq_c2/2)+2*PI()*(s_0+4*s_r+IF(circ_int,eq_c1/2,0)))/INDEX(lk_legs,5))&lt;(2*IF(circ_int,0,eq_c2/2)),-IF(circ_int,0,eq_c2/2)+((34+0.5)*(4*IF(circ_int,0,eq_c1/2)+4*IF(circ_int,0,eq_c2/2)+2*PI()*(s_0+4*s_r+IF(circ_int,eq_c1/2,0)))/INDEX(lk_legs,5)),IF(((34+0.5)*(4*IF(circ_int,0,eq_c1/2)+4*IF(circ_int,0,eq_c2/2)+2*PI()*(s_0+4*s_r+IF(circ_int,eq_c1/2,0)))/INDEX(lk_legs,5))&lt;((2*IF(circ_int,0,eq_c2/2))+(PI()*(s_0+4*s_r+IF(circ_int,eq_c1/2,0))/2)),IF(circ_int,0,eq_c2/2)+(s_0+4*s_r+IF(circ_int,eq_c1/2,0))*SIN((((34+0.5)*(4*IF(circ_int,0,eq_c1/2)+4*IF(circ_int,0,eq_c2/2)+2*PI()*(s_0+4*s_r+IF(circ_int,eq_c1/2,0)))/INDEX(lk_legs,5))-(2*IF(circ_int,0,eq_c2/2)))/(s_0+4*s_r+IF(circ_int,eq_c1/2,0))),IF(((34+0.5)*(4*IF(circ_int,0,eq_c1/2)+4*IF(circ_int,0,eq_c2/2)+2*PI()*(s_0+4*s_r+IF(circ_int,eq_c1/2,0)))/INDEX(lk_legs,5))&lt;(((2*IF(circ_int,0,eq_c2/2))+(PI()*(s_0+4*s_r+IF(circ_int,eq_c1/2,0))/2))+2*IF(circ_int,0,eq_c1/2)),IF(circ_int,0,eq_c2/2)+(s_0+4*s_r+IF(circ_int,eq_c1/2,0)),IF(((34+0.5)*(4*IF(circ_int,0,eq_c1/2)+4*IF(circ_int,0,eq_c2/2)+2*PI()*(s_0+4*s_r+IF(circ_int,eq_c1/2,0)))/INDEX(lk_legs,5))&lt;((((2*IF(circ_int,0,eq_c2/2))+(PI()*(s_0+4*s_r+IF(circ_int,eq_c1/2,0))/2))+2*IF(circ_int,0,eq_c1/2))+(PI()*(s_0+4*s_r+IF(circ_int,eq_c1/2,0))/2)),IF(circ_int,0,eq_c2/2)+(s_0+4*s_r+IF(circ_int,eq_c1/2,0))*SIN(PI()/2+(((34+0.5)*(4*IF(circ_int,0,eq_c1/2)+4*IF(circ_int,0,eq_c2/2)+2*PI()*(s_0+4*s_r+IF(circ_int,eq_c1/2,0)))/INDEX(lk_legs,5))-(((2*IF(circ_int,0,eq_c2/2))+(PI()*(s_0+4*s_r+IF(circ_int,eq_c1/2,0))/2))+2*IF(circ_int,0,eq_c1/2)))/(s_0+4*s_r+IF(circ_int,eq_c1/2,0))),IF(((34+0.5)*(4*IF(circ_int,0,eq_c1/2)+4*IF(circ_int,0,eq_c2/2)+2*PI()*(s_0+4*s_r+IF(circ_int,eq_c1/2,0)))/INDEX(lk_legs,5))&lt;(((((2*IF(circ_int,0,eq_c2/2))+(PI()*(s_0+4*s_r+IF(circ_int,eq_c1/2,0))/2))+2*IF(circ_int,0,eq_c1/2))+(PI()*(s_0+4*s_r+IF(circ_int,eq_c1/2,0))/2))+2*IF(circ_int,0,eq_c2/2)),IF(circ_int,0,eq_c2/2)-(((34+0.5)*(4*IF(circ_int,0,eq_c1/2)+4*IF(circ_int,0,eq_c2/2)+2*PI()*(s_0+4*s_r+IF(circ_int,eq_c1/2,0)))/INDEX(lk_legs,5))-((((2*IF(circ_int,0,eq_c2/2))+(PI()*(s_0+4*s_r+IF(circ_int,eq_c1/2,0))/2))+2*IF(circ_int,0,eq_c1/2))+(PI()*(s_0+4*s_r+IF(circ_int,eq_c1/2,0))/2))),IF(((34+0.5)*(4*IF(circ_int,0,eq_c1/2)+4*IF(circ_int,0,eq_c2/2)+2*PI()*(s_0+4*s_r+IF(circ_int,eq_c1/2,0)))/INDEX(lk_legs,5))&lt;((((((2*IF(circ_int,0,eq_c2/2))+(PI()*(s_0+4*s_r+IF(circ_int,eq_c1/2,0))/2))+2*IF(circ_int,0,eq_c1/2))+(PI()*(s_0+4*s_r+IF(circ_int,eq_c1/2,0))/2))+2*IF(circ_int,0,eq_c2/2))+(PI()*(s_0+4*s_r+IF(circ_int,eq_c1/2,0))/2)),-IF(circ_int,0,eq_c2/2)+(s_0+4*s_r+IF(circ_int,eq_c1/2,0))*SIN(PI()+(((34+0.5)*(4*IF(circ_int,0,eq_c1/2)+4*IF(circ_int,0,eq_c2/2)+2*PI()*(s_0+4*s_r+IF(circ_int,eq_c1/2,0)))/INDEX(lk_legs,5))-(((((2*IF(circ_int,0,eq_c2/2))+(PI()*(s_0+4*s_r+IF(circ_int,eq_c1/2,0))/2))+2*IF(circ_int,0,eq_c1/2))+(PI()*(s_0+4*s_r+IF(circ_int,eq_c1/2,0))/2))+2*IF(circ_int,0,eq_c2/2)))/(s_0+4*s_r+IF(circ_int,eq_c1/2,0))),IF(((34+0.5)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(34+0.5)*(4*IF(circ_int,0,eq_c1/2)+4*IF(circ_int,0,eq_c2/2)+2*PI()*(s_0+4*s_r+IF(circ_int,eq_c1/2,0)))/INDEX(lk_legs,5))-(((((((2*IF(circ_int,0,eq_c2/2))+(PI()*(s_0+4*s_r+IF(circ_int,eq_c1/2,0))/2))+2*IF(circ_int,0,eq_c1/2))+(PI()*(s_0+4*s_r+IF(circ_int,eq_c1/2,0))/2))+2*IF(circ_int,0,eq_c2/2))+(PI()*(s_0+4*s_r+IF(circ_int,eq_c1/2,0))/2))+2*IF(circ_int,0,eq_c1/2)))/(s_0+4*s_r+IF(circ_int,eq_c1/2,0)))))))))),NA())</f>
        <v/>
      </c>
      <c r="CA37">
        <f>IF(AND(links_on,6&lt;=n_per),IF(circ_int,(g_ox)+(c_1/2+(s_0+5*s_r))*-0.568065,CHOOSE(INDEX(lk_kind,6),(g_ox-eq_c1/2)+((s_0+5*s_r))*-0.500000,0,eq_a1+eq_c1+(s_0+5*s_r),eq_a1+eq_c1+(s_0+5*s_r))),NA())</f>
        <v/>
      </c>
      <c r="CB37">
        <f>IF(AND(links_on,6&lt;=n_per),IF(circ_int,(g_oy)+(c_1/2+(s_0+5*s_r))*-0.822984,CHOOSE(INDEX(lk_kind,6),(g_oy-eq_c2/2)+((s_0+5*s_r))*-0.866025,g_oy-eq_c2/2-(s_0+5*s_r),0,0)),NA())</f>
        <v/>
      </c>
      <c r="CD37">
        <f>IF(AND(AND(links_on,6&lt;=n_per),INDEX(lk_kind,6)=1,34&lt;INDEX(lk_legs,6)),g_ox+IF(((34+0.5)*(4*IF(circ_int,0,eq_c1/2)+4*IF(circ_int,0,eq_c2/2)+2*PI()*(s_0+5*s_r+IF(circ_int,eq_c1/2,0)))/INDEX(lk_legs,6))&lt;(2*IF(circ_int,0,eq_c2/2)),IF(circ_int,0,eq_c1/2)+(s_0+5*s_r+IF(circ_int,eq_c1/2,0)),IF(((34+0.5)*(4*IF(circ_int,0,eq_c1/2)+4*IF(circ_int,0,eq_c2/2)+2*PI()*(s_0+5*s_r+IF(circ_int,eq_c1/2,0)))/INDEX(lk_legs,6))&lt;((2*IF(circ_int,0,eq_c2/2))+(PI()*(s_0+5*s_r+IF(circ_int,eq_c1/2,0))/2)),IF(circ_int,0,eq_c1/2)+(s_0+5*s_r+IF(circ_int,eq_c1/2,0))*COS((((34+0.5)*(4*IF(circ_int,0,eq_c1/2)+4*IF(circ_int,0,eq_c2/2)+2*PI()*(s_0+5*s_r+IF(circ_int,eq_c1/2,0)))/INDEX(lk_legs,6))-(2*IF(circ_int,0,eq_c2/2)))/(s_0+5*s_r+IF(circ_int,eq_c1/2,0))),IF(((34+0.5)*(4*IF(circ_int,0,eq_c1/2)+4*IF(circ_int,0,eq_c2/2)+2*PI()*(s_0+5*s_r+IF(circ_int,eq_c1/2,0)))/INDEX(lk_legs,6))&lt;(((2*IF(circ_int,0,eq_c2/2))+(PI()*(s_0+5*s_r+IF(circ_int,eq_c1/2,0))/2))+2*IF(circ_int,0,eq_c1/2)),IF(circ_int,0,eq_c1/2)-(((34+0.5)*(4*IF(circ_int,0,eq_c1/2)+4*IF(circ_int,0,eq_c2/2)+2*PI()*(s_0+5*s_r+IF(circ_int,eq_c1/2,0)))/INDEX(lk_legs,6))-((2*IF(circ_int,0,eq_c2/2))+(PI()*(s_0+5*s_r+IF(circ_int,eq_c1/2,0))/2))),IF(((34+0.5)*(4*IF(circ_int,0,eq_c1/2)+4*IF(circ_int,0,eq_c2/2)+2*PI()*(s_0+5*s_r+IF(circ_int,eq_c1/2,0)))/INDEX(lk_legs,6))&lt;((((2*IF(circ_int,0,eq_c2/2))+(PI()*(s_0+5*s_r+IF(circ_int,eq_c1/2,0))/2))+2*IF(circ_int,0,eq_c1/2))+(PI()*(s_0+5*s_r+IF(circ_int,eq_c1/2,0))/2)),-IF(circ_int,0,eq_c1/2)+(s_0+5*s_r+IF(circ_int,eq_c1/2,0))*COS(PI()/2+(((34+0.5)*(4*IF(circ_int,0,eq_c1/2)+4*IF(circ_int,0,eq_c2/2)+2*PI()*(s_0+5*s_r+IF(circ_int,eq_c1/2,0)))/INDEX(lk_legs,6))-(((2*IF(circ_int,0,eq_c2/2))+(PI()*(s_0+5*s_r+IF(circ_int,eq_c1/2,0))/2))+2*IF(circ_int,0,eq_c1/2)))/(s_0+5*s_r+IF(circ_int,eq_c1/2,0))),IF(((34+0.5)*(4*IF(circ_int,0,eq_c1/2)+4*IF(circ_int,0,eq_c2/2)+2*PI()*(s_0+5*s_r+IF(circ_int,eq_c1/2,0)))/INDEX(lk_legs,6))&lt;(((((2*IF(circ_int,0,eq_c2/2))+(PI()*(s_0+5*s_r+IF(circ_int,eq_c1/2,0))/2))+2*IF(circ_int,0,eq_c1/2))+(PI()*(s_0+5*s_r+IF(circ_int,eq_c1/2,0))/2))+2*IF(circ_int,0,eq_c2/2)),-IF(circ_int,0,eq_c1/2)-(s_0+5*s_r+IF(circ_int,eq_c1/2,0)),IF(((34+0.5)*(4*IF(circ_int,0,eq_c1/2)+4*IF(circ_int,0,eq_c2/2)+2*PI()*(s_0+5*s_r+IF(circ_int,eq_c1/2,0)))/INDEX(lk_legs,6))&lt;((((((2*IF(circ_int,0,eq_c2/2))+(PI()*(s_0+5*s_r+IF(circ_int,eq_c1/2,0))/2))+2*IF(circ_int,0,eq_c1/2))+(PI()*(s_0+5*s_r+IF(circ_int,eq_c1/2,0))/2))+2*IF(circ_int,0,eq_c2/2))+(PI()*(s_0+5*s_r+IF(circ_int,eq_c1/2,0))/2)),-IF(circ_int,0,eq_c1/2)+(s_0+5*s_r+IF(circ_int,eq_c1/2,0))*COS(PI()+(((34+0.5)*(4*IF(circ_int,0,eq_c1/2)+4*IF(circ_int,0,eq_c2/2)+2*PI()*(s_0+5*s_r+IF(circ_int,eq_c1/2,0)))/INDEX(lk_legs,6))-(((((2*IF(circ_int,0,eq_c2/2))+(PI()*(s_0+5*s_r+IF(circ_int,eq_c1/2,0))/2))+2*IF(circ_int,0,eq_c1/2))+(PI()*(s_0+5*s_r+IF(circ_int,eq_c1/2,0))/2))+2*IF(circ_int,0,eq_c2/2)))/(s_0+5*s_r+IF(circ_int,eq_c1/2,0))),IF(((34+0.5)*(4*IF(circ_int,0,eq_c1/2)+4*IF(circ_int,0,eq_c2/2)+2*PI()*(s_0+5*s_r+IF(circ_int,eq_c1/2,0)))/INDEX(lk_legs,6))&lt;(((((((2*IF(circ_int,0,eq_c2/2))+(PI()*(s_0+5*s_r+IF(circ_int,eq_c1/2,0))/2))+2*IF(circ_int,0,eq_c1/2))+(PI()*(s_0+5*s_r+IF(circ_int,eq_c1/2,0))/2))+2*IF(circ_int,0,eq_c2/2))+(PI()*(s_0+5*s_r+IF(circ_int,eq_c1/2,0))/2))+2*IF(circ_int,0,eq_c1/2)),-IF(circ_int,0,eq_c1/2)+(((34+0.5)*(4*IF(circ_int,0,eq_c1/2)+4*IF(circ_int,0,eq_c2/2)+2*PI()*(s_0+5*s_r+IF(circ_int,eq_c1/2,0)))/INDEX(lk_legs,6))-((((((2*IF(circ_int,0,eq_c2/2))+(PI()*(s_0+5*s_r+IF(circ_int,eq_c1/2,0))/2))+2*IF(circ_int,0,eq_c1/2))+(PI()*(s_0+5*s_r+IF(circ_int,eq_c1/2,0))/2))+2*IF(circ_int,0,eq_c2/2))+(PI()*(s_0+5*s_r+IF(circ_int,eq_c1/2,0))/2))),IF(circ_int,0,eq_c1/2)+(s_0+5*s_r+IF(circ_int,eq_c1/2,0))*COS(3*PI()/2+(((34+0.5)*(4*IF(circ_int,0,eq_c1/2)+4*IF(circ_int,0,eq_c2/2)+2*PI()*(s_0+5*s_r+IF(circ_int,eq_c1/2,0)))/INDEX(lk_legs,6))-(((((((2*IF(circ_int,0,eq_c2/2))+(PI()*(s_0+5*s_r+IF(circ_int,eq_c1/2,0))/2))+2*IF(circ_int,0,eq_c1/2))+(PI()*(s_0+5*s_r+IF(circ_int,eq_c1/2,0))/2))+2*IF(circ_int,0,eq_c2/2))+(PI()*(s_0+5*s_r+IF(circ_int,eq_c1/2,0))/2))+2*IF(circ_int,0,eq_c1/2)))/(s_0+5*s_r+IF(circ_int,eq_c1/2,0)))))))))),NA())</f>
        <v/>
      </c>
      <c r="CE37">
        <f>IF(AND(AND(links_on,6&lt;=n_per),INDEX(lk_kind,6)=1,34&lt;INDEX(lk_legs,6)),g_oy+IF(((34+0.5)*(4*IF(circ_int,0,eq_c1/2)+4*IF(circ_int,0,eq_c2/2)+2*PI()*(s_0+5*s_r+IF(circ_int,eq_c1/2,0)))/INDEX(lk_legs,6))&lt;(2*IF(circ_int,0,eq_c2/2)),-IF(circ_int,0,eq_c2/2)+((34+0.5)*(4*IF(circ_int,0,eq_c1/2)+4*IF(circ_int,0,eq_c2/2)+2*PI()*(s_0+5*s_r+IF(circ_int,eq_c1/2,0)))/INDEX(lk_legs,6)),IF(((34+0.5)*(4*IF(circ_int,0,eq_c1/2)+4*IF(circ_int,0,eq_c2/2)+2*PI()*(s_0+5*s_r+IF(circ_int,eq_c1/2,0)))/INDEX(lk_legs,6))&lt;((2*IF(circ_int,0,eq_c2/2))+(PI()*(s_0+5*s_r+IF(circ_int,eq_c1/2,0))/2)),IF(circ_int,0,eq_c2/2)+(s_0+5*s_r+IF(circ_int,eq_c1/2,0))*SIN((((34+0.5)*(4*IF(circ_int,0,eq_c1/2)+4*IF(circ_int,0,eq_c2/2)+2*PI()*(s_0+5*s_r+IF(circ_int,eq_c1/2,0)))/INDEX(lk_legs,6))-(2*IF(circ_int,0,eq_c2/2)))/(s_0+5*s_r+IF(circ_int,eq_c1/2,0))),IF(((34+0.5)*(4*IF(circ_int,0,eq_c1/2)+4*IF(circ_int,0,eq_c2/2)+2*PI()*(s_0+5*s_r+IF(circ_int,eq_c1/2,0)))/INDEX(lk_legs,6))&lt;(((2*IF(circ_int,0,eq_c2/2))+(PI()*(s_0+5*s_r+IF(circ_int,eq_c1/2,0))/2))+2*IF(circ_int,0,eq_c1/2)),IF(circ_int,0,eq_c2/2)+(s_0+5*s_r+IF(circ_int,eq_c1/2,0)),IF(((34+0.5)*(4*IF(circ_int,0,eq_c1/2)+4*IF(circ_int,0,eq_c2/2)+2*PI()*(s_0+5*s_r+IF(circ_int,eq_c1/2,0)))/INDEX(lk_legs,6))&lt;((((2*IF(circ_int,0,eq_c2/2))+(PI()*(s_0+5*s_r+IF(circ_int,eq_c1/2,0))/2))+2*IF(circ_int,0,eq_c1/2))+(PI()*(s_0+5*s_r+IF(circ_int,eq_c1/2,0))/2)),IF(circ_int,0,eq_c2/2)+(s_0+5*s_r+IF(circ_int,eq_c1/2,0))*SIN(PI()/2+(((34+0.5)*(4*IF(circ_int,0,eq_c1/2)+4*IF(circ_int,0,eq_c2/2)+2*PI()*(s_0+5*s_r+IF(circ_int,eq_c1/2,0)))/INDEX(lk_legs,6))-(((2*IF(circ_int,0,eq_c2/2))+(PI()*(s_0+5*s_r+IF(circ_int,eq_c1/2,0))/2))+2*IF(circ_int,0,eq_c1/2)))/(s_0+5*s_r+IF(circ_int,eq_c1/2,0))),IF(((34+0.5)*(4*IF(circ_int,0,eq_c1/2)+4*IF(circ_int,0,eq_c2/2)+2*PI()*(s_0+5*s_r+IF(circ_int,eq_c1/2,0)))/INDEX(lk_legs,6))&lt;(((((2*IF(circ_int,0,eq_c2/2))+(PI()*(s_0+5*s_r+IF(circ_int,eq_c1/2,0))/2))+2*IF(circ_int,0,eq_c1/2))+(PI()*(s_0+5*s_r+IF(circ_int,eq_c1/2,0))/2))+2*IF(circ_int,0,eq_c2/2)),IF(circ_int,0,eq_c2/2)-(((34+0.5)*(4*IF(circ_int,0,eq_c1/2)+4*IF(circ_int,0,eq_c2/2)+2*PI()*(s_0+5*s_r+IF(circ_int,eq_c1/2,0)))/INDEX(lk_legs,6))-((((2*IF(circ_int,0,eq_c2/2))+(PI()*(s_0+5*s_r+IF(circ_int,eq_c1/2,0))/2))+2*IF(circ_int,0,eq_c1/2))+(PI()*(s_0+5*s_r+IF(circ_int,eq_c1/2,0))/2))),IF(((34+0.5)*(4*IF(circ_int,0,eq_c1/2)+4*IF(circ_int,0,eq_c2/2)+2*PI()*(s_0+5*s_r+IF(circ_int,eq_c1/2,0)))/INDEX(lk_legs,6))&lt;((((((2*IF(circ_int,0,eq_c2/2))+(PI()*(s_0+5*s_r+IF(circ_int,eq_c1/2,0))/2))+2*IF(circ_int,0,eq_c1/2))+(PI()*(s_0+5*s_r+IF(circ_int,eq_c1/2,0))/2))+2*IF(circ_int,0,eq_c2/2))+(PI()*(s_0+5*s_r+IF(circ_int,eq_c1/2,0))/2)),-IF(circ_int,0,eq_c2/2)+(s_0+5*s_r+IF(circ_int,eq_c1/2,0))*SIN(PI()+(((34+0.5)*(4*IF(circ_int,0,eq_c1/2)+4*IF(circ_int,0,eq_c2/2)+2*PI()*(s_0+5*s_r+IF(circ_int,eq_c1/2,0)))/INDEX(lk_legs,6))-(((((2*IF(circ_int,0,eq_c2/2))+(PI()*(s_0+5*s_r+IF(circ_int,eq_c1/2,0))/2))+2*IF(circ_int,0,eq_c1/2))+(PI()*(s_0+5*s_r+IF(circ_int,eq_c1/2,0))/2))+2*IF(circ_int,0,eq_c2/2)))/(s_0+5*s_r+IF(circ_int,eq_c1/2,0))),IF(((34+0.5)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(34+0.5)*(4*IF(circ_int,0,eq_c1/2)+4*IF(circ_int,0,eq_c2/2)+2*PI()*(s_0+5*s_r+IF(circ_int,eq_c1/2,0)))/INDEX(lk_legs,6))-(((((((2*IF(circ_int,0,eq_c2/2))+(PI()*(s_0+5*s_r+IF(circ_int,eq_c1/2,0))/2))+2*IF(circ_int,0,eq_c1/2))+(PI()*(s_0+5*s_r+IF(circ_int,eq_c1/2,0))/2))+2*IF(circ_int,0,eq_c2/2))+(PI()*(s_0+5*s_r+IF(circ_int,eq_c1/2,0))/2))+2*IF(circ_int,0,eq_c1/2)))/(s_0+5*s_r+IF(circ_int,eq_c1/2,0)))))))))),NA())</f>
        <v/>
      </c>
      <c r="CG37">
        <f>IF(AND(links_on,7&lt;=n_per),IF(circ_int,(g_ox)+(c_1/2+(s_0+6*s_r))*-0.568065,CHOOSE(INDEX(lk_kind,7),(g_ox-eq_c1/2)+((s_0+6*s_r))*-0.500000,0,eq_a1+eq_c1+(s_0+6*s_r),eq_a1+eq_c1+(s_0+6*s_r))),NA())</f>
        <v/>
      </c>
      <c r="CH37">
        <f>IF(AND(links_on,7&lt;=n_per),IF(circ_int,(g_oy)+(c_1/2+(s_0+6*s_r))*-0.822984,CHOOSE(INDEX(lk_kind,7),(g_oy-eq_c2/2)+((s_0+6*s_r))*-0.866025,g_oy-eq_c2/2-(s_0+6*s_r),0,0)),NA())</f>
        <v/>
      </c>
      <c r="CJ37">
        <f>IF(AND(AND(links_on,7&lt;=n_per),INDEX(lk_kind,7)=1,34&lt;INDEX(lk_legs,7)),g_ox+IF(((34+0.5)*(4*IF(circ_int,0,eq_c1/2)+4*IF(circ_int,0,eq_c2/2)+2*PI()*(s_0+6*s_r+IF(circ_int,eq_c1/2,0)))/INDEX(lk_legs,7))&lt;(2*IF(circ_int,0,eq_c2/2)),IF(circ_int,0,eq_c1/2)+(s_0+6*s_r+IF(circ_int,eq_c1/2,0)),IF(((34+0.5)*(4*IF(circ_int,0,eq_c1/2)+4*IF(circ_int,0,eq_c2/2)+2*PI()*(s_0+6*s_r+IF(circ_int,eq_c1/2,0)))/INDEX(lk_legs,7))&lt;((2*IF(circ_int,0,eq_c2/2))+(PI()*(s_0+6*s_r+IF(circ_int,eq_c1/2,0))/2)),IF(circ_int,0,eq_c1/2)+(s_0+6*s_r+IF(circ_int,eq_c1/2,0))*COS((((34+0.5)*(4*IF(circ_int,0,eq_c1/2)+4*IF(circ_int,0,eq_c2/2)+2*PI()*(s_0+6*s_r+IF(circ_int,eq_c1/2,0)))/INDEX(lk_legs,7))-(2*IF(circ_int,0,eq_c2/2)))/(s_0+6*s_r+IF(circ_int,eq_c1/2,0))),IF(((34+0.5)*(4*IF(circ_int,0,eq_c1/2)+4*IF(circ_int,0,eq_c2/2)+2*PI()*(s_0+6*s_r+IF(circ_int,eq_c1/2,0)))/INDEX(lk_legs,7))&lt;(((2*IF(circ_int,0,eq_c2/2))+(PI()*(s_0+6*s_r+IF(circ_int,eq_c1/2,0))/2))+2*IF(circ_int,0,eq_c1/2)),IF(circ_int,0,eq_c1/2)-(((34+0.5)*(4*IF(circ_int,0,eq_c1/2)+4*IF(circ_int,0,eq_c2/2)+2*PI()*(s_0+6*s_r+IF(circ_int,eq_c1/2,0)))/INDEX(lk_legs,7))-((2*IF(circ_int,0,eq_c2/2))+(PI()*(s_0+6*s_r+IF(circ_int,eq_c1/2,0))/2))),IF(((34+0.5)*(4*IF(circ_int,0,eq_c1/2)+4*IF(circ_int,0,eq_c2/2)+2*PI()*(s_0+6*s_r+IF(circ_int,eq_c1/2,0)))/INDEX(lk_legs,7))&lt;((((2*IF(circ_int,0,eq_c2/2))+(PI()*(s_0+6*s_r+IF(circ_int,eq_c1/2,0))/2))+2*IF(circ_int,0,eq_c1/2))+(PI()*(s_0+6*s_r+IF(circ_int,eq_c1/2,0))/2)),-IF(circ_int,0,eq_c1/2)+(s_0+6*s_r+IF(circ_int,eq_c1/2,0))*COS(PI()/2+(((34+0.5)*(4*IF(circ_int,0,eq_c1/2)+4*IF(circ_int,0,eq_c2/2)+2*PI()*(s_0+6*s_r+IF(circ_int,eq_c1/2,0)))/INDEX(lk_legs,7))-(((2*IF(circ_int,0,eq_c2/2))+(PI()*(s_0+6*s_r+IF(circ_int,eq_c1/2,0))/2))+2*IF(circ_int,0,eq_c1/2)))/(s_0+6*s_r+IF(circ_int,eq_c1/2,0))),IF(((34+0.5)*(4*IF(circ_int,0,eq_c1/2)+4*IF(circ_int,0,eq_c2/2)+2*PI()*(s_0+6*s_r+IF(circ_int,eq_c1/2,0)))/INDEX(lk_legs,7))&lt;(((((2*IF(circ_int,0,eq_c2/2))+(PI()*(s_0+6*s_r+IF(circ_int,eq_c1/2,0))/2))+2*IF(circ_int,0,eq_c1/2))+(PI()*(s_0+6*s_r+IF(circ_int,eq_c1/2,0))/2))+2*IF(circ_int,0,eq_c2/2)),-IF(circ_int,0,eq_c1/2)-(s_0+6*s_r+IF(circ_int,eq_c1/2,0)),IF(((34+0.5)*(4*IF(circ_int,0,eq_c1/2)+4*IF(circ_int,0,eq_c2/2)+2*PI()*(s_0+6*s_r+IF(circ_int,eq_c1/2,0)))/INDEX(lk_legs,7))&lt;((((((2*IF(circ_int,0,eq_c2/2))+(PI()*(s_0+6*s_r+IF(circ_int,eq_c1/2,0))/2))+2*IF(circ_int,0,eq_c1/2))+(PI()*(s_0+6*s_r+IF(circ_int,eq_c1/2,0))/2))+2*IF(circ_int,0,eq_c2/2))+(PI()*(s_0+6*s_r+IF(circ_int,eq_c1/2,0))/2)),-IF(circ_int,0,eq_c1/2)+(s_0+6*s_r+IF(circ_int,eq_c1/2,0))*COS(PI()+(((34+0.5)*(4*IF(circ_int,0,eq_c1/2)+4*IF(circ_int,0,eq_c2/2)+2*PI()*(s_0+6*s_r+IF(circ_int,eq_c1/2,0)))/INDEX(lk_legs,7))-(((((2*IF(circ_int,0,eq_c2/2))+(PI()*(s_0+6*s_r+IF(circ_int,eq_c1/2,0))/2))+2*IF(circ_int,0,eq_c1/2))+(PI()*(s_0+6*s_r+IF(circ_int,eq_c1/2,0))/2))+2*IF(circ_int,0,eq_c2/2)))/(s_0+6*s_r+IF(circ_int,eq_c1/2,0))),IF(((34+0.5)*(4*IF(circ_int,0,eq_c1/2)+4*IF(circ_int,0,eq_c2/2)+2*PI()*(s_0+6*s_r+IF(circ_int,eq_c1/2,0)))/INDEX(lk_legs,7))&lt;(((((((2*IF(circ_int,0,eq_c2/2))+(PI()*(s_0+6*s_r+IF(circ_int,eq_c1/2,0))/2))+2*IF(circ_int,0,eq_c1/2))+(PI()*(s_0+6*s_r+IF(circ_int,eq_c1/2,0))/2))+2*IF(circ_int,0,eq_c2/2))+(PI()*(s_0+6*s_r+IF(circ_int,eq_c1/2,0))/2))+2*IF(circ_int,0,eq_c1/2)),-IF(circ_int,0,eq_c1/2)+(((34+0.5)*(4*IF(circ_int,0,eq_c1/2)+4*IF(circ_int,0,eq_c2/2)+2*PI()*(s_0+6*s_r+IF(circ_int,eq_c1/2,0)))/INDEX(lk_legs,7))-((((((2*IF(circ_int,0,eq_c2/2))+(PI()*(s_0+6*s_r+IF(circ_int,eq_c1/2,0))/2))+2*IF(circ_int,0,eq_c1/2))+(PI()*(s_0+6*s_r+IF(circ_int,eq_c1/2,0))/2))+2*IF(circ_int,0,eq_c2/2))+(PI()*(s_0+6*s_r+IF(circ_int,eq_c1/2,0))/2))),IF(circ_int,0,eq_c1/2)+(s_0+6*s_r+IF(circ_int,eq_c1/2,0))*COS(3*PI()/2+(((34+0.5)*(4*IF(circ_int,0,eq_c1/2)+4*IF(circ_int,0,eq_c2/2)+2*PI()*(s_0+6*s_r+IF(circ_int,eq_c1/2,0)))/INDEX(lk_legs,7))-(((((((2*IF(circ_int,0,eq_c2/2))+(PI()*(s_0+6*s_r+IF(circ_int,eq_c1/2,0))/2))+2*IF(circ_int,0,eq_c1/2))+(PI()*(s_0+6*s_r+IF(circ_int,eq_c1/2,0))/2))+2*IF(circ_int,0,eq_c2/2))+(PI()*(s_0+6*s_r+IF(circ_int,eq_c1/2,0))/2))+2*IF(circ_int,0,eq_c1/2)))/(s_0+6*s_r+IF(circ_int,eq_c1/2,0)))))))))),NA())</f>
        <v/>
      </c>
      <c r="CK37">
        <f>IF(AND(AND(links_on,7&lt;=n_per),INDEX(lk_kind,7)=1,34&lt;INDEX(lk_legs,7)),g_oy+IF(((34+0.5)*(4*IF(circ_int,0,eq_c1/2)+4*IF(circ_int,0,eq_c2/2)+2*PI()*(s_0+6*s_r+IF(circ_int,eq_c1/2,0)))/INDEX(lk_legs,7))&lt;(2*IF(circ_int,0,eq_c2/2)),-IF(circ_int,0,eq_c2/2)+((34+0.5)*(4*IF(circ_int,0,eq_c1/2)+4*IF(circ_int,0,eq_c2/2)+2*PI()*(s_0+6*s_r+IF(circ_int,eq_c1/2,0)))/INDEX(lk_legs,7)),IF(((34+0.5)*(4*IF(circ_int,0,eq_c1/2)+4*IF(circ_int,0,eq_c2/2)+2*PI()*(s_0+6*s_r+IF(circ_int,eq_c1/2,0)))/INDEX(lk_legs,7))&lt;((2*IF(circ_int,0,eq_c2/2))+(PI()*(s_0+6*s_r+IF(circ_int,eq_c1/2,0))/2)),IF(circ_int,0,eq_c2/2)+(s_0+6*s_r+IF(circ_int,eq_c1/2,0))*SIN((((34+0.5)*(4*IF(circ_int,0,eq_c1/2)+4*IF(circ_int,0,eq_c2/2)+2*PI()*(s_0+6*s_r+IF(circ_int,eq_c1/2,0)))/INDEX(lk_legs,7))-(2*IF(circ_int,0,eq_c2/2)))/(s_0+6*s_r+IF(circ_int,eq_c1/2,0))),IF(((34+0.5)*(4*IF(circ_int,0,eq_c1/2)+4*IF(circ_int,0,eq_c2/2)+2*PI()*(s_0+6*s_r+IF(circ_int,eq_c1/2,0)))/INDEX(lk_legs,7))&lt;(((2*IF(circ_int,0,eq_c2/2))+(PI()*(s_0+6*s_r+IF(circ_int,eq_c1/2,0))/2))+2*IF(circ_int,0,eq_c1/2)),IF(circ_int,0,eq_c2/2)+(s_0+6*s_r+IF(circ_int,eq_c1/2,0)),IF(((34+0.5)*(4*IF(circ_int,0,eq_c1/2)+4*IF(circ_int,0,eq_c2/2)+2*PI()*(s_0+6*s_r+IF(circ_int,eq_c1/2,0)))/INDEX(lk_legs,7))&lt;((((2*IF(circ_int,0,eq_c2/2))+(PI()*(s_0+6*s_r+IF(circ_int,eq_c1/2,0))/2))+2*IF(circ_int,0,eq_c1/2))+(PI()*(s_0+6*s_r+IF(circ_int,eq_c1/2,0))/2)),IF(circ_int,0,eq_c2/2)+(s_0+6*s_r+IF(circ_int,eq_c1/2,0))*SIN(PI()/2+(((34+0.5)*(4*IF(circ_int,0,eq_c1/2)+4*IF(circ_int,0,eq_c2/2)+2*PI()*(s_0+6*s_r+IF(circ_int,eq_c1/2,0)))/INDEX(lk_legs,7))-(((2*IF(circ_int,0,eq_c2/2))+(PI()*(s_0+6*s_r+IF(circ_int,eq_c1/2,0))/2))+2*IF(circ_int,0,eq_c1/2)))/(s_0+6*s_r+IF(circ_int,eq_c1/2,0))),IF(((34+0.5)*(4*IF(circ_int,0,eq_c1/2)+4*IF(circ_int,0,eq_c2/2)+2*PI()*(s_0+6*s_r+IF(circ_int,eq_c1/2,0)))/INDEX(lk_legs,7))&lt;(((((2*IF(circ_int,0,eq_c2/2))+(PI()*(s_0+6*s_r+IF(circ_int,eq_c1/2,0))/2))+2*IF(circ_int,0,eq_c1/2))+(PI()*(s_0+6*s_r+IF(circ_int,eq_c1/2,0))/2))+2*IF(circ_int,0,eq_c2/2)),IF(circ_int,0,eq_c2/2)-(((34+0.5)*(4*IF(circ_int,0,eq_c1/2)+4*IF(circ_int,0,eq_c2/2)+2*PI()*(s_0+6*s_r+IF(circ_int,eq_c1/2,0)))/INDEX(lk_legs,7))-((((2*IF(circ_int,0,eq_c2/2))+(PI()*(s_0+6*s_r+IF(circ_int,eq_c1/2,0))/2))+2*IF(circ_int,0,eq_c1/2))+(PI()*(s_0+6*s_r+IF(circ_int,eq_c1/2,0))/2))),IF(((34+0.5)*(4*IF(circ_int,0,eq_c1/2)+4*IF(circ_int,0,eq_c2/2)+2*PI()*(s_0+6*s_r+IF(circ_int,eq_c1/2,0)))/INDEX(lk_legs,7))&lt;((((((2*IF(circ_int,0,eq_c2/2))+(PI()*(s_0+6*s_r+IF(circ_int,eq_c1/2,0))/2))+2*IF(circ_int,0,eq_c1/2))+(PI()*(s_0+6*s_r+IF(circ_int,eq_c1/2,0))/2))+2*IF(circ_int,0,eq_c2/2))+(PI()*(s_0+6*s_r+IF(circ_int,eq_c1/2,0))/2)),-IF(circ_int,0,eq_c2/2)+(s_0+6*s_r+IF(circ_int,eq_c1/2,0))*SIN(PI()+(((34+0.5)*(4*IF(circ_int,0,eq_c1/2)+4*IF(circ_int,0,eq_c2/2)+2*PI()*(s_0+6*s_r+IF(circ_int,eq_c1/2,0)))/INDEX(lk_legs,7))-(((((2*IF(circ_int,0,eq_c2/2))+(PI()*(s_0+6*s_r+IF(circ_int,eq_c1/2,0))/2))+2*IF(circ_int,0,eq_c1/2))+(PI()*(s_0+6*s_r+IF(circ_int,eq_c1/2,0))/2))+2*IF(circ_int,0,eq_c2/2)))/(s_0+6*s_r+IF(circ_int,eq_c1/2,0))),IF(((34+0.5)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(34+0.5)*(4*IF(circ_int,0,eq_c1/2)+4*IF(circ_int,0,eq_c2/2)+2*PI()*(s_0+6*s_r+IF(circ_int,eq_c1/2,0)))/INDEX(lk_legs,7))-(((((((2*IF(circ_int,0,eq_c2/2))+(PI()*(s_0+6*s_r+IF(circ_int,eq_c1/2,0))/2))+2*IF(circ_int,0,eq_c1/2))+(PI()*(s_0+6*s_r+IF(circ_int,eq_c1/2,0))/2))+2*IF(circ_int,0,eq_c2/2))+(PI()*(s_0+6*s_r+IF(circ_int,eq_c1/2,0))/2))+2*IF(circ_int,0,eq_c1/2)))/(s_0+6*s_r+IF(circ_int,eq_c1/2,0)))))))))),NA())</f>
        <v/>
      </c>
      <c r="CM37">
        <f>IF(AND(links_on,8&lt;=n_per),IF(circ_int,(g_ox)+(c_1/2+(s_0+7*s_r))*-0.568065,CHOOSE(INDEX(lk_kind,8),(g_ox-eq_c1/2)+((s_0+7*s_r))*-0.500000,0,eq_a1+eq_c1+(s_0+7*s_r),eq_a1+eq_c1+(s_0+7*s_r))),NA())</f>
        <v/>
      </c>
      <c r="CN37">
        <f>IF(AND(links_on,8&lt;=n_per),IF(circ_int,(g_oy)+(c_1/2+(s_0+7*s_r))*-0.822984,CHOOSE(INDEX(lk_kind,8),(g_oy-eq_c2/2)+((s_0+7*s_r))*-0.866025,g_oy-eq_c2/2-(s_0+7*s_r),0,0)),NA())</f>
        <v/>
      </c>
      <c r="CP37">
        <f>IF(AND(AND(links_on,8&lt;=n_per),INDEX(lk_kind,8)=1,34&lt;INDEX(lk_legs,8)),g_ox+IF(((34+0.5)*(4*IF(circ_int,0,eq_c1/2)+4*IF(circ_int,0,eq_c2/2)+2*PI()*(s_0+7*s_r+IF(circ_int,eq_c1/2,0)))/INDEX(lk_legs,8))&lt;(2*IF(circ_int,0,eq_c2/2)),IF(circ_int,0,eq_c1/2)+(s_0+7*s_r+IF(circ_int,eq_c1/2,0)),IF(((34+0.5)*(4*IF(circ_int,0,eq_c1/2)+4*IF(circ_int,0,eq_c2/2)+2*PI()*(s_0+7*s_r+IF(circ_int,eq_c1/2,0)))/INDEX(lk_legs,8))&lt;((2*IF(circ_int,0,eq_c2/2))+(PI()*(s_0+7*s_r+IF(circ_int,eq_c1/2,0))/2)),IF(circ_int,0,eq_c1/2)+(s_0+7*s_r+IF(circ_int,eq_c1/2,0))*COS((((34+0.5)*(4*IF(circ_int,0,eq_c1/2)+4*IF(circ_int,0,eq_c2/2)+2*PI()*(s_0+7*s_r+IF(circ_int,eq_c1/2,0)))/INDEX(lk_legs,8))-(2*IF(circ_int,0,eq_c2/2)))/(s_0+7*s_r+IF(circ_int,eq_c1/2,0))),IF(((34+0.5)*(4*IF(circ_int,0,eq_c1/2)+4*IF(circ_int,0,eq_c2/2)+2*PI()*(s_0+7*s_r+IF(circ_int,eq_c1/2,0)))/INDEX(lk_legs,8))&lt;(((2*IF(circ_int,0,eq_c2/2))+(PI()*(s_0+7*s_r+IF(circ_int,eq_c1/2,0))/2))+2*IF(circ_int,0,eq_c1/2)),IF(circ_int,0,eq_c1/2)-(((34+0.5)*(4*IF(circ_int,0,eq_c1/2)+4*IF(circ_int,0,eq_c2/2)+2*PI()*(s_0+7*s_r+IF(circ_int,eq_c1/2,0)))/INDEX(lk_legs,8))-((2*IF(circ_int,0,eq_c2/2))+(PI()*(s_0+7*s_r+IF(circ_int,eq_c1/2,0))/2))),IF(((34+0.5)*(4*IF(circ_int,0,eq_c1/2)+4*IF(circ_int,0,eq_c2/2)+2*PI()*(s_0+7*s_r+IF(circ_int,eq_c1/2,0)))/INDEX(lk_legs,8))&lt;((((2*IF(circ_int,0,eq_c2/2))+(PI()*(s_0+7*s_r+IF(circ_int,eq_c1/2,0))/2))+2*IF(circ_int,0,eq_c1/2))+(PI()*(s_0+7*s_r+IF(circ_int,eq_c1/2,0))/2)),-IF(circ_int,0,eq_c1/2)+(s_0+7*s_r+IF(circ_int,eq_c1/2,0))*COS(PI()/2+(((34+0.5)*(4*IF(circ_int,0,eq_c1/2)+4*IF(circ_int,0,eq_c2/2)+2*PI()*(s_0+7*s_r+IF(circ_int,eq_c1/2,0)))/INDEX(lk_legs,8))-(((2*IF(circ_int,0,eq_c2/2))+(PI()*(s_0+7*s_r+IF(circ_int,eq_c1/2,0))/2))+2*IF(circ_int,0,eq_c1/2)))/(s_0+7*s_r+IF(circ_int,eq_c1/2,0))),IF(((34+0.5)*(4*IF(circ_int,0,eq_c1/2)+4*IF(circ_int,0,eq_c2/2)+2*PI()*(s_0+7*s_r+IF(circ_int,eq_c1/2,0)))/INDEX(lk_legs,8))&lt;(((((2*IF(circ_int,0,eq_c2/2))+(PI()*(s_0+7*s_r+IF(circ_int,eq_c1/2,0))/2))+2*IF(circ_int,0,eq_c1/2))+(PI()*(s_0+7*s_r+IF(circ_int,eq_c1/2,0))/2))+2*IF(circ_int,0,eq_c2/2)),-IF(circ_int,0,eq_c1/2)-(s_0+7*s_r+IF(circ_int,eq_c1/2,0)),IF(((34+0.5)*(4*IF(circ_int,0,eq_c1/2)+4*IF(circ_int,0,eq_c2/2)+2*PI()*(s_0+7*s_r+IF(circ_int,eq_c1/2,0)))/INDEX(lk_legs,8))&lt;((((((2*IF(circ_int,0,eq_c2/2))+(PI()*(s_0+7*s_r+IF(circ_int,eq_c1/2,0))/2))+2*IF(circ_int,0,eq_c1/2))+(PI()*(s_0+7*s_r+IF(circ_int,eq_c1/2,0))/2))+2*IF(circ_int,0,eq_c2/2))+(PI()*(s_0+7*s_r+IF(circ_int,eq_c1/2,0))/2)),-IF(circ_int,0,eq_c1/2)+(s_0+7*s_r+IF(circ_int,eq_c1/2,0))*COS(PI()+(((34+0.5)*(4*IF(circ_int,0,eq_c1/2)+4*IF(circ_int,0,eq_c2/2)+2*PI()*(s_0+7*s_r+IF(circ_int,eq_c1/2,0)))/INDEX(lk_legs,8))-(((((2*IF(circ_int,0,eq_c2/2))+(PI()*(s_0+7*s_r+IF(circ_int,eq_c1/2,0))/2))+2*IF(circ_int,0,eq_c1/2))+(PI()*(s_0+7*s_r+IF(circ_int,eq_c1/2,0))/2))+2*IF(circ_int,0,eq_c2/2)))/(s_0+7*s_r+IF(circ_int,eq_c1/2,0))),IF(((34+0.5)*(4*IF(circ_int,0,eq_c1/2)+4*IF(circ_int,0,eq_c2/2)+2*PI()*(s_0+7*s_r+IF(circ_int,eq_c1/2,0)))/INDEX(lk_legs,8))&lt;(((((((2*IF(circ_int,0,eq_c2/2))+(PI()*(s_0+7*s_r+IF(circ_int,eq_c1/2,0))/2))+2*IF(circ_int,0,eq_c1/2))+(PI()*(s_0+7*s_r+IF(circ_int,eq_c1/2,0))/2))+2*IF(circ_int,0,eq_c2/2))+(PI()*(s_0+7*s_r+IF(circ_int,eq_c1/2,0))/2))+2*IF(circ_int,0,eq_c1/2)),-IF(circ_int,0,eq_c1/2)+(((34+0.5)*(4*IF(circ_int,0,eq_c1/2)+4*IF(circ_int,0,eq_c2/2)+2*PI()*(s_0+7*s_r+IF(circ_int,eq_c1/2,0)))/INDEX(lk_legs,8))-((((((2*IF(circ_int,0,eq_c2/2))+(PI()*(s_0+7*s_r+IF(circ_int,eq_c1/2,0))/2))+2*IF(circ_int,0,eq_c1/2))+(PI()*(s_0+7*s_r+IF(circ_int,eq_c1/2,0))/2))+2*IF(circ_int,0,eq_c2/2))+(PI()*(s_0+7*s_r+IF(circ_int,eq_c1/2,0))/2))),IF(circ_int,0,eq_c1/2)+(s_0+7*s_r+IF(circ_int,eq_c1/2,0))*COS(3*PI()/2+(((34+0.5)*(4*IF(circ_int,0,eq_c1/2)+4*IF(circ_int,0,eq_c2/2)+2*PI()*(s_0+7*s_r+IF(circ_int,eq_c1/2,0)))/INDEX(lk_legs,8))-(((((((2*IF(circ_int,0,eq_c2/2))+(PI()*(s_0+7*s_r+IF(circ_int,eq_c1/2,0))/2))+2*IF(circ_int,0,eq_c1/2))+(PI()*(s_0+7*s_r+IF(circ_int,eq_c1/2,0))/2))+2*IF(circ_int,0,eq_c2/2))+(PI()*(s_0+7*s_r+IF(circ_int,eq_c1/2,0))/2))+2*IF(circ_int,0,eq_c1/2)))/(s_0+7*s_r+IF(circ_int,eq_c1/2,0)))))))))),NA())</f>
        <v/>
      </c>
      <c r="CQ37">
        <f>IF(AND(AND(links_on,8&lt;=n_per),INDEX(lk_kind,8)=1,34&lt;INDEX(lk_legs,8)),g_oy+IF(((34+0.5)*(4*IF(circ_int,0,eq_c1/2)+4*IF(circ_int,0,eq_c2/2)+2*PI()*(s_0+7*s_r+IF(circ_int,eq_c1/2,0)))/INDEX(lk_legs,8))&lt;(2*IF(circ_int,0,eq_c2/2)),-IF(circ_int,0,eq_c2/2)+((34+0.5)*(4*IF(circ_int,0,eq_c1/2)+4*IF(circ_int,0,eq_c2/2)+2*PI()*(s_0+7*s_r+IF(circ_int,eq_c1/2,0)))/INDEX(lk_legs,8)),IF(((34+0.5)*(4*IF(circ_int,0,eq_c1/2)+4*IF(circ_int,0,eq_c2/2)+2*PI()*(s_0+7*s_r+IF(circ_int,eq_c1/2,0)))/INDEX(lk_legs,8))&lt;((2*IF(circ_int,0,eq_c2/2))+(PI()*(s_0+7*s_r+IF(circ_int,eq_c1/2,0))/2)),IF(circ_int,0,eq_c2/2)+(s_0+7*s_r+IF(circ_int,eq_c1/2,0))*SIN((((34+0.5)*(4*IF(circ_int,0,eq_c1/2)+4*IF(circ_int,0,eq_c2/2)+2*PI()*(s_0+7*s_r+IF(circ_int,eq_c1/2,0)))/INDEX(lk_legs,8))-(2*IF(circ_int,0,eq_c2/2)))/(s_0+7*s_r+IF(circ_int,eq_c1/2,0))),IF(((34+0.5)*(4*IF(circ_int,0,eq_c1/2)+4*IF(circ_int,0,eq_c2/2)+2*PI()*(s_0+7*s_r+IF(circ_int,eq_c1/2,0)))/INDEX(lk_legs,8))&lt;(((2*IF(circ_int,0,eq_c2/2))+(PI()*(s_0+7*s_r+IF(circ_int,eq_c1/2,0))/2))+2*IF(circ_int,0,eq_c1/2)),IF(circ_int,0,eq_c2/2)+(s_0+7*s_r+IF(circ_int,eq_c1/2,0)),IF(((34+0.5)*(4*IF(circ_int,0,eq_c1/2)+4*IF(circ_int,0,eq_c2/2)+2*PI()*(s_0+7*s_r+IF(circ_int,eq_c1/2,0)))/INDEX(lk_legs,8))&lt;((((2*IF(circ_int,0,eq_c2/2))+(PI()*(s_0+7*s_r+IF(circ_int,eq_c1/2,0))/2))+2*IF(circ_int,0,eq_c1/2))+(PI()*(s_0+7*s_r+IF(circ_int,eq_c1/2,0))/2)),IF(circ_int,0,eq_c2/2)+(s_0+7*s_r+IF(circ_int,eq_c1/2,0))*SIN(PI()/2+(((34+0.5)*(4*IF(circ_int,0,eq_c1/2)+4*IF(circ_int,0,eq_c2/2)+2*PI()*(s_0+7*s_r+IF(circ_int,eq_c1/2,0)))/INDEX(lk_legs,8))-(((2*IF(circ_int,0,eq_c2/2))+(PI()*(s_0+7*s_r+IF(circ_int,eq_c1/2,0))/2))+2*IF(circ_int,0,eq_c1/2)))/(s_0+7*s_r+IF(circ_int,eq_c1/2,0))),IF(((34+0.5)*(4*IF(circ_int,0,eq_c1/2)+4*IF(circ_int,0,eq_c2/2)+2*PI()*(s_0+7*s_r+IF(circ_int,eq_c1/2,0)))/INDEX(lk_legs,8))&lt;(((((2*IF(circ_int,0,eq_c2/2))+(PI()*(s_0+7*s_r+IF(circ_int,eq_c1/2,0))/2))+2*IF(circ_int,0,eq_c1/2))+(PI()*(s_0+7*s_r+IF(circ_int,eq_c1/2,0))/2))+2*IF(circ_int,0,eq_c2/2)),IF(circ_int,0,eq_c2/2)-(((34+0.5)*(4*IF(circ_int,0,eq_c1/2)+4*IF(circ_int,0,eq_c2/2)+2*PI()*(s_0+7*s_r+IF(circ_int,eq_c1/2,0)))/INDEX(lk_legs,8))-((((2*IF(circ_int,0,eq_c2/2))+(PI()*(s_0+7*s_r+IF(circ_int,eq_c1/2,0))/2))+2*IF(circ_int,0,eq_c1/2))+(PI()*(s_0+7*s_r+IF(circ_int,eq_c1/2,0))/2))),IF(((34+0.5)*(4*IF(circ_int,0,eq_c1/2)+4*IF(circ_int,0,eq_c2/2)+2*PI()*(s_0+7*s_r+IF(circ_int,eq_c1/2,0)))/INDEX(lk_legs,8))&lt;((((((2*IF(circ_int,0,eq_c2/2))+(PI()*(s_0+7*s_r+IF(circ_int,eq_c1/2,0))/2))+2*IF(circ_int,0,eq_c1/2))+(PI()*(s_0+7*s_r+IF(circ_int,eq_c1/2,0))/2))+2*IF(circ_int,0,eq_c2/2))+(PI()*(s_0+7*s_r+IF(circ_int,eq_c1/2,0))/2)),-IF(circ_int,0,eq_c2/2)+(s_0+7*s_r+IF(circ_int,eq_c1/2,0))*SIN(PI()+(((34+0.5)*(4*IF(circ_int,0,eq_c1/2)+4*IF(circ_int,0,eq_c2/2)+2*PI()*(s_0+7*s_r+IF(circ_int,eq_c1/2,0)))/INDEX(lk_legs,8))-(((((2*IF(circ_int,0,eq_c2/2))+(PI()*(s_0+7*s_r+IF(circ_int,eq_c1/2,0))/2))+2*IF(circ_int,0,eq_c1/2))+(PI()*(s_0+7*s_r+IF(circ_int,eq_c1/2,0))/2))+2*IF(circ_int,0,eq_c2/2)))/(s_0+7*s_r+IF(circ_int,eq_c1/2,0))),IF(((34+0.5)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(34+0.5)*(4*IF(circ_int,0,eq_c1/2)+4*IF(circ_int,0,eq_c2/2)+2*PI()*(s_0+7*s_r+IF(circ_int,eq_c1/2,0)))/INDEX(lk_legs,8))-(((((((2*IF(circ_int,0,eq_c2/2))+(PI()*(s_0+7*s_r+IF(circ_int,eq_c1/2,0))/2))+2*IF(circ_int,0,eq_c1/2))+(PI()*(s_0+7*s_r+IF(circ_int,eq_c1/2,0))/2))+2*IF(circ_int,0,eq_c2/2))+(PI()*(s_0+7*s_r+IF(circ_int,eq_c1/2,0))/2))+2*IF(circ_int,0,eq_c1/2)))/(s_0+7*s_r+IF(circ_int,eq_c1/2,0)))))))))),NA())</f>
        <v/>
      </c>
      <c r="CS37">
        <f>IF(AND(links_on,9&lt;=n_per),IF(circ_int,(g_ox)+(c_1/2+(s_0+8*s_r))*-0.568065,CHOOSE(INDEX(lk_kind,9),(g_ox-eq_c1/2)+((s_0+8*s_r))*-0.500000,0,eq_a1+eq_c1+(s_0+8*s_r),eq_a1+eq_c1+(s_0+8*s_r))),NA())</f>
        <v/>
      </c>
      <c r="CT37">
        <f>IF(AND(links_on,9&lt;=n_per),IF(circ_int,(g_oy)+(c_1/2+(s_0+8*s_r))*-0.822984,CHOOSE(INDEX(lk_kind,9),(g_oy-eq_c2/2)+((s_0+8*s_r))*-0.866025,g_oy-eq_c2/2-(s_0+8*s_r),0,0)),NA())</f>
        <v/>
      </c>
      <c r="CV37">
        <f>IF(AND(AND(links_on,9&lt;=n_per),INDEX(lk_kind,9)=1,34&lt;INDEX(lk_legs,9)),g_ox+IF(((34+0.5)*(4*IF(circ_int,0,eq_c1/2)+4*IF(circ_int,0,eq_c2/2)+2*PI()*(s_0+8*s_r+IF(circ_int,eq_c1/2,0)))/INDEX(lk_legs,9))&lt;(2*IF(circ_int,0,eq_c2/2)),IF(circ_int,0,eq_c1/2)+(s_0+8*s_r+IF(circ_int,eq_c1/2,0)),IF(((34+0.5)*(4*IF(circ_int,0,eq_c1/2)+4*IF(circ_int,0,eq_c2/2)+2*PI()*(s_0+8*s_r+IF(circ_int,eq_c1/2,0)))/INDEX(lk_legs,9))&lt;((2*IF(circ_int,0,eq_c2/2))+(PI()*(s_0+8*s_r+IF(circ_int,eq_c1/2,0))/2)),IF(circ_int,0,eq_c1/2)+(s_0+8*s_r+IF(circ_int,eq_c1/2,0))*COS((((34+0.5)*(4*IF(circ_int,0,eq_c1/2)+4*IF(circ_int,0,eq_c2/2)+2*PI()*(s_0+8*s_r+IF(circ_int,eq_c1/2,0)))/INDEX(lk_legs,9))-(2*IF(circ_int,0,eq_c2/2)))/(s_0+8*s_r+IF(circ_int,eq_c1/2,0))),IF(((34+0.5)*(4*IF(circ_int,0,eq_c1/2)+4*IF(circ_int,0,eq_c2/2)+2*PI()*(s_0+8*s_r+IF(circ_int,eq_c1/2,0)))/INDEX(lk_legs,9))&lt;(((2*IF(circ_int,0,eq_c2/2))+(PI()*(s_0+8*s_r+IF(circ_int,eq_c1/2,0))/2))+2*IF(circ_int,0,eq_c1/2)),IF(circ_int,0,eq_c1/2)-(((34+0.5)*(4*IF(circ_int,0,eq_c1/2)+4*IF(circ_int,0,eq_c2/2)+2*PI()*(s_0+8*s_r+IF(circ_int,eq_c1/2,0)))/INDEX(lk_legs,9))-((2*IF(circ_int,0,eq_c2/2))+(PI()*(s_0+8*s_r+IF(circ_int,eq_c1/2,0))/2))),IF(((34+0.5)*(4*IF(circ_int,0,eq_c1/2)+4*IF(circ_int,0,eq_c2/2)+2*PI()*(s_0+8*s_r+IF(circ_int,eq_c1/2,0)))/INDEX(lk_legs,9))&lt;((((2*IF(circ_int,0,eq_c2/2))+(PI()*(s_0+8*s_r+IF(circ_int,eq_c1/2,0))/2))+2*IF(circ_int,0,eq_c1/2))+(PI()*(s_0+8*s_r+IF(circ_int,eq_c1/2,0))/2)),-IF(circ_int,0,eq_c1/2)+(s_0+8*s_r+IF(circ_int,eq_c1/2,0))*COS(PI()/2+(((34+0.5)*(4*IF(circ_int,0,eq_c1/2)+4*IF(circ_int,0,eq_c2/2)+2*PI()*(s_0+8*s_r+IF(circ_int,eq_c1/2,0)))/INDEX(lk_legs,9))-(((2*IF(circ_int,0,eq_c2/2))+(PI()*(s_0+8*s_r+IF(circ_int,eq_c1/2,0))/2))+2*IF(circ_int,0,eq_c1/2)))/(s_0+8*s_r+IF(circ_int,eq_c1/2,0))),IF(((34+0.5)*(4*IF(circ_int,0,eq_c1/2)+4*IF(circ_int,0,eq_c2/2)+2*PI()*(s_0+8*s_r+IF(circ_int,eq_c1/2,0)))/INDEX(lk_legs,9))&lt;(((((2*IF(circ_int,0,eq_c2/2))+(PI()*(s_0+8*s_r+IF(circ_int,eq_c1/2,0))/2))+2*IF(circ_int,0,eq_c1/2))+(PI()*(s_0+8*s_r+IF(circ_int,eq_c1/2,0))/2))+2*IF(circ_int,0,eq_c2/2)),-IF(circ_int,0,eq_c1/2)-(s_0+8*s_r+IF(circ_int,eq_c1/2,0)),IF(((34+0.5)*(4*IF(circ_int,0,eq_c1/2)+4*IF(circ_int,0,eq_c2/2)+2*PI()*(s_0+8*s_r+IF(circ_int,eq_c1/2,0)))/INDEX(lk_legs,9))&lt;((((((2*IF(circ_int,0,eq_c2/2))+(PI()*(s_0+8*s_r+IF(circ_int,eq_c1/2,0))/2))+2*IF(circ_int,0,eq_c1/2))+(PI()*(s_0+8*s_r+IF(circ_int,eq_c1/2,0))/2))+2*IF(circ_int,0,eq_c2/2))+(PI()*(s_0+8*s_r+IF(circ_int,eq_c1/2,0))/2)),-IF(circ_int,0,eq_c1/2)+(s_0+8*s_r+IF(circ_int,eq_c1/2,0))*COS(PI()+(((34+0.5)*(4*IF(circ_int,0,eq_c1/2)+4*IF(circ_int,0,eq_c2/2)+2*PI()*(s_0+8*s_r+IF(circ_int,eq_c1/2,0)))/INDEX(lk_legs,9))-(((((2*IF(circ_int,0,eq_c2/2))+(PI()*(s_0+8*s_r+IF(circ_int,eq_c1/2,0))/2))+2*IF(circ_int,0,eq_c1/2))+(PI()*(s_0+8*s_r+IF(circ_int,eq_c1/2,0))/2))+2*IF(circ_int,0,eq_c2/2)))/(s_0+8*s_r+IF(circ_int,eq_c1/2,0))),IF(((34+0.5)*(4*IF(circ_int,0,eq_c1/2)+4*IF(circ_int,0,eq_c2/2)+2*PI()*(s_0+8*s_r+IF(circ_int,eq_c1/2,0)))/INDEX(lk_legs,9))&lt;(((((((2*IF(circ_int,0,eq_c2/2))+(PI()*(s_0+8*s_r+IF(circ_int,eq_c1/2,0))/2))+2*IF(circ_int,0,eq_c1/2))+(PI()*(s_0+8*s_r+IF(circ_int,eq_c1/2,0))/2))+2*IF(circ_int,0,eq_c2/2))+(PI()*(s_0+8*s_r+IF(circ_int,eq_c1/2,0))/2))+2*IF(circ_int,0,eq_c1/2)),-IF(circ_int,0,eq_c1/2)+(((34+0.5)*(4*IF(circ_int,0,eq_c1/2)+4*IF(circ_int,0,eq_c2/2)+2*PI()*(s_0+8*s_r+IF(circ_int,eq_c1/2,0)))/INDEX(lk_legs,9))-((((((2*IF(circ_int,0,eq_c2/2))+(PI()*(s_0+8*s_r+IF(circ_int,eq_c1/2,0))/2))+2*IF(circ_int,0,eq_c1/2))+(PI()*(s_0+8*s_r+IF(circ_int,eq_c1/2,0))/2))+2*IF(circ_int,0,eq_c2/2))+(PI()*(s_0+8*s_r+IF(circ_int,eq_c1/2,0))/2))),IF(circ_int,0,eq_c1/2)+(s_0+8*s_r+IF(circ_int,eq_c1/2,0))*COS(3*PI()/2+(((34+0.5)*(4*IF(circ_int,0,eq_c1/2)+4*IF(circ_int,0,eq_c2/2)+2*PI()*(s_0+8*s_r+IF(circ_int,eq_c1/2,0)))/INDEX(lk_legs,9))-(((((((2*IF(circ_int,0,eq_c2/2))+(PI()*(s_0+8*s_r+IF(circ_int,eq_c1/2,0))/2))+2*IF(circ_int,0,eq_c1/2))+(PI()*(s_0+8*s_r+IF(circ_int,eq_c1/2,0))/2))+2*IF(circ_int,0,eq_c2/2))+(PI()*(s_0+8*s_r+IF(circ_int,eq_c1/2,0))/2))+2*IF(circ_int,0,eq_c1/2)))/(s_0+8*s_r+IF(circ_int,eq_c1/2,0)))))))))),NA())</f>
        <v/>
      </c>
      <c r="CW37">
        <f>IF(AND(AND(links_on,9&lt;=n_per),INDEX(lk_kind,9)=1,34&lt;INDEX(lk_legs,9)),g_oy+IF(((34+0.5)*(4*IF(circ_int,0,eq_c1/2)+4*IF(circ_int,0,eq_c2/2)+2*PI()*(s_0+8*s_r+IF(circ_int,eq_c1/2,0)))/INDEX(lk_legs,9))&lt;(2*IF(circ_int,0,eq_c2/2)),-IF(circ_int,0,eq_c2/2)+((34+0.5)*(4*IF(circ_int,0,eq_c1/2)+4*IF(circ_int,0,eq_c2/2)+2*PI()*(s_0+8*s_r+IF(circ_int,eq_c1/2,0)))/INDEX(lk_legs,9)),IF(((34+0.5)*(4*IF(circ_int,0,eq_c1/2)+4*IF(circ_int,0,eq_c2/2)+2*PI()*(s_0+8*s_r+IF(circ_int,eq_c1/2,0)))/INDEX(lk_legs,9))&lt;((2*IF(circ_int,0,eq_c2/2))+(PI()*(s_0+8*s_r+IF(circ_int,eq_c1/2,0))/2)),IF(circ_int,0,eq_c2/2)+(s_0+8*s_r+IF(circ_int,eq_c1/2,0))*SIN((((34+0.5)*(4*IF(circ_int,0,eq_c1/2)+4*IF(circ_int,0,eq_c2/2)+2*PI()*(s_0+8*s_r+IF(circ_int,eq_c1/2,0)))/INDEX(lk_legs,9))-(2*IF(circ_int,0,eq_c2/2)))/(s_0+8*s_r+IF(circ_int,eq_c1/2,0))),IF(((34+0.5)*(4*IF(circ_int,0,eq_c1/2)+4*IF(circ_int,0,eq_c2/2)+2*PI()*(s_0+8*s_r+IF(circ_int,eq_c1/2,0)))/INDEX(lk_legs,9))&lt;(((2*IF(circ_int,0,eq_c2/2))+(PI()*(s_0+8*s_r+IF(circ_int,eq_c1/2,0))/2))+2*IF(circ_int,0,eq_c1/2)),IF(circ_int,0,eq_c2/2)+(s_0+8*s_r+IF(circ_int,eq_c1/2,0)),IF(((34+0.5)*(4*IF(circ_int,0,eq_c1/2)+4*IF(circ_int,0,eq_c2/2)+2*PI()*(s_0+8*s_r+IF(circ_int,eq_c1/2,0)))/INDEX(lk_legs,9))&lt;((((2*IF(circ_int,0,eq_c2/2))+(PI()*(s_0+8*s_r+IF(circ_int,eq_c1/2,0))/2))+2*IF(circ_int,0,eq_c1/2))+(PI()*(s_0+8*s_r+IF(circ_int,eq_c1/2,0))/2)),IF(circ_int,0,eq_c2/2)+(s_0+8*s_r+IF(circ_int,eq_c1/2,0))*SIN(PI()/2+(((34+0.5)*(4*IF(circ_int,0,eq_c1/2)+4*IF(circ_int,0,eq_c2/2)+2*PI()*(s_0+8*s_r+IF(circ_int,eq_c1/2,0)))/INDEX(lk_legs,9))-(((2*IF(circ_int,0,eq_c2/2))+(PI()*(s_0+8*s_r+IF(circ_int,eq_c1/2,0))/2))+2*IF(circ_int,0,eq_c1/2)))/(s_0+8*s_r+IF(circ_int,eq_c1/2,0))),IF(((34+0.5)*(4*IF(circ_int,0,eq_c1/2)+4*IF(circ_int,0,eq_c2/2)+2*PI()*(s_0+8*s_r+IF(circ_int,eq_c1/2,0)))/INDEX(lk_legs,9))&lt;(((((2*IF(circ_int,0,eq_c2/2))+(PI()*(s_0+8*s_r+IF(circ_int,eq_c1/2,0))/2))+2*IF(circ_int,0,eq_c1/2))+(PI()*(s_0+8*s_r+IF(circ_int,eq_c1/2,0))/2))+2*IF(circ_int,0,eq_c2/2)),IF(circ_int,0,eq_c2/2)-(((34+0.5)*(4*IF(circ_int,0,eq_c1/2)+4*IF(circ_int,0,eq_c2/2)+2*PI()*(s_0+8*s_r+IF(circ_int,eq_c1/2,0)))/INDEX(lk_legs,9))-((((2*IF(circ_int,0,eq_c2/2))+(PI()*(s_0+8*s_r+IF(circ_int,eq_c1/2,0))/2))+2*IF(circ_int,0,eq_c1/2))+(PI()*(s_0+8*s_r+IF(circ_int,eq_c1/2,0))/2))),IF(((34+0.5)*(4*IF(circ_int,0,eq_c1/2)+4*IF(circ_int,0,eq_c2/2)+2*PI()*(s_0+8*s_r+IF(circ_int,eq_c1/2,0)))/INDEX(lk_legs,9))&lt;((((((2*IF(circ_int,0,eq_c2/2))+(PI()*(s_0+8*s_r+IF(circ_int,eq_c1/2,0))/2))+2*IF(circ_int,0,eq_c1/2))+(PI()*(s_0+8*s_r+IF(circ_int,eq_c1/2,0))/2))+2*IF(circ_int,0,eq_c2/2))+(PI()*(s_0+8*s_r+IF(circ_int,eq_c1/2,0))/2)),-IF(circ_int,0,eq_c2/2)+(s_0+8*s_r+IF(circ_int,eq_c1/2,0))*SIN(PI()+(((34+0.5)*(4*IF(circ_int,0,eq_c1/2)+4*IF(circ_int,0,eq_c2/2)+2*PI()*(s_0+8*s_r+IF(circ_int,eq_c1/2,0)))/INDEX(lk_legs,9))-(((((2*IF(circ_int,0,eq_c2/2))+(PI()*(s_0+8*s_r+IF(circ_int,eq_c1/2,0))/2))+2*IF(circ_int,0,eq_c1/2))+(PI()*(s_0+8*s_r+IF(circ_int,eq_c1/2,0))/2))+2*IF(circ_int,0,eq_c2/2)))/(s_0+8*s_r+IF(circ_int,eq_c1/2,0))),IF(((34+0.5)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(34+0.5)*(4*IF(circ_int,0,eq_c1/2)+4*IF(circ_int,0,eq_c2/2)+2*PI()*(s_0+8*s_r+IF(circ_int,eq_c1/2,0)))/INDEX(lk_legs,9))-(((((((2*IF(circ_int,0,eq_c2/2))+(PI()*(s_0+8*s_r+IF(circ_int,eq_c1/2,0))/2))+2*IF(circ_int,0,eq_c1/2))+(PI()*(s_0+8*s_r+IF(circ_int,eq_c1/2,0))/2))+2*IF(circ_int,0,eq_c2/2))+(PI()*(s_0+8*s_r+IF(circ_int,eq_c1/2,0))/2))+2*IF(circ_int,0,eq_c1/2)))/(s_0+8*s_r+IF(circ_int,eq_c1/2,0)))))))))),NA())</f>
        <v/>
      </c>
      <c r="CY37">
        <f>IF(AND(links_on,10&lt;=n_per),IF(circ_int,(g_ox)+(c_1/2+(s_0+9*s_r))*-0.568065,CHOOSE(INDEX(lk_kind,10),(g_ox-eq_c1/2)+((s_0+9*s_r))*-0.500000,0,eq_a1+eq_c1+(s_0+9*s_r),eq_a1+eq_c1+(s_0+9*s_r))),NA())</f>
        <v/>
      </c>
      <c r="CZ37">
        <f>IF(AND(links_on,10&lt;=n_per),IF(circ_int,(g_oy)+(c_1/2+(s_0+9*s_r))*-0.822984,CHOOSE(INDEX(lk_kind,10),(g_oy-eq_c2/2)+((s_0+9*s_r))*-0.866025,g_oy-eq_c2/2-(s_0+9*s_r),0,0)),NA())</f>
        <v/>
      </c>
      <c r="DB37">
        <f>IF(AND(AND(links_on,10&lt;=n_per),INDEX(lk_kind,10)=1,34&lt;INDEX(lk_legs,10)),g_ox+IF(((34+0.5)*(4*IF(circ_int,0,eq_c1/2)+4*IF(circ_int,0,eq_c2/2)+2*PI()*(s_0+9*s_r+IF(circ_int,eq_c1/2,0)))/INDEX(lk_legs,10))&lt;(2*IF(circ_int,0,eq_c2/2)),IF(circ_int,0,eq_c1/2)+(s_0+9*s_r+IF(circ_int,eq_c1/2,0)),IF(((34+0.5)*(4*IF(circ_int,0,eq_c1/2)+4*IF(circ_int,0,eq_c2/2)+2*PI()*(s_0+9*s_r+IF(circ_int,eq_c1/2,0)))/INDEX(lk_legs,10))&lt;((2*IF(circ_int,0,eq_c2/2))+(PI()*(s_0+9*s_r+IF(circ_int,eq_c1/2,0))/2)),IF(circ_int,0,eq_c1/2)+(s_0+9*s_r+IF(circ_int,eq_c1/2,0))*COS((((34+0.5)*(4*IF(circ_int,0,eq_c1/2)+4*IF(circ_int,0,eq_c2/2)+2*PI()*(s_0+9*s_r+IF(circ_int,eq_c1/2,0)))/INDEX(lk_legs,10))-(2*IF(circ_int,0,eq_c2/2)))/(s_0+9*s_r+IF(circ_int,eq_c1/2,0))),IF(((34+0.5)*(4*IF(circ_int,0,eq_c1/2)+4*IF(circ_int,0,eq_c2/2)+2*PI()*(s_0+9*s_r+IF(circ_int,eq_c1/2,0)))/INDEX(lk_legs,10))&lt;(((2*IF(circ_int,0,eq_c2/2))+(PI()*(s_0+9*s_r+IF(circ_int,eq_c1/2,0))/2))+2*IF(circ_int,0,eq_c1/2)),IF(circ_int,0,eq_c1/2)-(((34+0.5)*(4*IF(circ_int,0,eq_c1/2)+4*IF(circ_int,0,eq_c2/2)+2*PI()*(s_0+9*s_r+IF(circ_int,eq_c1/2,0)))/INDEX(lk_legs,10))-((2*IF(circ_int,0,eq_c2/2))+(PI()*(s_0+9*s_r+IF(circ_int,eq_c1/2,0))/2))),IF(((34+0.5)*(4*IF(circ_int,0,eq_c1/2)+4*IF(circ_int,0,eq_c2/2)+2*PI()*(s_0+9*s_r+IF(circ_int,eq_c1/2,0)))/INDEX(lk_legs,10))&lt;((((2*IF(circ_int,0,eq_c2/2))+(PI()*(s_0+9*s_r+IF(circ_int,eq_c1/2,0))/2))+2*IF(circ_int,0,eq_c1/2))+(PI()*(s_0+9*s_r+IF(circ_int,eq_c1/2,0))/2)),-IF(circ_int,0,eq_c1/2)+(s_0+9*s_r+IF(circ_int,eq_c1/2,0))*COS(PI()/2+(((34+0.5)*(4*IF(circ_int,0,eq_c1/2)+4*IF(circ_int,0,eq_c2/2)+2*PI()*(s_0+9*s_r+IF(circ_int,eq_c1/2,0)))/INDEX(lk_legs,10))-(((2*IF(circ_int,0,eq_c2/2))+(PI()*(s_0+9*s_r+IF(circ_int,eq_c1/2,0))/2))+2*IF(circ_int,0,eq_c1/2)))/(s_0+9*s_r+IF(circ_int,eq_c1/2,0))),IF(((34+0.5)*(4*IF(circ_int,0,eq_c1/2)+4*IF(circ_int,0,eq_c2/2)+2*PI()*(s_0+9*s_r+IF(circ_int,eq_c1/2,0)))/INDEX(lk_legs,10))&lt;(((((2*IF(circ_int,0,eq_c2/2))+(PI()*(s_0+9*s_r+IF(circ_int,eq_c1/2,0))/2))+2*IF(circ_int,0,eq_c1/2))+(PI()*(s_0+9*s_r+IF(circ_int,eq_c1/2,0))/2))+2*IF(circ_int,0,eq_c2/2)),-IF(circ_int,0,eq_c1/2)-(s_0+9*s_r+IF(circ_int,eq_c1/2,0)),IF(((34+0.5)*(4*IF(circ_int,0,eq_c1/2)+4*IF(circ_int,0,eq_c2/2)+2*PI()*(s_0+9*s_r+IF(circ_int,eq_c1/2,0)))/INDEX(lk_legs,10))&lt;((((((2*IF(circ_int,0,eq_c2/2))+(PI()*(s_0+9*s_r+IF(circ_int,eq_c1/2,0))/2))+2*IF(circ_int,0,eq_c1/2))+(PI()*(s_0+9*s_r+IF(circ_int,eq_c1/2,0))/2))+2*IF(circ_int,0,eq_c2/2))+(PI()*(s_0+9*s_r+IF(circ_int,eq_c1/2,0))/2)),-IF(circ_int,0,eq_c1/2)+(s_0+9*s_r+IF(circ_int,eq_c1/2,0))*COS(PI()+(((34+0.5)*(4*IF(circ_int,0,eq_c1/2)+4*IF(circ_int,0,eq_c2/2)+2*PI()*(s_0+9*s_r+IF(circ_int,eq_c1/2,0)))/INDEX(lk_legs,10))-(((((2*IF(circ_int,0,eq_c2/2))+(PI()*(s_0+9*s_r+IF(circ_int,eq_c1/2,0))/2))+2*IF(circ_int,0,eq_c1/2))+(PI()*(s_0+9*s_r+IF(circ_int,eq_c1/2,0))/2))+2*IF(circ_int,0,eq_c2/2)))/(s_0+9*s_r+IF(circ_int,eq_c1/2,0))),IF(((34+0.5)*(4*IF(circ_int,0,eq_c1/2)+4*IF(circ_int,0,eq_c2/2)+2*PI()*(s_0+9*s_r+IF(circ_int,eq_c1/2,0)))/INDEX(lk_legs,10))&lt;(((((((2*IF(circ_int,0,eq_c2/2))+(PI()*(s_0+9*s_r+IF(circ_int,eq_c1/2,0))/2))+2*IF(circ_int,0,eq_c1/2))+(PI()*(s_0+9*s_r+IF(circ_int,eq_c1/2,0))/2))+2*IF(circ_int,0,eq_c2/2))+(PI()*(s_0+9*s_r+IF(circ_int,eq_c1/2,0))/2))+2*IF(circ_int,0,eq_c1/2)),-IF(circ_int,0,eq_c1/2)+(((34+0.5)*(4*IF(circ_int,0,eq_c1/2)+4*IF(circ_int,0,eq_c2/2)+2*PI()*(s_0+9*s_r+IF(circ_int,eq_c1/2,0)))/INDEX(lk_legs,10))-((((((2*IF(circ_int,0,eq_c2/2))+(PI()*(s_0+9*s_r+IF(circ_int,eq_c1/2,0))/2))+2*IF(circ_int,0,eq_c1/2))+(PI()*(s_0+9*s_r+IF(circ_int,eq_c1/2,0))/2))+2*IF(circ_int,0,eq_c2/2))+(PI()*(s_0+9*s_r+IF(circ_int,eq_c1/2,0))/2))),IF(circ_int,0,eq_c1/2)+(s_0+9*s_r+IF(circ_int,eq_c1/2,0))*COS(3*PI()/2+(((34+0.5)*(4*IF(circ_int,0,eq_c1/2)+4*IF(circ_int,0,eq_c2/2)+2*PI()*(s_0+9*s_r+IF(circ_int,eq_c1/2,0)))/INDEX(lk_legs,10))-(((((((2*IF(circ_int,0,eq_c2/2))+(PI()*(s_0+9*s_r+IF(circ_int,eq_c1/2,0))/2))+2*IF(circ_int,0,eq_c1/2))+(PI()*(s_0+9*s_r+IF(circ_int,eq_c1/2,0))/2))+2*IF(circ_int,0,eq_c2/2))+(PI()*(s_0+9*s_r+IF(circ_int,eq_c1/2,0))/2))+2*IF(circ_int,0,eq_c1/2)))/(s_0+9*s_r+IF(circ_int,eq_c1/2,0)))))))))),NA())</f>
        <v/>
      </c>
      <c r="DC37">
        <f>IF(AND(AND(links_on,10&lt;=n_per),INDEX(lk_kind,10)=1,34&lt;INDEX(lk_legs,10)),g_oy+IF(((34+0.5)*(4*IF(circ_int,0,eq_c1/2)+4*IF(circ_int,0,eq_c2/2)+2*PI()*(s_0+9*s_r+IF(circ_int,eq_c1/2,0)))/INDEX(lk_legs,10))&lt;(2*IF(circ_int,0,eq_c2/2)),-IF(circ_int,0,eq_c2/2)+((34+0.5)*(4*IF(circ_int,0,eq_c1/2)+4*IF(circ_int,0,eq_c2/2)+2*PI()*(s_0+9*s_r+IF(circ_int,eq_c1/2,0)))/INDEX(lk_legs,10)),IF(((34+0.5)*(4*IF(circ_int,0,eq_c1/2)+4*IF(circ_int,0,eq_c2/2)+2*PI()*(s_0+9*s_r+IF(circ_int,eq_c1/2,0)))/INDEX(lk_legs,10))&lt;((2*IF(circ_int,0,eq_c2/2))+(PI()*(s_0+9*s_r+IF(circ_int,eq_c1/2,0))/2)),IF(circ_int,0,eq_c2/2)+(s_0+9*s_r+IF(circ_int,eq_c1/2,0))*SIN((((34+0.5)*(4*IF(circ_int,0,eq_c1/2)+4*IF(circ_int,0,eq_c2/2)+2*PI()*(s_0+9*s_r+IF(circ_int,eq_c1/2,0)))/INDEX(lk_legs,10))-(2*IF(circ_int,0,eq_c2/2)))/(s_0+9*s_r+IF(circ_int,eq_c1/2,0))),IF(((34+0.5)*(4*IF(circ_int,0,eq_c1/2)+4*IF(circ_int,0,eq_c2/2)+2*PI()*(s_0+9*s_r+IF(circ_int,eq_c1/2,0)))/INDEX(lk_legs,10))&lt;(((2*IF(circ_int,0,eq_c2/2))+(PI()*(s_0+9*s_r+IF(circ_int,eq_c1/2,0))/2))+2*IF(circ_int,0,eq_c1/2)),IF(circ_int,0,eq_c2/2)+(s_0+9*s_r+IF(circ_int,eq_c1/2,0)),IF(((34+0.5)*(4*IF(circ_int,0,eq_c1/2)+4*IF(circ_int,0,eq_c2/2)+2*PI()*(s_0+9*s_r+IF(circ_int,eq_c1/2,0)))/INDEX(lk_legs,10))&lt;((((2*IF(circ_int,0,eq_c2/2))+(PI()*(s_0+9*s_r+IF(circ_int,eq_c1/2,0))/2))+2*IF(circ_int,0,eq_c1/2))+(PI()*(s_0+9*s_r+IF(circ_int,eq_c1/2,0))/2)),IF(circ_int,0,eq_c2/2)+(s_0+9*s_r+IF(circ_int,eq_c1/2,0))*SIN(PI()/2+(((34+0.5)*(4*IF(circ_int,0,eq_c1/2)+4*IF(circ_int,0,eq_c2/2)+2*PI()*(s_0+9*s_r+IF(circ_int,eq_c1/2,0)))/INDEX(lk_legs,10))-(((2*IF(circ_int,0,eq_c2/2))+(PI()*(s_0+9*s_r+IF(circ_int,eq_c1/2,0))/2))+2*IF(circ_int,0,eq_c1/2)))/(s_0+9*s_r+IF(circ_int,eq_c1/2,0))),IF(((34+0.5)*(4*IF(circ_int,0,eq_c1/2)+4*IF(circ_int,0,eq_c2/2)+2*PI()*(s_0+9*s_r+IF(circ_int,eq_c1/2,0)))/INDEX(lk_legs,10))&lt;(((((2*IF(circ_int,0,eq_c2/2))+(PI()*(s_0+9*s_r+IF(circ_int,eq_c1/2,0))/2))+2*IF(circ_int,0,eq_c1/2))+(PI()*(s_0+9*s_r+IF(circ_int,eq_c1/2,0))/2))+2*IF(circ_int,0,eq_c2/2)),IF(circ_int,0,eq_c2/2)-(((34+0.5)*(4*IF(circ_int,0,eq_c1/2)+4*IF(circ_int,0,eq_c2/2)+2*PI()*(s_0+9*s_r+IF(circ_int,eq_c1/2,0)))/INDEX(lk_legs,10))-((((2*IF(circ_int,0,eq_c2/2))+(PI()*(s_0+9*s_r+IF(circ_int,eq_c1/2,0))/2))+2*IF(circ_int,0,eq_c1/2))+(PI()*(s_0+9*s_r+IF(circ_int,eq_c1/2,0))/2))),IF(((34+0.5)*(4*IF(circ_int,0,eq_c1/2)+4*IF(circ_int,0,eq_c2/2)+2*PI()*(s_0+9*s_r+IF(circ_int,eq_c1/2,0)))/INDEX(lk_legs,10))&lt;((((((2*IF(circ_int,0,eq_c2/2))+(PI()*(s_0+9*s_r+IF(circ_int,eq_c1/2,0))/2))+2*IF(circ_int,0,eq_c1/2))+(PI()*(s_0+9*s_r+IF(circ_int,eq_c1/2,0))/2))+2*IF(circ_int,0,eq_c2/2))+(PI()*(s_0+9*s_r+IF(circ_int,eq_c1/2,0))/2)),-IF(circ_int,0,eq_c2/2)+(s_0+9*s_r+IF(circ_int,eq_c1/2,0))*SIN(PI()+(((34+0.5)*(4*IF(circ_int,0,eq_c1/2)+4*IF(circ_int,0,eq_c2/2)+2*PI()*(s_0+9*s_r+IF(circ_int,eq_c1/2,0)))/INDEX(lk_legs,10))-(((((2*IF(circ_int,0,eq_c2/2))+(PI()*(s_0+9*s_r+IF(circ_int,eq_c1/2,0))/2))+2*IF(circ_int,0,eq_c1/2))+(PI()*(s_0+9*s_r+IF(circ_int,eq_c1/2,0))/2))+2*IF(circ_int,0,eq_c2/2)))/(s_0+9*s_r+IF(circ_int,eq_c1/2,0))),IF(((34+0.5)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(34+0.5)*(4*IF(circ_int,0,eq_c1/2)+4*IF(circ_int,0,eq_c2/2)+2*PI()*(s_0+9*s_r+IF(circ_int,eq_c1/2,0)))/INDEX(lk_legs,10))-(((((((2*IF(circ_int,0,eq_c2/2))+(PI()*(s_0+9*s_r+IF(circ_int,eq_c1/2,0))/2))+2*IF(circ_int,0,eq_c1/2))+(PI()*(s_0+9*s_r+IF(circ_int,eq_c1/2,0))/2))+2*IF(circ_int,0,eq_c2/2))+(PI()*(s_0+9*s_r+IF(circ_int,eq_c1/2,0))/2))+2*IF(circ_int,0,eq_c1/2)))/(s_0+9*s_r+IF(circ_int,eq_c1/2,0)))))))))),NA())</f>
        <v/>
      </c>
      <c r="DE37">
        <f>IF(AND(links_on,11&lt;=n_per),IF(circ_int,(g_ox)+(c_1/2+(s_0+10*s_r))*-0.568065,CHOOSE(INDEX(lk_kind,11),(g_ox-eq_c1/2)+((s_0+10*s_r))*-0.500000,0,eq_a1+eq_c1+(s_0+10*s_r),eq_a1+eq_c1+(s_0+10*s_r))),NA())</f>
        <v/>
      </c>
      <c r="DF37">
        <f>IF(AND(links_on,11&lt;=n_per),IF(circ_int,(g_oy)+(c_1/2+(s_0+10*s_r))*-0.822984,CHOOSE(INDEX(lk_kind,11),(g_oy-eq_c2/2)+((s_0+10*s_r))*-0.866025,g_oy-eq_c2/2-(s_0+10*s_r),0,0)),NA())</f>
        <v/>
      </c>
      <c r="DH37">
        <f>IF(AND(AND(links_on,11&lt;=n_per),INDEX(lk_kind,11)=1,34&lt;INDEX(lk_legs,11)),g_ox+IF(((34+0.5)*(4*IF(circ_int,0,eq_c1/2)+4*IF(circ_int,0,eq_c2/2)+2*PI()*(s_0+10*s_r+IF(circ_int,eq_c1/2,0)))/INDEX(lk_legs,11))&lt;(2*IF(circ_int,0,eq_c2/2)),IF(circ_int,0,eq_c1/2)+(s_0+10*s_r+IF(circ_int,eq_c1/2,0)),IF(((34+0.5)*(4*IF(circ_int,0,eq_c1/2)+4*IF(circ_int,0,eq_c2/2)+2*PI()*(s_0+10*s_r+IF(circ_int,eq_c1/2,0)))/INDEX(lk_legs,11))&lt;((2*IF(circ_int,0,eq_c2/2))+(PI()*(s_0+10*s_r+IF(circ_int,eq_c1/2,0))/2)),IF(circ_int,0,eq_c1/2)+(s_0+10*s_r+IF(circ_int,eq_c1/2,0))*COS((((34+0.5)*(4*IF(circ_int,0,eq_c1/2)+4*IF(circ_int,0,eq_c2/2)+2*PI()*(s_0+10*s_r+IF(circ_int,eq_c1/2,0)))/INDEX(lk_legs,11))-(2*IF(circ_int,0,eq_c2/2)))/(s_0+10*s_r+IF(circ_int,eq_c1/2,0))),IF(((34+0.5)*(4*IF(circ_int,0,eq_c1/2)+4*IF(circ_int,0,eq_c2/2)+2*PI()*(s_0+10*s_r+IF(circ_int,eq_c1/2,0)))/INDEX(lk_legs,11))&lt;(((2*IF(circ_int,0,eq_c2/2))+(PI()*(s_0+10*s_r+IF(circ_int,eq_c1/2,0))/2))+2*IF(circ_int,0,eq_c1/2)),IF(circ_int,0,eq_c1/2)-(((34+0.5)*(4*IF(circ_int,0,eq_c1/2)+4*IF(circ_int,0,eq_c2/2)+2*PI()*(s_0+10*s_r+IF(circ_int,eq_c1/2,0)))/INDEX(lk_legs,11))-((2*IF(circ_int,0,eq_c2/2))+(PI()*(s_0+10*s_r+IF(circ_int,eq_c1/2,0))/2))),IF(((34+0.5)*(4*IF(circ_int,0,eq_c1/2)+4*IF(circ_int,0,eq_c2/2)+2*PI()*(s_0+10*s_r+IF(circ_int,eq_c1/2,0)))/INDEX(lk_legs,11))&lt;((((2*IF(circ_int,0,eq_c2/2))+(PI()*(s_0+10*s_r+IF(circ_int,eq_c1/2,0))/2))+2*IF(circ_int,0,eq_c1/2))+(PI()*(s_0+10*s_r+IF(circ_int,eq_c1/2,0))/2)),-IF(circ_int,0,eq_c1/2)+(s_0+10*s_r+IF(circ_int,eq_c1/2,0))*COS(PI()/2+(((34+0.5)*(4*IF(circ_int,0,eq_c1/2)+4*IF(circ_int,0,eq_c2/2)+2*PI()*(s_0+10*s_r+IF(circ_int,eq_c1/2,0)))/INDEX(lk_legs,11))-(((2*IF(circ_int,0,eq_c2/2))+(PI()*(s_0+10*s_r+IF(circ_int,eq_c1/2,0))/2))+2*IF(circ_int,0,eq_c1/2)))/(s_0+10*s_r+IF(circ_int,eq_c1/2,0))),IF(((34+0.5)*(4*IF(circ_int,0,eq_c1/2)+4*IF(circ_int,0,eq_c2/2)+2*PI()*(s_0+10*s_r+IF(circ_int,eq_c1/2,0)))/INDEX(lk_legs,11))&lt;(((((2*IF(circ_int,0,eq_c2/2))+(PI()*(s_0+10*s_r+IF(circ_int,eq_c1/2,0))/2))+2*IF(circ_int,0,eq_c1/2))+(PI()*(s_0+10*s_r+IF(circ_int,eq_c1/2,0))/2))+2*IF(circ_int,0,eq_c2/2)),-IF(circ_int,0,eq_c1/2)-(s_0+10*s_r+IF(circ_int,eq_c1/2,0)),IF(((34+0.5)*(4*IF(circ_int,0,eq_c1/2)+4*IF(circ_int,0,eq_c2/2)+2*PI()*(s_0+10*s_r+IF(circ_int,eq_c1/2,0)))/INDEX(lk_legs,11))&lt;((((((2*IF(circ_int,0,eq_c2/2))+(PI()*(s_0+10*s_r+IF(circ_int,eq_c1/2,0))/2))+2*IF(circ_int,0,eq_c1/2))+(PI()*(s_0+10*s_r+IF(circ_int,eq_c1/2,0))/2))+2*IF(circ_int,0,eq_c2/2))+(PI()*(s_0+10*s_r+IF(circ_int,eq_c1/2,0))/2)),-IF(circ_int,0,eq_c1/2)+(s_0+10*s_r+IF(circ_int,eq_c1/2,0))*COS(PI()+(((34+0.5)*(4*IF(circ_int,0,eq_c1/2)+4*IF(circ_int,0,eq_c2/2)+2*PI()*(s_0+10*s_r+IF(circ_int,eq_c1/2,0)))/INDEX(lk_legs,11))-(((((2*IF(circ_int,0,eq_c2/2))+(PI()*(s_0+10*s_r+IF(circ_int,eq_c1/2,0))/2))+2*IF(circ_int,0,eq_c1/2))+(PI()*(s_0+10*s_r+IF(circ_int,eq_c1/2,0))/2))+2*IF(circ_int,0,eq_c2/2)))/(s_0+10*s_r+IF(circ_int,eq_c1/2,0))),IF(((34+0.5)*(4*IF(circ_int,0,eq_c1/2)+4*IF(circ_int,0,eq_c2/2)+2*PI()*(s_0+10*s_r+IF(circ_int,eq_c1/2,0)))/INDEX(lk_legs,11))&lt;(((((((2*IF(circ_int,0,eq_c2/2))+(PI()*(s_0+10*s_r+IF(circ_int,eq_c1/2,0))/2))+2*IF(circ_int,0,eq_c1/2))+(PI()*(s_0+10*s_r+IF(circ_int,eq_c1/2,0))/2))+2*IF(circ_int,0,eq_c2/2))+(PI()*(s_0+10*s_r+IF(circ_int,eq_c1/2,0))/2))+2*IF(circ_int,0,eq_c1/2)),-IF(circ_int,0,eq_c1/2)+(((34+0.5)*(4*IF(circ_int,0,eq_c1/2)+4*IF(circ_int,0,eq_c2/2)+2*PI()*(s_0+10*s_r+IF(circ_int,eq_c1/2,0)))/INDEX(lk_legs,11))-((((((2*IF(circ_int,0,eq_c2/2))+(PI()*(s_0+10*s_r+IF(circ_int,eq_c1/2,0))/2))+2*IF(circ_int,0,eq_c1/2))+(PI()*(s_0+10*s_r+IF(circ_int,eq_c1/2,0))/2))+2*IF(circ_int,0,eq_c2/2))+(PI()*(s_0+10*s_r+IF(circ_int,eq_c1/2,0))/2))),IF(circ_int,0,eq_c1/2)+(s_0+10*s_r+IF(circ_int,eq_c1/2,0))*COS(3*PI()/2+(((34+0.5)*(4*IF(circ_int,0,eq_c1/2)+4*IF(circ_int,0,eq_c2/2)+2*PI()*(s_0+10*s_r+IF(circ_int,eq_c1/2,0)))/INDEX(lk_legs,11))-(((((((2*IF(circ_int,0,eq_c2/2))+(PI()*(s_0+10*s_r+IF(circ_int,eq_c1/2,0))/2))+2*IF(circ_int,0,eq_c1/2))+(PI()*(s_0+10*s_r+IF(circ_int,eq_c1/2,0))/2))+2*IF(circ_int,0,eq_c2/2))+(PI()*(s_0+10*s_r+IF(circ_int,eq_c1/2,0))/2))+2*IF(circ_int,0,eq_c1/2)))/(s_0+10*s_r+IF(circ_int,eq_c1/2,0)))))))))),NA())</f>
        <v/>
      </c>
      <c r="DI37">
        <f>IF(AND(AND(links_on,11&lt;=n_per),INDEX(lk_kind,11)=1,34&lt;INDEX(lk_legs,11)),g_oy+IF(((34+0.5)*(4*IF(circ_int,0,eq_c1/2)+4*IF(circ_int,0,eq_c2/2)+2*PI()*(s_0+10*s_r+IF(circ_int,eq_c1/2,0)))/INDEX(lk_legs,11))&lt;(2*IF(circ_int,0,eq_c2/2)),-IF(circ_int,0,eq_c2/2)+((34+0.5)*(4*IF(circ_int,0,eq_c1/2)+4*IF(circ_int,0,eq_c2/2)+2*PI()*(s_0+10*s_r+IF(circ_int,eq_c1/2,0)))/INDEX(lk_legs,11)),IF(((34+0.5)*(4*IF(circ_int,0,eq_c1/2)+4*IF(circ_int,0,eq_c2/2)+2*PI()*(s_0+10*s_r+IF(circ_int,eq_c1/2,0)))/INDEX(lk_legs,11))&lt;((2*IF(circ_int,0,eq_c2/2))+(PI()*(s_0+10*s_r+IF(circ_int,eq_c1/2,0))/2)),IF(circ_int,0,eq_c2/2)+(s_0+10*s_r+IF(circ_int,eq_c1/2,0))*SIN((((34+0.5)*(4*IF(circ_int,0,eq_c1/2)+4*IF(circ_int,0,eq_c2/2)+2*PI()*(s_0+10*s_r+IF(circ_int,eq_c1/2,0)))/INDEX(lk_legs,11))-(2*IF(circ_int,0,eq_c2/2)))/(s_0+10*s_r+IF(circ_int,eq_c1/2,0))),IF(((34+0.5)*(4*IF(circ_int,0,eq_c1/2)+4*IF(circ_int,0,eq_c2/2)+2*PI()*(s_0+10*s_r+IF(circ_int,eq_c1/2,0)))/INDEX(lk_legs,11))&lt;(((2*IF(circ_int,0,eq_c2/2))+(PI()*(s_0+10*s_r+IF(circ_int,eq_c1/2,0))/2))+2*IF(circ_int,0,eq_c1/2)),IF(circ_int,0,eq_c2/2)+(s_0+10*s_r+IF(circ_int,eq_c1/2,0)),IF(((34+0.5)*(4*IF(circ_int,0,eq_c1/2)+4*IF(circ_int,0,eq_c2/2)+2*PI()*(s_0+10*s_r+IF(circ_int,eq_c1/2,0)))/INDEX(lk_legs,11))&lt;((((2*IF(circ_int,0,eq_c2/2))+(PI()*(s_0+10*s_r+IF(circ_int,eq_c1/2,0))/2))+2*IF(circ_int,0,eq_c1/2))+(PI()*(s_0+10*s_r+IF(circ_int,eq_c1/2,0))/2)),IF(circ_int,0,eq_c2/2)+(s_0+10*s_r+IF(circ_int,eq_c1/2,0))*SIN(PI()/2+(((34+0.5)*(4*IF(circ_int,0,eq_c1/2)+4*IF(circ_int,0,eq_c2/2)+2*PI()*(s_0+10*s_r+IF(circ_int,eq_c1/2,0)))/INDEX(lk_legs,11))-(((2*IF(circ_int,0,eq_c2/2))+(PI()*(s_0+10*s_r+IF(circ_int,eq_c1/2,0))/2))+2*IF(circ_int,0,eq_c1/2)))/(s_0+10*s_r+IF(circ_int,eq_c1/2,0))),IF(((34+0.5)*(4*IF(circ_int,0,eq_c1/2)+4*IF(circ_int,0,eq_c2/2)+2*PI()*(s_0+10*s_r+IF(circ_int,eq_c1/2,0)))/INDEX(lk_legs,11))&lt;(((((2*IF(circ_int,0,eq_c2/2))+(PI()*(s_0+10*s_r+IF(circ_int,eq_c1/2,0))/2))+2*IF(circ_int,0,eq_c1/2))+(PI()*(s_0+10*s_r+IF(circ_int,eq_c1/2,0))/2))+2*IF(circ_int,0,eq_c2/2)),IF(circ_int,0,eq_c2/2)-(((34+0.5)*(4*IF(circ_int,0,eq_c1/2)+4*IF(circ_int,0,eq_c2/2)+2*PI()*(s_0+10*s_r+IF(circ_int,eq_c1/2,0)))/INDEX(lk_legs,11))-((((2*IF(circ_int,0,eq_c2/2))+(PI()*(s_0+10*s_r+IF(circ_int,eq_c1/2,0))/2))+2*IF(circ_int,0,eq_c1/2))+(PI()*(s_0+10*s_r+IF(circ_int,eq_c1/2,0))/2))),IF(((34+0.5)*(4*IF(circ_int,0,eq_c1/2)+4*IF(circ_int,0,eq_c2/2)+2*PI()*(s_0+10*s_r+IF(circ_int,eq_c1/2,0)))/INDEX(lk_legs,11))&lt;((((((2*IF(circ_int,0,eq_c2/2))+(PI()*(s_0+10*s_r+IF(circ_int,eq_c1/2,0))/2))+2*IF(circ_int,0,eq_c1/2))+(PI()*(s_0+10*s_r+IF(circ_int,eq_c1/2,0))/2))+2*IF(circ_int,0,eq_c2/2))+(PI()*(s_0+10*s_r+IF(circ_int,eq_c1/2,0))/2)),-IF(circ_int,0,eq_c2/2)+(s_0+10*s_r+IF(circ_int,eq_c1/2,0))*SIN(PI()+(((34+0.5)*(4*IF(circ_int,0,eq_c1/2)+4*IF(circ_int,0,eq_c2/2)+2*PI()*(s_0+10*s_r+IF(circ_int,eq_c1/2,0)))/INDEX(lk_legs,11))-(((((2*IF(circ_int,0,eq_c2/2))+(PI()*(s_0+10*s_r+IF(circ_int,eq_c1/2,0))/2))+2*IF(circ_int,0,eq_c1/2))+(PI()*(s_0+10*s_r+IF(circ_int,eq_c1/2,0))/2))+2*IF(circ_int,0,eq_c2/2)))/(s_0+10*s_r+IF(circ_int,eq_c1/2,0))),IF(((34+0.5)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(34+0.5)*(4*IF(circ_int,0,eq_c1/2)+4*IF(circ_int,0,eq_c2/2)+2*PI()*(s_0+10*s_r+IF(circ_int,eq_c1/2,0)))/INDEX(lk_legs,11))-(((((((2*IF(circ_int,0,eq_c2/2))+(PI()*(s_0+10*s_r+IF(circ_int,eq_c1/2,0))/2))+2*IF(circ_int,0,eq_c1/2))+(PI()*(s_0+10*s_r+IF(circ_int,eq_c1/2,0))/2))+2*IF(circ_int,0,eq_c2/2))+(PI()*(s_0+10*s_r+IF(circ_int,eq_c1/2,0))/2))+2*IF(circ_int,0,eq_c1/2)))/(s_0+10*s_r+IF(circ_int,eq_c1/2,0)))))))))),NA())</f>
        <v/>
      </c>
      <c r="DK37">
        <f>IF(AND(links_on,12&lt;=n_per),IF(circ_int,(g_ox)+(c_1/2+(s_0+11*s_r))*-0.568065,CHOOSE(INDEX(lk_kind,12),(g_ox-eq_c1/2)+((s_0+11*s_r))*-0.500000,0,eq_a1+eq_c1+(s_0+11*s_r),eq_a1+eq_c1+(s_0+11*s_r))),NA())</f>
        <v/>
      </c>
      <c r="DL37">
        <f>IF(AND(links_on,12&lt;=n_per),IF(circ_int,(g_oy)+(c_1/2+(s_0+11*s_r))*-0.822984,CHOOSE(INDEX(lk_kind,12),(g_oy-eq_c2/2)+((s_0+11*s_r))*-0.866025,g_oy-eq_c2/2-(s_0+11*s_r),0,0)),NA())</f>
        <v/>
      </c>
      <c r="DN37">
        <f>IF(AND(AND(links_on,12&lt;=n_per),INDEX(lk_kind,12)=1,34&lt;INDEX(lk_legs,12)),g_ox+IF(((34+0.5)*(4*IF(circ_int,0,eq_c1/2)+4*IF(circ_int,0,eq_c2/2)+2*PI()*(s_0+11*s_r+IF(circ_int,eq_c1/2,0)))/INDEX(lk_legs,12))&lt;(2*IF(circ_int,0,eq_c2/2)),IF(circ_int,0,eq_c1/2)+(s_0+11*s_r+IF(circ_int,eq_c1/2,0)),IF(((34+0.5)*(4*IF(circ_int,0,eq_c1/2)+4*IF(circ_int,0,eq_c2/2)+2*PI()*(s_0+11*s_r+IF(circ_int,eq_c1/2,0)))/INDEX(lk_legs,12))&lt;((2*IF(circ_int,0,eq_c2/2))+(PI()*(s_0+11*s_r+IF(circ_int,eq_c1/2,0))/2)),IF(circ_int,0,eq_c1/2)+(s_0+11*s_r+IF(circ_int,eq_c1/2,0))*COS((((34+0.5)*(4*IF(circ_int,0,eq_c1/2)+4*IF(circ_int,0,eq_c2/2)+2*PI()*(s_0+11*s_r+IF(circ_int,eq_c1/2,0)))/INDEX(lk_legs,12))-(2*IF(circ_int,0,eq_c2/2)))/(s_0+11*s_r+IF(circ_int,eq_c1/2,0))),IF(((34+0.5)*(4*IF(circ_int,0,eq_c1/2)+4*IF(circ_int,0,eq_c2/2)+2*PI()*(s_0+11*s_r+IF(circ_int,eq_c1/2,0)))/INDEX(lk_legs,12))&lt;(((2*IF(circ_int,0,eq_c2/2))+(PI()*(s_0+11*s_r+IF(circ_int,eq_c1/2,0))/2))+2*IF(circ_int,0,eq_c1/2)),IF(circ_int,0,eq_c1/2)-(((34+0.5)*(4*IF(circ_int,0,eq_c1/2)+4*IF(circ_int,0,eq_c2/2)+2*PI()*(s_0+11*s_r+IF(circ_int,eq_c1/2,0)))/INDEX(lk_legs,12))-((2*IF(circ_int,0,eq_c2/2))+(PI()*(s_0+11*s_r+IF(circ_int,eq_c1/2,0))/2))),IF(((34+0.5)*(4*IF(circ_int,0,eq_c1/2)+4*IF(circ_int,0,eq_c2/2)+2*PI()*(s_0+11*s_r+IF(circ_int,eq_c1/2,0)))/INDEX(lk_legs,12))&lt;((((2*IF(circ_int,0,eq_c2/2))+(PI()*(s_0+11*s_r+IF(circ_int,eq_c1/2,0))/2))+2*IF(circ_int,0,eq_c1/2))+(PI()*(s_0+11*s_r+IF(circ_int,eq_c1/2,0))/2)),-IF(circ_int,0,eq_c1/2)+(s_0+11*s_r+IF(circ_int,eq_c1/2,0))*COS(PI()/2+(((34+0.5)*(4*IF(circ_int,0,eq_c1/2)+4*IF(circ_int,0,eq_c2/2)+2*PI()*(s_0+11*s_r+IF(circ_int,eq_c1/2,0)))/INDEX(lk_legs,12))-(((2*IF(circ_int,0,eq_c2/2))+(PI()*(s_0+11*s_r+IF(circ_int,eq_c1/2,0))/2))+2*IF(circ_int,0,eq_c1/2)))/(s_0+11*s_r+IF(circ_int,eq_c1/2,0))),IF(((34+0.5)*(4*IF(circ_int,0,eq_c1/2)+4*IF(circ_int,0,eq_c2/2)+2*PI()*(s_0+11*s_r+IF(circ_int,eq_c1/2,0)))/INDEX(lk_legs,12))&lt;(((((2*IF(circ_int,0,eq_c2/2))+(PI()*(s_0+11*s_r+IF(circ_int,eq_c1/2,0))/2))+2*IF(circ_int,0,eq_c1/2))+(PI()*(s_0+11*s_r+IF(circ_int,eq_c1/2,0))/2))+2*IF(circ_int,0,eq_c2/2)),-IF(circ_int,0,eq_c1/2)-(s_0+11*s_r+IF(circ_int,eq_c1/2,0)),IF(((34+0.5)*(4*IF(circ_int,0,eq_c1/2)+4*IF(circ_int,0,eq_c2/2)+2*PI()*(s_0+11*s_r+IF(circ_int,eq_c1/2,0)))/INDEX(lk_legs,12))&lt;((((((2*IF(circ_int,0,eq_c2/2))+(PI()*(s_0+11*s_r+IF(circ_int,eq_c1/2,0))/2))+2*IF(circ_int,0,eq_c1/2))+(PI()*(s_0+11*s_r+IF(circ_int,eq_c1/2,0))/2))+2*IF(circ_int,0,eq_c2/2))+(PI()*(s_0+11*s_r+IF(circ_int,eq_c1/2,0))/2)),-IF(circ_int,0,eq_c1/2)+(s_0+11*s_r+IF(circ_int,eq_c1/2,0))*COS(PI()+(((34+0.5)*(4*IF(circ_int,0,eq_c1/2)+4*IF(circ_int,0,eq_c2/2)+2*PI()*(s_0+11*s_r+IF(circ_int,eq_c1/2,0)))/INDEX(lk_legs,12))-(((((2*IF(circ_int,0,eq_c2/2))+(PI()*(s_0+11*s_r+IF(circ_int,eq_c1/2,0))/2))+2*IF(circ_int,0,eq_c1/2))+(PI()*(s_0+11*s_r+IF(circ_int,eq_c1/2,0))/2))+2*IF(circ_int,0,eq_c2/2)))/(s_0+11*s_r+IF(circ_int,eq_c1/2,0))),IF(((34+0.5)*(4*IF(circ_int,0,eq_c1/2)+4*IF(circ_int,0,eq_c2/2)+2*PI()*(s_0+11*s_r+IF(circ_int,eq_c1/2,0)))/INDEX(lk_legs,12))&lt;(((((((2*IF(circ_int,0,eq_c2/2))+(PI()*(s_0+11*s_r+IF(circ_int,eq_c1/2,0))/2))+2*IF(circ_int,0,eq_c1/2))+(PI()*(s_0+11*s_r+IF(circ_int,eq_c1/2,0))/2))+2*IF(circ_int,0,eq_c2/2))+(PI()*(s_0+11*s_r+IF(circ_int,eq_c1/2,0))/2))+2*IF(circ_int,0,eq_c1/2)),-IF(circ_int,0,eq_c1/2)+(((34+0.5)*(4*IF(circ_int,0,eq_c1/2)+4*IF(circ_int,0,eq_c2/2)+2*PI()*(s_0+11*s_r+IF(circ_int,eq_c1/2,0)))/INDEX(lk_legs,12))-((((((2*IF(circ_int,0,eq_c2/2))+(PI()*(s_0+11*s_r+IF(circ_int,eq_c1/2,0))/2))+2*IF(circ_int,0,eq_c1/2))+(PI()*(s_0+11*s_r+IF(circ_int,eq_c1/2,0))/2))+2*IF(circ_int,0,eq_c2/2))+(PI()*(s_0+11*s_r+IF(circ_int,eq_c1/2,0))/2))),IF(circ_int,0,eq_c1/2)+(s_0+11*s_r+IF(circ_int,eq_c1/2,0))*COS(3*PI()/2+(((34+0.5)*(4*IF(circ_int,0,eq_c1/2)+4*IF(circ_int,0,eq_c2/2)+2*PI()*(s_0+11*s_r+IF(circ_int,eq_c1/2,0)))/INDEX(lk_legs,12))-(((((((2*IF(circ_int,0,eq_c2/2))+(PI()*(s_0+11*s_r+IF(circ_int,eq_c1/2,0))/2))+2*IF(circ_int,0,eq_c1/2))+(PI()*(s_0+11*s_r+IF(circ_int,eq_c1/2,0))/2))+2*IF(circ_int,0,eq_c2/2))+(PI()*(s_0+11*s_r+IF(circ_int,eq_c1/2,0))/2))+2*IF(circ_int,0,eq_c1/2)))/(s_0+11*s_r+IF(circ_int,eq_c1/2,0)))))))))),NA())</f>
        <v/>
      </c>
      <c r="DO37">
        <f>IF(AND(AND(links_on,12&lt;=n_per),INDEX(lk_kind,12)=1,34&lt;INDEX(lk_legs,12)),g_oy+IF(((34+0.5)*(4*IF(circ_int,0,eq_c1/2)+4*IF(circ_int,0,eq_c2/2)+2*PI()*(s_0+11*s_r+IF(circ_int,eq_c1/2,0)))/INDEX(lk_legs,12))&lt;(2*IF(circ_int,0,eq_c2/2)),-IF(circ_int,0,eq_c2/2)+((34+0.5)*(4*IF(circ_int,0,eq_c1/2)+4*IF(circ_int,0,eq_c2/2)+2*PI()*(s_0+11*s_r+IF(circ_int,eq_c1/2,0)))/INDEX(lk_legs,12)),IF(((34+0.5)*(4*IF(circ_int,0,eq_c1/2)+4*IF(circ_int,0,eq_c2/2)+2*PI()*(s_0+11*s_r+IF(circ_int,eq_c1/2,0)))/INDEX(lk_legs,12))&lt;((2*IF(circ_int,0,eq_c2/2))+(PI()*(s_0+11*s_r+IF(circ_int,eq_c1/2,0))/2)),IF(circ_int,0,eq_c2/2)+(s_0+11*s_r+IF(circ_int,eq_c1/2,0))*SIN((((34+0.5)*(4*IF(circ_int,0,eq_c1/2)+4*IF(circ_int,0,eq_c2/2)+2*PI()*(s_0+11*s_r+IF(circ_int,eq_c1/2,0)))/INDEX(lk_legs,12))-(2*IF(circ_int,0,eq_c2/2)))/(s_0+11*s_r+IF(circ_int,eq_c1/2,0))),IF(((34+0.5)*(4*IF(circ_int,0,eq_c1/2)+4*IF(circ_int,0,eq_c2/2)+2*PI()*(s_0+11*s_r+IF(circ_int,eq_c1/2,0)))/INDEX(lk_legs,12))&lt;(((2*IF(circ_int,0,eq_c2/2))+(PI()*(s_0+11*s_r+IF(circ_int,eq_c1/2,0))/2))+2*IF(circ_int,0,eq_c1/2)),IF(circ_int,0,eq_c2/2)+(s_0+11*s_r+IF(circ_int,eq_c1/2,0)),IF(((34+0.5)*(4*IF(circ_int,0,eq_c1/2)+4*IF(circ_int,0,eq_c2/2)+2*PI()*(s_0+11*s_r+IF(circ_int,eq_c1/2,0)))/INDEX(lk_legs,12))&lt;((((2*IF(circ_int,0,eq_c2/2))+(PI()*(s_0+11*s_r+IF(circ_int,eq_c1/2,0))/2))+2*IF(circ_int,0,eq_c1/2))+(PI()*(s_0+11*s_r+IF(circ_int,eq_c1/2,0))/2)),IF(circ_int,0,eq_c2/2)+(s_0+11*s_r+IF(circ_int,eq_c1/2,0))*SIN(PI()/2+(((34+0.5)*(4*IF(circ_int,0,eq_c1/2)+4*IF(circ_int,0,eq_c2/2)+2*PI()*(s_0+11*s_r+IF(circ_int,eq_c1/2,0)))/INDEX(lk_legs,12))-(((2*IF(circ_int,0,eq_c2/2))+(PI()*(s_0+11*s_r+IF(circ_int,eq_c1/2,0))/2))+2*IF(circ_int,0,eq_c1/2)))/(s_0+11*s_r+IF(circ_int,eq_c1/2,0))),IF(((34+0.5)*(4*IF(circ_int,0,eq_c1/2)+4*IF(circ_int,0,eq_c2/2)+2*PI()*(s_0+11*s_r+IF(circ_int,eq_c1/2,0)))/INDEX(lk_legs,12))&lt;(((((2*IF(circ_int,0,eq_c2/2))+(PI()*(s_0+11*s_r+IF(circ_int,eq_c1/2,0))/2))+2*IF(circ_int,0,eq_c1/2))+(PI()*(s_0+11*s_r+IF(circ_int,eq_c1/2,0))/2))+2*IF(circ_int,0,eq_c2/2)),IF(circ_int,0,eq_c2/2)-(((34+0.5)*(4*IF(circ_int,0,eq_c1/2)+4*IF(circ_int,0,eq_c2/2)+2*PI()*(s_0+11*s_r+IF(circ_int,eq_c1/2,0)))/INDEX(lk_legs,12))-((((2*IF(circ_int,0,eq_c2/2))+(PI()*(s_0+11*s_r+IF(circ_int,eq_c1/2,0))/2))+2*IF(circ_int,0,eq_c1/2))+(PI()*(s_0+11*s_r+IF(circ_int,eq_c1/2,0))/2))),IF(((34+0.5)*(4*IF(circ_int,0,eq_c1/2)+4*IF(circ_int,0,eq_c2/2)+2*PI()*(s_0+11*s_r+IF(circ_int,eq_c1/2,0)))/INDEX(lk_legs,12))&lt;((((((2*IF(circ_int,0,eq_c2/2))+(PI()*(s_0+11*s_r+IF(circ_int,eq_c1/2,0))/2))+2*IF(circ_int,0,eq_c1/2))+(PI()*(s_0+11*s_r+IF(circ_int,eq_c1/2,0))/2))+2*IF(circ_int,0,eq_c2/2))+(PI()*(s_0+11*s_r+IF(circ_int,eq_c1/2,0))/2)),-IF(circ_int,0,eq_c2/2)+(s_0+11*s_r+IF(circ_int,eq_c1/2,0))*SIN(PI()+(((34+0.5)*(4*IF(circ_int,0,eq_c1/2)+4*IF(circ_int,0,eq_c2/2)+2*PI()*(s_0+11*s_r+IF(circ_int,eq_c1/2,0)))/INDEX(lk_legs,12))-(((((2*IF(circ_int,0,eq_c2/2))+(PI()*(s_0+11*s_r+IF(circ_int,eq_c1/2,0))/2))+2*IF(circ_int,0,eq_c1/2))+(PI()*(s_0+11*s_r+IF(circ_int,eq_c1/2,0))/2))+2*IF(circ_int,0,eq_c2/2)))/(s_0+11*s_r+IF(circ_int,eq_c1/2,0))),IF(((34+0.5)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(34+0.5)*(4*IF(circ_int,0,eq_c1/2)+4*IF(circ_int,0,eq_c2/2)+2*PI()*(s_0+11*s_r+IF(circ_int,eq_c1/2,0)))/INDEX(lk_legs,12))-(((((((2*IF(circ_int,0,eq_c2/2))+(PI()*(s_0+11*s_r+IF(circ_int,eq_c1/2,0))/2))+2*IF(circ_int,0,eq_c1/2))+(PI()*(s_0+11*s_r+IF(circ_int,eq_c1/2,0))/2))+2*IF(circ_int,0,eq_c2/2))+(PI()*(s_0+11*s_r+IF(circ_int,eq_c1/2,0))/2))+2*IF(circ_int,0,eq_c1/2)))/(s_0+11*s_r+IF(circ_int,eq_c1/2,0)))))))))),NA())</f>
        <v/>
      </c>
    </row>
    <row r="38">
      <c r="A38">
        <f>IF(shape="Circular",(g_ox)+(c_1/2+0)*-0.464723,CHOOSE(1,(g_ox-eq_c1/2)+(0)*-0.382683,0,eq_a1+eq_c1+0,eq_a1+eq_c1+0))</f>
        <v/>
      </c>
      <c r="B38">
        <f>IF(shape="Circular",(g_oy)+(c_1/2+0)*-0.885456,CHOOSE(1,(g_oy-eq_c2/2)+(0)*-0.923880,g_oy-eq_c2/2-0,0,0))</f>
        <v/>
      </c>
      <c r="D38">
        <f>IF(circ_int,(g_ox)+(c_1/2+2*d_eff)*-0.464723,CHOOSE(geo_idx,(g_ox-eq_c1/2)+(2*d_eff)*-0.382683,0,eq_a1+eq_c1+2*d_eff,eq_a1+eq_c1+2*d_eff))</f>
        <v/>
      </c>
      <c r="E38">
        <f>IF(circ_int,(g_oy)+(c_1/2+2*d_eff)*-0.885456,CHOOSE(geo_idx,(g_oy-eq_c2/2)+(2*d_eff)*-0.923880,g_oy-eq_c2/2-2*d_eff,0,0))</f>
        <v/>
      </c>
      <c r="G38">
        <f>IF(AND(inputs_ok,punch_ok,A_sw&gt;0),IF(circ_int,(g_ox)+(c_1/2+r_out)*-0.464723,CHOOSE(kind_out,(g_ox-eq_c1/2)+(r_out)*-0.382683,0,eq_a1+eq_c1+r_out,eq_a1+eq_c1+r_out)),NA())</f>
        <v/>
      </c>
      <c r="H38">
        <f>IF(AND(inputs_ok,punch_ok,A_sw&gt;0),IF(circ_int,(g_oy)+(c_1/2+r_out)*-0.885456,CHOOSE(kind_out,(g_oy-eq_c2/2)+(r_out)*-0.923880,g_oy-eq_c2/2-r_out,0,0)),NA())</f>
        <v/>
      </c>
      <c r="AW38">
        <f>IF(AND(links_on,1&lt;=n_per),IF(circ_int,(g_ox)+(c_1/2+(s_0+0*s_r))*-0.464723,CHOOSE(INDEX(lk_kind,1),(g_ox-eq_c1/2)+((s_0+0*s_r))*-0.382683,0,eq_a1+eq_c1+(s_0+0*s_r),eq_a1+eq_c1+(s_0+0*s_r))),NA())</f>
        <v/>
      </c>
      <c r="AX38">
        <f>IF(AND(links_on,1&lt;=n_per),IF(circ_int,(g_oy)+(c_1/2+(s_0+0*s_r))*-0.885456,CHOOSE(INDEX(lk_kind,1),(g_oy-eq_c2/2)+((s_0+0*s_r))*-0.923880,g_oy-eq_c2/2-(s_0+0*s_r),0,0)),NA())</f>
        <v/>
      </c>
      <c r="AZ38">
        <f>IF(AND(AND(links_on,1&lt;=n_per),INDEX(lk_kind,1)=1,35&lt;INDEX(lk_legs,1)),g_ox+IF(((35+0.5)*(4*IF(circ_int,0,eq_c1/2)+4*IF(circ_int,0,eq_c2/2)+2*PI()*(s_0+0*s_r+IF(circ_int,eq_c1/2,0)))/INDEX(lk_legs,1))&lt;(2*IF(circ_int,0,eq_c2/2)),IF(circ_int,0,eq_c1/2)+(s_0+0*s_r+IF(circ_int,eq_c1/2,0)),IF(((35+0.5)*(4*IF(circ_int,0,eq_c1/2)+4*IF(circ_int,0,eq_c2/2)+2*PI()*(s_0+0*s_r+IF(circ_int,eq_c1/2,0)))/INDEX(lk_legs,1))&lt;((2*IF(circ_int,0,eq_c2/2))+(PI()*(s_0+0*s_r+IF(circ_int,eq_c1/2,0))/2)),IF(circ_int,0,eq_c1/2)+(s_0+0*s_r+IF(circ_int,eq_c1/2,0))*COS((((35+0.5)*(4*IF(circ_int,0,eq_c1/2)+4*IF(circ_int,0,eq_c2/2)+2*PI()*(s_0+0*s_r+IF(circ_int,eq_c1/2,0)))/INDEX(lk_legs,1))-(2*IF(circ_int,0,eq_c2/2)))/(s_0+0*s_r+IF(circ_int,eq_c1/2,0))),IF(((35+0.5)*(4*IF(circ_int,0,eq_c1/2)+4*IF(circ_int,0,eq_c2/2)+2*PI()*(s_0+0*s_r+IF(circ_int,eq_c1/2,0)))/INDEX(lk_legs,1))&lt;(((2*IF(circ_int,0,eq_c2/2))+(PI()*(s_0+0*s_r+IF(circ_int,eq_c1/2,0))/2))+2*IF(circ_int,0,eq_c1/2)),IF(circ_int,0,eq_c1/2)-(((35+0.5)*(4*IF(circ_int,0,eq_c1/2)+4*IF(circ_int,0,eq_c2/2)+2*PI()*(s_0+0*s_r+IF(circ_int,eq_c1/2,0)))/INDEX(lk_legs,1))-((2*IF(circ_int,0,eq_c2/2))+(PI()*(s_0+0*s_r+IF(circ_int,eq_c1/2,0))/2))),IF(((35+0.5)*(4*IF(circ_int,0,eq_c1/2)+4*IF(circ_int,0,eq_c2/2)+2*PI()*(s_0+0*s_r+IF(circ_int,eq_c1/2,0)))/INDEX(lk_legs,1))&lt;((((2*IF(circ_int,0,eq_c2/2))+(PI()*(s_0+0*s_r+IF(circ_int,eq_c1/2,0))/2))+2*IF(circ_int,0,eq_c1/2))+(PI()*(s_0+0*s_r+IF(circ_int,eq_c1/2,0))/2)),-IF(circ_int,0,eq_c1/2)+(s_0+0*s_r+IF(circ_int,eq_c1/2,0))*COS(PI()/2+(((35+0.5)*(4*IF(circ_int,0,eq_c1/2)+4*IF(circ_int,0,eq_c2/2)+2*PI()*(s_0+0*s_r+IF(circ_int,eq_c1/2,0)))/INDEX(lk_legs,1))-(((2*IF(circ_int,0,eq_c2/2))+(PI()*(s_0+0*s_r+IF(circ_int,eq_c1/2,0))/2))+2*IF(circ_int,0,eq_c1/2)))/(s_0+0*s_r+IF(circ_int,eq_c1/2,0))),IF(((35+0.5)*(4*IF(circ_int,0,eq_c1/2)+4*IF(circ_int,0,eq_c2/2)+2*PI()*(s_0+0*s_r+IF(circ_int,eq_c1/2,0)))/INDEX(lk_legs,1))&lt;(((((2*IF(circ_int,0,eq_c2/2))+(PI()*(s_0+0*s_r+IF(circ_int,eq_c1/2,0))/2))+2*IF(circ_int,0,eq_c1/2))+(PI()*(s_0+0*s_r+IF(circ_int,eq_c1/2,0))/2))+2*IF(circ_int,0,eq_c2/2)),-IF(circ_int,0,eq_c1/2)-(s_0+0*s_r+IF(circ_int,eq_c1/2,0)),IF(((35+0.5)*(4*IF(circ_int,0,eq_c1/2)+4*IF(circ_int,0,eq_c2/2)+2*PI()*(s_0+0*s_r+IF(circ_int,eq_c1/2,0)))/INDEX(lk_legs,1))&lt;((((((2*IF(circ_int,0,eq_c2/2))+(PI()*(s_0+0*s_r+IF(circ_int,eq_c1/2,0))/2))+2*IF(circ_int,0,eq_c1/2))+(PI()*(s_0+0*s_r+IF(circ_int,eq_c1/2,0))/2))+2*IF(circ_int,0,eq_c2/2))+(PI()*(s_0+0*s_r+IF(circ_int,eq_c1/2,0))/2)),-IF(circ_int,0,eq_c1/2)+(s_0+0*s_r+IF(circ_int,eq_c1/2,0))*COS(PI()+(((35+0.5)*(4*IF(circ_int,0,eq_c1/2)+4*IF(circ_int,0,eq_c2/2)+2*PI()*(s_0+0*s_r+IF(circ_int,eq_c1/2,0)))/INDEX(lk_legs,1))-(((((2*IF(circ_int,0,eq_c2/2))+(PI()*(s_0+0*s_r+IF(circ_int,eq_c1/2,0))/2))+2*IF(circ_int,0,eq_c1/2))+(PI()*(s_0+0*s_r+IF(circ_int,eq_c1/2,0))/2))+2*IF(circ_int,0,eq_c2/2)))/(s_0+0*s_r+IF(circ_int,eq_c1/2,0))),IF(((35+0.5)*(4*IF(circ_int,0,eq_c1/2)+4*IF(circ_int,0,eq_c2/2)+2*PI()*(s_0+0*s_r+IF(circ_int,eq_c1/2,0)))/INDEX(lk_legs,1))&lt;(((((((2*IF(circ_int,0,eq_c2/2))+(PI()*(s_0+0*s_r+IF(circ_int,eq_c1/2,0))/2))+2*IF(circ_int,0,eq_c1/2))+(PI()*(s_0+0*s_r+IF(circ_int,eq_c1/2,0))/2))+2*IF(circ_int,0,eq_c2/2))+(PI()*(s_0+0*s_r+IF(circ_int,eq_c1/2,0))/2))+2*IF(circ_int,0,eq_c1/2)),-IF(circ_int,0,eq_c1/2)+(((35+0.5)*(4*IF(circ_int,0,eq_c1/2)+4*IF(circ_int,0,eq_c2/2)+2*PI()*(s_0+0*s_r+IF(circ_int,eq_c1/2,0)))/INDEX(lk_legs,1))-((((((2*IF(circ_int,0,eq_c2/2))+(PI()*(s_0+0*s_r+IF(circ_int,eq_c1/2,0))/2))+2*IF(circ_int,0,eq_c1/2))+(PI()*(s_0+0*s_r+IF(circ_int,eq_c1/2,0))/2))+2*IF(circ_int,0,eq_c2/2))+(PI()*(s_0+0*s_r+IF(circ_int,eq_c1/2,0))/2))),IF(circ_int,0,eq_c1/2)+(s_0+0*s_r+IF(circ_int,eq_c1/2,0))*COS(3*PI()/2+(((35+0.5)*(4*IF(circ_int,0,eq_c1/2)+4*IF(circ_int,0,eq_c2/2)+2*PI()*(s_0+0*s_r+IF(circ_int,eq_c1/2,0)))/INDEX(lk_legs,1))-(((((((2*IF(circ_int,0,eq_c2/2))+(PI()*(s_0+0*s_r+IF(circ_int,eq_c1/2,0))/2))+2*IF(circ_int,0,eq_c1/2))+(PI()*(s_0+0*s_r+IF(circ_int,eq_c1/2,0))/2))+2*IF(circ_int,0,eq_c2/2))+(PI()*(s_0+0*s_r+IF(circ_int,eq_c1/2,0))/2))+2*IF(circ_int,0,eq_c1/2)))/(s_0+0*s_r+IF(circ_int,eq_c1/2,0)))))))))),NA())</f>
        <v/>
      </c>
      <c r="BA38">
        <f>IF(AND(AND(links_on,1&lt;=n_per),INDEX(lk_kind,1)=1,35&lt;INDEX(lk_legs,1)),g_oy+IF(((35+0.5)*(4*IF(circ_int,0,eq_c1/2)+4*IF(circ_int,0,eq_c2/2)+2*PI()*(s_0+0*s_r+IF(circ_int,eq_c1/2,0)))/INDEX(lk_legs,1))&lt;(2*IF(circ_int,0,eq_c2/2)),-IF(circ_int,0,eq_c2/2)+((35+0.5)*(4*IF(circ_int,0,eq_c1/2)+4*IF(circ_int,0,eq_c2/2)+2*PI()*(s_0+0*s_r+IF(circ_int,eq_c1/2,0)))/INDEX(lk_legs,1)),IF(((35+0.5)*(4*IF(circ_int,0,eq_c1/2)+4*IF(circ_int,0,eq_c2/2)+2*PI()*(s_0+0*s_r+IF(circ_int,eq_c1/2,0)))/INDEX(lk_legs,1))&lt;((2*IF(circ_int,0,eq_c2/2))+(PI()*(s_0+0*s_r+IF(circ_int,eq_c1/2,0))/2)),IF(circ_int,0,eq_c2/2)+(s_0+0*s_r+IF(circ_int,eq_c1/2,0))*SIN((((35+0.5)*(4*IF(circ_int,0,eq_c1/2)+4*IF(circ_int,0,eq_c2/2)+2*PI()*(s_0+0*s_r+IF(circ_int,eq_c1/2,0)))/INDEX(lk_legs,1))-(2*IF(circ_int,0,eq_c2/2)))/(s_0+0*s_r+IF(circ_int,eq_c1/2,0))),IF(((35+0.5)*(4*IF(circ_int,0,eq_c1/2)+4*IF(circ_int,0,eq_c2/2)+2*PI()*(s_0+0*s_r+IF(circ_int,eq_c1/2,0)))/INDEX(lk_legs,1))&lt;(((2*IF(circ_int,0,eq_c2/2))+(PI()*(s_0+0*s_r+IF(circ_int,eq_c1/2,0))/2))+2*IF(circ_int,0,eq_c1/2)),IF(circ_int,0,eq_c2/2)+(s_0+0*s_r+IF(circ_int,eq_c1/2,0)),IF(((35+0.5)*(4*IF(circ_int,0,eq_c1/2)+4*IF(circ_int,0,eq_c2/2)+2*PI()*(s_0+0*s_r+IF(circ_int,eq_c1/2,0)))/INDEX(lk_legs,1))&lt;((((2*IF(circ_int,0,eq_c2/2))+(PI()*(s_0+0*s_r+IF(circ_int,eq_c1/2,0))/2))+2*IF(circ_int,0,eq_c1/2))+(PI()*(s_0+0*s_r+IF(circ_int,eq_c1/2,0))/2)),IF(circ_int,0,eq_c2/2)+(s_0+0*s_r+IF(circ_int,eq_c1/2,0))*SIN(PI()/2+(((35+0.5)*(4*IF(circ_int,0,eq_c1/2)+4*IF(circ_int,0,eq_c2/2)+2*PI()*(s_0+0*s_r+IF(circ_int,eq_c1/2,0)))/INDEX(lk_legs,1))-(((2*IF(circ_int,0,eq_c2/2))+(PI()*(s_0+0*s_r+IF(circ_int,eq_c1/2,0))/2))+2*IF(circ_int,0,eq_c1/2)))/(s_0+0*s_r+IF(circ_int,eq_c1/2,0))),IF(((35+0.5)*(4*IF(circ_int,0,eq_c1/2)+4*IF(circ_int,0,eq_c2/2)+2*PI()*(s_0+0*s_r+IF(circ_int,eq_c1/2,0)))/INDEX(lk_legs,1))&lt;(((((2*IF(circ_int,0,eq_c2/2))+(PI()*(s_0+0*s_r+IF(circ_int,eq_c1/2,0))/2))+2*IF(circ_int,0,eq_c1/2))+(PI()*(s_0+0*s_r+IF(circ_int,eq_c1/2,0))/2))+2*IF(circ_int,0,eq_c2/2)),IF(circ_int,0,eq_c2/2)-(((35+0.5)*(4*IF(circ_int,0,eq_c1/2)+4*IF(circ_int,0,eq_c2/2)+2*PI()*(s_0+0*s_r+IF(circ_int,eq_c1/2,0)))/INDEX(lk_legs,1))-((((2*IF(circ_int,0,eq_c2/2))+(PI()*(s_0+0*s_r+IF(circ_int,eq_c1/2,0))/2))+2*IF(circ_int,0,eq_c1/2))+(PI()*(s_0+0*s_r+IF(circ_int,eq_c1/2,0))/2))),IF(((35+0.5)*(4*IF(circ_int,0,eq_c1/2)+4*IF(circ_int,0,eq_c2/2)+2*PI()*(s_0+0*s_r+IF(circ_int,eq_c1/2,0)))/INDEX(lk_legs,1))&lt;((((((2*IF(circ_int,0,eq_c2/2))+(PI()*(s_0+0*s_r+IF(circ_int,eq_c1/2,0))/2))+2*IF(circ_int,0,eq_c1/2))+(PI()*(s_0+0*s_r+IF(circ_int,eq_c1/2,0))/2))+2*IF(circ_int,0,eq_c2/2))+(PI()*(s_0+0*s_r+IF(circ_int,eq_c1/2,0))/2)),-IF(circ_int,0,eq_c2/2)+(s_0+0*s_r+IF(circ_int,eq_c1/2,0))*SIN(PI()+(((35+0.5)*(4*IF(circ_int,0,eq_c1/2)+4*IF(circ_int,0,eq_c2/2)+2*PI()*(s_0+0*s_r+IF(circ_int,eq_c1/2,0)))/INDEX(lk_legs,1))-(((((2*IF(circ_int,0,eq_c2/2))+(PI()*(s_0+0*s_r+IF(circ_int,eq_c1/2,0))/2))+2*IF(circ_int,0,eq_c1/2))+(PI()*(s_0+0*s_r+IF(circ_int,eq_c1/2,0))/2))+2*IF(circ_int,0,eq_c2/2)))/(s_0+0*s_r+IF(circ_int,eq_c1/2,0))),IF(((35+0.5)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(35+0.5)*(4*IF(circ_int,0,eq_c1/2)+4*IF(circ_int,0,eq_c2/2)+2*PI()*(s_0+0*s_r+IF(circ_int,eq_c1/2,0)))/INDEX(lk_legs,1))-(((((((2*IF(circ_int,0,eq_c2/2))+(PI()*(s_0+0*s_r+IF(circ_int,eq_c1/2,0))/2))+2*IF(circ_int,0,eq_c1/2))+(PI()*(s_0+0*s_r+IF(circ_int,eq_c1/2,0))/2))+2*IF(circ_int,0,eq_c2/2))+(PI()*(s_0+0*s_r+IF(circ_int,eq_c1/2,0))/2))+2*IF(circ_int,0,eq_c1/2)))/(s_0+0*s_r+IF(circ_int,eq_c1/2,0)))))))))),NA())</f>
        <v/>
      </c>
      <c r="BC38">
        <f>IF(AND(links_on,2&lt;=n_per),IF(circ_int,(g_ox)+(c_1/2+(s_0+1*s_r))*-0.464723,CHOOSE(INDEX(lk_kind,2),(g_ox-eq_c1/2)+((s_0+1*s_r))*-0.382683,0,eq_a1+eq_c1+(s_0+1*s_r),eq_a1+eq_c1+(s_0+1*s_r))),NA())</f>
        <v/>
      </c>
      <c r="BD38">
        <f>IF(AND(links_on,2&lt;=n_per),IF(circ_int,(g_oy)+(c_1/2+(s_0+1*s_r))*-0.885456,CHOOSE(INDEX(lk_kind,2),(g_oy-eq_c2/2)+((s_0+1*s_r))*-0.923880,g_oy-eq_c2/2-(s_0+1*s_r),0,0)),NA())</f>
        <v/>
      </c>
      <c r="BF38">
        <f>IF(AND(AND(links_on,2&lt;=n_per),INDEX(lk_kind,2)=1,35&lt;INDEX(lk_legs,2)),g_ox+IF(((35+0.5)*(4*IF(circ_int,0,eq_c1/2)+4*IF(circ_int,0,eq_c2/2)+2*PI()*(s_0+1*s_r+IF(circ_int,eq_c1/2,0)))/INDEX(lk_legs,2))&lt;(2*IF(circ_int,0,eq_c2/2)),IF(circ_int,0,eq_c1/2)+(s_0+1*s_r+IF(circ_int,eq_c1/2,0)),IF(((35+0.5)*(4*IF(circ_int,0,eq_c1/2)+4*IF(circ_int,0,eq_c2/2)+2*PI()*(s_0+1*s_r+IF(circ_int,eq_c1/2,0)))/INDEX(lk_legs,2))&lt;((2*IF(circ_int,0,eq_c2/2))+(PI()*(s_0+1*s_r+IF(circ_int,eq_c1/2,0))/2)),IF(circ_int,0,eq_c1/2)+(s_0+1*s_r+IF(circ_int,eq_c1/2,0))*COS((((35+0.5)*(4*IF(circ_int,0,eq_c1/2)+4*IF(circ_int,0,eq_c2/2)+2*PI()*(s_0+1*s_r+IF(circ_int,eq_c1/2,0)))/INDEX(lk_legs,2))-(2*IF(circ_int,0,eq_c2/2)))/(s_0+1*s_r+IF(circ_int,eq_c1/2,0))),IF(((35+0.5)*(4*IF(circ_int,0,eq_c1/2)+4*IF(circ_int,0,eq_c2/2)+2*PI()*(s_0+1*s_r+IF(circ_int,eq_c1/2,0)))/INDEX(lk_legs,2))&lt;(((2*IF(circ_int,0,eq_c2/2))+(PI()*(s_0+1*s_r+IF(circ_int,eq_c1/2,0))/2))+2*IF(circ_int,0,eq_c1/2)),IF(circ_int,0,eq_c1/2)-(((35+0.5)*(4*IF(circ_int,0,eq_c1/2)+4*IF(circ_int,0,eq_c2/2)+2*PI()*(s_0+1*s_r+IF(circ_int,eq_c1/2,0)))/INDEX(lk_legs,2))-((2*IF(circ_int,0,eq_c2/2))+(PI()*(s_0+1*s_r+IF(circ_int,eq_c1/2,0))/2))),IF(((35+0.5)*(4*IF(circ_int,0,eq_c1/2)+4*IF(circ_int,0,eq_c2/2)+2*PI()*(s_0+1*s_r+IF(circ_int,eq_c1/2,0)))/INDEX(lk_legs,2))&lt;((((2*IF(circ_int,0,eq_c2/2))+(PI()*(s_0+1*s_r+IF(circ_int,eq_c1/2,0))/2))+2*IF(circ_int,0,eq_c1/2))+(PI()*(s_0+1*s_r+IF(circ_int,eq_c1/2,0))/2)),-IF(circ_int,0,eq_c1/2)+(s_0+1*s_r+IF(circ_int,eq_c1/2,0))*COS(PI()/2+(((35+0.5)*(4*IF(circ_int,0,eq_c1/2)+4*IF(circ_int,0,eq_c2/2)+2*PI()*(s_0+1*s_r+IF(circ_int,eq_c1/2,0)))/INDEX(lk_legs,2))-(((2*IF(circ_int,0,eq_c2/2))+(PI()*(s_0+1*s_r+IF(circ_int,eq_c1/2,0))/2))+2*IF(circ_int,0,eq_c1/2)))/(s_0+1*s_r+IF(circ_int,eq_c1/2,0))),IF(((35+0.5)*(4*IF(circ_int,0,eq_c1/2)+4*IF(circ_int,0,eq_c2/2)+2*PI()*(s_0+1*s_r+IF(circ_int,eq_c1/2,0)))/INDEX(lk_legs,2))&lt;(((((2*IF(circ_int,0,eq_c2/2))+(PI()*(s_0+1*s_r+IF(circ_int,eq_c1/2,0))/2))+2*IF(circ_int,0,eq_c1/2))+(PI()*(s_0+1*s_r+IF(circ_int,eq_c1/2,0))/2))+2*IF(circ_int,0,eq_c2/2)),-IF(circ_int,0,eq_c1/2)-(s_0+1*s_r+IF(circ_int,eq_c1/2,0)),IF(((35+0.5)*(4*IF(circ_int,0,eq_c1/2)+4*IF(circ_int,0,eq_c2/2)+2*PI()*(s_0+1*s_r+IF(circ_int,eq_c1/2,0)))/INDEX(lk_legs,2))&lt;((((((2*IF(circ_int,0,eq_c2/2))+(PI()*(s_0+1*s_r+IF(circ_int,eq_c1/2,0))/2))+2*IF(circ_int,0,eq_c1/2))+(PI()*(s_0+1*s_r+IF(circ_int,eq_c1/2,0))/2))+2*IF(circ_int,0,eq_c2/2))+(PI()*(s_0+1*s_r+IF(circ_int,eq_c1/2,0))/2)),-IF(circ_int,0,eq_c1/2)+(s_0+1*s_r+IF(circ_int,eq_c1/2,0))*COS(PI()+(((35+0.5)*(4*IF(circ_int,0,eq_c1/2)+4*IF(circ_int,0,eq_c2/2)+2*PI()*(s_0+1*s_r+IF(circ_int,eq_c1/2,0)))/INDEX(lk_legs,2))-(((((2*IF(circ_int,0,eq_c2/2))+(PI()*(s_0+1*s_r+IF(circ_int,eq_c1/2,0))/2))+2*IF(circ_int,0,eq_c1/2))+(PI()*(s_0+1*s_r+IF(circ_int,eq_c1/2,0))/2))+2*IF(circ_int,0,eq_c2/2)))/(s_0+1*s_r+IF(circ_int,eq_c1/2,0))),IF(((35+0.5)*(4*IF(circ_int,0,eq_c1/2)+4*IF(circ_int,0,eq_c2/2)+2*PI()*(s_0+1*s_r+IF(circ_int,eq_c1/2,0)))/INDEX(lk_legs,2))&lt;(((((((2*IF(circ_int,0,eq_c2/2))+(PI()*(s_0+1*s_r+IF(circ_int,eq_c1/2,0))/2))+2*IF(circ_int,0,eq_c1/2))+(PI()*(s_0+1*s_r+IF(circ_int,eq_c1/2,0))/2))+2*IF(circ_int,0,eq_c2/2))+(PI()*(s_0+1*s_r+IF(circ_int,eq_c1/2,0))/2))+2*IF(circ_int,0,eq_c1/2)),-IF(circ_int,0,eq_c1/2)+(((35+0.5)*(4*IF(circ_int,0,eq_c1/2)+4*IF(circ_int,0,eq_c2/2)+2*PI()*(s_0+1*s_r+IF(circ_int,eq_c1/2,0)))/INDEX(lk_legs,2))-((((((2*IF(circ_int,0,eq_c2/2))+(PI()*(s_0+1*s_r+IF(circ_int,eq_c1/2,0))/2))+2*IF(circ_int,0,eq_c1/2))+(PI()*(s_0+1*s_r+IF(circ_int,eq_c1/2,0))/2))+2*IF(circ_int,0,eq_c2/2))+(PI()*(s_0+1*s_r+IF(circ_int,eq_c1/2,0))/2))),IF(circ_int,0,eq_c1/2)+(s_0+1*s_r+IF(circ_int,eq_c1/2,0))*COS(3*PI()/2+(((35+0.5)*(4*IF(circ_int,0,eq_c1/2)+4*IF(circ_int,0,eq_c2/2)+2*PI()*(s_0+1*s_r+IF(circ_int,eq_c1/2,0)))/INDEX(lk_legs,2))-(((((((2*IF(circ_int,0,eq_c2/2))+(PI()*(s_0+1*s_r+IF(circ_int,eq_c1/2,0))/2))+2*IF(circ_int,0,eq_c1/2))+(PI()*(s_0+1*s_r+IF(circ_int,eq_c1/2,0))/2))+2*IF(circ_int,0,eq_c2/2))+(PI()*(s_0+1*s_r+IF(circ_int,eq_c1/2,0))/2))+2*IF(circ_int,0,eq_c1/2)))/(s_0+1*s_r+IF(circ_int,eq_c1/2,0)))))))))),NA())</f>
        <v/>
      </c>
      <c r="BG38">
        <f>IF(AND(AND(links_on,2&lt;=n_per),INDEX(lk_kind,2)=1,35&lt;INDEX(lk_legs,2)),g_oy+IF(((35+0.5)*(4*IF(circ_int,0,eq_c1/2)+4*IF(circ_int,0,eq_c2/2)+2*PI()*(s_0+1*s_r+IF(circ_int,eq_c1/2,0)))/INDEX(lk_legs,2))&lt;(2*IF(circ_int,0,eq_c2/2)),-IF(circ_int,0,eq_c2/2)+((35+0.5)*(4*IF(circ_int,0,eq_c1/2)+4*IF(circ_int,0,eq_c2/2)+2*PI()*(s_0+1*s_r+IF(circ_int,eq_c1/2,0)))/INDEX(lk_legs,2)),IF(((35+0.5)*(4*IF(circ_int,0,eq_c1/2)+4*IF(circ_int,0,eq_c2/2)+2*PI()*(s_0+1*s_r+IF(circ_int,eq_c1/2,0)))/INDEX(lk_legs,2))&lt;((2*IF(circ_int,0,eq_c2/2))+(PI()*(s_0+1*s_r+IF(circ_int,eq_c1/2,0))/2)),IF(circ_int,0,eq_c2/2)+(s_0+1*s_r+IF(circ_int,eq_c1/2,0))*SIN((((35+0.5)*(4*IF(circ_int,0,eq_c1/2)+4*IF(circ_int,0,eq_c2/2)+2*PI()*(s_0+1*s_r+IF(circ_int,eq_c1/2,0)))/INDEX(lk_legs,2))-(2*IF(circ_int,0,eq_c2/2)))/(s_0+1*s_r+IF(circ_int,eq_c1/2,0))),IF(((35+0.5)*(4*IF(circ_int,0,eq_c1/2)+4*IF(circ_int,0,eq_c2/2)+2*PI()*(s_0+1*s_r+IF(circ_int,eq_c1/2,0)))/INDEX(lk_legs,2))&lt;(((2*IF(circ_int,0,eq_c2/2))+(PI()*(s_0+1*s_r+IF(circ_int,eq_c1/2,0))/2))+2*IF(circ_int,0,eq_c1/2)),IF(circ_int,0,eq_c2/2)+(s_0+1*s_r+IF(circ_int,eq_c1/2,0)),IF(((35+0.5)*(4*IF(circ_int,0,eq_c1/2)+4*IF(circ_int,0,eq_c2/2)+2*PI()*(s_0+1*s_r+IF(circ_int,eq_c1/2,0)))/INDEX(lk_legs,2))&lt;((((2*IF(circ_int,0,eq_c2/2))+(PI()*(s_0+1*s_r+IF(circ_int,eq_c1/2,0))/2))+2*IF(circ_int,0,eq_c1/2))+(PI()*(s_0+1*s_r+IF(circ_int,eq_c1/2,0))/2)),IF(circ_int,0,eq_c2/2)+(s_0+1*s_r+IF(circ_int,eq_c1/2,0))*SIN(PI()/2+(((35+0.5)*(4*IF(circ_int,0,eq_c1/2)+4*IF(circ_int,0,eq_c2/2)+2*PI()*(s_0+1*s_r+IF(circ_int,eq_c1/2,0)))/INDEX(lk_legs,2))-(((2*IF(circ_int,0,eq_c2/2))+(PI()*(s_0+1*s_r+IF(circ_int,eq_c1/2,0))/2))+2*IF(circ_int,0,eq_c1/2)))/(s_0+1*s_r+IF(circ_int,eq_c1/2,0))),IF(((35+0.5)*(4*IF(circ_int,0,eq_c1/2)+4*IF(circ_int,0,eq_c2/2)+2*PI()*(s_0+1*s_r+IF(circ_int,eq_c1/2,0)))/INDEX(lk_legs,2))&lt;(((((2*IF(circ_int,0,eq_c2/2))+(PI()*(s_0+1*s_r+IF(circ_int,eq_c1/2,0))/2))+2*IF(circ_int,0,eq_c1/2))+(PI()*(s_0+1*s_r+IF(circ_int,eq_c1/2,0))/2))+2*IF(circ_int,0,eq_c2/2)),IF(circ_int,0,eq_c2/2)-(((35+0.5)*(4*IF(circ_int,0,eq_c1/2)+4*IF(circ_int,0,eq_c2/2)+2*PI()*(s_0+1*s_r+IF(circ_int,eq_c1/2,0)))/INDEX(lk_legs,2))-((((2*IF(circ_int,0,eq_c2/2))+(PI()*(s_0+1*s_r+IF(circ_int,eq_c1/2,0))/2))+2*IF(circ_int,0,eq_c1/2))+(PI()*(s_0+1*s_r+IF(circ_int,eq_c1/2,0))/2))),IF(((35+0.5)*(4*IF(circ_int,0,eq_c1/2)+4*IF(circ_int,0,eq_c2/2)+2*PI()*(s_0+1*s_r+IF(circ_int,eq_c1/2,0)))/INDEX(lk_legs,2))&lt;((((((2*IF(circ_int,0,eq_c2/2))+(PI()*(s_0+1*s_r+IF(circ_int,eq_c1/2,0))/2))+2*IF(circ_int,0,eq_c1/2))+(PI()*(s_0+1*s_r+IF(circ_int,eq_c1/2,0))/2))+2*IF(circ_int,0,eq_c2/2))+(PI()*(s_0+1*s_r+IF(circ_int,eq_c1/2,0))/2)),-IF(circ_int,0,eq_c2/2)+(s_0+1*s_r+IF(circ_int,eq_c1/2,0))*SIN(PI()+(((35+0.5)*(4*IF(circ_int,0,eq_c1/2)+4*IF(circ_int,0,eq_c2/2)+2*PI()*(s_0+1*s_r+IF(circ_int,eq_c1/2,0)))/INDEX(lk_legs,2))-(((((2*IF(circ_int,0,eq_c2/2))+(PI()*(s_0+1*s_r+IF(circ_int,eq_c1/2,0))/2))+2*IF(circ_int,0,eq_c1/2))+(PI()*(s_0+1*s_r+IF(circ_int,eq_c1/2,0))/2))+2*IF(circ_int,0,eq_c2/2)))/(s_0+1*s_r+IF(circ_int,eq_c1/2,0))),IF(((35+0.5)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(35+0.5)*(4*IF(circ_int,0,eq_c1/2)+4*IF(circ_int,0,eq_c2/2)+2*PI()*(s_0+1*s_r+IF(circ_int,eq_c1/2,0)))/INDEX(lk_legs,2))-(((((((2*IF(circ_int,0,eq_c2/2))+(PI()*(s_0+1*s_r+IF(circ_int,eq_c1/2,0))/2))+2*IF(circ_int,0,eq_c1/2))+(PI()*(s_0+1*s_r+IF(circ_int,eq_c1/2,0))/2))+2*IF(circ_int,0,eq_c2/2))+(PI()*(s_0+1*s_r+IF(circ_int,eq_c1/2,0))/2))+2*IF(circ_int,0,eq_c1/2)))/(s_0+1*s_r+IF(circ_int,eq_c1/2,0)))))))))),NA())</f>
        <v/>
      </c>
      <c r="BI38">
        <f>IF(AND(links_on,3&lt;=n_per),IF(circ_int,(g_ox)+(c_1/2+(s_0+2*s_r))*-0.464723,CHOOSE(INDEX(lk_kind,3),(g_ox-eq_c1/2)+((s_0+2*s_r))*-0.382683,0,eq_a1+eq_c1+(s_0+2*s_r),eq_a1+eq_c1+(s_0+2*s_r))),NA())</f>
        <v/>
      </c>
      <c r="BJ38">
        <f>IF(AND(links_on,3&lt;=n_per),IF(circ_int,(g_oy)+(c_1/2+(s_0+2*s_r))*-0.885456,CHOOSE(INDEX(lk_kind,3),(g_oy-eq_c2/2)+((s_0+2*s_r))*-0.923880,g_oy-eq_c2/2-(s_0+2*s_r),0,0)),NA())</f>
        <v/>
      </c>
      <c r="BL38">
        <f>IF(AND(AND(links_on,3&lt;=n_per),INDEX(lk_kind,3)=1,35&lt;INDEX(lk_legs,3)),g_ox+IF(((35+0.5)*(4*IF(circ_int,0,eq_c1/2)+4*IF(circ_int,0,eq_c2/2)+2*PI()*(s_0+2*s_r+IF(circ_int,eq_c1/2,0)))/INDEX(lk_legs,3))&lt;(2*IF(circ_int,0,eq_c2/2)),IF(circ_int,0,eq_c1/2)+(s_0+2*s_r+IF(circ_int,eq_c1/2,0)),IF(((35+0.5)*(4*IF(circ_int,0,eq_c1/2)+4*IF(circ_int,0,eq_c2/2)+2*PI()*(s_0+2*s_r+IF(circ_int,eq_c1/2,0)))/INDEX(lk_legs,3))&lt;((2*IF(circ_int,0,eq_c2/2))+(PI()*(s_0+2*s_r+IF(circ_int,eq_c1/2,0))/2)),IF(circ_int,0,eq_c1/2)+(s_0+2*s_r+IF(circ_int,eq_c1/2,0))*COS((((35+0.5)*(4*IF(circ_int,0,eq_c1/2)+4*IF(circ_int,0,eq_c2/2)+2*PI()*(s_0+2*s_r+IF(circ_int,eq_c1/2,0)))/INDEX(lk_legs,3))-(2*IF(circ_int,0,eq_c2/2)))/(s_0+2*s_r+IF(circ_int,eq_c1/2,0))),IF(((35+0.5)*(4*IF(circ_int,0,eq_c1/2)+4*IF(circ_int,0,eq_c2/2)+2*PI()*(s_0+2*s_r+IF(circ_int,eq_c1/2,0)))/INDEX(lk_legs,3))&lt;(((2*IF(circ_int,0,eq_c2/2))+(PI()*(s_0+2*s_r+IF(circ_int,eq_c1/2,0))/2))+2*IF(circ_int,0,eq_c1/2)),IF(circ_int,0,eq_c1/2)-(((35+0.5)*(4*IF(circ_int,0,eq_c1/2)+4*IF(circ_int,0,eq_c2/2)+2*PI()*(s_0+2*s_r+IF(circ_int,eq_c1/2,0)))/INDEX(lk_legs,3))-((2*IF(circ_int,0,eq_c2/2))+(PI()*(s_0+2*s_r+IF(circ_int,eq_c1/2,0))/2))),IF(((35+0.5)*(4*IF(circ_int,0,eq_c1/2)+4*IF(circ_int,0,eq_c2/2)+2*PI()*(s_0+2*s_r+IF(circ_int,eq_c1/2,0)))/INDEX(lk_legs,3))&lt;((((2*IF(circ_int,0,eq_c2/2))+(PI()*(s_0+2*s_r+IF(circ_int,eq_c1/2,0))/2))+2*IF(circ_int,0,eq_c1/2))+(PI()*(s_0+2*s_r+IF(circ_int,eq_c1/2,0))/2)),-IF(circ_int,0,eq_c1/2)+(s_0+2*s_r+IF(circ_int,eq_c1/2,0))*COS(PI()/2+(((35+0.5)*(4*IF(circ_int,0,eq_c1/2)+4*IF(circ_int,0,eq_c2/2)+2*PI()*(s_0+2*s_r+IF(circ_int,eq_c1/2,0)))/INDEX(lk_legs,3))-(((2*IF(circ_int,0,eq_c2/2))+(PI()*(s_0+2*s_r+IF(circ_int,eq_c1/2,0))/2))+2*IF(circ_int,0,eq_c1/2)))/(s_0+2*s_r+IF(circ_int,eq_c1/2,0))),IF(((35+0.5)*(4*IF(circ_int,0,eq_c1/2)+4*IF(circ_int,0,eq_c2/2)+2*PI()*(s_0+2*s_r+IF(circ_int,eq_c1/2,0)))/INDEX(lk_legs,3))&lt;(((((2*IF(circ_int,0,eq_c2/2))+(PI()*(s_0+2*s_r+IF(circ_int,eq_c1/2,0))/2))+2*IF(circ_int,0,eq_c1/2))+(PI()*(s_0+2*s_r+IF(circ_int,eq_c1/2,0))/2))+2*IF(circ_int,0,eq_c2/2)),-IF(circ_int,0,eq_c1/2)-(s_0+2*s_r+IF(circ_int,eq_c1/2,0)),IF(((35+0.5)*(4*IF(circ_int,0,eq_c1/2)+4*IF(circ_int,0,eq_c2/2)+2*PI()*(s_0+2*s_r+IF(circ_int,eq_c1/2,0)))/INDEX(lk_legs,3))&lt;((((((2*IF(circ_int,0,eq_c2/2))+(PI()*(s_0+2*s_r+IF(circ_int,eq_c1/2,0))/2))+2*IF(circ_int,0,eq_c1/2))+(PI()*(s_0+2*s_r+IF(circ_int,eq_c1/2,0))/2))+2*IF(circ_int,0,eq_c2/2))+(PI()*(s_0+2*s_r+IF(circ_int,eq_c1/2,0))/2)),-IF(circ_int,0,eq_c1/2)+(s_0+2*s_r+IF(circ_int,eq_c1/2,0))*COS(PI()+(((35+0.5)*(4*IF(circ_int,0,eq_c1/2)+4*IF(circ_int,0,eq_c2/2)+2*PI()*(s_0+2*s_r+IF(circ_int,eq_c1/2,0)))/INDEX(lk_legs,3))-(((((2*IF(circ_int,0,eq_c2/2))+(PI()*(s_0+2*s_r+IF(circ_int,eq_c1/2,0))/2))+2*IF(circ_int,0,eq_c1/2))+(PI()*(s_0+2*s_r+IF(circ_int,eq_c1/2,0))/2))+2*IF(circ_int,0,eq_c2/2)))/(s_0+2*s_r+IF(circ_int,eq_c1/2,0))),IF(((35+0.5)*(4*IF(circ_int,0,eq_c1/2)+4*IF(circ_int,0,eq_c2/2)+2*PI()*(s_0+2*s_r+IF(circ_int,eq_c1/2,0)))/INDEX(lk_legs,3))&lt;(((((((2*IF(circ_int,0,eq_c2/2))+(PI()*(s_0+2*s_r+IF(circ_int,eq_c1/2,0))/2))+2*IF(circ_int,0,eq_c1/2))+(PI()*(s_0+2*s_r+IF(circ_int,eq_c1/2,0))/2))+2*IF(circ_int,0,eq_c2/2))+(PI()*(s_0+2*s_r+IF(circ_int,eq_c1/2,0))/2))+2*IF(circ_int,0,eq_c1/2)),-IF(circ_int,0,eq_c1/2)+(((35+0.5)*(4*IF(circ_int,0,eq_c1/2)+4*IF(circ_int,0,eq_c2/2)+2*PI()*(s_0+2*s_r+IF(circ_int,eq_c1/2,0)))/INDEX(lk_legs,3))-((((((2*IF(circ_int,0,eq_c2/2))+(PI()*(s_0+2*s_r+IF(circ_int,eq_c1/2,0))/2))+2*IF(circ_int,0,eq_c1/2))+(PI()*(s_0+2*s_r+IF(circ_int,eq_c1/2,0))/2))+2*IF(circ_int,0,eq_c2/2))+(PI()*(s_0+2*s_r+IF(circ_int,eq_c1/2,0))/2))),IF(circ_int,0,eq_c1/2)+(s_0+2*s_r+IF(circ_int,eq_c1/2,0))*COS(3*PI()/2+(((35+0.5)*(4*IF(circ_int,0,eq_c1/2)+4*IF(circ_int,0,eq_c2/2)+2*PI()*(s_0+2*s_r+IF(circ_int,eq_c1/2,0)))/INDEX(lk_legs,3))-(((((((2*IF(circ_int,0,eq_c2/2))+(PI()*(s_0+2*s_r+IF(circ_int,eq_c1/2,0))/2))+2*IF(circ_int,0,eq_c1/2))+(PI()*(s_0+2*s_r+IF(circ_int,eq_c1/2,0))/2))+2*IF(circ_int,0,eq_c2/2))+(PI()*(s_0+2*s_r+IF(circ_int,eq_c1/2,0))/2))+2*IF(circ_int,0,eq_c1/2)))/(s_0+2*s_r+IF(circ_int,eq_c1/2,0)))))))))),NA())</f>
        <v/>
      </c>
      <c r="BM38">
        <f>IF(AND(AND(links_on,3&lt;=n_per),INDEX(lk_kind,3)=1,35&lt;INDEX(lk_legs,3)),g_oy+IF(((35+0.5)*(4*IF(circ_int,0,eq_c1/2)+4*IF(circ_int,0,eq_c2/2)+2*PI()*(s_0+2*s_r+IF(circ_int,eq_c1/2,0)))/INDEX(lk_legs,3))&lt;(2*IF(circ_int,0,eq_c2/2)),-IF(circ_int,0,eq_c2/2)+((35+0.5)*(4*IF(circ_int,0,eq_c1/2)+4*IF(circ_int,0,eq_c2/2)+2*PI()*(s_0+2*s_r+IF(circ_int,eq_c1/2,0)))/INDEX(lk_legs,3)),IF(((35+0.5)*(4*IF(circ_int,0,eq_c1/2)+4*IF(circ_int,0,eq_c2/2)+2*PI()*(s_0+2*s_r+IF(circ_int,eq_c1/2,0)))/INDEX(lk_legs,3))&lt;((2*IF(circ_int,0,eq_c2/2))+(PI()*(s_0+2*s_r+IF(circ_int,eq_c1/2,0))/2)),IF(circ_int,0,eq_c2/2)+(s_0+2*s_r+IF(circ_int,eq_c1/2,0))*SIN((((35+0.5)*(4*IF(circ_int,0,eq_c1/2)+4*IF(circ_int,0,eq_c2/2)+2*PI()*(s_0+2*s_r+IF(circ_int,eq_c1/2,0)))/INDEX(lk_legs,3))-(2*IF(circ_int,0,eq_c2/2)))/(s_0+2*s_r+IF(circ_int,eq_c1/2,0))),IF(((35+0.5)*(4*IF(circ_int,0,eq_c1/2)+4*IF(circ_int,0,eq_c2/2)+2*PI()*(s_0+2*s_r+IF(circ_int,eq_c1/2,0)))/INDEX(lk_legs,3))&lt;(((2*IF(circ_int,0,eq_c2/2))+(PI()*(s_0+2*s_r+IF(circ_int,eq_c1/2,0))/2))+2*IF(circ_int,0,eq_c1/2)),IF(circ_int,0,eq_c2/2)+(s_0+2*s_r+IF(circ_int,eq_c1/2,0)),IF(((35+0.5)*(4*IF(circ_int,0,eq_c1/2)+4*IF(circ_int,0,eq_c2/2)+2*PI()*(s_0+2*s_r+IF(circ_int,eq_c1/2,0)))/INDEX(lk_legs,3))&lt;((((2*IF(circ_int,0,eq_c2/2))+(PI()*(s_0+2*s_r+IF(circ_int,eq_c1/2,0))/2))+2*IF(circ_int,0,eq_c1/2))+(PI()*(s_0+2*s_r+IF(circ_int,eq_c1/2,0))/2)),IF(circ_int,0,eq_c2/2)+(s_0+2*s_r+IF(circ_int,eq_c1/2,0))*SIN(PI()/2+(((35+0.5)*(4*IF(circ_int,0,eq_c1/2)+4*IF(circ_int,0,eq_c2/2)+2*PI()*(s_0+2*s_r+IF(circ_int,eq_c1/2,0)))/INDEX(lk_legs,3))-(((2*IF(circ_int,0,eq_c2/2))+(PI()*(s_0+2*s_r+IF(circ_int,eq_c1/2,0))/2))+2*IF(circ_int,0,eq_c1/2)))/(s_0+2*s_r+IF(circ_int,eq_c1/2,0))),IF(((35+0.5)*(4*IF(circ_int,0,eq_c1/2)+4*IF(circ_int,0,eq_c2/2)+2*PI()*(s_0+2*s_r+IF(circ_int,eq_c1/2,0)))/INDEX(lk_legs,3))&lt;(((((2*IF(circ_int,0,eq_c2/2))+(PI()*(s_0+2*s_r+IF(circ_int,eq_c1/2,0))/2))+2*IF(circ_int,0,eq_c1/2))+(PI()*(s_0+2*s_r+IF(circ_int,eq_c1/2,0))/2))+2*IF(circ_int,0,eq_c2/2)),IF(circ_int,0,eq_c2/2)-(((35+0.5)*(4*IF(circ_int,0,eq_c1/2)+4*IF(circ_int,0,eq_c2/2)+2*PI()*(s_0+2*s_r+IF(circ_int,eq_c1/2,0)))/INDEX(lk_legs,3))-((((2*IF(circ_int,0,eq_c2/2))+(PI()*(s_0+2*s_r+IF(circ_int,eq_c1/2,0))/2))+2*IF(circ_int,0,eq_c1/2))+(PI()*(s_0+2*s_r+IF(circ_int,eq_c1/2,0))/2))),IF(((35+0.5)*(4*IF(circ_int,0,eq_c1/2)+4*IF(circ_int,0,eq_c2/2)+2*PI()*(s_0+2*s_r+IF(circ_int,eq_c1/2,0)))/INDEX(lk_legs,3))&lt;((((((2*IF(circ_int,0,eq_c2/2))+(PI()*(s_0+2*s_r+IF(circ_int,eq_c1/2,0))/2))+2*IF(circ_int,0,eq_c1/2))+(PI()*(s_0+2*s_r+IF(circ_int,eq_c1/2,0))/2))+2*IF(circ_int,0,eq_c2/2))+(PI()*(s_0+2*s_r+IF(circ_int,eq_c1/2,0))/2)),-IF(circ_int,0,eq_c2/2)+(s_0+2*s_r+IF(circ_int,eq_c1/2,0))*SIN(PI()+(((35+0.5)*(4*IF(circ_int,0,eq_c1/2)+4*IF(circ_int,0,eq_c2/2)+2*PI()*(s_0+2*s_r+IF(circ_int,eq_c1/2,0)))/INDEX(lk_legs,3))-(((((2*IF(circ_int,0,eq_c2/2))+(PI()*(s_0+2*s_r+IF(circ_int,eq_c1/2,0))/2))+2*IF(circ_int,0,eq_c1/2))+(PI()*(s_0+2*s_r+IF(circ_int,eq_c1/2,0))/2))+2*IF(circ_int,0,eq_c2/2)))/(s_0+2*s_r+IF(circ_int,eq_c1/2,0))),IF(((35+0.5)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(35+0.5)*(4*IF(circ_int,0,eq_c1/2)+4*IF(circ_int,0,eq_c2/2)+2*PI()*(s_0+2*s_r+IF(circ_int,eq_c1/2,0)))/INDEX(lk_legs,3))-(((((((2*IF(circ_int,0,eq_c2/2))+(PI()*(s_0+2*s_r+IF(circ_int,eq_c1/2,0))/2))+2*IF(circ_int,0,eq_c1/2))+(PI()*(s_0+2*s_r+IF(circ_int,eq_c1/2,0))/2))+2*IF(circ_int,0,eq_c2/2))+(PI()*(s_0+2*s_r+IF(circ_int,eq_c1/2,0))/2))+2*IF(circ_int,0,eq_c1/2)))/(s_0+2*s_r+IF(circ_int,eq_c1/2,0)))))))))),NA())</f>
        <v/>
      </c>
      <c r="BO38">
        <f>IF(AND(links_on,4&lt;=n_per),IF(circ_int,(g_ox)+(c_1/2+(s_0+3*s_r))*-0.464723,CHOOSE(INDEX(lk_kind,4),(g_ox-eq_c1/2)+((s_0+3*s_r))*-0.382683,0,eq_a1+eq_c1+(s_0+3*s_r),eq_a1+eq_c1+(s_0+3*s_r))),NA())</f>
        <v/>
      </c>
      <c r="BP38">
        <f>IF(AND(links_on,4&lt;=n_per),IF(circ_int,(g_oy)+(c_1/2+(s_0+3*s_r))*-0.885456,CHOOSE(INDEX(lk_kind,4),(g_oy-eq_c2/2)+((s_0+3*s_r))*-0.923880,g_oy-eq_c2/2-(s_0+3*s_r),0,0)),NA())</f>
        <v/>
      </c>
      <c r="BR38">
        <f>IF(AND(AND(links_on,4&lt;=n_per),INDEX(lk_kind,4)=1,35&lt;INDEX(lk_legs,4)),g_ox+IF(((35+0.5)*(4*IF(circ_int,0,eq_c1/2)+4*IF(circ_int,0,eq_c2/2)+2*PI()*(s_0+3*s_r+IF(circ_int,eq_c1/2,0)))/INDEX(lk_legs,4))&lt;(2*IF(circ_int,0,eq_c2/2)),IF(circ_int,0,eq_c1/2)+(s_0+3*s_r+IF(circ_int,eq_c1/2,0)),IF(((35+0.5)*(4*IF(circ_int,0,eq_c1/2)+4*IF(circ_int,0,eq_c2/2)+2*PI()*(s_0+3*s_r+IF(circ_int,eq_c1/2,0)))/INDEX(lk_legs,4))&lt;((2*IF(circ_int,0,eq_c2/2))+(PI()*(s_0+3*s_r+IF(circ_int,eq_c1/2,0))/2)),IF(circ_int,0,eq_c1/2)+(s_0+3*s_r+IF(circ_int,eq_c1/2,0))*COS((((35+0.5)*(4*IF(circ_int,0,eq_c1/2)+4*IF(circ_int,0,eq_c2/2)+2*PI()*(s_0+3*s_r+IF(circ_int,eq_c1/2,0)))/INDEX(lk_legs,4))-(2*IF(circ_int,0,eq_c2/2)))/(s_0+3*s_r+IF(circ_int,eq_c1/2,0))),IF(((35+0.5)*(4*IF(circ_int,0,eq_c1/2)+4*IF(circ_int,0,eq_c2/2)+2*PI()*(s_0+3*s_r+IF(circ_int,eq_c1/2,0)))/INDEX(lk_legs,4))&lt;(((2*IF(circ_int,0,eq_c2/2))+(PI()*(s_0+3*s_r+IF(circ_int,eq_c1/2,0))/2))+2*IF(circ_int,0,eq_c1/2)),IF(circ_int,0,eq_c1/2)-(((35+0.5)*(4*IF(circ_int,0,eq_c1/2)+4*IF(circ_int,0,eq_c2/2)+2*PI()*(s_0+3*s_r+IF(circ_int,eq_c1/2,0)))/INDEX(lk_legs,4))-((2*IF(circ_int,0,eq_c2/2))+(PI()*(s_0+3*s_r+IF(circ_int,eq_c1/2,0))/2))),IF(((35+0.5)*(4*IF(circ_int,0,eq_c1/2)+4*IF(circ_int,0,eq_c2/2)+2*PI()*(s_0+3*s_r+IF(circ_int,eq_c1/2,0)))/INDEX(lk_legs,4))&lt;((((2*IF(circ_int,0,eq_c2/2))+(PI()*(s_0+3*s_r+IF(circ_int,eq_c1/2,0))/2))+2*IF(circ_int,0,eq_c1/2))+(PI()*(s_0+3*s_r+IF(circ_int,eq_c1/2,0))/2)),-IF(circ_int,0,eq_c1/2)+(s_0+3*s_r+IF(circ_int,eq_c1/2,0))*COS(PI()/2+(((35+0.5)*(4*IF(circ_int,0,eq_c1/2)+4*IF(circ_int,0,eq_c2/2)+2*PI()*(s_0+3*s_r+IF(circ_int,eq_c1/2,0)))/INDEX(lk_legs,4))-(((2*IF(circ_int,0,eq_c2/2))+(PI()*(s_0+3*s_r+IF(circ_int,eq_c1/2,0))/2))+2*IF(circ_int,0,eq_c1/2)))/(s_0+3*s_r+IF(circ_int,eq_c1/2,0))),IF(((35+0.5)*(4*IF(circ_int,0,eq_c1/2)+4*IF(circ_int,0,eq_c2/2)+2*PI()*(s_0+3*s_r+IF(circ_int,eq_c1/2,0)))/INDEX(lk_legs,4))&lt;(((((2*IF(circ_int,0,eq_c2/2))+(PI()*(s_0+3*s_r+IF(circ_int,eq_c1/2,0))/2))+2*IF(circ_int,0,eq_c1/2))+(PI()*(s_0+3*s_r+IF(circ_int,eq_c1/2,0))/2))+2*IF(circ_int,0,eq_c2/2)),-IF(circ_int,0,eq_c1/2)-(s_0+3*s_r+IF(circ_int,eq_c1/2,0)),IF(((35+0.5)*(4*IF(circ_int,0,eq_c1/2)+4*IF(circ_int,0,eq_c2/2)+2*PI()*(s_0+3*s_r+IF(circ_int,eq_c1/2,0)))/INDEX(lk_legs,4))&lt;((((((2*IF(circ_int,0,eq_c2/2))+(PI()*(s_0+3*s_r+IF(circ_int,eq_c1/2,0))/2))+2*IF(circ_int,0,eq_c1/2))+(PI()*(s_0+3*s_r+IF(circ_int,eq_c1/2,0))/2))+2*IF(circ_int,0,eq_c2/2))+(PI()*(s_0+3*s_r+IF(circ_int,eq_c1/2,0))/2)),-IF(circ_int,0,eq_c1/2)+(s_0+3*s_r+IF(circ_int,eq_c1/2,0))*COS(PI()+(((35+0.5)*(4*IF(circ_int,0,eq_c1/2)+4*IF(circ_int,0,eq_c2/2)+2*PI()*(s_0+3*s_r+IF(circ_int,eq_c1/2,0)))/INDEX(lk_legs,4))-(((((2*IF(circ_int,0,eq_c2/2))+(PI()*(s_0+3*s_r+IF(circ_int,eq_c1/2,0))/2))+2*IF(circ_int,0,eq_c1/2))+(PI()*(s_0+3*s_r+IF(circ_int,eq_c1/2,0))/2))+2*IF(circ_int,0,eq_c2/2)))/(s_0+3*s_r+IF(circ_int,eq_c1/2,0))),IF(((35+0.5)*(4*IF(circ_int,0,eq_c1/2)+4*IF(circ_int,0,eq_c2/2)+2*PI()*(s_0+3*s_r+IF(circ_int,eq_c1/2,0)))/INDEX(lk_legs,4))&lt;(((((((2*IF(circ_int,0,eq_c2/2))+(PI()*(s_0+3*s_r+IF(circ_int,eq_c1/2,0))/2))+2*IF(circ_int,0,eq_c1/2))+(PI()*(s_0+3*s_r+IF(circ_int,eq_c1/2,0))/2))+2*IF(circ_int,0,eq_c2/2))+(PI()*(s_0+3*s_r+IF(circ_int,eq_c1/2,0))/2))+2*IF(circ_int,0,eq_c1/2)),-IF(circ_int,0,eq_c1/2)+(((35+0.5)*(4*IF(circ_int,0,eq_c1/2)+4*IF(circ_int,0,eq_c2/2)+2*PI()*(s_0+3*s_r+IF(circ_int,eq_c1/2,0)))/INDEX(lk_legs,4))-((((((2*IF(circ_int,0,eq_c2/2))+(PI()*(s_0+3*s_r+IF(circ_int,eq_c1/2,0))/2))+2*IF(circ_int,0,eq_c1/2))+(PI()*(s_0+3*s_r+IF(circ_int,eq_c1/2,0))/2))+2*IF(circ_int,0,eq_c2/2))+(PI()*(s_0+3*s_r+IF(circ_int,eq_c1/2,0))/2))),IF(circ_int,0,eq_c1/2)+(s_0+3*s_r+IF(circ_int,eq_c1/2,0))*COS(3*PI()/2+(((35+0.5)*(4*IF(circ_int,0,eq_c1/2)+4*IF(circ_int,0,eq_c2/2)+2*PI()*(s_0+3*s_r+IF(circ_int,eq_c1/2,0)))/INDEX(lk_legs,4))-(((((((2*IF(circ_int,0,eq_c2/2))+(PI()*(s_0+3*s_r+IF(circ_int,eq_c1/2,0))/2))+2*IF(circ_int,0,eq_c1/2))+(PI()*(s_0+3*s_r+IF(circ_int,eq_c1/2,0))/2))+2*IF(circ_int,0,eq_c2/2))+(PI()*(s_0+3*s_r+IF(circ_int,eq_c1/2,0))/2))+2*IF(circ_int,0,eq_c1/2)))/(s_0+3*s_r+IF(circ_int,eq_c1/2,0)))))))))),NA())</f>
        <v/>
      </c>
      <c r="BS38">
        <f>IF(AND(AND(links_on,4&lt;=n_per),INDEX(lk_kind,4)=1,35&lt;INDEX(lk_legs,4)),g_oy+IF(((35+0.5)*(4*IF(circ_int,0,eq_c1/2)+4*IF(circ_int,0,eq_c2/2)+2*PI()*(s_0+3*s_r+IF(circ_int,eq_c1/2,0)))/INDEX(lk_legs,4))&lt;(2*IF(circ_int,0,eq_c2/2)),-IF(circ_int,0,eq_c2/2)+((35+0.5)*(4*IF(circ_int,0,eq_c1/2)+4*IF(circ_int,0,eq_c2/2)+2*PI()*(s_0+3*s_r+IF(circ_int,eq_c1/2,0)))/INDEX(lk_legs,4)),IF(((35+0.5)*(4*IF(circ_int,0,eq_c1/2)+4*IF(circ_int,0,eq_c2/2)+2*PI()*(s_0+3*s_r+IF(circ_int,eq_c1/2,0)))/INDEX(lk_legs,4))&lt;((2*IF(circ_int,0,eq_c2/2))+(PI()*(s_0+3*s_r+IF(circ_int,eq_c1/2,0))/2)),IF(circ_int,0,eq_c2/2)+(s_0+3*s_r+IF(circ_int,eq_c1/2,0))*SIN((((35+0.5)*(4*IF(circ_int,0,eq_c1/2)+4*IF(circ_int,0,eq_c2/2)+2*PI()*(s_0+3*s_r+IF(circ_int,eq_c1/2,0)))/INDEX(lk_legs,4))-(2*IF(circ_int,0,eq_c2/2)))/(s_0+3*s_r+IF(circ_int,eq_c1/2,0))),IF(((35+0.5)*(4*IF(circ_int,0,eq_c1/2)+4*IF(circ_int,0,eq_c2/2)+2*PI()*(s_0+3*s_r+IF(circ_int,eq_c1/2,0)))/INDEX(lk_legs,4))&lt;(((2*IF(circ_int,0,eq_c2/2))+(PI()*(s_0+3*s_r+IF(circ_int,eq_c1/2,0))/2))+2*IF(circ_int,0,eq_c1/2)),IF(circ_int,0,eq_c2/2)+(s_0+3*s_r+IF(circ_int,eq_c1/2,0)),IF(((35+0.5)*(4*IF(circ_int,0,eq_c1/2)+4*IF(circ_int,0,eq_c2/2)+2*PI()*(s_0+3*s_r+IF(circ_int,eq_c1/2,0)))/INDEX(lk_legs,4))&lt;((((2*IF(circ_int,0,eq_c2/2))+(PI()*(s_0+3*s_r+IF(circ_int,eq_c1/2,0))/2))+2*IF(circ_int,0,eq_c1/2))+(PI()*(s_0+3*s_r+IF(circ_int,eq_c1/2,0))/2)),IF(circ_int,0,eq_c2/2)+(s_0+3*s_r+IF(circ_int,eq_c1/2,0))*SIN(PI()/2+(((35+0.5)*(4*IF(circ_int,0,eq_c1/2)+4*IF(circ_int,0,eq_c2/2)+2*PI()*(s_0+3*s_r+IF(circ_int,eq_c1/2,0)))/INDEX(lk_legs,4))-(((2*IF(circ_int,0,eq_c2/2))+(PI()*(s_0+3*s_r+IF(circ_int,eq_c1/2,0))/2))+2*IF(circ_int,0,eq_c1/2)))/(s_0+3*s_r+IF(circ_int,eq_c1/2,0))),IF(((35+0.5)*(4*IF(circ_int,0,eq_c1/2)+4*IF(circ_int,0,eq_c2/2)+2*PI()*(s_0+3*s_r+IF(circ_int,eq_c1/2,0)))/INDEX(lk_legs,4))&lt;(((((2*IF(circ_int,0,eq_c2/2))+(PI()*(s_0+3*s_r+IF(circ_int,eq_c1/2,0))/2))+2*IF(circ_int,0,eq_c1/2))+(PI()*(s_0+3*s_r+IF(circ_int,eq_c1/2,0))/2))+2*IF(circ_int,0,eq_c2/2)),IF(circ_int,0,eq_c2/2)-(((35+0.5)*(4*IF(circ_int,0,eq_c1/2)+4*IF(circ_int,0,eq_c2/2)+2*PI()*(s_0+3*s_r+IF(circ_int,eq_c1/2,0)))/INDEX(lk_legs,4))-((((2*IF(circ_int,0,eq_c2/2))+(PI()*(s_0+3*s_r+IF(circ_int,eq_c1/2,0))/2))+2*IF(circ_int,0,eq_c1/2))+(PI()*(s_0+3*s_r+IF(circ_int,eq_c1/2,0))/2))),IF(((35+0.5)*(4*IF(circ_int,0,eq_c1/2)+4*IF(circ_int,0,eq_c2/2)+2*PI()*(s_0+3*s_r+IF(circ_int,eq_c1/2,0)))/INDEX(lk_legs,4))&lt;((((((2*IF(circ_int,0,eq_c2/2))+(PI()*(s_0+3*s_r+IF(circ_int,eq_c1/2,0))/2))+2*IF(circ_int,0,eq_c1/2))+(PI()*(s_0+3*s_r+IF(circ_int,eq_c1/2,0))/2))+2*IF(circ_int,0,eq_c2/2))+(PI()*(s_0+3*s_r+IF(circ_int,eq_c1/2,0))/2)),-IF(circ_int,0,eq_c2/2)+(s_0+3*s_r+IF(circ_int,eq_c1/2,0))*SIN(PI()+(((35+0.5)*(4*IF(circ_int,0,eq_c1/2)+4*IF(circ_int,0,eq_c2/2)+2*PI()*(s_0+3*s_r+IF(circ_int,eq_c1/2,0)))/INDEX(lk_legs,4))-(((((2*IF(circ_int,0,eq_c2/2))+(PI()*(s_0+3*s_r+IF(circ_int,eq_c1/2,0))/2))+2*IF(circ_int,0,eq_c1/2))+(PI()*(s_0+3*s_r+IF(circ_int,eq_c1/2,0))/2))+2*IF(circ_int,0,eq_c2/2)))/(s_0+3*s_r+IF(circ_int,eq_c1/2,0))),IF(((35+0.5)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(35+0.5)*(4*IF(circ_int,0,eq_c1/2)+4*IF(circ_int,0,eq_c2/2)+2*PI()*(s_0+3*s_r+IF(circ_int,eq_c1/2,0)))/INDEX(lk_legs,4))-(((((((2*IF(circ_int,0,eq_c2/2))+(PI()*(s_0+3*s_r+IF(circ_int,eq_c1/2,0))/2))+2*IF(circ_int,0,eq_c1/2))+(PI()*(s_0+3*s_r+IF(circ_int,eq_c1/2,0))/2))+2*IF(circ_int,0,eq_c2/2))+(PI()*(s_0+3*s_r+IF(circ_int,eq_c1/2,0))/2))+2*IF(circ_int,0,eq_c1/2)))/(s_0+3*s_r+IF(circ_int,eq_c1/2,0)))))))))),NA())</f>
        <v/>
      </c>
      <c r="BU38">
        <f>IF(AND(links_on,5&lt;=n_per),IF(circ_int,(g_ox)+(c_1/2+(s_0+4*s_r))*-0.464723,CHOOSE(INDEX(lk_kind,5),(g_ox-eq_c1/2)+((s_0+4*s_r))*-0.382683,0,eq_a1+eq_c1+(s_0+4*s_r),eq_a1+eq_c1+(s_0+4*s_r))),NA())</f>
        <v/>
      </c>
      <c r="BV38">
        <f>IF(AND(links_on,5&lt;=n_per),IF(circ_int,(g_oy)+(c_1/2+(s_0+4*s_r))*-0.885456,CHOOSE(INDEX(lk_kind,5),(g_oy-eq_c2/2)+((s_0+4*s_r))*-0.923880,g_oy-eq_c2/2-(s_0+4*s_r),0,0)),NA())</f>
        <v/>
      </c>
      <c r="BX38">
        <f>IF(AND(AND(links_on,5&lt;=n_per),INDEX(lk_kind,5)=1,35&lt;INDEX(lk_legs,5)),g_ox+IF(((35+0.5)*(4*IF(circ_int,0,eq_c1/2)+4*IF(circ_int,0,eq_c2/2)+2*PI()*(s_0+4*s_r+IF(circ_int,eq_c1/2,0)))/INDEX(lk_legs,5))&lt;(2*IF(circ_int,0,eq_c2/2)),IF(circ_int,0,eq_c1/2)+(s_0+4*s_r+IF(circ_int,eq_c1/2,0)),IF(((35+0.5)*(4*IF(circ_int,0,eq_c1/2)+4*IF(circ_int,0,eq_c2/2)+2*PI()*(s_0+4*s_r+IF(circ_int,eq_c1/2,0)))/INDEX(lk_legs,5))&lt;((2*IF(circ_int,0,eq_c2/2))+(PI()*(s_0+4*s_r+IF(circ_int,eq_c1/2,0))/2)),IF(circ_int,0,eq_c1/2)+(s_0+4*s_r+IF(circ_int,eq_c1/2,0))*COS((((35+0.5)*(4*IF(circ_int,0,eq_c1/2)+4*IF(circ_int,0,eq_c2/2)+2*PI()*(s_0+4*s_r+IF(circ_int,eq_c1/2,0)))/INDEX(lk_legs,5))-(2*IF(circ_int,0,eq_c2/2)))/(s_0+4*s_r+IF(circ_int,eq_c1/2,0))),IF(((35+0.5)*(4*IF(circ_int,0,eq_c1/2)+4*IF(circ_int,0,eq_c2/2)+2*PI()*(s_0+4*s_r+IF(circ_int,eq_c1/2,0)))/INDEX(lk_legs,5))&lt;(((2*IF(circ_int,0,eq_c2/2))+(PI()*(s_0+4*s_r+IF(circ_int,eq_c1/2,0))/2))+2*IF(circ_int,0,eq_c1/2)),IF(circ_int,0,eq_c1/2)-(((35+0.5)*(4*IF(circ_int,0,eq_c1/2)+4*IF(circ_int,0,eq_c2/2)+2*PI()*(s_0+4*s_r+IF(circ_int,eq_c1/2,0)))/INDEX(lk_legs,5))-((2*IF(circ_int,0,eq_c2/2))+(PI()*(s_0+4*s_r+IF(circ_int,eq_c1/2,0))/2))),IF(((35+0.5)*(4*IF(circ_int,0,eq_c1/2)+4*IF(circ_int,0,eq_c2/2)+2*PI()*(s_0+4*s_r+IF(circ_int,eq_c1/2,0)))/INDEX(lk_legs,5))&lt;((((2*IF(circ_int,0,eq_c2/2))+(PI()*(s_0+4*s_r+IF(circ_int,eq_c1/2,0))/2))+2*IF(circ_int,0,eq_c1/2))+(PI()*(s_0+4*s_r+IF(circ_int,eq_c1/2,0))/2)),-IF(circ_int,0,eq_c1/2)+(s_0+4*s_r+IF(circ_int,eq_c1/2,0))*COS(PI()/2+(((35+0.5)*(4*IF(circ_int,0,eq_c1/2)+4*IF(circ_int,0,eq_c2/2)+2*PI()*(s_0+4*s_r+IF(circ_int,eq_c1/2,0)))/INDEX(lk_legs,5))-(((2*IF(circ_int,0,eq_c2/2))+(PI()*(s_0+4*s_r+IF(circ_int,eq_c1/2,0))/2))+2*IF(circ_int,0,eq_c1/2)))/(s_0+4*s_r+IF(circ_int,eq_c1/2,0))),IF(((35+0.5)*(4*IF(circ_int,0,eq_c1/2)+4*IF(circ_int,0,eq_c2/2)+2*PI()*(s_0+4*s_r+IF(circ_int,eq_c1/2,0)))/INDEX(lk_legs,5))&lt;(((((2*IF(circ_int,0,eq_c2/2))+(PI()*(s_0+4*s_r+IF(circ_int,eq_c1/2,0))/2))+2*IF(circ_int,0,eq_c1/2))+(PI()*(s_0+4*s_r+IF(circ_int,eq_c1/2,0))/2))+2*IF(circ_int,0,eq_c2/2)),-IF(circ_int,0,eq_c1/2)-(s_0+4*s_r+IF(circ_int,eq_c1/2,0)),IF(((35+0.5)*(4*IF(circ_int,0,eq_c1/2)+4*IF(circ_int,0,eq_c2/2)+2*PI()*(s_0+4*s_r+IF(circ_int,eq_c1/2,0)))/INDEX(lk_legs,5))&lt;((((((2*IF(circ_int,0,eq_c2/2))+(PI()*(s_0+4*s_r+IF(circ_int,eq_c1/2,0))/2))+2*IF(circ_int,0,eq_c1/2))+(PI()*(s_0+4*s_r+IF(circ_int,eq_c1/2,0))/2))+2*IF(circ_int,0,eq_c2/2))+(PI()*(s_0+4*s_r+IF(circ_int,eq_c1/2,0))/2)),-IF(circ_int,0,eq_c1/2)+(s_0+4*s_r+IF(circ_int,eq_c1/2,0))*COS(PI()+(((35+0.5)*(4*IF(circ_int,0,eq_c1/2)+4*IF(circ_int,0,eq_c2/2)+2*PI()*(s_0+4*s_r+IF(circ_int,eq_c1/2,0)))/INDEX(lk_legs,5))-(((((2*IF(circ_int,0,eq_c2/2))+(PI()*(s_0+4*s_r+IF(circ_int,eq_c1/2,0))/2))+2*IF(circ_int,0,eq_c1/2))+(PI()*(s_0+4*s_r+IF(circ_int,eq_c1/2,0))/2))+2*IF(circ_int,0,eq_c2/2)))/(s_0+4*s_r+IF(circ_int,eq_c1/2,0))),IF(((35+0.5)*(4*IF(circ_int,0,eq_c1/2)+4*IF(circ_int,0,eq_c2/2)+2*PI()*(s_0+4*s_r+IF(circ_int,eq_c1/2,0)))/INDEX(lk_legs,5))&lt;(((((((2*IF(circ_int,0,eq_c2/2))+(PI()*(s_0+4*s_r+IF(circ_int,eq_c1/2,0))/2))+2*IF(circ_int,0,eq_c1/2))+(PI()*(s_0+4*s_r+IF(circ_int,eq_c1/2,0))/2))+2*IF(circ_int,0,eq_c2/2))+(PI()*(s_0+4*s_r+IF(circ_int,eq_c1/2,0))/2))+2*IF(circ_int,0,eq_c1/2)),-IF(circ_int,0,eq_c1/2)+(((35+0.5)*(4*IF(circ_int,0,eq_c1/2)+4*IF(circ_int,0,eq_c2/2)+2*PI()*(s_0+4*s_r+IF(circ_int,eq_c1/2,0)))/INDEX(lk_legs,5))-((((((2*IF(circ_int,0,eq_c2/2))+(PI()*(s_0+4*s_r+IF(circ_int,eq_c1/2,0))/2))+2*IF(circ_int,0,eq_c1/2))+(PI()*(s_0+4*s_r+IF(circ_int,eq_c1/2,0))/2))+2*IF(circ_int,0,eq_c2/2))+(PI()*(s_0+4*s_r+IF(circ_int,eq_c1/2,0))/2))),IF(circ_int,0,eq_c1/2)+(s_0+4*s_r+IF(circ_int,eq_c1/2,0))*COS(3*PI()/2+(((35+0.5)*(4*IF(circ_int,0,eq_c1/2)+4*IF(circ_int,0,eq_c2/2)+2*PI()*(s_0+4*s_r+IF(circ_int,eq_c1/2,0)))/INDEX(lk_legs,5))-(((((((2*IF(circ_int,0,eq_c2/2))+(PI()*(s_0+4*s_r+IF(circ_int,eq_c1/2,0))/2))+2*IF(circ_int,0,eq_c1/2))+(PI()*(s_0+4*s_r+IF(circ_int,eq_c1/2,0))/2))+2*IF(circ_int,0,eq_c2/2))+(PI()*(s_0+4*s_r+IF(circ_int,eq_c1/2,0))/2))+2*IF(circ_int,0,eq_c1/2)))/(s_0+4*s_r+IF(circ_int,eq_c1/2,0)))))))))),NA())</f>
        <v/>
      </c>
      <c r="BY38">
        <f>IF(AND(AND(links_on,5&lt;=n_per),INDEX(lk_kind,5)=1,35&lt;INDEX(lk_legs,5)),g_oy+IF(((35+0.5)*(4*IF(circ_int,0,eq_c1/2)+4*IF(circ_int,0,eq_c2/2)+2*PI()*(s_0+4*s_r+IF(circ_int,eq_c1/2,0)))/INDEX(lk_legs,5))&lt;(2*IF(circ_int,0,eq_c2/2)),-IF(circ_int,0,eq_c2/2)+((35+0.5)*(4*IF(circ_int,0,eq_c1/2)+4*IF(circ_int,0,eq_c2/2)+2*PI()*(s_0+4*s_r+IF(circ_int,eq_c1/2,0)))/INDEX(lk_legs,5)),IF(((35+0.5)*(4*IF(circ_int,0,eq_c1/2)+4*IF(circ_int,0,eq_c2/2)+2*PI()*(s_0+4*s_r+IF(circ_int,eq_c1/2,0)))/INDEX(lk_legs,5))&lt;((2*IF(circ_int,0,eq_c2/2))+(PI()*(s_0+4*s_r+IF(circ_int,eq_c1/2,0))/2)),IF(circ_int,0,eq_c2/2)+(s_0+4*s_r+IF(circ_int,eq_c1/2,0))*SIN((((35+0.5)*(4*IF(circ_int,0,eq_c1/2)+4*IF(circ_int,0,eq_c2/2)+2*PI()*(s_0+4*s_r+IF(circ_int,eq_c1/2,0)))/INDEX(lk_legs,5))-(2*IF(circ_int,0,eq_c2/2)))/(s_0+4*s_r+IF(circ_int,eq_c1/2,0))),IF(((35+0.5)*(4*IF(circ_int,0,eq_c1/2)+4*IF(circ_int,0,eq_c2/2)+2*PI()*(s_0+4*s_r+IF(circ_int,eq_c1/2,0)))/INDEX(lk_legs,5))&lt;(((2*IF(circ_int,0,eq_c2/2))+(PI()*(s_0+4*s_r+IF(circ_int,eq_c1/2,0))/2))+2*IF(circ_int,0,eq_c1/2)),IF(circ_int,0,eq_c2/2)+(s_0+4*s_r+IF(circ_int,eq_c1/2,0)),IF(((35+0.5)*(4*IF(circ_int,0,eq_c1/2)+4*IF(circ_int,0,eq_c2/2)+2*PI()*(s_0+4*s_r+IF(circ_int,eq_c1/2,0)))/INDEX(lk_legs,5))&lt;((((2*IF(circ_int,0,eq_c2/2))+(PI()*(s_0+4*s_r+IF(circ_int,eq_c1/2,0))/2))+2*IF(circ_int,0,eq_c1/2))+(PI()*(s_0+4*s_r+IF(circ_int,eq_c1/2,0))/2)),IF(circ_int,0,eq_c2/2)+(s_0+4*s_r+IF(circ_int,eq_c1/2,0))*SIN(PI()/2+(((35+0.5)*(4*IF(circ_int,0,eq_c1/2)+4*IF(circ_int,0,eq_c2/2)+2*PI()*(s_0+4*s_r+IF(circ_int,eq_c1/2,0)))/INDEX(lk_legs,5))-(((2*IF(circ_int,0,eq_c2/2))+(PI()*(s_0+4*s_r+IF(circ_int,eq_c1/2,0))/2))+2*IF(circ_int,0,eq_c1/2)))/(s_0+4*s_r+IF(circ_int,eq_c1/2,0))),IF(((35+0.5)*(4*IF(circ_int,0,eq_c1/2)+4*IF(circ_int,0,eq_c2/2)+2*PI()*(s_0+4*s_r+IF(circ_int,eq_c1/2,0)))/INDEX(lk_legs,5))&lt;(((((2*IF(circ_int,0,eq_c2/2))+(PI()*(s_0+4*s_r+IF(circ_int,eq_c1/2,0))/2))+2*IF(circ_int,0,eq_c1/2))+(PI()*(s_0+4*s_r+IF(circ_int,eq_c1/2,0))/2))+2*IF(circ_int,0,eq_c2/2)),IF(circ_int,0,eq_c2/2)-(((35+0.5)*(4*IF(circ_int,0,eq_c1/2)+4*IF(circ_int,0,eq_c2/2)+2*PI()*(s_0+4*s_r+IF(circ_int,eq_c1/2,0)))/INDEX(lk_legs,5))-((((2*IF(circ_int,0,eq_c2/2))+(PI()*(s_0+4*s_r+IF(circ_int,eq_c1/2,0))/2))+2*IF(circ_int,0,eq_c1/2))+(PI()*(s_0+4*s_r+IF(circ_int,eq_c1/2,0))/2))),IF(((35+0.5)*(4*IF(circ_int,0,eq_c1/2)+4*IF(circ_int,0,eq_c2/2)+2*PI()*(s_0+4*s_r+IF(circ_int,eq_c1/2,0)))/INDEX(lk_legs,5))&lt;((((((2*IF(circ_int,0,eq_c2/2))+(PI()*(s_0+4*s_r+IF(circ_int,eq_c1/2,0))/2))+2*IF(circ_int,0,eq_c1/2))+(PI()*(s_0+4*s_r+IF(circ_int,eq_c1/2,0))/2))+2*IF(circ_int,0,eq_c2/2))+(PI()*(s_0+4*s_r+IF(circ_int,eq_c1/2,0))/2)),-IF(circ_int,0,eq_c2/2)+(s_0+4*s_r+IF(circ_int,eq_c1/2,0))*SIN(PI()+(((35+0.5)*(4*IF(circ_int,0,eq_c1/2)+4*IF(circ_int,0,eq_c2/2)+2*PI()*(s_0+4*s_r+IF(circ_int,eq_c1/2,0)))/INDEX(lk_legs,5))-(((((2*IF(circ_int,0,eq_c2/2))+(PI()*(s_0+4*s_r+IF(circ_int,eq_c1/2,0))/2))+2*IF(circ_int,0,eq_c1/2))+(PI()*(s_0+4*s_r+IF(circ_int,eq_c1/2,0))/2))+2*IF(circ_int,0,eq_c2/2)))/(s_0+4*s_r+IF(circ_int,eq_c1/2,0))),IF(((35+0.5)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(35+0.5)*(4*IF(circ_int,0,eq_c1/2)+4*IF(circ_int,0,eq_c2/2)+2*PI()*(s_0+4*s_r+IF(circ_int,eq_c1/2,0)))/INDEX(lk_legs,5))-(((((((2*IF(circ_int,0,eq_c2/2))+(PI()*(s_0+4*s_r+IF(circ_int,eq_c1/2,0))/2))+2*IF(circ_int,0,eq_c1/2))+(PI()*(s_0+4*s_r+IF(circ_int,eq_c1/2,0))/2))+2*IF(circ_int,0,eq_c2/2))+(PI()*(s_0+4*s_r+IF(circ_int,eq_c1/2,0))/2))+2*IF(circ_int,0,eq_c1/2)))/(s_0+4*s_r+IF(circ_int,eq_c1/2,0)))))))))),NA())</f>
        <v/>
      </c>
      <c r="CA38">
        <f>IF(AND(links_on,6&lt;=n_per),IF(circ_int,(g_ox)+(c_1/2+(s_0+5*s_r))*-0.464723,CHOOSE(INDEX(lk_kind,6),(g_ox-eq_c1/2)+((s_0+5*s_r))*-0.382683,0,eq_a1+eq_c1+(s_0+5*s_r),eq_a1+eq_c1+(s_0+5*s_r))),NA())</f>
        <v/>
      </c>
      <c r="CB38">
        <f>IF(AND(links_on,6&lt;=n_per),IF(circ_int,(g_oy)+(c_1/2+(s_0+5*s_r))*-0.885456,CHOOSE(INDEX(lk_kind,6),(g_oy-eq_c2/2)+((s_0+5*s_r))*-0.923880,g_oy-eq_c2/2-(s_0+5*s_r),0,0)),NA())</f>
        <v/>
      </c>
      <c r="CD38">
        <f>IF(AND(AND(links_on,6&lt;=n_per),INDEX(lk_kind,6)=1,35&lt;INDEX(lk_legs,6)),g_ox+IF(((35+0.5)*(4*IF(circ_int,0,eq_c1/2)+4*IF(circ_int,0,eq_c2/2)+2*PI()*(s_0+5*s_r+IF(circ_int,eq_c1/2,0)))/INDEX(lk_legs,6))&lt;(2*IF(circ_int,0,eq_c2/2)),IF(circ_int,0,eq_c1/2)+(s_0+5*s_r+IF(circ_int,eq_c1/2,0)),IF(((35+0.5)*(4*IF(circ_int,0,eq_c1/2)+4*IF(circ_int,0,eq_c2/2)+2*PI()*(s_0+5*s_r+IF(circ_int,eq_c1/2,0)))/INDEX(lk_legs,6))&lt;((2*IF(circ_int,0,eq_c2/2))+(PI()*(s_0+5*s_r+IF(circ_int,eq_c1/2,0))/2)),IF(circ_int,0,eq_c1/2)+(s_0+5*s_r+IF(circ_int,eq_c1/2,0))*COS((((35+0.5)*(4*IF(circ_int,0,eq_c1/2)+4*IF(circ_int,0,eq_c2/2)+2*PI()*(s_0+5*s_r+IF(circ_int,eq_c1/2,0)))/INDEX(lk_legs,6))-(2*IF(circ_int,0,eq_c2/2)))/(s_0+5*s_r+IF(circ_int,eq_c1/2,0))),IF(((35+0.5)*(4*IF(circ_int,0,eq_c1/2)+4*IF(circ_int,0,eq_c2/2)+2*PI()*(s_0+5*s_r+IF(circ_int,eq_c1/2,0)))/INDEX(lk_legs,6))&lt;(((2*IF(circ_int,0,eq_c2/2))+(PI()*(s_0+5*s_r+IF(circ_int,eq_c1/2,0))/2))+2*IF(circ_int,0,eq_c1/2)),IF(circ_int,0,eq_c1/2)-(((35+0.5)*(4*IF(circ_int,0,eq_c1/2)+4*IF(circ_int,0,eq_c2/2)+2*PI()*(s_0+5*s_r+IF(circ_int,eq_c1/2,0)))/INDEX(lk_legs,6))-((2*IF(circ_int,0,eq_c2/2))+(PI()*(s_0+5*s_r+IF(circ_int,eq_c1/2,0))/2))),IF(((35+0.5)*(4*IF(circ_int,0,eq_c1/2)+4*IF(circ_int,0,eq_c2/2)+2*PI()*(s_0+5*s_r+IF(circ_int,eq_c1/2,0)))/INDEX(lk_legs,6))&lt;((((2*IF(circ_int,0,eq_c2/2))+(PI()*(s_0+5*s_r+IF(circ_int,eq_c1/2,0))/2))+2*IF(circ_int,0,eq_c1/2))+(PI()*(s_0+5*s_r+IF(circ_int,eq_c1/2,0))/2)),-IF(circ_int,0,eq_c1/2)+(s_0+5*s_r+IF(circ_int,eq_c1/2,0))*COS(PI()/2+(((35+0.5)*(4*IF(circ_int,0,eq_c1/2)+4*IF(circ_int,0,eq_c2/2)+2*PI()*(s_0+5*s_r+IF(circ_int,eq_c1/2,0)))/INDEX(lk_legs,6))-(((2*IF(circ_int,0,eq_c2/2))+(PI()*(s_0+5*s_r+IF(circ_int,eq_c1/2,0))/2))+2*IF(circ_int,0,eq_c1/2)))/(s_0+5*s_r+IF(circ_int,eq_c1/2,0))),IF(((35+0.5)*(4*IF(circ_int,0,eq_c1/2)+4*IF(circ_int,0,eq_c2/2)+2*PI()*(s_0+5*s_r+IF(circ_int,eq_c1/2,0)))/INDEX(lk_legs,6))&lt;(((((2*IF(circ_int,0,eq_c2/2))+(PI()*(s_0+5*s_r+IF(circ_int,eq_c1/2,0))/2))+2*IF(circ_int,0,eq_c1/2))+(PI()*(s_0+5*s_r+IF(circ_int,eq_c1/2,0))/2))+2*IF(circ_int,0,eq_c2/2)),-IF(circ_int,0,eq_c1/2)-(s_0+5*s_r+IF(circ_int,eq_c1/2,0)),IF(((35+0.5)*(4*IF(circ_int,0,eq_c1/2)+4*IF(circ_int,0,eq_c2/2)+2*PI()*(s_0+5*s_r+IF(circ_int,eq_c1/2,0)))/INDEX(lk_legs,6))&lt;((((((2*IF(circ_int,0,eq_c2/2))+(PI()*(s_0+5*s_r+IF(circ_int,eq_c1/2,0))/2))+2*IF(circ_int,0,eq_c1/2))+(PI()*(s_0+5*s_r+IF(circ_int,eq_c1/2,0))/2))+2*IF(circ_int,0,eq_c2/2))+(PI()*(s_0+5*s_r+IF(circ_int,eq_c1/2,0))/2)),-IF(circ_int,0,eq_c1/2)+(s_0+5*s_r+IF(circ_int,eq_c1/2,0))*COS(PI()+(((35+0.5)*(4*IF(circ_int,0,eq_c1/2)+4*IF(circ_int,0,eq_c2/2)+2*PI()*(s_0+5*s_r+IF(circ_int,eq_c1/2,0)))/INDEX(lk_legs,6))-(((((2*IF(circ_int,0,eq_c2/2))+(PI()*(s_0+5*s_r+IF(circ_int,eq_c1/2,0))/2))+2*IF(circ_int,0,eq_c1/2))+(PI()*(s_0+5*s_r+IF(circ_int,eq_c1/2,0))/2))+2*IF(circ_int,0,eq_c2/2)))/(s_0+5*s_r+IF(circ_int,eq_c1/2,0))),IF(((35+0.5)*(4*IF(circ_int,0,eq_c1/2)+4*IF(circ_int,0,eq_c2/2)+2*PI()*(s_0+5*s_r+IF(circ_int,eq_c1/2,0)))/INDEX(lk_legs,6))&lt;(((((((2*IF(circ_int,0,eq_c2/2))+(PI()*(s_0+5*s_r+IF(circ_int,eq_c1/2,0))/2))+2*IF(circ_int,0,eq_c1/2))+(PI()*(s_0+5*s_r+IF(circ_int,eq_c1/2,0))/2))+2*IF(circ_int,0,eq_c2/2))+(PI()*(s_0+5*s_r+IF(circ_int,eq_c1/2,0))/2))+2*IF(circ_int,0,eq_c1/2)),-IF(circ_int,0,eq_c1/2)+(((35+0.5)*(4*IF(circ_int,0,eq_c1/2)+4*IF(circ_int,0,eq_c2/2)+2*PI()*(s_0+5*s_r+IF(circ_int,eq_c1/2,0)))/INDEX(lk_legs,6))-((((((2*IF(circ_int,0,eq_c2/2))+(PI()*(s_0+5*s_r+IF(circ_int,eq_c1/2,0))/2))+2*IF(circ_int,0,eq_c1/2))+(PI()*(s_0+5*s_r+IF(circ_int,eq_c1/2,0))/2))+2*IF(circ_int,0,eq_c2/2))+(PI()*(s_0+5*s_r+IF(circ_int,eq_c1/2,0))/2))),IF(circ_int,0,eq_c1/2)+(s_0+5*s_r+IF(circ_int,eq_c1/2,0))*COS(3*PI()/2+(((35+0.5)*(4*IF(circ_int,0,eq_c1/2)+4*IF(circ_int,0,eq_c2/2)+2*PI()*(s_0+5*s_r+IF(circ_int,eq_c1/2,0)))/INDEX(lk_legs,6))-(((((((2*IF(circ_int,0,eq_c2/2))+(PI()*(s_0+5*s_r+IF(circ_int,eq_c1/2,0))/2))+2*IF(circ_int,0,eq_c1/2))+(PI()*(s_0+5*s_r+IF(circ_int,eq_c1/2,0))/2))+2*IF(circ_int,0,eq_c2/2))+(PI()*(s_0+5*s_r+IF(circ_int,eq_c1/2,0))/2))+2*IF(circ_int,0,eq_c1/2)))/(s_0+5*s_r+IF(circ_int,eq_c1/2,0)))))))))),NA())</f>
        <v/>
      </c>
      <c r="CE38">
        <f>IF(AND(AND(links_on,6&lt;=n_per),INDEX(lk_kind,6)=1,35&lt;INDEX(lk_legs,6)),g_oy+IF(((35+0.5)*(4*IF(circ_int,0,eq_c1/2)+4*IF(circ_int,0,eq_c2/2)+2*PI()*(s_0+5*s_r+IF(circ_int,eq_c1/2,0)))/INDEX(lk_legs,6))&lt;(2*IF(circ_int,0,eq_c2/2)),-IF(circ_int,0,eq_c2/2)+((35+0.5)*(4*IF(circ_int,0,eq_c1/2)+4*IF(circ_int,0,eq_c2/2)+2*PI()*(s_0+5*s_r+IF(circ_int,eq_c1/2,0)))/INDEX(lk_legs,6)),IF(((35+0.5)*(4*IF(circ_int,0,eq_c1/2)+4*IF(circ_int,0,eq_c2/2)+2*PI()*(s_0+5*s_r+IF(circ_int,eq_c1/2,0)))/INDEX(lk_legs,6))&lt;((2*IF(circ_int,0,eq_c2/2))+(PI()*(s_0+5*s_r+IF(circ_int,eq_c1/2,0))/2)),IF(circ_int,0,eq_c2/2)+(s_0+5*s_r+IF(circ_int,eq_c1/2,0))*SIN((((35+0.5)*(4*IF(circ_int,0,eq_c1/2)+4*IF(circ_int,0,eq_c2/2)+2*PI()*(s_0+5*s_r+IF(circ_int,eq_c1/2,0)))/INDEX(lk_legs,6))-(2*IF(circ_int,0,eq_c2/2)))/(s_0+5*s_r+IF(circ_int,eq_c1/2,0))),IF(((35+0.5)*(4*IF(circ_int,0,eq_c1/2)+4*IF(circ_int,0,eq_c2/2)+2*PI()*(s_0+5*s_r+IF(circ_int,eq_c1/2,0)))/INDEX(lk_legs,6))&lt;(((2*IF(circ_int,0,eq_c2/2))+(PI()*(s_0+5*s_r+IF(circ_int,eq_c1/2,0))/2))+2*IF(circ_int,0,eq_c1/2)),IF(circ_int,0,eq_c2/2)+(s_0+5*s_r+IF(circ_int,eq_c1/2,0)),IF(((35+0.5)*(4*IF(circ_int,0,eq_c1/2)+4*IF(circ_int,0,eq_c2/2)+2*PI()*(s_0+5*s_r+IF(circ_int,eq_c1/2,0)))/INDEX(lk_legs,6))&lt;((((2*IF(circ_int,0,eq_c2/2))+(PI()*(s_0+5*s_r+IF(circ_int,eq_c1/2,0))/2))+2*IF(circ_int,0,eq_c1/2))+(PI()*(s_0+5*s_r+IF(circ_int,eq_c1/2,0))/2)),IF(circ_int,0,eq_c2/2)+(s_0+5*s_r+IF(circ_int,eq_c1/2,0))*SIN(PI()/2+(((35+0.5)*(4*IF(circ_int,0,eq_c1/2)+4*IF(circ_int,0,eq_c2/2)+2*PI()*(s_0+5*s_r+IF(circ_int,eq_c1/2,0)))/INDEX(lk_legs,6))-(((2*IF(circ_int,0,eq_c2/2))+(PI()*(s_0+5*s_r+IF(circ_int,eq_c1/2,0))/2))+2*IF(circ_int,0,eq_c1/2)))/(s_0+5*s_r+IF(circ_int,eq_c1/2,0))),IF(((35+0.5)*(4*IF(circ_int,0,eq_c1/2)+4*IF(circ_int,0,eq_c2/2)+2*PI()*(s_0+5*s_r+IF(circ_int,eq_c1/2,0)))/INDEX(lk_legs,6))&lt;(((((2*IF(circ_int,0,eq_c2/2))+(PI()*(s_0+5*s_r+IF(circ_int,eq_c1/2,0))/2))+2*IF(circ_int,0,eq_c1/2))+(PI()*(s_0+5*s_r+IF(circ_int,eq_c1/2,0))/2))+2*IF(circ_int,0,eq_c2/2)),IF(circ_int,0,eq_c2/2)-(((35+0.5)*(4*IF(circ_int,0,eq_c1/2)+4*IF(circ_int,0,eq_c2/2)+2*PI()*(s_0+5*s_r+IF(circ_int,eq_c1/2,0)))/INDEX(lk_legs,6))-((((2*IF(circ_int,0,eq_c2/2))+(PI()*(s_0+5*s_r+IF(circ_int,eq_c1/2,0))/2))+2*IF(circ_int,0,eq_c1/2))+(PI()*(s_0+5*s_r+IF(circ_int,eq_c1/2,0))/2))),IF(((35+0.5)*(4*IF(circ_int,0,eq_c1/2)+4*IF(circ_int,0,eq_c2/2)+2*PI()*(s_0+5*s_r+IF(circ_int,eq_c1/2,0)))/INDEX(lk_legs,6))&lt;((((((2*IF(circ_int,0,eq_c2/2))+(PI()*(s_0+5*s_r+IF(circ_int,eq_c1/2,0))/2))+2*IF(circ_int,0,eq_c1/2))+(PI()*(s_0+5*s_r+IF(circ_int,eq_c1/2,0))/2))+2*IF(circ_int,0,eq_c2/2))+(PI()*(s_0+5*s_r+IF(circ_int,eq_c1/2,0))/2)),-IF(circ_int,0,eq_c2/2)+(s_0+5*s_r+IF(circ_int,eq_c1/2,0))*SIN(PI()+(((35+0.5)*(4*IF(circ_int,0,eq_c1/2)+4*IF(circ_int,0,eq_c2/2)+2*PI()*(s_0+5*s_r+IF(circ_int,eq_c1/2,0)))/INDEX(lk_legs,6))-(((((2*IF(circ_int,0,eq_c2/2))+(PI()*(s_0+5*s_r+IF(circ_int,eq_c1/2,0))/2))+2*IF(circ_int,0,eq_c1/2))+(PI()*(s_0+5*s_r+IF(circ_int,eq_c1/2,0))/2))+2*IF(circ_int,0,eq_c2/2)))/(s_0+5*s_r+IF(circ_int,eq_c1/2,0))),IF(((35+0.5)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(35+0.5)*(4*IF(circ_int,0,eq_c1/2)+4*IF(circ_int,0,eq_c2/2)+2*PI()*(s_0+5*s_r+IF(circ_int,eq_c1/2,0)))/INDEX(lk_legs,6))-(((((((2*IF(circ_int,0,eq_c2/2))+(PI()*(s_0+5*s_r+IF(circ_int,eq_c1/2,0))/2))+2*IF(circ_int,0,eq_c1/2))+(PI()*(s_0+5*s_r+IF(circ_int,eq_c1/2,0))/2))+2*IF(circ_int,0,eq_c2/2))+(PI()*(s_0+5*s_r+IF(circ_int,eq_c1/2,0))/2))+2*IF(circ_int,0,eq_c1/2)))/(s_0+5*s_r+IF(circ_int,eq_c1/2,0)))))))))),NA())</f>
        <v/>
      </c>
      <c r="CG38">
        <f>IF(AND(links_on,7&lt;=n_per),IF(circ_int,(g_ox)+(c_1/2+(s_0+6*s_r))*-0.464723,CHOOSE(INDEX(lk_kind,7),(g_ox-eq_c1/2)+((s_0+6*s_r))*-0.382683,0,eq_a1+eq_c1+(s_0+6*s_r),eq_a1+eq_c1+(s_0+6*s_r))),NA())</f>
        <v/>
      </c>
      <c r="CH38">
        <f>IF(AND(links_on,7&lt;=n_per),IF(circ_int,(g_oy)+(c_1/2+(s_0+6*s_r))*-0.885456,CHOOSE(INDEX(lk_kind,7),(g_oy-eq_c2/2)+((s_0+6*s_r))*-0.923880,g_oy-eq_c2/2-(s_0+6*s_r),0,0)),NA())</f>
        <v/>
      </c>
      <c r="CJ38">
        <f>IF(AND(AND(links_on,7&lt;=n_per),INDEX(lk_kind,7)=1,35&lt;INDEX(lk_legs,7)),g_ox+IF(((35+0.5)*(4*IF(circ_int,0,eq_c1/2)+4*IF(circ_int,0,eq_c2/2)+2*PI()*(s_0+6*s_r+IF(circ_int,eq_c1/2,0)))/INDEX(lk_legs,7))&lt;(2*IF(circ_int,0,eq_c2/2)),IF(circ_int,0,eq_c1/2)+(s_0+6*s_r+IF(circ_int,eq_c1/2,0)),IF(((35+0.5)*(4*IF(circ_int,0,eq_c1/2)+4*IF(circ_int,0,eq_c2/2)+2*PI()*(s_0+6*s_r+IF(circ_int,eq_c1/2,0)))/INDEX(lk_legs,7))&lt;((2*IF(circ_int,0,eq_c2/2))+(PI()*(s_0+6*s_r+IF(circ_int,eq_c1/2,0))/2)),IF(circ_int,0,eq_c1/2)+(s_0+6*s_r+IF(circ_int,eq_c1/2,0))*COS((((35+0.5)*(4*IF(circ_int,0,eq_c1/2)+4*IF(circ_int,0,eq_c2/2)+2*PI()*(s_0+6*s_r+IF(circ_int,eq_c1/2,0)))/INDEX(lk_legs,7))-(2*IF(circ_int,0,eq_c2/2)))/(s_0+6*s_r+IF(circ_int,eq_c1/2,0))),IF(((35+0.5)*(4*IF(circ_int,0,eq_c1/2)+4*IF(circ_int,0,eq_c2/2)+2*PI()*(s_0+6*s_r+IF(circ_int,eq_c1/2,0)))/INDEX(lk_legs,7))&lt;(((2*IF(circ_int,0,eq_c2/2))+(PI()*(s_0+6*s_r+IF(circ_int,eq_c1/2,0))/2))+2*IF(circ_int,0,eq_c1/2)),IF(circ_int,0,eq_c1/2)-(((35+0.5)*(4*IF(circ_int,0,eq_c1/2)+4*IF(circ_int,0,eq_c2/2)+2*PI()*(s_0+6*s_r+IF(circ_int,eq_c1/2,0)))/INDEX(lk_legs,7))-((2*IF(circ_int,0,eq_c2/2))+(PI()*(s_0+6*s_r+IF(circ_int,eq_c1/2,0))/2))),IF(((35+0.5)*(4*IF(circ_int,0,eq_c1/2)+4*IF(circ_int,0,eq_c2/2)+2*PI()*(s_0+6*s_r+IF(circ_int,eq_c1/2,0)))/INDEX(lk_legs,7))&lt;((((2*IF(circ_int,0,eq_c2/2))+(PI()*(s_0+6*s_r+IF(circ_int,eq_c1/2,0))/2))+2*IF(circ_int,0,eq_c1/2))+(PI()*(s_0+6*s_r+IF(circ_int,eq_c1/2,0))/2)),-IF(circ_int,0,eq_c1/2)+(s_0+6*s_r+IF(circ_int,eq_c1/2,0))*COS(PI()/2+(((35+0.5)*(4*IF(circ_int,0,eq_c1/2)+4*IF(circ_int,0,eq_c2/2)+2*PI()*(s_0+6*s_r+IF(circ_int,eq_c1/2,0)))/INDEX(lk_legs,7))-(((2*IF(circ_int,0,eq_c2/2))+(PI()*(s_0+6*s_r+IF(circ_int,eq_c1/2,0))/2))+2*IF(circ_int,0,eq_c1/2)))/(s_0+6*s_r+IF(circ_int,eq_c1/2,0))),IF(((35+0.5)*(4*IF(circ_int,0,eq_c1/2)+4*IF(circ_int,0,eq_c2/2)+2*PI()*(s_0+6*s_r+IF(circ_int,eq_c1/2,0)))/INDEX(lk_legs,7))&lt;(((((2*IF(circ_int,0,eq_c2/2))+(PI()*(s_0+6*s_r+IF(circ_int,eq_c1/2,0))/2))+2*IF(circ_int,0,eq_c1/2))+(PI()*(s_0+6*s_r+IF(circ_int,eq_c1/2,0))/2))+2*IF(circ_int,0,eq_c2/2)),-IF(circ_int,0,eq_c1/2)-(s_0+6*s_r+IF(circ_int,eq_c1/2,0)),IF(((35+0.5)*(4*IF(circ_int,0,eq_c1/2)+4*IF(circ_int,0,eq_c2/2)+2*PI()*(s_0+6*s_r+IF(circ_int,eq_c1/2,0)))/INDEX(lk_legs,7))&lt;((((((2*IF(circ_int,0,eq_c2/2))+(PI()*(s_0+6*s_r+IF(circ_int,eq_c1/2,0))/2))+2*IF(circ_int,0,eq_c1/2))+(PI()*(s_0+6*s_r+IF(circ_int,eq_c1/2,0))/2))+2*IF(circ_int,0,eq_c2/2))+(PI()*(s_0+6*s_r+IF(circ_int,eq_c1/2,0))/2)),-IF(circ_int,0,eq_c1/2)+(s_0+6*s_r+IF(circ_int,eq_c1/2,0))*COS(PI()+(((35+0.5)*(4*IF(circ_int,0,eq_c1/2)+4*IF(circ_int,0,eq_c2/2)+2*PI()*(s_0+6*s_r+IF(circ_int,eq_c1/2,0)))/INDEX(lk_legs,7))-(((((2*IF(circ_int,0,eq_c2/2))+(PI()*(s_0+6*s_r+IF(circ_int,eq_c1/2,0))/2))+2*IF(circ_int,0,eq_c1/2))+(PI()*(s_0+6*s_r+IF(circ_int,eq_c1/2,0))/2))+2*IF(circ_int,0,eq_c2/2)))/(s_0+6*s_r+IF(circ_int,eq_c1/2,0))),IF(((35+0.5)*(4*IF(circ_int,0,eq_c1/2)+4*IF(circ_int,0,eq_c2/2)+2*PI()*(s_0+6*s_r+IF(circ_int,eq_c1/2,0)))/INDEX(lk_legs,7))&lt;(((((((2*IF(circ_int,0,eq_c2/2))+(PI()*(s_0+6*s_r+IF(circ_int,eq_c1/2,0))/2))+2*IF(circ_int,0,eq_c1/2))+(PI()*(s_0+6*s_r+IF(circ_int,eq_c1/2,0))/2))+2*IF(circ_int,0,eq_c2/2))+(PI()*(s_0+6*s_r+IF(circ_int,eq_c1/2,0))/2))+2*IF(circ_int,0,eq_c1/2)),-IF(circ_int,0,eq_c1/2)+(((35+0.5)*(4*IF(circ_int,0,eq_c1/2)+4*IF(circ_int,0,eq_c2/2)+2*PI()*(s_0+6*s_r+IF(circ_int,eq_c1/2,0)))/INDEX(lk_legs,7))-((((((2*IF(circ_int,0,eq_c2/2))+(PI()*(s_0+6*s_r+IF(circ_int,eq_c1/2,0))/2))+2*IF(circ_int,0,eq_c1/2))+(PI()*(s_0+6*s_r+IF(circ_int,eq_c1/2,0))/2))+2*IF(circ_int,0,eq_c2/2))+(PI()*(s_0+6*s_r+IF(circ_int,eq_c1/2,0))/2))),IF(circ_int,0,eq_c1/2)+(s_0+6*s_r+IF(circ_int,eq_c1/2,0))*COS(3*PI()/2+(((35+0.5)*(4*IF(circ_int,0,eq_c1/2)+4*IF(circ_int,0,eq_c2/2)+2*PI()*(s_0+6*s_r+IF(circ_int,eq_c1/2,0)))/INDEX(lk_legs,7))-(((((((2*IF(circ_int,0,eq_c2/2))+(PI()*(s_0+6*s_r+IF(circ_int,eq_c1/2,0))/2))+2*IF(circ_int,0,eq_c1/2))+(PI()*(s_0+6*s_r+IF(circ_int,eq_c1/2,0))/2))+2*IF(circ_int,0,eq_c2/2))+(PI()*(s_0+6*s_r+IF(circ_int,eq_c1/2,0))/2))+2*IF(circ_int,0,eq_c1/2)))/(s_0+6*s_r+IF(circ_int,eq_c1/2,0)))))))))),NA())</f>
        <v/>
      </c>
      <c r="CK38">
        <f>IF(AND(AND(links_on,7&lt;=n_per),INDEX(lk_kind,7)=1,35&lt;INDEX(lk_legs,7)),g_oy+IF(((35+0.5)*(4*IF(circ_int,0,eq_c1/2)+4*IF(circ_int,0,eq_c2/2)+2*PI()*(s_0+6*s_r+IF(circ_int,eq_c1/2,0)))/INDEX(lk_legs,7))&lt;(2*IF(circ_int,0,eq_c2/2)),-IF(circ_int,0,eq_c2/2)+((35+0.5)*(4*IF(circ_int,0,eq_c1/2)+4*IF(circ_int,0,eq_c2/2)+2*PI()*(s_0+6*s_r+IF(circ_int,eq_c1/2,0)))/INDEX(lk_legs,7)),IF(((35+0.5)*(4*IF(circ_int,0,eq_c1/2)+4*IF(circ_int,0,eq_c2/2)+2*PI()*(s_0+6*s_r+IF(circ_int,eq_c1/2,0)))/INDEX(lk_legs,7))&lt;((2*IF(circ_int,0,eq_c2/2))+(PI()*(s_0+6*s_r+IF(circ_int,eq_c1/2,0))/2)),IF(circ_int,0,eq_c2/2)+(s_0+6*s_r+IF(circ_int,eq_c1/2,0))*SIN((((35+0.5)*(4*IF(circ_int,0,eq_c1/2)+4*IF(circ_int,0,eq_c2/2)+2*PI()*(s_0+6*s_r+IF(circ_int,eq_c1/2,0)))/INDEX(lk_legs,7))-(2*IF(circ_int,0,eq_c2/2)))/(s_0+6*s_r+IF(circ_int,eq_c1/2,0))),IF(((35+0.5)*(4*IF(circ_int,0,eq_c1/2)+4*IF(circ_int,0,eq_c2/2)+2*PI()*(s_0+6*s_r+IF(circ_int,eq_c1/2,0)))/INDEX(lk_legs,7))&lt;(((2*IF(circ_int,0,eq_c2/2))+(PI()*(s_0+6*s_r+IF(circ_int,eq_c1/2,0))/2))+2*IF(circ_int,0,eq_c1/2)),IF(circ_int,0,eq_c2/2)+(s_0+6*s_r+IF(circ_int,eq_c1/2,0)),IF(((35+0.5)*(4*IF(circ_int,0,eq_c1/2)+4*IF(circ_int,0,eq_c2/2)+2*PI()*(s_0+6*s_r+IF(circ_int,eq_c1/2,0)))/INDEX(lk_legs,7))&lt;((((2*IF(circ_int,0,eq_c2/2))+(PI()*(s_0+6*s_r+IF(circ_int,eq_c1/2,0))/2))+2*IF(circ_int,0,eq_c1/2))+(PI()*(s_0+6*s_r+IF(circ_int,eq_c1/2,0))/2)),IF(circ_int,0,eq_c2/2)+(s_0+6*s_r+IF(circ_int,eq_c1/2,0))*SIN(PI()/2+(((35+0.5)*(4*IF(circ_int,0,eq_c1/2)+4*IF(circ_int,0,eq_c2/2)+2*PI()*(s_0+6*s_r+IF(circ_int,eq_c1/2,0)))/INDEX(lk_legs,7))-(((2*IF(circ_int,0,eq_c2/2))+(PI()*(s_0+6*s_r+IF(circ_int,eq_c1/2,0))/2))+2*IF(circ_int,0,eq_c1/2)))/(s_0+6*s_r+IF(circ_int,eq_c1/2,0))),IF(((35+0.5)*(4*IF(circ_int,0,eq_c1/2)+4*IF(circ_int,0,eq_c2/2)+2*PI()*(s_0+6*s_r+IF(circ_int,eq_c1/2,0)))/INDEX(lk_legs,7))&lt;(((((2*IF(circ_int,0,eq_c2/2))+(PI()*(s_0+6*s_r+IF(circ_int,eq_c1/2,0))/2))+2*IF(circ_int,0,eq_c1/2))+(PI()*(s_0+6*s_r+IF(circ_int,eq_c1/2,0))/2))+2*IF(circ_int,0,eq_c2/2)),IF(circ_int,0,eq_c2/2)-(((35+0.5)*(4*IF(circ_int,0,eq_c1/2)+4*IF(circ_int,0,eq_c2/2)+2*PI()*(s_0+6*s_r+IF(circ_int,eq_c1/2,0)))/INDEX(lk_legs,7))-((((2*IF(circ_int,0,eq_c2/2))+(PI()*(s_0+6*s_r+IF(circ_int,eq_c1/2,0))/2))+2*IF(circ_int,0,eq_c1/2))+(PI()*(s_0+6*s_r+IF(circ_int,eq_c1/2,0))/2))),IF(((35+0.5)*(4*IF(circ_int,0,eq_c1/2)+4*IF(circ_int,0,eq_c2/2)+2*PI()*(s_0+6*s_r+IF(circ_int,eq_c1/2,0)))/INDEX(lk_legs,7))&lt;((((((2*IF(circ_int,0,eq_c2/2))+(PI()*(s_0+6*s_r+IF(circ_int,eq_c1/2,0))/2))+2*IF(circ_int,0,eq_c1/2))+(PI()*(s_0+6*s_r+IF(circ_int,eq_c1/2,0))/2))+2*IF(circ_int,0,eq_c2/2))+(PI()*(s_0+6*s_r+IF(circ_int,eq_c1/2,0))/2)),-IF(circ_int,0,eq_c2/2)+(s_0+6*s_r+IF(circ_int,eq_c1/2,0))*SIN(PI()+(((35+0.5)*(4*IF(circ_int,0,eq_c1/2)+4*IF(circ_int,0,eq_c2/2)+2*PI()*(s_0+6*s_r+IF(circ_int,eq_c1/2,0)))/INDEX(lk_legs,7))-(((((2*IF(circ_int,0,eq_c2/2))+(PI()*(s_0+6*s_r+IF(circ_int,eq_c1/2,0))/2))+2*IF(circ_int,0,eq_c1/2))+(PI()*(s_0+6*s_r+IF(circ_int,eq_c1/2,0))/2))+2*IF(circ_int,0,eq_c2/2)))/(s_0+6*s_r+IF(circ_int,eq_c1/2,0))),IF(((35+0.5)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(35+0.5)*(4*IF(circ_int,0,eq_c1/2)+4*IF(circ_int,0,eq_c2/2)+2*PI()*(s_0+6*s_r+IF(circ_int,eq_c1/2,0)))/INDEX(lk_legs,7))-(((((((2*IF(circ_int,0,eq_c2/2))+(PI()*(s_0+6*s_r+IF(circ_int,eq_c1/2,0))/2))+2*IF(circ_int,0,eq_c1/2))+(PI()*(s_0+6*s_r+IF(circ_int,eq_c1/2,0))/2))+2*IF(circ_int,0,eq_c2/2))+(PI()*(s_0+6*s_r+IF(circ_int,eq_c1/2,0))/2))+2*IF(circ_int,0,eq_c1/2)))/(s_0+6*s_r+IF(circ_int,eq_c1/2,0)))))))))),NA())</f>
        <v/>
      </c>
      <c r="CM38">
        <f>IF(AND(links_on,8&lt;=n_per),IF(circ_int,(g_ox)+(c_1/2+(s_0+7*s_r))*-0.464723,CHOOSE(INDEX(lk_kind,8),(g_ox-eq_c1/2)+((s_0+7*s_r))*-0.382683,0,eq_a1+eq_c1+(s_0+7*s_r),eq_a1+eq_c1+(s_0+7*s_r))),NA())</f>
        <v/>
      </c>
      <c r="CN38">
        <f>IF(AND(links_on,8&lt;=n_per),IF(circ_int,(g_oy)+(c_1/2+(s_0+7*s_r))*-0.885456,CHOOSE(INDEX(lk_kind,8),(g_oy-eq_c2/2)+((s_0+7*s_r))*-0.923880,g_oy-eq_c2/2-(s_0+7*s_r),0,0)),NA())</f>
        <v/>
      </c>
      <c r="CP38">
        <f>IF(AND(AND(links_on,8&lt;=n_per),INDEX(lk_kind,8)=1,35&lt;INDEX(lk_legs,8)),g_ox+IF(((35+0.5)*(4*IF(circ_int,0,eq_c1/2)+4*IF(circ_int,0,eq_c2/2)+2*PI()*(s_0+7*s_r+IF(circ_int,eq_c1/2,0)))/INDEX(lk_legs,8))&lt;(2*IF(circ_int,0,eq_c2/2)),IF(circ_int,0,eq_c1/2)+(s_0+7*s_r+IF(circ_int,eq_c1/2,0)),IF(((35+0.5)*(4*IF(circ_int,0,eq_c1/2)+4*IF(circ_int,0,eq_c2/2)+2*PI()*(s_0+7*s_r+IF(circ_int,eq_c1/2,0)))/INDEX(lk_legs,8))&lt;((2*IF(circ_int,0,eq_c2/2))+(PI()*(s_0+7*s_r+IF(circ_int,eq_c1/2,0))/2)),IF(circ_int,0,eq_c1/2)+(s_0+7*s_r+IF(circ_int,eq_c1/2,0))*COS((((35+0.5)*(4*IF(circ_int,0,eq_c1/2)+4*IF(circ_int,0,eq_c2/2)+2*PI()*(s_0+7*s_r+IF(circ_int,eq_c1/2,0)))/INDEX(lk_legs,8))-(2*IF(circ_int,0,eq_c2/2)))/(s_0+7*s_r+IF(circ_int,eq_c1/2,0))),IF(((35+0.5)*(4*IF(circ_int,0,eq_c1/2)+4*IF(circ_int,0,eq_c2/2)+2*PI()*(s_0+7*s_r+IF(circ_int,eq_c1/2,0)))/INDEX(lk_legs,8))&lt;(((2*IF(circ_int,0,eq_c2/2))+(PI()*(s_0+7*s_r+IF(circ_int,eq_c1/2,0))/2))+2*IF(circ_int,0,eq_c1/2)),IF(circ_int,0,eq_c1/2)-(((35+0.5)*(4*IF(circ_int,0,eq_c1/2)+4*IF(circ_int,0,eq_c2/2)+2*PI()*(s_0+7*s_r+IF(circ_int,eq_c1/2,0)))/INDEX(lk_legs,8))-((2*IF(circ_int,0,eq_c2/2))+(PI()*(s_0+7*s_r+IF(circ_int,eq_c1/2,0))/2))),IF(((35+0.5)*(4*IF(circ_int,0,eq_c1/2)+4*IF(circ_int,0,eq_c2/2)+2*PI()*(s_0+7*s_r+IF(circ_int,eq_c1/2,0)))/INDEX(lk_legs,8))&lt;((((2*IF(circ_int,0,eq_c2/2))+(PI()*(s_0+7*s_r+IF(circ_int,eq_c1/2,0))/2))+2*IF(circ_int,0,eq_c1/2))+(PI()*(s_0+7*s_r+IF(circ_int,eq_c1/2,0))/2)),-IF(circ_int,0,eq_c1/2)+(s_0+7*s_r+IF(circ_int,eq_c1/2,0))*COS(PI()/2+(((35+0.5)*(4*IF(circ_int,0,eq_c1/2)+4*IF(circ_int,0,eq_c2/2)+2*PI()*(s_0+7*s_r+IF(circ_int,eq_c1/2,0)))/INDEX(lk_legs,8))-(((2*IF(circ_int,0,eq_c2/2))+(PI()*(s_0+7*s_r+IF(circ_int,eq_c1/2,0))/2))+2*IF(circ_int,0,eq_c1/2)))/(s_0+7*s_r+IF(circ_int,eq_c1/2,0))),IF(((35+0.5)*(4*IF(circ_int,0,eq_c1/2)+4*IF(circ_int,0,eq_c2/2)+2*PI()*(s_0+7*s_r+IF(circ_int,eq_c1/2,0)))/INDEX(lk_legs,8))&lt;(((((2*IF(circ_int,0,eq_c2/2))+(PI()*(s_0+7*s_r+IF(circ_int,eq_c1/2,0))/2))+2*IF(circ_int,0,eq_c1/2))+(PI()*(s_0+7*s_r+IF(circ_int,eq_c1/2,0))/2))+2*IF(circ_int,0,eq_c2/2)),-IF(circ_int,0,eq_c1/2)-(s_0+7*s_r+IF(circ_int,eq_c1/2,0)),IF(((35+0.5)*(4*IF(circ_int,0,eq_c1/2)+4*IF(circ_int,0,eq_c2/2)+2*PI()*(s_0+7*s_r+IF(circ_int,eq_c1/2,0)))/INDEX(lk_legs,8))&lt;((((((2*IF(circ_int,0,eq_c2/2))+(PI()*(s_0+7*s_r+IF(circ_int,eq_c1/2,0))/2))+2*IF(circ_int,0,eq_c1/2))+(PI()*(s_0+7*s_r+IF(circ_int,eq_c1/2,0))/2))+2*IF(circ_int,0,eq_c2/2))+(PI()*(s_0+7*s_r+IF(circ_int,eq_c1/2,0))/2)),-IF(circ_int,0,eq_c1/2)+(s_0+7*s_r+IF(circ_int,eq_c1/2,0))*COS(PI()+(((35+0.5)*(4*IF(circ_int,0,eq_c1/2)+4*IF(circ_int,0,eq_c2/2)+2*PI()*(s_0+7*s_r+IF(circ_int,eq_c1/2,0)))/INDEX(lk_legs,8))-(((((2*IF(circ_int,0,eq_c2/2))+(PI()*(s_0+7*s_r+IF(circ_int,eq_c1/2,0))/2))+2*IF(circ_int,0,eq_c1/2))+(PI()*(s_0+7*s_r+IF(circ_int,eq_c1/2,0))/2))+2*IF(circ_int,0,eq_c2/2)))/(s_0+7*s_r+IF(circ_int,eq_c1/2,0))),IF(((35+0.5)*(4*IF(circ_int,0,eq_c1/2)+4*IF(circ_int,0,eq_c2/2)+2*PI()*(s_0+7*s_r+IF(circ_int,eq_c1/2,0)))/INDEX(lk_legs,8))&lt;(((((((2*IF(circ_int,0,eq_c2/2))+(PI()*(s_0+7*s_r+IF(circ_int,eq_c1/2,0))/2))+2*IF(circ_int,0,eq_c1/2))+(PI()*(s_0+7*s_r+IF(circ_int,eq_c1/2,0))/2))+2*IF(circ_int,0,eq_c2/2))+(PI()*(s_0+7*s_r+IF(circ_int,eq_c1/2,0))/2))+2*IF(circ_int,0,eq_c1/2)),-IF(circ_int,0,eq_c1/2)+(((35+0.5)*(4*IF(circ_int,0,eq_c1/2)+4*IF(circ_int,0,eq_c2/2)+2*PI()*(s_0+7*s_r+IF(circ_int,eq_c1/2,0)))/INDEX(lk_legs,8))-((((((2*IF(circ_int,0,eq_c2/2))+(PI()*(s_0+7*s_r+IF(circ_int,eq_c1/2,0))/2))+2*IF(circ_int,0,eq_c1/2))+(PI()*(s_0+7*s_r+IF(circ_int,eq_c1/2,0))/2))+2*IF(circ_int,0,eq_c2/2))+(PI()*(s_0+7*s_r+IF(circ_int,eq_c1/2,0))/2))),IF(circ_int,0,eq_c1/2)+(s_0+7*s_r+IF(circ_int,eq_c1/2,0))*COS(3*PI()/2+(((35+0.5)*(4*IF(circ_int,0,eq_c1/2)+4*IF(circ_int,0,eq_c2/2)+2*PI()*(s_0+7*s_r+IF(circ_int,eq_c1/2,0)))/INDEX(lk_legs,8))-(((((((2*IF(circ_int,0,eq_c2/2))+(PI()*(s_0+7*s_r+IF(circ_int,eq_c1/2,0))/2))+2*IF(circ_int,0,eq_c1/2))+(PI()*(s_0+7*s_r+IF(circ_int,eq_c1/2,0))/2))+2*IF(circ_int,0,eq_c2/2))+(PI()*(s_0+7*s_r+IF(circ_int,eq_c1/2,0))/2))+2*IF(circ_int,0,eq_c1/2)))/(s_0+7*s_r+IF(circ_int,eq_c1/2,0)))))))))),NA())</f>
        <v/>
      </c>
      <c r="CQ38">
        <f>IF(AND(AND(links_on,8&lt;=n_per),INDEX(lk_kind,8)=1,35&lt;INDEX(lk_legs,8)),g_oy+IF(((35+0.5)*(4*IF(circ_int,0,eq_c1/2)+4*IF(circ_int,0,eq_c2/2)+2*PI()*(s_0+7*s_r+IF(circ_int,eq_c1/2,0)))/INDEX(lk_legs,8))&lt;(2*IF(circ_int,0,eq_c2/2)),-IF(circ_int,0,eq_c2/2)+((35+0.5)*(4*IF(circ_int,0,eq_c1/2)+4*IF(circ_int,0,eq_c2/2)+2*PI()*(s_0+7*s_r+IF(circ_int,eq_c1/2,0)))/INDEX(lk_legs,8)),IF(((35+0.5)*(4*IF(circ_int,0,eq_c1/2)+4*IF(circ_int,0,eq_c2/2)+2*PI()*(s_0+7*s_r+IF(circ_int,eq_c1/2,0)))/INDEX(lk_legs,8))&lt;((2*IF(circ_int,0,eq_c2/2))+(PI()*(s_0+7*s_r+IF(circ_int,eq_c1/2,0))/2)),IF(circ_int,0,eq_c2/2)+(s_0+7*s_r+IF(circ_int,eq_c1/2,0))*SIN((((35+0.5)*(4*IF(circ_int,0,eq_c1/2)+4*IF(circ_int,0,eq_c2/2)+2*PI()*(s_0+7*s_r+IF(circ_int,eq_c1/2,0)))/INDEX(lk_legs,8))-(2*IF(circ_int,0,eq_c2/2)))/(s_0+7*s_r+IF(circ_int,eq_c1/2,0))),IF(((35+0.5)*(4*IF(circ_int,0,eq_c1/2)+4*IF(circ_int,0,eq_c2/2)+2*PI()*(s_0+7*s_r+IF(circ_int,eq_c1/2,0)))/INDEX(lk_legs,8))&lt;(((2*IF(circ_int,0,eq_c2/2))+(PI()*(s_0+7*s_r+IF(circ_int,eq_c1/2,0))/2))+2*IF(circ_int,0,eq_c1/2)),IF(circ_int,0,eq_c2/2)+(s_0+7*s_r+IF(circ_int,eq_c1/2,0)),IF(((35+0.5)*(4*IF(circ_int,0,eq_c1/2)+4*IF(circ_int,0,eq_c2/2)+2*PI()*(s_0+7*s_r+IF(circ_int,eq_c1/2,0)))/INDEX(lk_legs,8))&lt;((((2*IF(circ_int,0,eq_c2/2))+(PI()*(s_0+7*s_r+IF(circ_int,eq_c1/2,0))/2))+2*IF(circ_int,0,eq_c1/2))+(PI()*(s_0+7*s_r+IF(circ_int,eq_c1/2,0))/2)),IF(circ_int,0,eq_c2/2)+(s_0+7*s_r+IF(circ_int,eq_c1/2,0))*SIN(PI()/2+(((35+0.5)*(4*IF(circ_int,0,eq_c1/2)+4*IF(circ_int,0,eq_c2/2)+2*PI()*(s_0+7*s_r+IF(circ_int,eq_c1/2,0)))/INDEX(lk_legs,8))-(((2*IF(circ_int,0,eq_c2/2))+(PI()*(s_0+7*s_r+IF(circ_int,eq_c1/2,0))/2))+2*IF(circ_int,0,eq_c1/2)))/(s_0+7*s_r+IF(circ_int,eq_c1/2,0))),IF(((35+0.5)*(4*IF(circ_int,0,eq_c1/2)+4*IF(circ_int,0,eq_c2/2)+2*PI()*(s_0+7*s_r+IF(circ_int,eq_c1/2,0)))/INDEX(lk_legs,8))&lt;(((((2*IF(circ_int,0,eq_c2/2))+(PI()*(s_0+7*s_r+IF(circ_int,eq_c1/2,0))/2))+2*IF(circ_int,0,eq_c1/2))+(PI()*(s_0+7*s_r+IF(circ_int,eq_c1/2,0))/2))+2*IF(circ_int,0,eq_c2/2)),IF(circ_int,0,eq_c2/2)-(((35+0.5)*(4*IF(circ_int,0,eq_c1/2)+4*IF(circ_int,0,eq_c2/2)+2*PI()*(s_0+7*s_r+IF(circ_int,eq_c1/2,0)))/INDEX(lk_legs,8))-((((2*IF(circ_int,0,eq_c2/2))+(PI()*(s_0+7*s_r+IF(circ_int,eq_c1/2,0))/2))+2*IF(circ_int,0,eq_c1/2))+(PI()*(s_0+7*s_r+IF(circ_int,eq_c1/2,0))/2))),IF(((35+0.5)*(4*IF(circ_int,0,eq_c1/2)+4*IF(circ_int,0,eq_c2/2)+2*PI()*(s_0+7*s_r+IF(circ_int,eq_c1/2,0)))/INDEX(lk_legs,8))&lt;((((((2*IF(circ_int,0,eq_c2/2))+(PI()*(s_0+7*s_r+IF(circ_int,eq_c1/2,0))/2))+2*IF(circ_int,0,eq_c1/2))+(PI()*(s_0+7*s_r+IF(circ_int,eq_c1/2,0))/2))+2*IF(circ_int,0,eq_c2/2))+(PI()*(s_0+7*s_r+IF(circ_int,eq_c1/2,0))/2)),-IF(circ_int,0,eq_c2/2)+(s_0+7*s_r+IF(circ_int,eq_c1/2,0))*SIN(PI()+(((35+0.5)*(4*IF(circ_int,0,eq_c1/2)+4*IF(circ_int,0,eq_c2/2)+2*PI()*(s_0+7*s_r+IF(circ_int,eq_c1/2,0)))/INDEX(lk_legs,8))-(((((2*IF(circ_int,0,eq_c2/2))+(PI()*(s_0+7*s_r+IF(circ_int,eq_c1/2,0))/2))+2*IF(circ_int,0,eq_c1/2))+(PI()*(s_0+7*s_r+IF(circ_int,eq_c1/2,0))/2))+2*IF(circ_int,0,eq_c2/2)))/(s_0+7*s_r+IF(circ_int,eq_c1/2,0))),IF(((35+0.5)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(35+0.5)*(4*IF(circ_int,0,eq_c1/2)+4*IF(circ_int,0,eq_c2/2)+2*PI()*(s_0+7*s_r+IF(circ_int,eq_c1/2,0)))/INDEX(lk_legs,8))-(((((((2*IF(circ_int,0,eq_c2/2))+(PI()*(s_0+7*s_r+IF(circ_int,eq_c1/2,0))/2))+2*IF(circ_int,0,eq_c1/2))+(PI()*(s_0+7*s_r+IF(circ_int,eq_c1/2,0))/2))+2*IF(circ_int,0,eq_c2/2))+(PI()*(s_0+7*s_r+IF(circ_int,eq_c1/2,0))/2))+2*IF(circ_int,0,eq_c1/2)))/(s_0+7*s_r+IF(circ_int,eq_c1/2,0)))))))))),NA())</f>
        <v/>
      </c>
      <c r="CS38">
        <f>IF(AND(links_on,9&lt;=n_per),IF(circ_int,(g_ox)+(c_1/2+(s_0+8*s_r))*-0.464723,CHOOSE(INDEX(lk_kind,9),(g_ox-eq_c1/2)+((s_0+8*s_r))*-0.382683,0,eq_a1+eq_c1+(s_0+8*s_r),eq_a1+eq_c1+(s_0+8*s_r))),NA())</f>
        <v/>
      </c>
      <c r="CT38">
        <f>IF(AND(links_on,9&lt;=n_per),IF(circ_int,(g_oy)+(c_1/2+(s_0+8*s_r))*-0.885456,CHOOSE(INDEX(lk_kind,9),(g_oy-eq_c2/2)+((s_0+8*s_r))*-0.923880,g_oy-eq_c2/2-(s_0+8*s_r),0,0)),NA())</f>
        <v/>
      </c>
      <c r="CV38">
        <f>IF(AND(AND(links_on,9&lt;=n_per),INDEX(lk_kind,9)=1,35&lt;INDEX(lk_legs,9)),g_ox+IF(((35+0.5)*(4*IF(circ_int,0,eq_c1/2)+4*IF(circ_int,0,eq_c2/2)+2*PI()*(s_0+8*s_r+IF(circ_int,eq_c1/2,0)))/INDEX(lk_legs,9))&lt;(2*IF(circ_int,0,eq_c2/2)),IF(circ_int,0,eq_c1/2)+(s_0+8*s_r+IF(circ_int,eq_c1/2,0)),IF(((35+0.5)*(4*IF(circ_int,0,eq_c1/2)+4*IF(circ_int,0,eq_c2/2)+2*PI()*(s_0+8*s_r+IF(circ_int,eq_c1/2,0)))/INDEX(lk_legs,9))&lt;((2*IF(circ_int,0,eq_c2/2))+(PI()*(s_0+8*s_r+IF(circ_int,eq_c1/2,0))/2)),IF(circ_int,0,eq_c1/2)+(s_0+8*s_r+IF(circ_int,eq_c1/2,0))*COS((((35+0.5)*(4*IF(circ_int,0,eq_c1/2)+4*IF(circ_int,0,eq_c2/2)+2*PI()*(s_0+8*s_r+IF(circ_int,eq_c1/2,0)))/INDEX(lk_legs,9))-(2*IF(circ_int,0,eq_c2/2)))/(s_0+8*s_r+IF(circ_int,eq_c1/2,0))),IF(((35+0.5)*(4*IF(circ_int,0,eq_c1/2)+4*IF(circ_int,0,eq_c2/2)+2*PI()*(s_0+8*s_r+IF(circ_int,eq_c1/2,0)))/INDEX(lk_legs,9))&lt;(((2*IF(circ_int,0,eq_c2/2))+(PI()*(s_0+8*s_r+IF(circ_int,eq_c1/2,0))/2))+2*IF(circ_int,0,eq_c1/2)),IF(circ_int,0,eq_c1/2)-(((35+0.5)*(4*IF(circ_int,0,eq_c1/2)+4*IF(circ_int,0,eq_c2/2)+2*PI()*(s_0+8*s_r+IF(circ_int,eq_c1/2,0)))/INDEX(lk_legs,9))-((2*IF(circ_int,0,eq_c2/2))+(PI()*(s_0+8*s_r+IF(circ_int,eq_c1/2,0))/2))),IF(((35+0.5)*(4*IF(circ_int,0,eq_c1/2)+4*IF(circ_int,0,eq_c2/2)+2*PI()*(s_0+8*s_r+IF(circ_int,eq_c1/2,0)))/INDEX(lk_legs,9))&lt;((((2*IF(circ_int,0,eq_c2/2))+(PI()*(s_0+8*s_r+IF(circ_int,eq_c1/2,0))/2))+2*IF(circ_int,0,eq_c1/2))+(PI()*(s_0+8*s_r+IF(circ_int,eq_c1/2,0))/2)),-IF(circ_int,0,eq_c1/2)+(s_0+8*s_r+IF(circ_int,eq_c1/2,0))*COS(PI()/2+(((35+0.5)*(4*IF(circ_int,0,eq_c1/2)+4*IF(circ_int,0,eq_c2/2)+2*PI()*(s_0+8*s_r+IF(circ_int,eq_c1/2,0)))/INDEX(lk_legs,9))-(((2*IF(circ_int,0,eq_c2/2))+(PI()*(s_0+8*s_r+IF(circ_int,eq_c1/2,0))/2))+2*IF(circ_int,0,eq_c1/2)))/(s_0+8*s_r+IF(circ_int,eq_c1/2,0))),IF(((35+0.5)*(4*IF(circ_int,0,eq_c1/2)+4*IF(circ_int,0,eq_c2/2)+2*PI()*(s_0+8*s_r+IF(circ_int,eq_c1/2,0)))/INDEX(lk_legs,9))&lt;(((((2*IF(circ_int,0,eq_c2/2))+(PI()*(s_0+8*s_r+IF(circ_int,eq_c1/2,0))/2))+2*IF(circ_int,0,eq_c1/2))+(PI()*(s_0+8*s_r+IF(circ_int,eq_c1/2,0))/2))+2*IF(circ_int,0,eq_c2/2)),-IF(circ_int,0,eq_c1/2)-(s_0+8*s_r+IF(circ_int,eq_c1/2,0)),IF(((35+0.5)*(4*IF(circ_int,0,eq_c1/2)+4*IF(circ_int,0,eq_c2/2)+2*PI()*(s_0+8*s_r+IF(circ_int,eq_c1/2,0)))/INDEX(lk_legs,9))&lt;((((((2*IF(circ_int,0,eq_c2/2))+(PI()*(s_0+8*s_r+IF(circ_int,eq_c1/2,0))/2))+2*IF(circ_int,0,eq_c1/2))+(PI()*(s_0+8*s_r+IF(circ_int,eq_c1/2,0))/2))+2*IF(circ_int,0,eq_c2/2))+(PI()*(s_0+8*s_r+IF(circ_int,eq_c1/2,0))/2)),-IF(circ_int,0,eq_c1/2)+(s_0+8*s_r+IF(circ_int,eq_c1/2,0))*COS(PI()+(((35+0.5)*(4*IF(circ_int,0,eq_c1/2)+4*IF(circ_int,0,eq_c2/2)+2*PI()*(s_0+8*s_r+IF(circ_int,eq_c1/2,0)))/INDEX(lk_legs,9))-(((((2*IF(circ_int,0,eq_c2/2))+(PI()*(s_0+8*s_r+IF(circ_int,eq_c1/2,0))/2))+2*IF(circ_int,0,eq_c1/2))+(PI()*(s_0+8*s_r+IF(circ_int,eq_c1/2,0))/2))+2*IF(circ_int,0,eq_c2/2)))/(s_0+8*s_r+IF(circ_int,eq_c1/2,0))),IF(((35+0.5)*(4*IF(circ_int,0,eq_c1/2)+4*IF(circ_int,0,eq_c2/2)+2*PI()*(s_0+8*s_r+IF(circ_int,eq_c1/2,0)))/INDEX(lk_legs,9))&lt;(((((((2*IF(circ_int,0,eq_c2/2))+(PI()*(s_0+8*s_r+IF(circ_int,eq_c1/2,0))/2))+2*IF(circ_int,0,eq_c1/2))+(PI()*(s_0+8*s_r+IF(circ_int,eq_c1/2,0))/2))+2*IF(circ_int,0,eq_c2/2))+(PI()*(s_0+8*s_r+IF(circ_int,eq_c1/2,0))/2))+2*IF(circ_int,0,eq_c1/2)),-IF(circ_int,0,eq_c1/2)+(((35+0.5)*(4*IF(circ_int,0,eq_c1/2)+4*IF(circ_int,0,eq_c2/2)+2*PI()*(s_0+8*s_r+IF(circ_int,eq_c1/2,0)))/INDEX(lk_legs,9))-((((((2*IF(circ_int,0,eq_c2/2))+(PI()*(s_0+8*s_r+IF(circ_int,eq_c1/2,0))/2))+2*IF(circ_int,0,eq_c1/2))+(PI()*(s_0+8*s_r+IF(circ_int,eq_c1/2,0))/2))+2*IF(circ_int,0,eq_c2/2))+(PI()*(s_0+8*s_r+IF(circ_int,eq_c1/2,0))/2))),IF(circ_int,0,eq_c1/2)+(s_0+8*s_r+IF(circ_int,eq_c1/2,0))*COS(3*PI()/2+(((35+0.5)*(4*IF(circ_int,0,eq_c1/2)+4*IF(circ_int,0,eq_c2/2)+2*PI()*(s_0+8*s_r+IF(circ_int,eq_c1/2,0)))/INDEX(lk_legs,9))-(((((((2*IF(circ_int,0,eq_c2/2))+(PI()*(s_0+8*s_r+IF(circ_int,eq_c1/2,0))/2))+2*IF(circ_int,0,eq_c1/2))+(PI()*(s_0+8*s_r+IF(circ_int,eq_c1/2,0))/2))+2*IF(circ_int,0,eq_c2/2))+(PI()*(s_0+8*s_r+IF(circ_int,eq_c1/2,0))/2))+2*IF(circ_int,0,eq_c1/2)))/(s_0+8*s_r+IF(circ_int,eq_c1/2,0)))))))))),NA())</f>
        <v/>
      </c>
      <c r="CW38">
        <f>IF(AND(AND(links_on,9&lt;=n_per),INDEX(lk_kind,9)=1,35&lt;INDEX(lk_legs,9)),g_oy+IF(((35+0.5)*(4*IF(circ_int,0,eq_c1/2)+4*IF(circ_int,0,eq_c2/2)+2*PI()*(s_0+8*s_r+IF(circ_int,eq_c1/2,0)))/INDEX(lk_legs,9))&lt;(2*IF(circ_int,0,eq_c2/2)),-IF(circ_int,0,eq_c2/2)+((35+0.5)*(4*IF(circ_int,0,eq_c1/2)+4*IF(circ_int,0,eq_c2/2)+2*PI()*(s_0+8*s_r+IF(circ_int,eq_c1/2,0)))/INDEX(lk_legs,9)),IF(((35+0.5)*(4*IF(circ_int,0,eq_c1/2)+4*IF(circ_int,0,eq_c2/2)+2*PI()*(s_0+8*s_r+IF(circ_int,eq_c1/2,0)))/INDEX(lk_legs,9))&lt;((2*IF(circ_int,0,eq_c2/2))+(PI()*(s_0+8*s_r+IF(circ_int,eq_c1/2,0))/2)),IF(circ_int,0,eq_c2/2)+(s_0+8*s_r+IF(circ_int,eq_c1/2,0))*SIN((((35+0.5)*(4*IF(circ_int,0,eq_c1/2)+4*IF(circ_int,0,eq_c2/2)+2*PI()*(s_0+8*s_r+IF(circ_int,eq_c1/2,0)))/INDEX(lk_legs,9))-(2*IF(circ_int,0,eq_c2/2)))/(s_0+8*s_r+IF(circ_int,eq_c1/2,0))),IF(((35+0.5)*(4*IF(circ_int,0,eq_c1/2)+4*IF(circ_int,0,eq_c2/2)+2*PI()*(s_0+8*s_r+IF(circ_int,eq_c1/2,0)))/INDEX(lk_legs,9))&lt;(((2*IF(circ_int,0,eq_c2/2))+(PI()*(s_0+8*s_r+IF(circ_int,eq_c1/2,0))/2))+2*IF(circ_int,0,eq_c1/2)),IF(circ_int,0,eq_c2/2)+(s_0+8*s_r+IF(circ_int,eq_c1/2,0)),IF(((35+0.5)*(4*IF(circ_int,0,eq_c1/2)+4*IF(circ_int,0,eq_c2/2)+2*PI()*(s_0+8*s_r+IF(circ_int,eq_c1/2,0)))/INDEX(lk_legs,9))&lt;((((2*IF(circ_int,0,eq_c2/2))+(PI()*(s_0+8*s_r+IF(circ_int,eq_c1/2,0))/2))+2*IF(circ_int,0,eq_c1/2))+(PI()*(s_0+8*s_r+IF(circ_int,eq_c1/2,0))/2)),IF(circ_int,0,eq_c2/2)+(s_0+8*s_r+IF(circ_int,eq_c1/2,0))*SIN(PI()/2+(((35+0.5)*(4*IF(circ_int,0,eq_c1/2)+4*IF(circ_int,0,eq_c2/2)+2*PI()*(s_0+8*s_r+IF(circ_int,eq_c1/2,0)))/INDEX(lk_legs,9))-(((2*IF(circ_int,0,eq_c2/2))+(PI()*(s_0+8*s_r+IF(circ_int,eq_c1/2,0))/2))+2*IF(circ_int,0,eq_c1/2)))/(s_0+8*s_r+IF(circ_int,eq_c1/2,0))),IF(((35+0.5)*(4*IF(circ_int,0,eq_c1/2)+4*IF(circ_int,0,eq_c2/2)+2*PI()*(s_0+8*s_r+IF(circ_int,eq_c1/2,0)))/INDEX(lk_legs,9))&lt;(((((2*IF(circ_int,0,eq_c2/2))+(PI()*(s_0+8*s_r+IF(circ_int,eq_c1/2,0))/2))+2*IF(circ_int,0,eq_c1/2))+(PI()*(s_0+8*s_r+IF(circ_int,eq_c1/2,0))/2))+2*IF(circ_int,0,eq_c2/2)),IF(circ_int,0,eq_c2/2)-(((35+0.5)*(4*IF(circ_int,0,eq_c1/2)+4*IF(circ_int,0,eq_c2/2)+2*PI()*(s_0+8*s_r+IF(circ_int,eq_c1/2,0)))/INDEX(lk_legs,9))-((((2*IF(circ_int,0,eq_c2/2))+(PI()*(s_0+8*s_r+IF(circ_int,eq_c1/2,0))/2))+2*IF(circ_int,0,eq_c1/2))+(PI()*(s_0+8*s_r+IF(circ_int,eq_c1/2,0))/2))),IF(((35+0.5)*(4*IF(circ_int,0,eq_c1/2)+4*IF(circ_int,0,eq_c2/2)+2*PI()*(s_0+8*s_r+IF(circ_int,eq_c1/2,0)))/INDEX(lk_legs,9))&lt;((((((2*IF(circ_int,0,eq_c2/2))+(PI()*(s_0+8*s_r+IF(circ_int,eq_c1/2,0))/2))+2*IF(circ_int,0,eq_c1/2))+(PI()*(s_0+8*s_r+IF(circ_int,eq_c1/2,0))/2))+2*IF(circ_int,0,eq_c2/2))+(PI()*(s_0+8*s_r+IF(circ_int,eq_c1/2,0))/2)),-IF(circ_int,0,eq_c2/2)+(s_0+8*s_r+IF(circ_int,eq_c1/2,0))*SIN(PI()+(((35+0.5)*(4*IF(circ_int,0,eq_c1/2)+4*IF(circ_int,0,eq_c2/2)+2*PI()*(s_0+8*s_r+IF(circ_int,eq_c1/2,0)))/INDEX(lk_legs,9))-(((((2*IF(circ_int,0,eq_c2/2))+(PI()*(s_0+8*s_r+IF(circ_int,eq_c1/2,0))/2))+2*IF(circ_int,0,eq_c1/2))+(PI()*(s_0+8*s_r+IF(circ_int,eq_c1/2,0))/2))+2*IF(circ_int,0,eq_c2/2)))/(s_0+8*s_r+IF(circ_int,eq_c1/2,0))),IF(((35+0.5)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(35+0.5)*(4*IF(circ_int,0,eq_c1/2)+4*IF(circ_int,0,eq_c2/2)+2*PI()*(s_0+8*s_r+IF(circ_int,eq_c1/2,0)))/INDEX(lk_legs,9))-(((((((2*IF(circ_int,0,eq_c2/2))+(PI()*(s_0+8*s_r+IF(circ_int,eq_c1/2,0))/2))+2*IF(circ_int,0,eq_c1/2))+(PI()*(s_0+8*s_r+IF(circ_int,eq_c1/2,0))/2))+2*IF(circ_int,0,eq_c2/2))+(PI()*(s_0+8*s_r+IF(circ_int,eq_c1/2,0))/2))+2*IF(circ_int,0,eq_c1/2)))/(s_0+8*s_r+IF(circ_int,eq_c1/2,0)))))))))),NA())</f>
        <v/>
      </c>
      <c r="CY38">
        <f>IF(AND(links_on,10&lt;=n_per),IF(circ_int,(g_ox)+(c_1/2+(s_0+9*s_r))*-0.464723,CHOOSE(INDEX(lk_kind,10),(g_ox-eq_c1/2)+((s_0+9*s_r))*-0.382683,0,eq_a1+eq_c1+(s_0+9*s_r),eq_a1+eq_c1+(s_0+9*s_r))),NA())</f>
        <v/>
      </c>
      <c r="CZ38">
        <f>IF(AND(links_on,10&lt;=n_per),IF(circ_int,(g_oy)+(c_1/2+(s_0+9*s_r))*-0.885456,CHOOSE(INDEX(lk_kind,10),(g_oy-eq_c2/2)+((s_0+9*s_r))*-0.923880,g_oy-eq_c2/2-(s_0+9*s_r),0,0)),NA())</f>
        <v/>
      </c>
      <c r="DB38">
        <f>IF(AND(AND(links_on,10&lt;=n_per),INDEX(lk_kind,10)=1,35&lt;INDEX(lk_legs,10)),g_ox+IF(((35+0.5)*(4*IF(circ_int,0,eq_c1/2)+4*IF(circ_int,0,eq_c2/2)+2*PI()*(s_0+9*s_r+IF(circ_int,eq_c1/2,0)))/INDEX(lk_legs,10))&lt;(2*IF(circ_int,0,eq_c2/2)),IF(circ_int,0,eq_c1/2)+(s_0+9*s_r+IF(circ_int,eq_c1/2,0)),IF(((35+0.5)*(4*IF(circ_int,0,eq_c1/2)+4*IF(circ_int,0,eq_c2/2)+2*PI()*(s_0+9*s_r+IF(circ_int,eq_c1/2,0)))/INDEX(lk_legs,10))&lt;((2*IF(circ_int,0,eq_c2/2))+(PI()*(s_0+9*s_r+IF(circ_int,eq_c1/2,0))/2)),IF(circ_int,0,eq_c1/2)+(s_0+9*s_r+IF(circ_int,eq_c1/2,0))*COS((((35+0.5)*(4*IF(circ_int,0,eq_c1/2)+4*IF(circ_int,0,eq_c2/2)+2*PI()*(s_0+9*s_r+IF(circ_int,eq_c1/2,0)))/INDEX(lk_legs,10))-(2*IF(circ_int,0,eq_c2/2)))/(s_0+9*s_r+IF(circ_int,eq_c1/2,0))),IF(((35+0.5)*(4*IF(circ_int,0,eq_c1/2)+4*IF(circ_int,0,eq_c2/2)+2*PI()*(s_0+9*s_r+IF(circ_int,eq_c1/2,0)))/INDEX(lk_legs,10))&lt;(((2*IF(circ_int,0,eq_c2/2))+(PI()*(s_0+9*s_r+IF(circ_int,eq_c1/2,0))/2))+2*IF(circ_int,0,eq_c1/2)),IF(circ_int,0,eq_c1/2)-(((35+0.5)*(4*IF(circ_int,0,eq_c1/2)+4*IF(circ_int,0,eq_c2/2)+2*PI()*(s_0+9*s_r+IF(circ_int,eq_c1/2,0)))/INDEX(lk_legs,10))-((2*IF(circ_int,0,eq_c2/2))+(PI()*(s_0+9*s_r+IF(circ_int,eq_c1/2,0))/2))),IF(((35+0.5)*(4*IF(circ_int,0,eq_c1/2)+4*IF(circ_int,0,eq_c2/2)+2*PI()*(s_0+9*s_r+IF(circ_int,eq_c1/2,0)))/INDEX(lk_legs,10))&lt;((((2*IF(circ_int,0,eq_c2/2))+(PI()*(s_0+9*s_r+IF(circ_int,eq_c1/2,0))/2))+2*IF(circ_int,0,eq_c1/2))+(PI()*(s_0+9*s_r+IF(circ_int,eq_c1/2,0))/2)),-IF(circ_int,0,eq_c1/2)+(s_0+9*s_r+IF(circ_int,eq_c1/2,0))*COS(PI()/2+(((35+0.5)*(4*IF(circ_int,0,eq_c1/2)+4*IF(circ_int,0,eq_c2/2)+2*PI()*(s_0+9*s_r+IF(circ_int,eq_c1/2,0)))/INDEX(lk_legs,10))-(((2*IF(circ_int,0,eq_c2/2))+(PI()*(s_0+9*s_r+IF(circ_int,eq_c1/2,0))/2))+2*IF(circ_int,0,eq_c1/2)))/(s_0+9*s_r+IF(circ_int,eq_c1/2,0))),IF(((35+0.5)*(4*IF(circ_int,0,eq_c1/2)+4*IF(circ_int,0,eq_c2/2)+2*PI()*(s_0+9*s_r+IF(circ_int,eq_c1/2,0)))/INDEX(lk_legs,10))&lt;(((((2*IF(circ_int,0,eq_c2/2))+(PI()*(s_0+9*s_r+IF(circ_int,eq_c1/2,0))/2))+2*IF(circ_int,0,eq_c1/2))+(PI()*(s_0+9*s_r+IF(circ_int,eq_c1/2,0))/2))+2*IF(circ_int,0,eq_c2/2)),-IF(circ_int,0,eq_c1/2)-(s_0+9*s_r+IF(circ_int,eq_c1/2,0)),IF(((35+0.5)*(4*IF(circ_int,0,eq_c1/2)+4*IF(circ_int,0,eq_c2/2)+2*PI()*(s_0+9*s_r+IF(circ_int,eq_c1/2,0)))/INDEX(lk_legs,10))&lt;((((((2*IF(circ_int,0,eq_c2/2))+(PI()*(s_0+9*s_r+IF(circ_int,eq_c1/2,0))/2))+2*IF(circ_int,0,eq_c1/2))+(PI()*(s_0+9*s_r+IF(circ_int,eq_c1/2,0))/2))+2*IF(circ_int,0,eq_c2/2))+(PI()*(s_0+9*s_r+IF(circ_int,eq_c1/2,0))/2)),-IF(circ_int,0,eq_c1/2)+(s_0+9*s_r+IF(circ_int,eq_c1/2,0))*COS(PI()+(((35+0.5)*(4*IF(circ_int,0,eq_c1/2)+4*IF(circ_int,0,eq_c2/2)+2*PI()*(s_0+9*s_r+IF(circ_int,eq_c1/2,0)))/INDEX(lk_legs,10))-(((((2*IF(circ_int,0,eq_c2/2))+(PI()*(s_0+9*s_r+IF(circ_int,eq_c1/2,0))/2))+2*IF(circ_int,0,eq_c1/2))+(PI()*(s_0+9*s_r+IF(circ_int,eq_c1/2,0))/2))+2*IF(circ_int,0,eq_c2/2)))/(s_0+9*s_r+IF(circ_int,eq_c1/2,0))),IF(((35+0.5)*(4*IF(circ_int,0,eq_c1/2)+4*IF(circ_int,0,eq_c2/2)+2*PI()*(s_0+9*s_r+IF(circ_int,eq_c1/2,0)))/INDEX(lk_legs,10))&lt;(((((((2*IF(circ_int,0,eq_c2/2))+(PI()*(s_0+9*s_r+IF(circ_int,eq_c1/2,0))/2))+2*IF(circ_int,0,eq_c1/2))+(PI()*(s_0+9*s_r+IF(circ_int,eq_c1/2,0))/2))+2*IF(circ_int,0,eq_c2/2))+(PI()*(s_0+9*s_r+IF(circ_int,eq_c1/2,0))/2))+2*IF(circ_int,0,eq_c1/2)),-IF(circ_int,0,eq_c1/2)+(((35+0.5)*(4*IF(circ_int,0,eq_c1/2)+4*IF(circ_int,0,eq_c2/2)+2*PI()*(s_0+9*s_r+IF(circ_int,eq_c1/2,0)))/INDEX(lk_legs,10))-((((((2*IF(circ_int,0,eq_c2/2))+(PI()*(s_0+9*s_r+IF(circ_int,eq_c1/2,0))/2))+2*IF(circ_int,0,eq_c1/2))+(PI()*(s_0+9*s_r+IF(circ_int,eq_c1/2,0))/2))+2*IF(circ_int,0,eq_c2/2))+(PI()*(s_0+9*s_r+IF(circ_int,eq_c1/2,0))/2))),IF(circ_int,0,eq_c1/2)+(s_0+9*s_r+IF(circ_int,eq_c1/2,0))*COS(3*PI()/2+(((35+0.5)*(4*IF(circ_int,0,eq_c1/2)+4*IF(circ_int,0,eq_c2/2)+2*PI()*(s_0+9*s_r+IF(circ_int,eq_c1/2,0)))/INDEX(lk_legs,10))-(((((((2*IF(circ_int,0,eq_c2/2))+(PI()*(s_0+9*s_r+IF(circ_int,eq_c1/2,0))/2))+2*IF(circ_int,0,eq_c1/2))+(PI()*(s_0+9*s_r+IF(circ_int,eq_c1/2,0))/2))+2*IF(circ_int,0,eq_c2/2))+(PI()*(s_0+9*s_r+IF(circ_int,eq_c1/2,0))/2))+2*IF(circ_int,0,eq_c1/2)))/(s_0+9*s_r+IF(circ_int,eq_c1/2,0)))))))))),NA())</f>
        <v/>
      </c>
      <c r="DC38">
        <f>IF(AND(AND(links_on,10&lt;=n_per),INDEX(lk_kind,10)=1,35&lt;INDEX(lk_legs,10)),g_oy+IF(((35+0.5)*(4*IF(circ_int,0,eq_c1/2)+4*IF(circ_int,0,eq_c2/2)+2*PI()*(s_0+9*s_r+IF(circ_int,eq_c1/2,0)))/INDEX(lk_legs,10))&lt;(2*IF(circ_int,0,eq_c2/2)),-IF(circ_int,0,eq_c2/2)+((35+0.5)*(4*IF(circ_int,0,eq_c1/2)+4*IF(circ_int,0,eq_c2/2)+2*PI()*(s_0+9*s_r+IF(circ_int,eq_c1/2,0)))/INDEX(lk_legs,10)),IF(((35+0.5)*(4*IF(circ_int,0,eq_c1/2)+4*IF(circ_int,0,eq_c2/2)+2*PI()*(s_0+9*s_r+IF(circ_int,eq_c1/2,0)))/INDEX(lk_legs,10))&lt;((2*IF(circ_int,0,eq_c2/2))+(PI()*(s_0+9*s_r+IF(circ_int,eq_c1/2,0))/2)),IF(circ_int,0,eq_c2/2)+(s_0+9*s_r+IF(circ_int,eq_c1/2,0))*SIN((((35+0.5)*(4*IF(circ_int,0,eq_c1/2)+4*IF(circ_int,0,eq_c2/2)+2*PI()*(s_0+9*s_r+IF(circ_int,eq_c1/2,0)))/INDEX(lk_legs,10))-(2*IF(circ_int,0,eq_c2/2)))/(s_0+9*s_r+IF(circ_int,eq_c1/2,0))),IF(((35+0.5)*(4*IF(circ_int,0,eq_c1/2)+4*IF(circ_int,0,eq_c2/2)+2*PI()*(s_0+9*s_r+IF(circ_int,eq_c1/2,0)))/INDEX(lk_legs,10))&lt;(((2*IF(circ_int,0,eq_c2/2))+(PI()*(s_0+9*s_r+IF(circ_int,eq_c1/2,0))/2))+2*IF(circ_int,0,eq_c1/2)),IF(circ_int,0,eq_c2/2)+(s_0+9*s_r+IF(circ_int,eq_c1/2,0)),IF(((35+0.5)*(4*IF(circ_int,0,eq_c1/2)+4*IF(circ_int,0,eq_c2/2)+2*PI()*(s_0+9*s_r+IF(circ_int,eq_c1/2,0)))/INDEX(lk_legs,10))&lt;((((2*IF(circ_int,0,eq_c2/2))+(PI()*(s_0+9*s_r+IF(circ_int,eq_c1/2,0))/2))+2*IF(circ_int,0,eq_c1/2))+(PI()*(s_0+9*s_r+IF(circ_int,eq_c1/2,0))/2)),IF(circ_int,0,eq_c2/2)+(s_0+9*s_r+IF(circ_int,eq_c1/2,0))*SIN(PI()/2+(((35+0.5)*(4*IF(circ_int,0,eq_c1/2)+4*IF(circ_int,0,eq_c2/2)+2*PI()*(s_0+9*s_r+IF(circ_int,eq_c1/2,0)))/INDEX(lk_legs,10))-(((2*IF(circ_int,0,eq_c2/2))+(PI()*(s_0+9*s_r+IF(circ_int,eq_c1/2,0))/2))+2*IF(circ_int,0,eq_c1/2)))/(s_0+9*s_r+IF(circ_int,eq_c1/2,0))),IF(((35+0.5)*(4*IF(circ_int,0,eq_c1/2)+4*IF(circ_int,0,eq_c2/2)+2*PI()*(s_0+9*s_r+IF(circ_int,eq_c1/2,0)))/INDEX(lk_legs,10))&lt;(((((2*IF(circ_int,0,eq_c2/2))+(PI()*(s_0+9*s_r+IF(circ_int,eq_c1/2,0))/2))+2*IF(circ_int,0,eq_c1/2))+(PI()*(s_0+9*s_r+IF(circ_int,eq_c1/2,0))/2))+2*IF(circ_int,0,eq_c2/2)),IF(circ_int,0,eq_c2/2)-(((35+0.5)*(4*IF(circ_int,0,eq_c1/2)+4*IF(circ_int,0,eq_c2/2)+2*PI()*(s_0+9*s_r+IF(circ_int,eq_c1/2,0)))/INDEX(lk_legs,10))-((((2*IF(circ_int,0,eq_c2/2))+(PI()*(s_0+9*s_r+IF(circ_int,eq_c1/2,0))/2))+2*IF(circ_int,0,eq_c1/2))+(PI()*(s_0+9*s_r+IF(circ_int,eq_c1/2,0))/2))),IF(((35+0.5)*(4*IF(circ_int,0,eq_c1/2)+4*IF(circ_int,0,eq_c2/2)+2*PI()*(s_0+9*s_r+IF(circ_int,eq_c1/2,0)))/INDEX(lk_legs,10))&lt;((((((2*IF(circ_int,0,eq_c2/2))+(PI()*(s_0+9*s_r+IF(circ_int,eq_c1/2,0))/2))+2*IF(circ_int,0,eq_c1/2))+(PI()*(s_0+9*s_r+IF(circ_int,eq_c1/2,0))/2))+2*IF(circ_int,0,eq_c2/2))+(PI()*(s_0+9*s_r+IF(circ_int,eq_c1/2,0))/2)),-IF(circ_int,0,eq_c2/2)+(s_0+9*s_r+IF(circ_int,eq_c1/2,0))*SIN(PI()+(((35+0.5)*(4*IF(circ_int,0,eq_c1/2)+4*IF(circ_int,0,eq_c2/2)+2*PI()*(s_0+9*s_r+IF(circ_int,eq_c1/2,0)))/INDEX(lk_legs,10))-(((((2*IF(circ_int,0,eq_c2/2))+(PI()*(s_0+9*s_r+IF(circ_int,eq_c1/2,0))/2))+2*IF(circ_int,0,eq_c1/2))+(PI()*(s_0+9*s_r+IF(circ_int,eq_c1/2,0))/2))+2*IF(circ_int,0,eq_c2/2)))/(s_0+9*s_r+IF(circ_int,eq_c1/2,0))),IF(((35+0.5)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(35+0.5)*(4*IF(circ_int,0,eq_c1/2)+4*IF(circ_int,0,eq_c2/2)+2*PI()*(s_0+9*s_r+IF(circ_int,eq_c1/2,0)))/INDEX(lk_legs,10))-(((((((2*IF(circ_int,0,eq_c2/2))+(PI()*(s_0+9*s_r+IF(circ_int,eq_c1/2,0))/2))+2*IF(circ_int,0,eq_c1/2))+(PI()*(s_0+9*s_r+IF(circ_int,eq_c1/2,0))/2))+2*IF(circ_int,0,eq_c2/2))+(PI()*(s_0+9*s_r+IF(circ_int,eq_c1/2,0))/2))+2*IF(circ_int,0,eq_c1/2)))/(s_0+9*s_r+IF(circ_int,eq_c1/2,0)))))))))),NA())</f>
        <v/>
      </c>
      <c r="DE38">
        <f>IF(AND(links_on,11&lt;=n_per),IF(circ_int,(g_ox)+(c_1/2+(s_0+10*s_r))*-0.464723,CHOOSE(INDEX(lk_kind,11),(g_ox-eq_c1/2)+((s_0+10*s_r))*-0.382683,0,eq_a1+eq_c1+(s_0+10*s_r),eq_a1+eq_c1+(s_0+10*s_r))),NA())</f>
        <v/>
      </c>
      <c r="DF38">
        <f>IF(AND(links_on,11&lt;=n_per),IF(circ_int,(g_oy)+(c_1/2+(s_0+10*s_r))*-0.885456,CHOOSE(INDEX(lk_kind,11),(g_oy-eq_c2/2)+((s_0+10*s_r))*-0.923880,g_oy-eq_c2/2-(s_0+10*s_r),0,0)),NA())</f>
        <v/>
      </c>
      <c r="DH38">
        <f>IF(AND(AND(links_on,11&lt;=n_per),INDEX(lk_kind,11)=1,35&lt;INDEX(lk_legs,11)),g_ox+IF(((35+0.5)*(4*IF(circ_int,0,eq_c1/2)+4*IF(circ_int,0,eq_c2/2)+2*PI()*(s_0+10*s_r+IF(circ_int,eq_c1/2,0)))/INDEX(lk_legs,11))&lt;(2*IF(circ_int,0,eq_c2/2)),IF(circ_int,0,eq_c1/2)+(s_0+10*s_r+IF(circ_int,eq_c1/2,0)),IF(((35+0.5)*(4*IF(circ_int,0,eq_c1/2)+4*IF(circ_int,0,eq_c2/2)+2*PI()*(s_0+10*s_r+IF(circ_int,eq_c1/2,0)))/INDEX(lk_legs,11))&lt;((2*IF(circ_int,0,eq_c2/2))+(PI()*(s_0+10*s_r+IF(circ_int,eq_c1/2,0))/2)),IF(circ_int,0,eq_c1/2)+(s_0+10*s_r+IF(circ_int,eq_c1/2,0))*COS((((35+0.5)*(4*IF(circ_int,0,eq_c1/2)+4*IF(circ_int,0,eq_c2/2)+2*PI()*(s_0+10*s_r+IF(circ_int,eq_c1/2,0)))/INDEX(lk_legs,11))-(2*IF(circ_int,0,eq_c2/2)))/(s_0+10*s_r+IF(circ_int,eq_c1/2,0))),IF(((35+0.5)*(4*IF(circ_int,0,eq_c1/2)+4*IF(circ_int,0,eq_c2/2)+2*PI()*(s_0+10*s_r+IF(circ_int,eq_c1/2,0)))/INDEX(lk_legs,11))&lt;(((2*IF(circ_int,0,eq_c2/2))+(PI()*(s_0+10*s_r+IF(circ_int,eq_c1/2,0))/2))+2*IF(circ_int,0,eq_c1/2)),IF(circ_int,0,eq_c1/2)-(((35+0.5)*(4*IF(circ_int,0,eq_c1/2)+4*IF(circ_int,0,eq_c2/2)+2*PI()*(s_0+10*s_r+IF(circ_int,eq_c1/2,0)))/INDEX(lk_legs,11))-((2*IF(circ_int,0,eq_c2/2))+(PI()*(s_0+10*s_r+IF(circ_int,eq_c1/2,0))/2))),IF(((35+0.5)*(4*IF(circ_int,0,eq_c1/2)+4*IF(circ_int,0,eq_c2/2)+2*PI()*(s_0+10*s_r+IF(circ_int,eq_c1/2,0)))/INDEX(lk_legs,11))&lt;((((2*IF(circ_int,0,eq_c2/2))+(PI()*(s_0+10*s_r+IF(circ_int,eq_c1/2,0))/2))+2*IF(circ_int,0,eq_c1/2))+(PI()*(s_0+10*s_r+IF(circ_int,eq_c1/2,0))/2)),-IF(circ_int,0,eq_c1/2)+(s_0+10*s_r+IF(circ_int,eq_c1/2,0))*COS(PI()/2+(((35+0.5)*(4*IF(circ_int,0,eq_c1/2)+4*IF(circ_int,0,eq_c2/2)+2*PI()*(s_0+10*s_r+IF(circ_int,eq_c1/2,0)))/INDEX(lk_legs,11))-(((2*IF(circ_int,0,eq_c2/2))+(PI()*(s_0+10*s_r+IF(circ_int,eq_c1/2,0))/2))+2*IF(circ_int,0,eq_c1/2)))/(s_0+10*s_r+IF(circ_int,eq_c1/2,0))),IF(((35+0.5)*(4*IF(circ_int,0,eq_c1/2)+4*IF(circ_int,0,eq_c2/2)+2*PI()*(s_0+10*s_r+IF(circ_int,eq_c1/2,0)))/INDEX(lk_legs,11))&lt;(((((2*IF(circ_int,0,eq_c2/2))+(PI()*(s_0+10*s_r+IF(circ_int,eq_c1/2,0))/2))+2*IF(circ_int,0,eq_c1/2))+(PI()*(s_0+10*s_r+IF(circ_int,eq_c1/2,0))/2))+2*IF(circ_int,0,eq_c2/2)),-IF(circ_int,0,eq_c1/2)-(s_0+10*s_r+IF(circ_int,eq_c1/2,0)),IF(((35+0.5)*(4*IF(circ_int,0,eq_c1/2)+4*IF(circ_int,0,eq_c2/2)+2*PI()*(s_0+10*s_r+IF(circ_int,eq_c1/2,0)))/INDEX(lk_legs,11))&lt;((((((2*IF(circ_int,0,eq_c2/2))+(PI()*(s_0+10*s_r+IF(circ_int,eq_c1/2,0))/2))+2*IF(circ_int,0,eq_c1/2))+(PI()*(s_0+10*s_r+IF(circ_int,eq_c1/2,0))/2))+2*IF(circ_int,0,eq_c2/2))+(PI()*(s_0+10*s_r+IF(circ_int,eq_c1/2,0))/2)),-IF(circ_int,0,eq_c1/2)+(s_0+10*s_r+IF(circ_int,eq_c1/2,0))*COS(PI()+(((35+0.5)*(4*IF(circ_int,0,eq_c1/2)+4*IF(circ_int,0,eq_c2/2)+2*PI()*(s_0+10*s_r+IF(circ_int,eq_c1/2,0)))/INDEX(lk_legs,11))-(((((2*IF(circ_int,0,eq_c2/2))+(PI()*(s_0+10*s_r+IF(circ_int,eq_c1/2,0))/2))+2*IF(circ_int,0,eq_c1/2))+(PI()*(s_0+10*s_r+IF(circ_int,eq_c1/2,0))/2))+2*IF(circ_int,0,eq_c2/2)))/(s_0+10*s_r+IF(circ_int,eq_c1/2,0))),IF(((35+0.5)*(4*IF(circ_int,0,eq_c1/2)+4*IF(circ_int,0,eq_c2/2)+2*PI()*(s_0+10*s_r+IF(circ_int,eq_c1/2,0)))/INDEX(lk_legs,11))&lt;(((((((2*IF(circ_int,0,eq_c2/2))+(PI()*(s_0+10*s_r+IF(circ_int,eq_c1/2,0))/2))+2*IF(circ_int,0,eq_c1/2))+(PI()*(s_0+10*s_r+IF(circ_int,eq_c1/2,0))/2))+2*IF(circ_int,0,eq_c2/2))+(PI()*(s_0+10*s_r+IF(circ_int,eq_c1/2,0))/2))+2*IF(circ_int,0,eq_c1/2)),-IF(circ_int,0,eq_c1/2)+(((35+0.5)*(4*IF(circ_int,0,eq_c1/2)+4*IF(circ_int,0,eq_c2/2)+2*PI()*(s_0+10*s_r+IF(circ_int,eq_c1/2,0)))/INDEX(lk_legs,11))-((((((2*IF(circ_int,0,eq_c2/2))+(PI()*(s_0+10*s_r+IF(circ_int,eq_c1/2,0))/2))+2*IF(circ_int,0,eq_c1/2))+(PI()*(s_0+10*s_r+IF(circ_int,eq_c1/2,0))/2))+2*IF(circ_int,0,eq_c2/2))+(PI()*(s_0+10*s_r+IF(circ_int,eq_c1/2,0))/2))),IF(circ_int,0,eq_c1/2)+(s_0+10*s_r+IF(circ_int,eq_c1/2,0))*COS(3*PI()/2+(((35+0.5)*(4*IF(circ_int,0,eq_c1/2)+4*IF(circ_int,0,eq_c2/2)+2*PI()*(s_0+10*s_r+IF(circ_int,eq_c1/2,0)))/INDEX(lk_legs,11))-(((((((2*IF(circ_int,0,eq_c2/2))+(PI()*(s_0+10*s_r+IF(circ_int,eq_c1/2,0))/2))+2*IF(circ_int,0,eq_c1/2))+(PI()*(s_0+10*s_r+IF(circ_int,eq_c1/2,0))/2))+2*IF(circ_int,0,eq_c2/2))+(PI()*(s_0+10*s_r+IF(circ_int,eq_c1/2,0))/2))+2*IF(circ_int,0,eq_c1/2)))/(s_0+10*s_r+IF(circ_int,eq_c1/2,0)))))))))),NA())</f>
        <v/>
      </c>
      <c r="DI38">
        <f>IF(AND(AND(links_on,11&lt;=n_per),INDEX(lk_kind,11)=1,35&lt;INDEX(lk_legs,11)),g_oy+IF(((35+0.5)*(4*IF(circ_int,0,eq_c1/2)+4*IF(circ_int,0,eq_c2/2)+2*PI()*(s_0+10*s_r+IF(circ_int,eq_c1/2,0)))/INDEX(lk_legs,11))&lt;(2*IF(circ_int,0,eq_c2/2)),-IF(circ_int,0,eq_c2/2)+((35+0.5)*(4*IF(circ_int,0,eq_c1/2)+4*IF(circ_int,0,eq_c2/2)+2*PI()*(s_0+10*s_r+IF(circ_int,eq_c1/2,0)))/INDEX(lk_legs,11)),IF(((35+0.5)*(4*IF(circ_int,0,eq_c1/2)+4*IF(circ_int,0,eq_c2/2)+2*PI()*(s_0+10*s_r+IF(circ_int,eq_c1/2,0)))/INDEX(lk_legs,11))&lt;((2*IF(circ_int,0,eq_c2/2))+(PI()*(s_0+10*s_r+IF(circ_int,eq_c1/2,0))/2)),IF(circ_int,0,eq_c2/2)+(s_0+10*s_r+IF(circ_int,eq_c1/2,0))*SIN((((35+0.5)*(4*IF(circ_int,0,eq_c1/2)+4*IF(circ_int,0,eq_c2/2)+2*PI()*(s_0+10*s_r+IF(circ_int,eq_c1/2,0)))/INDEX(lk_legs,11))-(2*IF(circ_int,0,eq_c2/2)))/(s_0+10*s_r+IF(circ_int,eq_c1/2,0))),IF(((35+0.5)*(4*IF(circ_int,0,eq_c1/2)+4*IF(circ_int,0,eq_c2/2)+2*PI()*(s_0+10*s_r+IF(circ_int,eq_c1/2,0)))/INDEX(lk_legs,11))&lt;(((2*IF(circ_int,0,eq_c2/2))+(PI()*(s_0+10*s_r+IF(circ_int,eq_c1/2,0))/2))+2*IF(circ_int,0,eq_c1/2)),IF(circ_int,0,eq_c2/2)+(s_0+10*s_r+IF(circ_int,eq_c1/2,0)),IF(((35+0.5)*(4*IF(circ_int,0,eq_c1/2)+4*IF(circ_int,0,eq_c2/2)+2*PI()*(s_0+10*s_r+IF(circ_int,eq_c1/2,0)))/INDEX(lk_legs,11))&lt;((((2*IF(circ_int,0,eq_c2/2))+(PI()*(s_0+10*s_r+IF(circ_int,eq_c1/2,0))/2))+2*IF(circ_int,0,eq_c1/2))+(PI()*(s_0+10*s_r+IF(circ_int,eq_c1/2,0))/2)),IF(circ_int,0,eq_c2/2)+(s_0+10*s_r+IF(circ_int,eq_c1/2,0))*SIN(PI()/2+(((35+0.5)*(4*IF(circ_int,0,eq_c1/2)+4*IF(circ_int,0,eq_c2/2)+2*PI()*(s_0+10*s_r+IF(circ_int,eq_c1/2,0)))/INDEX(lk_legs,11))-(((2*IF(circ_int,0,eq_c2/2))+(PI()*(s_0+10*s_r+IF(circ_int,eq_c1/2,0))/2))+2*IF(circ_int,0,eq_c1/2)))/(s_0+10*s_r+IF(circ_int,eq_c1/2,0))),IF(((35+0.5)*(4*IF(circ_int,0,eq_c1/2)+4*IF(circ_int,0,eq_c2/2)+2*PI()*(s_0+10*s_r+IF(circ_int,eq_c1/2,0)))/INDEX(lk_legs,11))&lt;(((((2*IF(circ_int,0,eq_c2/2))+(PI()*(s_0+10*s_r+IF(circ_int,eq_c1/2,0))/2))+2*IF(circ_int,0,eq_c1/2))+(PI()*(s_0+10*s_r+IF(circ_int,eq_c1/2,0))/2))+2*IF(circ_int,0,eq_c2/2)),IF(circ_int,0,eq_c2/2)-(((35+0.5)*(4*IF(circ_int,0,eq_c1/2)+4*IF(circ_int,0,eq_c2/2)+2*PI()*(s_0+10*s_r+IF(circ_int,eq_c1/2,0)))/INDEX(lk_legs,11))-((((2*IF(circ_int,0,eq_c2/2))+(PI()*(s_0+10*s_r+IF(circ_int,eq_c1/2,0))/2))+2*IF(circ_int,0,eq_c1/2))+(PI()*(s_0+10*s_r+IF(circ_int,eq_c1/2,0))/2))),IF(((35+0.5)*(4*IF(circ_int,0,eq_c1/2)+4*IF(circ_int,0,eq_c2/2)+2*PI()*(s_0+10*s_r+IF(circ_int,eq_c1/2,0)))/INDEX(lk_legs,11))&lt;((((((2*IF(circ_int,0,eq_c2/2))+(PI()*(s_0+10*s_r+IF(circ_int,eq_c1/2,0))/2))+2*IF(circ_int,0,eq_c1/2))+(PI()*(s_0+10*s_r+IF(circ_int,eq_c1/2,0))/2))+2*IF(circ_int,0,eq_c2/2))+(PI()*(s_0+10*s_r+IF(circ_int,eq_c1/2,0))/2)),-IF(circ_int,0,eq_c2/2)+(s_0+10*s_r+IF(circ_int,eq_c1/2,0))*SIN(PI()+(((35+0.5)*(4*IF(circ_int,0,eq_c1/2)+4*IF(circ_int,0,eq_c2/2)+2*PI()*(s_0+10*s_r+IF(circ_int,eq_c1/2,0)))/INDEX(lk_legs,11))-(((((2*IF(circ_int,0,eq_c2/2))+(PI()*(s_0+10*s_r+IF(circ_int,eq_c1/2,0))/2))+2*IF(circ_int,0,eq_c1/2))+(PI()*(s_0+10*s_r+IF(circ_int,eq_c1/2,0))/2))+2*IF(circ_int,0,eq_c2/2)))/(s_0+10*s_r+IF(circ_int,eq_c1/2,0))),IF(((35+0.5)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(35+0.5)*(4*IF(circ_int,0,eq_c1/2)+4*IF(circ_int,0,eq_c2/2)+2*PI()*(s_0+10*s_r+IF(circ_int,eq_c1/2,0)))/INDEX(lk_legs,11))-(((((((2*IF(circ_int,0,eq_c2/2))+(PI()*(s_0+10*s_r+IF(circ_int,eq_c1/2,0))/2))+2*IF(circ_int,0,eq_c1/2))+(PI()*(s_0+10*s_r+IF(circ_int,eq_c1/2,0))/2))+2*IF(circ_int,0,eq_c2/2))+(PI()*(s_0+10*s_r+IF(circ_int,eq_c1/2,0))/2))+2*IF(circ_int,0,eq_c1/2)))/(s_0+10*s_r+IF(circ_int,eq_c1/2,0)))))))))),NA())</f>
        <v/>
      </c>
      <c r="DK38">
        <f>IF(AND(links_on,12&lt;=n_per),IF(circ_int,(g_ox)+(c_1/2+(s_0+11*s_r))*-0.464723,CHOOSE(INDEX(lk_kind,12),(g_ox-eq_c1/2)+((s_0+11*s_r))*-0.382683,0,eq_a1+eq_c1+(s_0+11*s_r),eq_a1+eq_c1+(s_0+11*s_r))),NA())</f>
        <v/>
      </c>
      <c r="DL38">
        <f>IF(AND(links_on,12&lt;=n_per),IF(circ_int,(g_oy)+(c_1/2+(s_0+11*s_r))*-0.885456,CHOOSE(INDEX(lk_kind,12),(g_oy-eq_c2/2)+((s_0+11*s_r))*-0.923880,g_oy-eq_c2/2-(s_0+11*s_r),0,0)),NA())</f>
        <v/>
      </c>
      <c r="DN38">
        <f>IF(AND(AND(links_on,12&lt;=n_per),INDEX(lk_kind,12)=1,35&lt;INDEX(lk_legs,12)),g_ox+IF(((35+0.5)*(4*IF(circ_int,0,eq_c1/2)+4*IF(circ_int,0,eq_c2/2)+2*PI()*(s_0+11*s_r+IF(circ_int,eq_c1/2,0)))/INDEX(lk_legs,12))&lt;(2*IF(circ_int,0,eq_c2/2)),IF(circ_int,0,eq_c1/2)+(s_0+11*s_r+IF(circ_int,eq_c1/2,0)),IF(((35+0.5)*(4*IF(circ_int,0,eq_c1/2)+4*IF(circ_int,0,eq_c2/2)+2*PI()*(s_0+11*s_r+IF(circ_int,eq_c1/2,0)))/INDEX(lk_legs,12))&lt;((2*IF(circ_int,0,eq_c2/2))+(PI()*(s_0+11*s_r+IF(circ_int,eq_c1/2,0))/2)),IF(circ_int,0,eq_c1/2)+(s_0+11*s_r+IF(circ_int,eq_c1/2,0))*COS((((35+0.5)*(4*IF(circ_int,0,eq_c1/2)+4*IF(circ_int,0,eq_c2/2)+2*PI()*(s_0+11*s_r+IF(circ_int,eq_c1/2,0)))/INDEX(lk_legs,12))-(2*IF(circ_int,0,eq_c2/2)))/(s_0+11*s_r+IF(circ_int,eq_c1/2,0))),IF(((35+0.5)*(4*IF(circ_int,0,eq_c1/2)+4*IF(circ_int,0,eq_c2/2)+2*PI()*(s_0+11*s_r+IF(circ_int,eq_c1/2,0)))/INDEX(lk_legs,12))&lt;(((2*IF(circ_int,0,eq_c2/2))+(PI()*(s_0+11*s_r+IF(circ_int,eq_c1/2,0))/2))+2*IF(circ_int,0,eq_c1/2)),IF(circ_int,0,eq_c1/2)-(((35+0.5)*(4*IF(circ_int,0,eq_c1/2)+4*IF(circ_int,0,eq_c2/2)+2*PI()*(s_0+11*s_r+IF(circ_int,eq_c1/2,0)))/INDEX(lk_legs,12))-((2*IF(circ_int,0,eq_c2/2))+(PI()*(s_0+11*s_r+IF(circ_int,eq_c1/2,0))/2))),IF(((35+0.5)*(4*IF(circ_int,0,eq_c1/2)+4*IF(circ_int,0,eq_c2/2)+2*PI()*(s_0+11*s_r+IF(circ_int,eq_c1/2,0)))/INDEX(lk_legs,12))&lt;((((2*IF(circ_int,0,eq_c2/2))+(PI()*(s_0+11*s_r+IF(circ_int,eq_c1/2,0))/2))+2*IF(circ_int,0,eq_c1/2))+(PI()*(s_0+11*s_r+IF(circ_int,eq_c1/2,0))/2)),-IF(circ_int,0,eq_c1/2)+(s_0+11*s_r+IF(circ_int,eq_c1/2,0))*COS(PI()/2+(((35+0.5)*(4*IF(circ_int,0,eq_c1/2)+4*IF(circ_int,0,eq_c2/2)+2*PI()*(s_0+11*s_r+IF(circ_int,eq_c1/2,0)))/INDEX(lk_legs,12))-(((2*IF(circ_int,0,eq_c2/2))+(PI()*(s_0+11*s_r+IF(circ_int,eq_c1/2,0))/2))+2*IF(circ_int,0,eq_c1/2)))/(s_0+11*s_r+IF(circ_int,eq_c1/2,0))),IF(((35+0.5)*(4*IF(circ_int,0,eq_c1/2)+4*IF(circ_int,0,eq_c2/2)+2*PI()*(s_0+11*s_r+IF(circ_int,eq_c1/2,0)))/INDEX(lk_legs,12))&lt;(((((2*IF(circ_int,0,eq_c2/2))+(PI()*(s_0+11*s_r+IF(circ_int,eq_c1/2,0))/2))+2*IF(circ_int,0,eq_c1/2))+(PI()*(s_0+11*s_r+IF(circ_int,eq_c1/2,0))/2))+2*IF(circ_int,0,eq_c2/2)),-IF(circ_int,0,eq_c1/2)-(s_0+11*s_r+IF(circ_int,eq_c1/2,0)),IF(((35+0.5)*(4*IF(circ_int,0,eq_c1/2)+4*IF(circ_int,0,eq_c2/2)+2*PI()*(s_0+11*s_r+IF(circ_int,eq_c1/2,0)))/INDEX(lk_legs,12))&lt;((((((2*IF(circ_int,0,eq_c2/2))+(PI()*(s_0+11*s_r+IF(circ_int,eq_c1/2,0))/2))+2*IF(circ_int,0,eq_c1/2))+(PI()*(s_0+11*s_r+IF(circ_int,eq_c1/2,0))/2))+2*IF(circ_int,0,eq_c2/2))+(PI()*(s_0+11*s_r+IF(circ_int,eq_c1/2,0))/2)),-IF(circ_int,0,eq_c1/2)+(s_0+11*s_r+IF(circ_int,eq_c1/2,0))*COS(PI()+(((35+0.5)*(4*IF(circ_int,0,eq_c1/2)+4*IF(circ_int,0,eq_c2/2)+2*PI()*(s_0+11*s_r+IF(circ_int,eq_c1/2,0)))/INDEX(lk_legs,12))-(((((2*IF(circ_int,0,eq_c2/2))+(PI()*(s_0+11*s_r+IF(circ_int,eq_c1/2,0))/2))+2*IF(circ_int,0,eq_c1/2))+(PI()*(s_0+11*s_r+IF(circ_int,eq_c1/2,0))/2))+2*IF(circ_int,0,eq_c2/2)))/(s_0+11*s_r+IF(circ_int,eq_c1/2,0))),IF(((35+0.5)*(4*IF(circ_int,0,eq_c1/2)+4*IF(circ_int,0,eq_c2/2)+2*PI()*(s_0+11*s_r+IF(circ_int,eq_c1/2,0)))/INDEX(lk_legs,12))&lt;(((((((2*IF(circ_int,0,eq_c2/2))+(PI()*(s_0+11*s_r+IF(circ_int,eq_c1/2,0))/2))+2*IF(circ_int,0,eq_c1/2))+(PI()*(s_0+11*s_r+IF(circ_int,eq_c1/2,0))/2))+2*IF(circ_int,0,eq_c2/2))+(PI()*(s_0+11*s_r+IF(circ_int,eq_c1/2,0))/2))+2*IF(circ_int,0,eq_c1/2)),-IF(circ_int,0,eq_c1/2)+(((35+0.5)*(4*IF(circ_int,0,eq_c1/2)+4*IF(circ_int,0,eq_c2/2)+2*PI()*(s_0+11*s_r+IF(circ_int,eq_c1/2,0)))/INDEX(lk_legs,12))-((((((2*IF(circ_int,0,eq_c2/2))+(PI()*(s_0+11*s_r+IF(circ_int,eq_c1/2,0))/2))+2*IF(circ_int,0,eq_c1/2))+(PI()*(s_0+11*s_r+IF(circ_int,eq_c1/2,0))/2))+2*IF(circ_int,0,eq_c2/2))+(PI()*(s_0+11*s_r+IF(circ_int,eq_c1/2,0))/2))),IF(circ_int,0,eq_c1/2)+(s_0+11*s_r+IF(circ_int,eq_c1/2,0))*COS(3*PI()/2+(((35+0.5)*(4*IF(circ_int,0,eq_c1/2)+4*IF(circ_int,0,eq_c2/2)+2*PI()*(s_0+11*s_r+IF(circ_int,eq_c1/2,0)))/INDEX(lk_legs,12))-(((((((2*IF(circ_int,0,eq_c2/2))+(PI()*(s_0+11*s_r+IF(circ_int,eq_c1/2,0))/2))+2*IF(circ_int,0,eq_c1/2))+(PI()*(s_0+11*s_r+IF(circ_int,eq_c1/2,0))/2))+2*IF(circ_int,0,eq_c2/2))+(PI()*(s_0+11*s_r+IF(circ_int,eq_c1/2,0))/2))+2*IF(circ_int,0,eq_c1/2)))/(s_0+11*s_r+IF(circ_int,eq_c1/2,0)))))))))),NA())</f>
        <v/>
      </c>
      <c r="DO38">
        <f>IF(AND(AND(links_on,12&lt;=n_per),INDEX(lk_kind,12)=1,35&lt;INDEX(lk_legs,12)),g_oy+IF(((35+0.5)*(4*IF(circ_int,0,eq_c1/2)+4*IF(circ_int,0,eq_c2/2)+2*PI()*(s_0+11*s_r+IF(circ_int,eq_c1/2,0)))/INDEX(lk_legs,12))&lt;(2*IF(circ_int,0,eq_c2/2)),-IF(circ_int,0,eq_c2/2)+((35+0.5)*(4*IF(circ_int,0,eq_c1/2)+4*IF(circ_int,0,eq_c2/2)+2*PI()*(s_0+11*s_r+IF(circ_int,eq_c1/2,0)))/INDEX(lk_legs,12)),IF(((35+0.5)*(4*IF(circ_int,0,eq_c1/2)+4*IF(circ_int,0,eq_c2/2)+2*PI()*(s_0+11*s_r+IF(circ_int,eq_c1/2,0)))/INDEX(lk_legs,12))&lt;((2*IF(circ_int,0,eq_c2/2))+(PI()*(s_0+11*s_r+IF(circ_int,eq_c1/2,0))/2)),IF(circ_int,0,eq_c2/2)+(s_0+11*s_r+IF(circ_int,eq_c1/2,0))*SIN((((35+0.5)*(4*IF(circ_int,0,eq_c1/2)+4*IF(circ_int,0,eq_c2/2)+2*PI()*(s_0+11*s_r+IF(circ_int,eq_c1/2,0)))/INDEX(lk_legs,12))-(2*IF(circ_int,0,eq_c2/2)))/(s_0+11*s_r+IF(circ_int,eq_c1/2,0))),IF(((35+0.5)*(4*IF(circ_int,0,eq_c1/2)+4*IF(circ_int,0,eq_c2/2)+2*PI()*(s_0+11*s_r+IF(circ_int,eq_c1/2,0)))/INDEX(lk_legs,12))&lt;(((2*IF(circ_int,0,eq_c2/2))+(PI()*(s_0+11*s_r+IF(circ_int,eq_c1/2,0))/2))+2*IF(circ_int,0,eq_c1/2)),IF(circ_int,0,eq_c2/2)+(s_0+11*s_r+IF(circ_int,eq_c1/2,0)),IF(((35+0.5)*(4*IF(circ_int,0,eq_c1/2)+4*IF(circ_int,0,eq_c2/2)+2*PI()*(s_0+11*s_r+IF(circ_int,eq_c1/2,0)))/INDEX(lk_legs,12))&lt;((((2*IF(circ_int,0,eq_c2/2))+(PI()*(s_0+11*s_r+IF(circ_int,eq_c1/2,0))/2))+2*IF(circ_int,0,eq_c1/2))+(PI()*(s_0+11*s_r+IF(circ_int,eq_c1/2,0))/2)),IF(circ_int,0,eq_c2/2)+(s_0+11*s_r+IF(circ_int,eq_c1/2,0))*SIN(PI()/2+(((35+0.5)*(4*IF(circ_int,0,eq_c1/2)+4*IF(circ_int,0,eq_c2/2)+2*PI()*(s_0+11*s_r+IF(circ_int,eq_c1/2,0)))/INDEX(lk_legs,12))-(((2*IF(circ_int,0,eq_c2/2))+(PI()*(s_0+11*s_r+IF(circ_int,eq_c1/2,0))/2))+2*IF(circ_int,0,eq_c1/2)))/(s_0+11*s_r+IF(circ_int,eq_c1/2,0))),IF(((35+0.5)*(4*IF(circ_int,0,eq_c1/2)+4*IF(circ_int,0,eq_c2/2)+2*PI()*(s_0+11*s_r+IF(circ_int,eq_c1/2,0)))/INDEX(lk_legs,12))&lt;(((((2*IF(circ_int,0,eq_c2/2))+(PI()*(s_0+11*s_r+IF(circ_int,eq_c1/2,0))/2))+2*IF(circ_int,0,eq_c1/2))+(PI()*(s_0+11*s_r+IF(circ_int,eq_c1/2,0))/2))+2*IF(circ_int,0,eq_c2/2)),IF(circ_int,0,eq_c2/2)-(((35+0.5)*(4*IF(circ_int,0,eq_c1/2)+4*IF(circ_int,0,eq_c2/2)+2*PI()*(s_0+11*s_r+IF(circ_int,eq_c1/2,0)))/INDEX(lk_legs,12))-((((2*IF(circ_int,0,eq_c2/2))+(PI()*(s_0+11*s_r+IF(circ_int,eq_c1/2,0))/2))+2*IF(circ_int,0,eq_c1/2))+(PI()*(s_0+11*s_r+IF(circ_int,eq_c1/2,0))/2))),IF(((35+0.5)*(4*IF(circ_int,0,eq_c1/2)+4*IF(circ_int,0,eq_c2/2)+2*PI()*(s_0+11*s_r+IF(circ_int,eq_c1/2,0)))/INDEX(lk_legs,12))&lt;((((((2*IF(circ_int,0,eq_c2/2))+(PI()*(s_0+11*s_r+IF(circ_int,eq_c1/2,0))/2))+2*IF(circ_int,0,eq_c1/2))+(PI()*(s_0+11*s_r+IF(circ_int,eq_c1/2,0))/2))+2*IF(circ_int,0,eq_c2/2))+(PI()*(s_0+11*s_r+IF(circ_int,eq_c1/2,0))/2)),-IF(circ_int,0,eq_c2/2)+(s_0+11*s_r+IF(circ_int,eq_c1/2,0))*SIN(PI()+(((35+0.5)*(4*IF(circ_int,0,eq_c1/2)+4*IF(circ_int,0,eq_c2/2)+2*PI()*(s_0+11*s_r+IF(circ_int,eq_c1/2,0)))/INDEX(lk_legs,12))-(((((2*IF(circ_int,0,eq_c2/2))+(PI()*(s_0+11*s_r+IF(circ_int,eq_c1/2,0))/2))+2*IF(circ_int,0,eq_c1/2))+(PI()*(s_0+11*s_r+IF(circ_int,eq_c1/2,0))/2))+2*IF(circ_int,0,eq_c2/2)))/(s_0+11*s_r+IF(circ_int,eq_c1/2,0))),IF(((35+0.5)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(35+0.5)*(4*IF(circ_int,0,eq_c1/2)+4*IF(circ_int,0,eq_c2/2)+2*PI()*(s_0+11*s_r+IF(circ_int,eq_c1/2,0)))/INDEX(lk_legs,12))-(((((((2*IF(circ_int,0,eq_c2/2))+(PI()*(s_0+11*s_r+IF(circ_int,eq_c1/2,0))/2))+2*IF(circ_int,0,eq_c1/2))+(PI()*(s_0+11*s_r+IF(circ_int,eq_c1/2,0))/2))+2*IF(circ_int,0,eq_c2/2))+(PI()*(s_0+11*s_r+IF(circ_int,eq_c1/2,0))/2))+2*IF(circ_int,0,eq_c1/2)))/(s_0+11*s_r+IF(circ_int,eq_c1/2,0)))))))))),NA())</f>
        <v/>
      </c>
    </row>
    <row r="39">
      <c r="A39">
        <f>IF(shape="Circular",(g_ox)+(c_1/2+0)*-0.354605,CHOOSE(1,(g_ox-eq_c1/2)+(0)*-0.258819,0,eq_a1+eq_c1+0,eq_a1+eq_c1+0))</f>
        <v/>
      </c>
      <c r="B39">
        <f>IF(shape="Circular",(g_oy)+(c_1/2+0)*-0.935016,CHOOSE(1,(g_oy-eq_c2/2)+(0)*-0.965926,g_oy-eq_c2/2-0,0,0))</f>
        <v/>
      </c>
      <c r="D39">
        <f>IF(circ_int,(g_ox)+(c_1/2+2*d_eff)*-0.354605,CHOOSE(geo_idx,(g_ox-eq_c1/2)+(2*d_eff)*-0.258819,0,eq_a1+eq_c1+2*d_eff,eq_a1+eq_c1+2*d_eff))</f>
        <v/>
      </c>
      <c r="E39">
        <f>IF(circ_int,(g_oy)+(c_1/2+2*d_eff)*-0.935016,CHOOSE(geo_idx,(g_oy-eq_c2/2)+(2*d_eff)*-0.965926,g_oy-eq_c2/2-2*d_eff,0,0))</f>
        <v/>
      </c>
      <c r="G39">
        <f>IF(AND(inputs_ok,punch_ok,A_sw&gt;0),IF(circ_int,(g_ox)+(c_1/2+r_out)*-0.354605,CHOOSE(kind_out,(g_ox-eq_c1/2)+(r_out)*-0.258819,0,eq_a1+eq_c1+r_out,eq_a1+eq_c1+r_out)),NA())</f>
        <v/>
      </c>
      <c r="H39">
        <f>IF(AND(inputs_ok,punch_ok,A_sw&gt;0),IF(circ_int,(g_oy)+(c_1/2+r_out)*-0.935016,CHOOSE(kind_out,(g_oy-eq_c2/2)+(r_out)*-0.965926,g_oy-eq_c2/2-r_out,0,0)),NA())</f>
        <v/>
      </c>
      <c r="AW39">
        <f>IF(AND(links_on,1&lt;=n_per),IF(circ_int,(g_ox)+(c_1/2+(s_0+0*s_r))*-0.354605,CHOOSE(INDEX(lk_kind,1),(g_ox-eq_c1/2)+((s_0+0*s_r))*-0.258819,0,eq_a1+eq_c1+(s_0+0*s_r),eq_a1+eq_c1+(s_0+0*s_r))),NA())</f>
        <v/>
      </c>
      <c r="AX39">
        <f>IF(AND(links_on,1&lt;=n_per),IF(circ_int,(g_oy)+(c_1/2+(s_0+0*s_r))*-0.935016,CHOOSE(INDEX(lk_kind,1),(g_oy-eq_c2/2)+((s_0+0*s_r))*-0.965926,g_oy-eq_c2/2-(s_0+0*s_r),0,0)),NA())</f>
        <v/>
      </c>
      <c r="AZ39">
        <f>IF(AND(AND(links_on,1&lt;=n_per),INDEX(lk_kind,1)=1,36&lt;INDEX(lk_legs,1)),g_ox+IF(((36+0.5)*(4*IF(circ_int,0,eq_c1/2)+4*IF(circ_int,0,eq_c2/2)+2*PI()*(s_0+0*s_r+IF(circ_int,eq_c1/2,0)))/INDEX(lk_legs,1))&lt;(2*IF(circ_int,0,eq_c2/2)),IF(circ_int,0,eq_c1/2)+(s_0+0*s_r+IF(circ_int,eq_c1/2,0)),IF(((36+0.5)*(4*IF(circ_int,0,eq_c1/2)+4*IF(circ_int,0,eq_c2/2)+2*PI()*(s_0+0*s_r+IF(circ_int,eq_c1/2,0)))/INDEX(lk_legs,1))&lt;((2*IF(circ_int,0,eq_c2/2))+(PI()*(s_0+0*s_r+IF(circ_int,eq_c1/2,0))/2)),IF(circ_int,0,eq_c1/2)+(s_0+0*s_r+IF(circ_int,eq_c1/2,0))*COS((((36+0.5)*(4*IF(circ_int,0,eq_c1/2)+4*IF(circ_int,0,eq_c2/2)+2*PI()*(s_0+0*s_r+IF(circ_int,eq_c1/2,0)))/INDEX(lk_legs,1))-(2*IF(circ_int,0,eq_c2/2)))/(s_0+0*s_r+IF(circ_int,eq_c1/2,0))),IF(((36+0.5)*(4*IF(circ_int,0,eq_c1/2)+4*IF(circ_int,0,eq_c2/2)+2*PI()*(s_0+0*s_r+IF(circ_int,eq_c1/2,0)))/INDEX(lk_legs,1))&lt;(((2*IF(circ_int,0,eq_c2/2))+(PI()*(s_0+0*s_r+IF(circ_int,eq_c1/2,0))/2))+2*IF(circ_int,0,eq_c1/2)),IF(circ_int,0,eq_c1/2)-(((36+0.5)*(4*IF(circ_int,0,eq_c1/2)+4*IF(circ_int,0,eq_c2/2)+2*PI()*(s_0+0*s_r+IF(circ_int,eq_c1/2,0)))/INDEX(lk_legs,1))-((2*IF(circ_int,0,eq_c2/2))+(PI()*(s_0+0*s_r+IF(circ_int,eq_c1/2,0))/2))),IF(((36+0.5)*(4*IF(circ_int,0,eq_c1/2)+4*IF(circ_int,0,eq_c2/2)+2*PI()*(s_0+0*s_r+IF(circ_int,eq_c1/2,0)))/INDEX(lk_legs,1))&lt;((((2*IF(circ_int,0,eq_c2/2))+(PI()*(s_0+0*s_r+IF(circ_int,eq_c1/2,0))/2))+2*IF(circ_int,0,eq_c1/2))+(PI()*(s_0+0*s_r+IF(circ_int,eq_c1/2,0))/2)),-IF(circ_int,0,eq_c1/2)+(s_0+0*s_r+IF(circ_int,eq_c1/2,0))*COS(PI()/2+(((36+0.5)*(4*IF(circ_int,0,eq_c1/2)+4*IF(circ_int,0,eq_c2/2)+2*PI()*(s_0+0*s_r+IF(circ_int,eq_c1/2,0)))/INDEX(lk_legs,1))-(((2*IF(circ_int,0,eq_c2/2))+(PI()*(s_0+0*s_r+IF(circ_int,eq_c1/2,0))/2))+2*IF(circ_int,0,eq_c1/2)))/(s_0+0*s_r+IF(circ_int,eq_c1/2,0))),IF(((36+0.5)*(4*IF(circ_int,0,eq_c1/2)+4*IF(circ_int,0,eq_c2/2)+2*PI()*(s_0+0*s_r+IF(circ_int,eq_c1/2,0)))/INDEX(lk_legs,1))&lt;(((((2*IF(circ_int,0,eq_c2/2))+(PI()*(s_0+0*s_r+IF(circ_int,eq_c1/2,0))/2))+2*IF(circ_int,0,eq_c1/2))+(PI()*(s_0+0*s_r+IF(circ_int,eq_c1/2,0))/2))+2*IF(circ_int,0,eq_c2/2)),-IF(circ_int,0,eq_c1/2)-(s_0+0*s_r+IF(circ_int,eq_c1/2,0)),IF(((36+0.5)*(4*IF(circ_int,0,eq_c1/2)+4*IF(circ_int,0,eq_c2/2)+2*PI()*(s_0+0*s_r+IF(circ_int,eq_c1/2,0)))/INDEX(lk_legs,1))&lt;((((((2*IF(circ_int,0,eq_c2/2))+(PI()*(s_0+0*s_r+IF(circ_int,eq_c1/2,0))/2))+2*IF(circ_int,0,eq_c1/2))+(PI()*(s_0+0*s_r+IF(circ_int,eq_c1/2,0))/2))+2*IF(circ_int,0,eq_c2/2))+(PI()*(s_0+0*s_r+IF(circ_int,eq_c1/2,0))/2)),-IF(circ_int,0,eq_c1/2)+(s_0+0*s_r+IF(circ_int,eq_c1/2,0))*COS(PI()+(((36+0.5)*(4*IF(circ_int,0,eq_c1/2)+4*IF(circ_int,0,eq_c2/2)+2*PI()*(s_0+0*s_r+IF(circ_int,eq_c1/2,0)))/INDEX(lk_legs,1))-(((((2*IF(circ_int,0,eq_c2/2))+(PI()*(s_0+0*s_r+IF(circ_int,eq_c1/2,0))/2))+2*IF(circ_int,0,eq_c1/2))+(PI()*(s_0+0*s_r+IF(circ_int,eq_c1/2,0))/2))+2*IF(circ_int,0,eq_c2/2)))/(s_0+0*s_r+IF(circ_int,eq_c1/2,0))),IF(((36+0.5)*(4*IF(circ_int,0,eq_c1/2)+4*IF(circ_int,0,eq_c2/2)+2*PI()*(s_0+0*s_r+IF(circ_int,eq_c1/2,0)))/INDEX(lk_legs,1))&lt;(((((((2*IF(circ_int,0,eq_c2/2))+(PI()*(s_0+0*s_r+IF(circ_int,eq_c1/2,0))/2))+2*IF(circ_int,0,eq_c1/2))+(PI()*(s_0+0*s_r+IF(circ_int,eq_c1/2,0))/2))+2*IF(circ_int,0,eq_c2/2))+(PI()*(s_0+0*s_r+IF(circ_int,eq_c1/2,0))/2))+2*IF(circ_int,0,eq_c1/2)),-IF(circ_int,0,eq_c1/2)+(((36+0.5)*(4*IF(circ_int,0,eq_c1/2)+4*IF(circ_int,0,eq_c2/2)+2*PI()*(s_0+0*s_r+IF(circ_int,eq_c1/2,0)))/INDEX(lk_legs,1))-((((((2*IF(circ_int,0,eq_c2/2))+(PI()*(s_0+0*s_r+IF(circ_int,eq_c1/2,0))/2))+2*IF(circ_int,0,eq_c1/2))+(PI()*(s_0+0*s_r+IF(circ_int,eq_c1/2,0))/2))+2*IF(circ_int,0,eq_c2/2))+(PI()*(s_0+0*s_r+IF(circ_int,eq_c1/2,0))/2))),IF(circ_int,0,eq_c1/2)+(s_0+0*s_r+IF(circ_int,eq_c1/2,0))*COS(3*PI()/2+(((36+0.5)*(4*IF(circ_int,0,eq_c1/2)+4*IF(circ_int,0,eq_c2/2)+2*PI()*(s_0+0*s_r+IF(circ_int,eq_c1/2,0)))/INDEX(lk_legs,1))-(((((((2*IF(circ_int,0,eq_c2/2))+(PI()*(s_0+0*s_r+IF(circ_int,eq_c1/2,0))/2))+2*IF(circ_int,0,eq_c1/2))+(PI()*(s_0+0*s_r+IF(circ_int,eq_c1/2,0))/2))+2*IF(circ_int,0,eq_c2/2))+(PI()*(s_0+0*s_r+IF(circ_int,eq_c1/2,0))/2))+2*IF(circ_int,0,eq_c1/2)))/(s_0+0*s_r+IF(circ_int,eq_c1/2,0)))))))))),NA())</f>
        <v/>
      </c>
      <c r="BA39">
        <f>IF(AND(AND(links_on,1&lt;=n_per),INDEX(lk_kind,1)=1,36&lt;INDEX(lk_legs,1)),g_oy+IF(((36+0.5)*(4*IF(circ_int,0,eq_c1/2)+4*IF(circ_int,0,eq_c2/2)+2*PI()*(s_0+0*s_r+IF(circ_int,eq_c1/2,0)))/INDEX(lk_legs,1))&lt;(2*IF(circ_int,0,eq_c2/2)),-IF(circ_int,0,eq_c2/2)+((36+0.5)*(4*IF(circ_int,0,eq_c1/2)+4*IF(circ_int,0,eq_c2/2)+2*PI()*(s_0+0*s_r+IF(circ_int,eq_c1/2,0)))/INDEX(lk_legs,1)),IF(((36+0.5)*(4*IF(circ_int,0,eq_c1/2)+4*IF(circ_int,0,eq_c2/2)+2*PI()*(s_0+0*s_r+IF(circ_int,eq_c1/2,0)))/INDEX(lk_legs,1))&lt;((2*IF(circ_int,0,eq_c2/2))+(PI()*(s_0+0*s_r+IF(circ_int,eq_c1/2,0))/2)),IF(circ_int,0,eq_c2/2)+(s_0+0*s_r+IF(circ_int,eq_c1/2,0))*SIN((((36+0.5)*(4*IF(circ_int,0,eq_c1/2)+4*IF(circ_int,0,eq_c2/2)+2*PI()*(s_0+0*s_r+IF(circ_int,eq_c1/2,0)))/INDEX(lk_legs,1))-(2*IF(circ_int,0,eq_c2/2)))/(s_0+0*s_r+IF(circ_int,eq_c1/2,0))),IF(((36+0.5)*(4*IF(circ_int,0,eq_c1/2)+4*IF(circ_int,0,eq_c2/2)+2*PI()*(s_0+0*s_r+IF(circ_int,eq_c1/2,0)))/INDEX(lk_legs,1))&lt;(((2*IF(circ_int,0,eq_c2/2))+(PI()*(s_0+0*s_r+IF(circ_int,eq_c1/2,0))/2))+2*IF(circ_int,0,eq_c1/2)),IF(circ_int,0,eq_c2/2)+(s_0+0*s_r+IF(circ_int,eq_c1/2,0)),IF(((36+0.5)*(4*IF(circ_int,0,eq_c1/2)+4*IF(circ_int,0,eq_c2/2)+2*PI()*(s_0+0*s_r+IF(circ_int,eq_c1/2,0)))/INDEX(lk_legs,1))&lt;((((2*IF(circ_int,0,eq_c2/2))+(PI()*(s_0+0*s_r+IF(circ_int,eq_c1/2,0))/2))+2*IF(circ_int,0,eq_c1/2))+(PI()*(s_0+0*s_r+IF(circ_int,eq_c1/2,0))/2)),IF(circ_int,0,eq_c2/2)+(s_0+0*s_r+IF(circ_int,eq_c1/2,0))*SIN(PI()/2+(((36+0.5)*(4*IF(circ_int,0,eq_c1/2)+4*IF(circ_int,0,eq_c2/2)+2*PI()*(s_0+0*s_r+IF(circ_int,eq_c1/2,0)))/INDEX(lk_legs,1))-(((2*IF(circ_int,0,eq_c2/2))+(PI()*(s_0+0*s_r+IF(circ_int,eq_c1/2,0))/2))+2*IF(circ_int,0,eq_c1/2)))/(s_0+0*s_r+IF(circ_int,eq_c1/2,0))),IF(((36+0.5)*(4*IF(circ_int,0,eq_c1/2)+4*IF(circ_int,0,eq_c2/2)+2*PI()*(s_0+0*s_r+IF(circ_int,eq_c1/2,0)))/INDEX(lk_legs,1))&lt;(((((2*IF(circ_int,0,eq_c2/2))+(PI()*(s_0+0*s_r+IF(circ_int,eq_c1/2,0))/2))+2*IF(circ_int,0,eq_c1/2))+(PI()*(s_0+0*s_r+IF(circ_int,eq_c1/2,0))/2))+2*IF(circ_int,0,eq_c2/2)),IF(circ_int,0,eq_c2/2)-(((36+0.5)*(4*IF(circ_int,0,eq_c1/2)+4*IF(circ_int,0,eq_c2/2)+2*PI()*(s_0+0*s_r+IF(circ_int,eq_c1/2,0)))/INDEX(lk_legs,1))-((((2*IF(circ_int,0,eq_c2/2))+(PI()*(s_0+0*s_r+IF(circ_int,eq_c1/2,0))/2))+2*IF(circ_int,0,eq_c1/2))+(PI()*(s_0+0*s_r+IF(circ_int,eq_c1/2,0))/2))),IF(((36+0.5)*(4*IF(circ_int,0,eq_c1/2)+4*IF(circ_int,0,eq_c2/2)+2*PI()*(s_0+0*s_r+IF(circ_int,eq_c1/2,0)))/INDEX(lk_legs,1))&lt;((((((2*IF(circ_int,0,eq_c2/2))+(PI()*(s_0+0*s_r+IF(circ_int,eq_c1/2,0))/2))+2*IF(circ_int,0,eq_c1/2))+(PI()*(s_0+0*s_r+IF(circ_int,eq_c1/2,0))/2))+2*IF(circ_int,0,eq_c2/2))+(PI()*(s_0+0*s_r+IF(circ_int,eq_c1/2,0))/2)),-IF(circ_int,0,eq_c2/2)+(s_0+0*s_r+IF(circ_int,eq_c1/2,0))*SIN(PI()+(((36+0.5)*(4*IF(circ_int,0,eq_c1/2)+4*IF(circ_int,0,eq_c2/2)+2*PI()*(s_0+0*s_r+IF(circ_int,eq_c1/2,0)))/INDEX(lk_legs,1))-(((((2*IF(circ_int,0,eq_c2/2))+(PI()*(s_0+0*s_r+IF(circ_int,eq_c1/2,0))/2))+2*IF(circ_int,0,eq_c1/2))+(PI()*(s_0+0*s_r+IF(circ_int,eq_c1/2,0))/2))+2*IF(circ_int,0,eq_c2/2)))/(s_0+0*s_r+IF(circ_int,eq_c1/2,0))),IF(((36+0.5)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(36+0.5)*(4*IF(circ_int,0,eq_c1/2)+4*IF(circ_int,0,eq_c2/2)+2*PI()*(s_0+0*s_r+IF(circ_int,eq_c1/2,0)))/INDEX(lk_legs,1))-(((((((2*IF(circ_int,0,eq_c2/2))+(PI()*(s_0+0*s_r+IF(circ_int,eq_c1/2,0))/2))+2*IF(circ_int,0,eq_c1/2))+(PI()*(s_0+0*s_r+IF(circ_int,eq_c1/2,0))/2))+2*IF(circ_int,0,eq_c2/2))+(PI()*(s_0+0*s_r+IF(circ_int,eq_c1/2,0))/2))+2*IF(circ_int,0,eq_c1/2)))/(s_0+0*s_r+IF(circ_int,eq_c1/2,0)))))))))),NA())</f>
        <v/>
      </c>
      <c r="BC39">
        <f>IF(AND(links_on,2&lt;=n_per),IF(circ_int,(g_ox)+(c_1/2+(s_0+1*s_r))*-0.354605,CHOOSE(INDEX(lk_kind,2),(g_ox-eq_c1/2)+((s_0+1*s_r))*-0.258819,0,eq_a1+eq_c1+(s_0+1*s_r),eq_a1+eq_c1+(s_0+1*s_r))),NA())</f>
        <v/>
      </c>
      <c r="BD39">
        <f>IF(AND(links_on,2&lt;=n_per),IF(circ_int,(g_oy)+(c_1/2+(s_0+1*s_r))*-0.935016,CHOOSE(INDEX(lk_kind,2),(g_oy-eq_c2/2)+((s_0+1*s_r))*-0.965926,g_oy-eq_c2/2-(s_0+1*s_r),0,0)),NA())</f>
        <v/>
      </c>
      <c r="BF39">
        <f>IF(AND(AND(links_on,2&lt;=n_per),INDEX(lk_kind,2)=1,36&lt;INDEX(lk_legs,2)),g_ox+IF(((36+0.5)*(4*IF(circ_int,0,eq_c1/2)+4*IF(circ_int,0,eq_c2/2)+2*PI()*(s_0+1*s_r+IF(circ_int,eq_c1/2,0)))/INDEX(lk_legs,2))&lt;(2*IF(circ_int,0,eq_c2/2)),IF(circ_int,0,eq_c1/2)+(s_0+1*s_r+IF(circ_int,eq_c1/2,0)),IF(((36+0.5)*(4*IF(circ_int,0,eq_c1/2)+4*IF(circ_int,0,eq_c2/2)+2*PI()*(s_0+1*s_r+IF(circ_int,eq_c1/2,0)))/INDEX(lk_legs,2))&lt;((2*IF(circ_int,0,eq_c2/2))+(PI()*(s_0+1*s_r+IF(circ_int,eq_c1/2,0))/2)),IF(circ_int,0,eq_c1/2)+(s_0+1*s_r+IF(circ_int,eq_c1/2,0))*COS((((36+0.5)*(4*IF(circ_int,0,eq_c1/2)+4*IF(circ_int,0,eq_c2/2)+2*PI()*(s_0+1*s_r+IF(circ_int,eq_c1/2,0)))/INDEX(lk_legs,2))-(2*IF(circ_int,0,eq_c2/2)))/(s_0+1*s_r+IF(circ_int,eq_c1/2,0))),IF(((36+0.5)*(4*IF(circ_int,0,eq_c1/2)+4*IF(circ_int,0,eq_c2/2)+2*PI()*(s_0+1*s_r+IF(circ_int,eq_c1/2,0)))/INDEX(lk_legs,2))&lt;(((2*IF(circ_int,0,eq_c2/2))+(PI()*(s_0+1*s_r+IF(circ_int,eq_c1/2,0))/2))+2*IF(circ_int,0,eq_c1/2)),IF(circ_int,0,eq_c1/2)-(((36+0.5)*(4*IF(circ_int,0,eq_c1/2)+4*IF(circ_int,0,eq_c2/2)+2*PI()*(s_0+1*s_r+IF(circ_int,eq_c1/2,0)))/INDEX(lk_legs,2))-((2*IF(circ_int,0,eq_c2/2))+(PI()*(s_0+1*s_r+IF(circ_int,eq_c1/2,0))/2))),IF(((36+0.5)*(4*IF(circ_int,0,eq_c1/2)+4*IF(circ_int,0,eq_c2/2)+2*PI()*(s_0+1*s_r+IF(circ_int,eq_c1/2,0)))/INDEX(lk_legs,2))&lt;((((2*IF(circ_int,0,eq_c2/2))+(PI()*(s_0+1*s_r+IF(circ_int,eq_c1/2,0))/2))+2*IF(circ_int,0,eq_c1/2))+(PI()*(s_0+1*s_r+IF(circ_int,eq_c1/2,0))/2)),-IF(circ_int,0,eq_c1/2)+(s_0+1*s_r+IF(circ_int,eq_c1/2,0))*COS(PI()/2+(((36+0.5)*(4*IF(circ_int,0,eq_c1/2)+4*IF(circ_int,0,eq_c2/2)+2*PI()*(s_0+1*s_r+IF(circ_int,eq_c1/2,0)))/INDEX(lk_legs,2))-(((2*IF(circ_int,0,eq_c2/2))+(PI()*(s_0+1*s_r+IF(circ_int,eq_c1/2,0))/2))+2*IF(circ_int,0,eq_c1/2)))/(s_0+1*s_r+IF(circ_int,eq_c1/2,0))),IF(((36+0.5)*(4*IF(circ_int,0,eq_c1/2)+4*IF(circ_int,0,eq_c2/2)+2*PI()*(s_0+1*s_r+IF(circ_int,eq_c1/2,0)))/INDEX(lk_legs,2))&lt;(((((2*IF(circ_int,0,eq_c2/2))+(PI()*(s_0+1*s_r+IF(circ_int,eq_c1/2,0))/2))+2*IF(circ_int,0,eq_c1/2))+(PI()*(s_0+1*s_r+IF(circ_int,eq_c1/2,0))/2))+2*IF(circ_int,0,eq_c2/2)),-IF(circ_int,0,eq_c1/2)-(s_0+1*s_r+IF(circ_int,eq_c1/2,0)),IF(((36+0.5)*(4*IF(circ_int,0,eq_c1/2)+4*IF(circ_int,0,eq_c2/2)+2*PI()*(s_0+1*s_r+IF(circ_int,eq_c1/2,0)))/INDEX(lk_legs,2))&lt;((((((2*IF(circ_int,0,eq_c2/2))+(PI()*(s_0+1*s_r+IF(circ_int,eq_c1/2,0))/2))+2*IF(circ_int,0,eq_c1/2))+(PI()*(s_0+1*s_r+IF(circ_int,eq_c1/2,0))/2))+2*IF(circ_int,0,eq_c2/2))+(PI()*(s_0+1*s_r+IF(circ_int,eq_c1/2,0))/2)),-IF(circ_int,0,eq_c1/2)+(s_0+1*s_r+IF(circ_int,eq_c1/2,0))*COS(PI()+(((36+0.5)*(4*IF(circ_int,0,eq_c1/2)+4*IF(circ_int,0,eq_c2/2)+2*PI()*(s_0+1*s_r+IF(circ_int,eq_c1/2,0)))/INDEX(lk_legs,2))-(((((2*IF(circ_int,0,eq_c2/2))+(PI()*(s_0+1*s_r+IF(circ_int,eq_c1/2,0))/2))+2*IF(circ_int,0,eq_c1/2))+(PI()*(s_0+1*s_r+IF(circ_int,eq_c1/2,0))/2))+2*IF(circ_int,0,eq_c2/2)))/(s_0+1*s_r+IF(circ_int,eq_c1/2,0))),IF(((36+0.5)*(4*IF(circ_int,0,eq_c1/2)+4*IF(circ_int,0,eq_c2/2)+2*PI()*(s_0+1*s_r+IF(circ_int,eq_c1/2,0)))/INDEX(lk_legs,2))&lt;(((((((2*IF(circ_int,0,eq_c2/2))+(PI()*(s_0+1*s_r+IF(circ_int,eq_c1/2,0))/2))+2*IF(circ_int,0,eq_c1/2))+(PI()*(s_0+1*s_r+IF(circ_int,eq_c1/2,0))/2))+2*IF(circ_int,0,eq_c2/2))+(PI()*(s_0+1*s_r+IF(circ_int,eq_c1/2,0))/2))+2*IF(circ_int,0,eq_c1/2)),-IF(circ_int,0,eq_c1/2)+(((36+0.5)*(4*IF(circ_int,0,eq_c1/2)+4*IF(circ_int,0,eq_c2/2)+2*PI()*(s_0+1*s_r+IF(circ_int,eq_c1/2,0)))/INDEX(lk_legs,2))-((((((2*IF(circ_int,0,eq_c2/2))+(PI()*(s_0+1*s_r+IF(circ_int,eq_c1/2,0))/2))+2*IF(circ_int,0,eq_c1/2))+(PI()*(s_0+1*s_r+IF(circ_int,eq_c1/2,0))/2))+2*IF(circ_int,0,eq_c2/2))+(PI()*(s_0+1*s_r+IF(circ_int,eq_c1/2,0))/2))),IF(circ_int,0,eq_c1/2)+(s_0+1*s_r+IF(circ_int,eq_c1/2,0))*COS(3*PI()/2+(((36+0.5)*(4*IF(circ_int,0,eq_c1/2)+4*IF(circ_int,0,eq_c2/2)+2*PI()*(s_0+1*s_r+IF(circ_int,eq_c1/2,0)))/INDEX(lk_legs,2))-(((((((2*IF(circ_int,0,eq_c2/2))+(PI()*(s_0+1*s_r+IF(circ_int,eq_c1/2,0))/2))+2*IF(circ_int,0,eq_c1/2))+(PI()*(s_0+1*s_r+IF(circ_int,eq_c1/2,0))/2))+2*IF(circ_int,0,eq_c2/2))+(PI()*(s_0+1*s_r+IF(circ_int,eq_c1/2,0))/2))+2*IF(circ_int,0,eq_c1/2)))/(s_0+1*s_r+IF(circ_int,eq_c1/2,0)))))))))),NA())</f>
        <v/>
      </c>
      <c r="BG39">
        <f>IF(AND(AND(links_on,2&lt;=n_per),INDEX(lk_kind,2)=1,36&lt;INDEX(lk_legs,2)),g_oy+IF(((36+0.5)*(4*IF(circ_int,0,eq_c1/2)+4*IF(circ_int,0,eq_c2/2)+2*PI()*(s_0+1*s_r+IF(circ_int,eq_c1/2,0)))/INDEX(lk_legs,2))&lt;(2*IF(circ_int,0,eq_c2/2)),-IF(circ_int,0,eq_c2/2)+((36+0.5)*(4*IF(circ_int,0,eq_c1/2)+4*IF(circ_int,0,eq_c2/2)+2*PI()*(s_0+1*s_r+IF(circ_int,eq_c1/2,0)))/INDEX(lk_legs,2)),IF(((36+0.5)*(4*IF(circ_int,0,eq_c1/2)+4*IF(circ_int,0,eq_c2/2)+2*PI()*(s_0+1*s_r+IF(circ_int,eq_c1/2,0)))/INDEX(lk_legs,2))&lt;((2*IF(circ_int,0,eq_c2/2))+(PI()*(s_0+1*s_r+IF(circ_int,eq_c1/2,0))/2)),IF(circ_int,0,eq_c2/2)+(s_0+1*s_r+IF(circ_int,eq_c1/2,0))*SIN((((36+0.5)*(4*IF(circ_int,0,eq_c1/2)+4*IF(circ_int,0,eq_c2/2)+2*PI()*(s_0+1*s_r+IF(circ_int,eq_c1/2,0)))/INDEX(lk_legs,2))-(2*IF(circ_int,0,eq_c2/2)))/(s_0+1*s_r+IF(circ_int,eq_c1/2,0))),IF(((36+0.5)*(4*IF(circ_int,0,eq_c1/2)+4*IF(circ_int,0,eq_c2/2)+2*PI()*(s_0+1*s_r+IF(circ_int,eq_c1/2,0)))/INDEX(lk_legs,2))&lt;(((2*IF(circ_int,0,eq_c2/2))+(PI()*(s_0+1*s_r+IF(circ_int,eq_c1/2,0))/2))+2*IF(circ_int,0,eq_c1/2)),IF(circ_int,0,eq_c2/2)+(s_0+1*s_r+IF(circ_int,eq_c1/2,0)),IF(((36+0.5)*(4*IF(circ_int,0,eq_c1/2)+4*IF(circ_int,0,eq_c2/2)+2*PI()*(s_0+1*s_r+IF(circ_int,eq_c1/2,0)))/INDEX(lk_legs,2))&lt;((((2*IF(circ_int,0,eq_c2/2))+(PI()*(s_0+1*s_r+IF(circ_int,eq_c1/2,0))/2))+2*IF(circ_int,0,eq_c1/2))+(PI()*(s_0+1*s_r+IF(circ_int,eq_c1/2,0))/2)),IF(circ_int,0,eq_c2/2)+(s_0+1*s_r+IF(circ_int,eq_c1/2,0))*SIN(PI()/2+(((36+0.5)*(4*IF(circ_int,0,eq_c1/2)+4*IF(circ_int,0,eq_c2/2)+2*PI()*(s_0+1*s_r+IF(circ_int,eq_c1/2,0)))/INDEX(lk_legs,2))-(((2*IF(circ_int,0,eq_c2/2))+(PI()*(s_0+1*s_r+IF(circ_int,eq_c1/2,0))/2))+2*IF(circ_int,0,eq_c1/2)))/(s_0+1*s_r+IF(circ_int,eq_c1/2,0))),IF(((36+0.5)*(4*IF(circ_int,0,eq_c1/2)+4*IF(circ_int,0,eq_c2/2)+2*PI()*(s_0+1*s_r+IF(circ_int,eq_c1/2,0)))/INDEX(lk_legs,2))&lt;(((((2*IF(circ_int,0,eq_c2/2))+(PI()*(s_0+1*s_r+IF(circ_int,eq_c1/2,0))/2))+2*IF(circ_int,0,eq_c1/2))+(PI()*(s_0+1*s_r+IF(circ_int,eq_c1/2,0))/2))+2*IF(circ_int,0,eq_c2/2)),IF(circ_int,0,eq_c2/2)-(((36+0.5)*(4*IF(circ_int,0,eq_c1/2)+4*IF(circ_int,0,eq_c2/2)+2*PI()*(s_0+1*s_r+IF(circ_int,eq_c1/2,0)))/INDEX(lk_legs,2))-((((2*IF(circ_int,0,eq_c2/2))+(PI()*(s_0+1*s_r+IF(circ_int,eq_c1/2,0))/2))+2*IF(circ_int,0,eq_c1/2))+(PI()*(s_0+1*s_r+IF(circ_int,eq_c1/2,0))/2))),IF(((36+0.5)*(4*IF(circ_int,0,eq_c1/2)+4*IF(circ_int,0,eq_c2/2)+2*PI()*(s_0+1*s_r+IF(circ_int,eq_c1/2,0)))/INDEX(lk_legs,2))&lt;((((((2*IF(circ_int,0,eq_c2/2))+(PI()*(s_0+1*s_r+IF(circ_int,eq_c1/2,0))/2))+2*IF(circ_int,0,eq_c1/2))+(PI()*(s_0+1*s_r+IF(circ_int,eq_c1/2,0))/2))+2*IF(circ_int,0,eq_c2/2))+(PI()*(s_0+1*s_r+IF(circ_int,eq_c1/2,0))/2)),-IF(circ_int,0,eq_c2/2)+(s_0+1*s_r+IF(circ_int,eq_c1/2,0))*SIN(PI()+(((36+0.5)*(4*IF(circ_int,0,eq_c1/2)+4*IF(circ_int,0,eq_c2/2)+2*PI()*(s_0+1*s_r+IF(circ_int,eq_c1/2,0)))/INDEX(lk_legs,2))-(((((2*IF(circ_int,0,eq_c2/2))+(PI()*(s_0+1*s_r+IF(circ_int,eq_c1/2,0))/2))+2*IF(circ_int,0,eq_c1/2))+(PI()*(s_0+1*s_r+IF(circ_int,eq_c1/2,0))/2))+2*IF(circ_int,0,eq_c2/2)))/(s_0+1*s_r+IF(circ_int,eq_c1/2,0))),IF(((36+0.5)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(36+0.5)*(4*IF(circ_int,0,eq_c1/2)+4*IF(circ_int,0,eq_c2/2)+2*PI()*(s_0+1*s_r+IF(circ_int,eq_c1/2,0)))/INDEX(lk_legs,2))-(((((((2*IF(circ_int,0,eq_c2/2))+(PI()*(s_0+1*s_r+IF(circ_int,eq_c1/2,0))/2))+2*IF(circ_int,0,eq_c1/2))+(PI()*(s_0+1*s_r+IF(circ_int,eq_c1/2,0))/2))+2*IF(circ_int,0,eq_c2/2))+(PI()*(s_0+1*s_r+IF(circ_int,eq_c1/2,0))/2))+2*IF(circ_int,0,eq_c1/2)))/(s_0+1*s_r+IF(circ_int,eq_c1/2,0)))))))))),NA())</f>
        <v/>
      </c>
      <c r="BI39">
        <f>IF(AND(links_on,3&lt;=n_per),IF(circ_int,(g_ox)+(c_1/2+(s_0+2*s_r))*-0.354605,CHOOSE(INDEX(lk_kind,3),(g_ox-eq_c1/2)+((s_0+2*s_r))*-0.258819,0,eq_a1+eq_c1+(s_0+2*s_r),eq_a1+eq_c1+(s_0+2*s_r))),NA())</f>
        <v/>
      </c>
      <c r="BJ39">
        <f>IF(AND(links_on,3&lt;=n_per),IF(circ_int,(g_oy)+(c_1/2+(s_0+2*s_r))*-0.935016,CHOOSE(INDEX(lk_kind,3),(g_oy-eq_c2/2)+((s_0+2*s_r))*-0.965926,g_oy-eq_c2/2-(s_0+2*s_r),0,0)),NA())</f>
        <v/>
      </c>
      <c r="BL39">
        <f>IF(AND(AND(links_on,3&lt;=n_per),INDEX(lk_kind,3)=1,36&lt;INDEX(lk_legs,3)),g_ox+IF(((36+0.5)*(4*IF(circ_int,0,eq_c1/2)+4*IF(circ_int,0,eq_c2/2)+2*PI()*(s_0+2*s_r+IF(circ_int,eq_c1/2,0)))/INDEX(lk_legs,3))&lt;(2*IF(circ_int,0,eq_c2/2)),IF(circ_int,0,eq_c1/2)+(s_0+2*s_r+IF(circ_int,eq_c1/2,0)),IF(((36+0.5)*(4*IF(circ_int,0,eq_c1/2)+4*IF(circ_int,0,eq_c2/2)+2*PI()*(s_0+2*s_r+IF(circ_int,eq_c1/2,0)))/INDEX(lk_legs,3))&lt;((2*IF(circ_int,0,eq_c2/2))+(PI()*(s_0+2*s_r+IF(circ_int,eq_c1/2,0))/2)),IF(circ_int,0,eq_c1/2)+(s_0+2*s_r+IF(circ_int,eq_c1/2,0))*COS((((36+0.5)*(4*IF(circ_int,0,eq_c1/2)+4*IF(circ_int,0,eq_c2/2)+2*PI()*(s_0+2*s_r+IF(circ_int,eq_c1/2,0)))/INDEX(lk_legs,3))-(2*IF(circ_int,0,eq_c2/2)))/(s_0+2*s_r+IF(circ_int,eq_c1/2,0))),IF(((36+0.5)*(4*IF(circ_int,0,eq_c1/2)+4*IF(circ_int,0,eq_c2/2)+2*PI()*(s_0+2*s_r+IF(circ_int,eq_c1/2,0)))/INDEX(lk_legs,3))&lt;(((2*IF(circ_int,0,eq_c2/2))+(PI()*(s_0+2*s_r+IF(circ_int,eq_c1/2,0))/2))+2*IF(circ_int,0,eq_c1/2)),IF(circ_int,0,eq_c1/2)-(((36+0.5)*(4*IF(circ_int,0,eq_c1/2)+4*IF(circ_int,0,eq_c2/2)+2*PI()*(s_0+2*s_r+IF(circ_int,eq_c1/2,0)))/INDEX(lk_legs,3))-((2*IF(circ_int,0,eq_c2/2))+(PI()*(s_0+2*s_r+IF(circ_int,eq_c1/2,0))/2))),IF(((36+0.5)*(4*IF(circ_int,0,eq_c1/2)+4*IF(circ_int,0,eq_c2/2)+2*PI()*(s_0+2*s_r+IF(circ_int,eq_c1/2,0)))/INDEX(lk_legs,3))&lt;((((2*IF(circ_int,0,eq_c2/2))+(PI()*(s_0+2*s_r+IF(circ_int,eq_c1/2,0))/2))+2*IF(circ_int,0,eq_c1/2))+(PI()*(s_0+2*s_r+IF(circ_int,eq_c1/2,0))/2)),-IF(circ_int,0,eq_c1/2)+(s_0+2*s_r+IF(circ_int,eq_c1/2,0))*COS(PI()/2+(((36+0.5)*(4*IF(circ_int,0,eq_c1/2)+4*IF(circ_int,0,eq_c2/2)+2*PI()*(s_0+2*s_r+IF(circ_int,eq_c1/2,0)))/INDEX(lk_legs,3))-(((2*IF(circ_int,0,eq_c2/2))+(PI()*(s_0+2*s_r+IF(circ_int,eq_c1/2,0))/2))+2*IF(circ_int,0,eq_c1/2)))/(s_0+2*s_r+IF(circ_int,eq_c1/2,0))),IF(((36+0.5)*(4*IF(circ_int,0,eq_c1/2)+4*IF(circ_int,0,eq_c2/2)+2*PI()*(s_0+2*s_r+IF(circ_int,eq_c1/2,0)))/INDEX(lk_legs,3))&lt;(((((2*IF(circ_int,0,eq_c2/2))+(PI()*(s_0+2*s_r+IF(circ_int,eq_c1/2,0))/2))+2*IF(circ_int,0,eq_c1/2))+(PI()*(s_0+2*s_r+IF(circ_int,eq_c1/2,0))/2))+2*IF(circ_int,0,eq_c2/2)),-IF(circ_int,0,eq_c1/2)-(s_0+2*s_r+IF(circ_int,eq_c1/2,0)),IF(((36+0.5)*(4*IF(circ_int,0,eq_c1/2)+4*IF(circ_int,0,eq_c2/2)+2*PI()*(s_0+2*s_r+IF(circ_int,eq_c1/2,0)))/INDEX(lk_legs,3))&lt;((((((2*IF(circ_int,0,eq_c2/2))+(PI()*(s_0+2*s_r+IF(circ_int,eq_c1/2,0))/2))+2*IF(circ_int,0,eq_c1/2))+(PI()*(s_0+2*s_r+IF(circ_int,eq_c1/2,0))/2))+2*IF(circ_int,0,eq_c2/2))+(PI()*(s_0+2*s_r+IF(circ_int,eq_c1/2,0))/2)),-IF(circ_int,0,eq_c1/2)+(s_0+2*s_r+IF(circ_int,eq_c1/2,0))*COS(PI()+(((36+0.5)*(4*IF(circ_int,0,eq_c1/2)+4*IF(circ_int,0,eq_c2/2)+2*PI()*(s_0+2*s_r+IF(circ_int,eq_c1/2,0)))/INDEX(lk_legs,3))-(((((2*IF(circ_int,0,eq_c2/2))+(PI()*(s_0+2*s_r+IF(circ_int,eq_c1/2,0))/2))+2*IF(circ_int,0,eq_c1/2))+(PI()*(s_0+2*s_r+IF(circ_int,eq_c1/2,0))/2))+2*IF(circ_int,0,eq_c2/2)))/(s_0+2*s_r+IF(circ_int,eq_c1/2,0))),IF(((36+0.5)*(4*IF(circ_int,0,eq_c1/2)+4*IF(circ_int,0,eq_c2/2)+2*PI()*(s_0+2*s_r+IF(circ_int,eq_c1/2,0)))/INDEX(lk_legs,3))&lt;(((((((2*IF(circ_int,0,eq_c2/2))+(PI()*(s_0+2*s_r+IF(circ_int,eq_c1/2,0))/2))+2*IF(circ_int,0,eq_c1/2))+(PI()*(s_0+2*s_r+IF(circ_int,eq_c1/2,0))/2))+2*IF(circ_int,0,eq_c2/2))+(PI()*(s_0+2*s_r+IF(circ_int,eq_c1/2,0))/2))+2*IF(circ_int,0,eq_c1/2)),-IF(circ_int,0,eq_c1/2)+(((36+0.5)*(4*IF(circ_int,0,eq_c1/2)+4*IF(circ_int,0,eq_c2/2)+2*PI()*(s_0+2*s_r+IF(circ_int,eq_c1/2,0)))/INDEX(lk_legs,3))-((((((2*IF(circ_int,0,eq_c2/2))+(PI()*(s_0+2*s_r+IF(circ_int,eq_c1/2,0))/2))+2*IF(circ_int,0,eq_c1/2))+(PI()*(s_0+2*s_r+IF(circ_int,eq_c1/2,0))/2))+2*IF(circ_int,0,eq_c2/2))+(PI()*(s_0+2*s_r+IF(circ_int,eq_c1/2,0))/2))),IF(circ_int,0,eq_c1/2)+(s_0+2*s_r+IF(circ_int,eq_c1/2,0))*COS(3*PI()/2+(((36+0.5)*(4*IF(circ_int,0,eq_c1/2)+4*IF(circ_int,0,eq_c2/2)+2*PI()*(s_0+2*s_r+IF(circ_int,eq_c1/2,0)))/INDEX(lk_legs,3))-(((((((2*IF(circ_int,0,eq_c2/2))+(PI()*(s_0+2*s_r+IF(circ_int,eq_c1/2,0))/2))+2*IF(circ_int,0,eq_c1/2))+(PI()*(s_0+2*s_r+IF(circ_int,eq_c1/2,0))/2))+2*IF(circ_int,0,eq_c2/2))+(PI()*(s_0+2*s_r+IF(circ_int,eq_c1/2,0))/2))+2*IF(circ_int,0,eq_c1/2)))/(s_0+2*s_r+IF(circ_int,eq_c1/2,0)))))))))),NA())</f>
        <v/>
      </c>
      <c r="BM39">
        <f>IF(AND(AND(links_on,3&lt;=n_per),INDEX(lk_kind,3)=1,36&lt;INDEX(lk_legs,3)),g_oy+IF(((36+0.5)*(4*IF(circ_int,0,eq_c1/2)+4*IF(circ_int,0,eq_c2/2)+2*PI()*(s_0+2*s_r+IF(circ_int,eq_c1/2,0)))/INDEX(lk_legs,3))&lt;(2*IF(circ_int,0,eq_c2/2)),-IF(circ_int,0,eq_c2/2)+((36+0.5)*(4*IF(circ_int,0,eq_c1/2)+4*IF(circ_int,0,eq_c2/2)+2*PI()*(s_0+2*s_r+IF(circ_int,eq_c1/2,0)))/INDEX(lk_legs,3)),IF(((36+0.5)*(4*IF(circ_int,0,eq_c1/2)+4*IF(circ_int,0,eq_c2/2)+2*PI()*(s_0+2*s_r+IF(circ_int,eq_c1/2,0)))/INDEX(lk_legs,3))&lt;((2*IF(circ_int,0,eq_c2/2))+(PI()*(s_0+2*s_r+IF(circ_int,eq_c1/2,0))/2)),IF(circ_int,0,eq_c2/2)+(s_0+2*s_r+IF(circ_int,eq_c1/2,0))*SIN((((36+0.5)*(4*IF(circ_int,0,eq_c1/2)+4*IF(circ_int,0,eq_c2/2)+2*PI()*(s_0+2*s_r+IF(circ_int,eq_c1/2,0)))/INDEX(lk_legs,3))-(2*IF(circ_int,0,eq_c2/2)))/(s_0+2*s_r+IF(circ_int,eq_c1/2,0))),IF(((36+0.5)*(4*IF(circ_int,0,eq_c1/2)+4*IF(circ_int,0,eq_c2/2)+2*PI()*(s_0+2*s_r+IF(circ_int,eq_c1/2,0)))/INDEX(lk_legs,3))&lt;(((2*IF(circ_int,0,eq_c2/2))+(PI()*(s_0+2*s_r+IF(circ_int,eq_c1/2,0))/2))+2*IF(circ_int,0,eq_c1/2)),IF(circ_int,0,eq_c2/2)+(s_0+2*s_r+IF(circ_int,eq_c1/2,0)),IF(((36+0.5)*(4*IF(circ_int,0,eq_c1/2)+4*IF(circ_int,0,eq_c2/2)+2*PI()*(s_0+2*s_r+IF(circ_int,eq_c1/2,0)))/INDEX(lk_legs,3))&lt;((((2*IF(circ_int,0,eq_c2/2))+(PI()*(s_0+2*s_r+IF(circ_int,eq_c1/2,0))/2))+2*IF(circ_int,0,eq_c1/2))+(PI()*(s_0+2*s_r+IF(circ_int,eq_c1/2,0))/2)),IF(circ_int,0,eq_c2/2)+(s_0+2*s_r+IF(circ_int,eq_c1/2,0))*SIN(PI()/2+(((36+0.5)*(4*IF(circ_int,0,eq_c1/2)+4*IF(circ_int,0,eq_c2/2)+2*PI()*(s_0+2*s_r+IF(circ_int,eq_c1/2,0)))/INDEX(lk_legs,3))-(((2*IF(circ_int,0,eq_c2/2))+(PI()*(s_0+2*s_r+IF(circ_int,eq_c1/2,0))/2))+2*IF(circ_int,0,eq_c1/2)))/(s_0+2*s_r+IF(circ_int,eq_c1/2,0))),IF(((36+0.5)*(4*IF(circ_int,0,eq_c1/2)+4*IF(circ_int,0,eq_c2/2)+2*PI()*(s_0+2*s_r+IF(circ_int,eq_c1/2,0)))/INDEX(lk_legs,3))&lt;(((((2*IF(circ_int,0,eq_c2/2))+(PI()*(s_0+2*s_r+IF(circ_int,eq_c1/2,0))/2))+2*IF(circ_int,0,eq_c1/2))+(PI()*(s_0+2*s_r+IF(circ_int,eq_c1/2,0))/2))+2*IF(circ_int,0,eq_c2/2)),IF(circ_int,0,eq_c2/2)-(((36+0.5)*(4*IF(circ_int,0,eq_c1/2)+4*IF(circ_int,0,eq_c2/2)+2*PI()*(s_0+2*s_r+IF(circ_int,eq_c1/2,0)))/INDEX(lk_legs,3))-((((2*IF(circ_int,0,eq_c2/2))+(PI()*(s_0+2*s_r+IF(circ_int,eq_c1/2,0))/2))+2*IF(circ_int,0,eq_c1/2))+(PI()*(s_0+2*s_r+IF(circ_int,eq_c1/2,0))/2))),IF(((36+0.5)*(4*IF(circ_int,0,eq_c1/2)+4*IF(circ_int,0,eq_c2/2)+2*PI()*(s_0+2*s_r+IF(circ_int,eq_c1/2,0)))/INDEX(lk_legs,3))&lt;((((((2*IF(circ_int,0,eq_c2/2))+(PI()*(s_0+2*s_r+IF(circ_int,eq_c1/2,0))/2))+2*IF(circ_int,0,eq_c1/2))+(PI()*(s_0+2*s_r+IF(circ_int,eq_c1/2,0))/2))+2*IF(circ_int,0,eq_c2/2))+(PI()*(s_0+2*s_r+IF(circ_int,eq_c1/2,0))/2)),-IF(circ_int,0,eq_c2/2)+(s_0+2*s_r+IF(circ_int,eq_c1/2,0))*SIN(PI()+(((36+0.5)*(4*IF(circ_int,0,eq_c1/2)+4*IF(circ_int,0,eq_c2/2)+2*PI()*(s_0+2*s_r+IF(circ_int,eq_c1/2,0)))/INDEX(lk_legs,3))-(((((2*IF(circ_int,0,eq_c2/2))+(PI()*(s_0+2*s_r+IF(circ_int,eq_c1/2,0))/2))+2*IF(circ_int,0,eq_c1/2))+(PI()*(s_0+2*s_r+IF(circ_int,eq_c1/2,0))/2))+2*IF(circ_int,0,eq_c2/2)))/(s_0+2*s_r+IF(circ_int,eq_c1/2,0))),IF(((36+0.5)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(36+0.5)*(4*IF(circ_int,0,eq_c1/2)+4*IF(circ_int,0,eq_c2/2)+2*PI()*(s_0+2*s_r+IF(circ_int,eq_c1/2,0)))/INDEX(lk_legs,3))-(((((((2*IF(circ_int,0,eq_c2/2))+(PI()*(s_0+2*s_r+IF(circ_int,eq_c1/2,0))/2))+2*IF(circ_int,0,eq_c1/2))+(PI()*(s_0+2*s_r+IF(circ_int,eq_c1/2,0))/2))+2*IF(circ_int,0,eq_c2/2))+(PI()*(s_0+2*s_r+IF(circ_int,eq_c1/2,0))/2))+2*IF(circ_int,0,eq_c1/2)))/(s_0+2*s_r+IF(circ_int,eq_c1/2,0)))))))))),NA())</f>
        <v/>
      </c>
      <c r="BO39">
        <f>IF(AND(links_on,4&lt;=n_per),IF(circ_int,(g_ox)+(c_1/2+(s_0+3*s_r))*-0.354605,CHOOSE(INDEX(lk_kind,4),(g_ox-eq_c1/2)+((s_0+3*s_r))*-0.258819,0,eq_a1+eq_c1+(s_0+3*s_r),eq_a1+eq_c1+(s_0+3*s_r))),NA())</f>
        <v/>
      </c>
      <c r="BP39">
        <f>IF(AND(links_on,4&lt;=n_per),IF(circ_int,(g_oy)+(c_1/2+(s_0+3*s_r))*-0.935016,CHOOSE(INDEX(lk_kind,4),(g_oy-eq_c2/2)+((s_0+3*s_r))*-0.965926,g_oy-eq_c2/2-(s_0+3*s_r),0,0)),NA())</f>
        <v/>
      </c>
      <c r="BR39">
        <f>IF(AND(AND(links_on,4&lt;=n_per),INDEX(lk_kind,4)=1,36&lt;INDEX(lk_legs,4)),g_ox+IF(((36+0.5)*(4*IF(circ_int,0,eq_c1/2)+4*IF(circ_int,0,eq_c2/2)+2*PI()*(s_0+3*s_r+IF(circ_int,eq_c1/2,0)))/INDEX(lk_legs,4))&lt;(2*IF(circ_int,0,eq_c2/2)),IF(circ_int,0,eq_c1/2)+(s_0+3*s_r+IF(circ_int,eq_c1/2,0)),IF(((36+0.5)*(4*IF(circ_int,0,eq_c1/2)+4*IF(circ_int,0,eq_c2/2)+2*PI()*(s_0+3*s_r+IF(circ_int,eq_c1/2,0)))/INDEX(lk_legs,4))&lt;((2*IF(circ_int,0,eq_c2/2))+(PI()*(s_0+3*s_r+IF(circ_int,eq_c1/2,0))/2)),IF(circ_int,0,eq_c1/2)+(s_0+3*s_r+IF(circ_int,eq_c1/2,0))*COS((((36+0.5)*(4*IF(circ_int,0,eq_c1/2)+4*IF(circ_int,0,eq_c2/2)+2*PI()*(s_0+3*s_r+IF(circ_int,eq_c1/2,0)))/INDEX(lk_legs,4))-(2*IF(circ_int,0,eq_c2/2)))/(s_0+3*s_r+IF(circ_int,eq_c1/2,0))),IF(((36+0.5)*(4*IF(circ_int,0,eq_c1/2)+4*IF(circ_int,0,eq_c2/2)+2*PI()*(s_0+3*s_r+IF(circ_int,eq_c1/2,0)))/INDEX(lk_legs,4))&lt;(((2*IF(circ_int,0,eq_c2/2))+(PI()*(s_0+3*s_r+IF(circ_int,eq_c1/2,0))/2))+2*IF(circ_int,0,eq_c1/2)),IF(circ_int,0,eq_c1/2)-(((36+0.5)*(4*IF(circ_int,0,eq_c1/2)+4*IF(circ_int,0,eq_c2/2)+2*PI()*(s_0+3*s_r+IF(circ_int,eq_c1/2,0)))/INDEX(lk_legs,4))-((2*IF(circ_int,0,eq_c2/2))+(PI()*(s_0+3*s_r+IF(circ_int,eq_c1/2,0))/2))),IF(((36+0.5)*(4*IF(circ_int,0,eq_c1/2)+4*IF(circ_int,0,eq_c2/2)+2*PI()*(s_0+3*s_r+IF(circ_int,eq_c1/2,0)))/INDEX(lk_legs,4))&lt;((((2*IF(circ_int,0,eq_c2/2))+(PI()*(s_0+3*s_r+IF(circ_int,eq_c1/2,0))/2))+2*IF(circ_int,0,eq_c1/2))+(PI()*(s_0+3*s_r+IF(circ_int,eq_c1/2,0))/2)),-IF(circ_int,0,eq_c1/2)+(s_0+3*s_r+IF(circ_int,eq_c1/2,0))*COS(PI()/2+(((36+0.5)*(4*IF(circ_int,0,eq_c1/2)+4*IF(circ_int,0,eq_c2/2)+2*PI()*(s_0+3*s_r+IF(circ_int,eq_c1/2,0)))/INDEX(lk_legs,4))-(((2*IF(circ_int,0,eq_c2/2))+(PI()*(s_0+3*s_r+IF(circ_int,eq_c1/2,0))/2))+2*IF(circ_int,0,eq_c1/2)))/(s_0+3*s_r+IF(circ_int,eq_c1/2,0))),IF(((36+0.5)*(4*IF(circ_int,0,eq_c1/2)+4*IF(circ_int,0,eq_c2/2)+2*PI()*(s_0+3*s_r+IF(circ_int,eq_c1/2,0)))/INDEX(lk_legs,4))&lt;(((((2*IF(circ_int,0,eq_c2/2))+(PI()*(s_0+3*s_r+IF(circ_int,eq_c1/2,0))/2))+2*IF(circ_int,0,eq_c1/2))+(PI()*(s_0+3*s_r+IF(circ_int,eq_c1/2,0))/2))+2*IF(circ_int,0,eq_c2/2)),-IF(circ_int,0,eq_c1/2)-(s_0+3*s_r+IF(circ_int,eq_c1/2,0)),IF(((36+0.5)*(4*IF(circ_int,0,eq_c1/2)+4*IF(circ_int,0,eq_c2/2)+2*PI()*(s_0+3*s_r+IF(circ_int,eq_c1/2,0)))/INDEX(lk_legs,4))&lt;((((((2*IF(circ_int,0,eq_c2/2))+(PI()*(s_0+3*s_r+IF(circ_int,eq_c1/2,0))/2))+2*IF(circ_int,0,eq_c1/2))+(PI()*(s_0+3*s_r+IF(circ_int,eq_c1/2,0))/2))+2*IF(circ_int,0,eq_c2/2))+(PI()*(s_0+3*s_r+IF(circ_int,eq_c1/2,0))/2)),-IF(circ_int,0,eq_c1/2)+(s_0+3*s_r+IF(circ_int,eq_c1/2,0))*COS(PI()+(((36+0.5)*(4*IF(circ_int,0,eq_c1/2)+4*IF(circ_int,0,eq_c2/2)+2*PI()*(s_0+3*s_r+IF(circ_int,eq_c1/2,0)))/INDEX(lk_legs,4))-(((((2*IF(circ_int,0,eq_c2/2))+(PI()*(s_0+3*s_r+IF(circ_int,eq_c1/2,0))/2))+2*IF(circ_int,0,eq_c1/2))+(PI()*(s_0+3*s_r+IF(circ_int,eq_c1/2,0))/2))+2*IF(circ_int,0,eq_c2/2)))/(s_0+3*s_r+IF(circ_int,eq_c1/2,0))),IF(((36+0.5)*(4*IF(circ_int,0,eq_c1/2)+4*IF(circ_int,0,eq_c2/2)+2*PI()*(s_0+3*s_r+IF(circ_int,eq_c1/2,0)))/INDEX(lk_legs,4))&lt;(((((((2*IF(circ_int,0,eq_c2/2))+(PI()*(s_0+3*s_r+IF(circ_int,eq_c1/2,0))/2))+2*IF(circ_int,0,eq_c1/2))+(PI()*(s_0+3*s_r+IF(circ_int,eq_c1/2,0))/2))+2*IF(circ_int,0,eq_c2/2))+(PI()*(s_0+3*s_r+IF(circ_int,eq_c1/2,0))/2))+2*IF(circ_int,0,eq_c1/2)),-IF(circ_int,0,eq_c1/2)+(((36+0.5)*(4*IF(circ_int,0,eq_c1/2)+4*IF(circ_int,0,eq_c2/2)+2*PI()*(s_0+3*s_r+IF(circ_int,eq_c1/2,0)))/INDEX(lk_legs,4))-((((((2*IF(circ_int,0,eq_c2/2))+(PI()*(s_0+3*s_r+IF(circ_int,eq_c1/2,0))/2))+2*IF(circ_int,0,eq_c1/2))+(PI()*(s_0+3*s_r+IF(circ_int,eq_c1/2,0))/2))+2*IF(circ_int,0,eq_c2/2))+(PI()*(s_0+3*s_r+IF(circ_int,eq_c1/2,0))/2))),IF(circ_int,0,eq_c1/2)+(s_0+3*s_r+IF(circ_int,eq_c1/2,0))*COS(3*PI()/2+(((36+0.5)*(4*IF(circ_int,0,eq_c1/2)+4*IF(circ_int,0,eq_c2/2)+2*PI()*(s_0+3*s_r+IF(circ_int,eq_c1/2,0)))/INDEX(lk_legs,4))-(((((((2*IF(circ_int,0,eq_c2/2))+(PI()*(s_0+3*s_r+IF(circ_int,eq_c1/2,0))/2))+2*IF(circ_int,0,eq_c1/2))+(PI()*(s_0+3*s_r+IF(circ_int,eq_c1/2,0))/2))+2*IF(circ_int,0,eq_c2/2))+(PI()*(s_0+3*s_r+IF(circ_int,eq_c1/2,0))/2))+2*IF(circ_int,0,eq_c1/2)))/(s_0+3*s_r+IF(circ_int,eq_c1/2,0)))))))))),NA())</f>
        <v/>
      </c>
      <c r="BS39">
        <f>IF(AND(AND(links_on,4&lt;=n_per),INDEX(lk_kind,4)=1,36&lt;INDEX(lk_legs,4)),g_oy+IF(((36+0.5)*(4*IF(circ_int,0,eq_c1/2)+4*IF(circ_int,0,eq_c2/2)+2*PI()*(s_0+3*s_r+IF(circ_int,eq_c1/2,0)))/INDEX(lk_legs,4))&lt;(2*IF(circ_int,0,eq_c2/2)),-IF(circ_int,0,eq_c2/2)+((36+0.5)*(4*IF(circ_int,0,eq_c1/2)+4*IF(circ_int,0,eq_c2/2)+2*PI()*(s_0+3*s_r+IF(circ_int,eq_c1/2,0)))/INDEX(lk_legs,4)),IF(((36+0.5)*(4*IF(circ_int,0,eq_c1/2)+4*IF(circ_int,0,eq_c2/2)+2*PI()*(s_0+3*s_r+IF(circ_int,eq_c1/2,0)))/INDEX(lk_legs,4))&lt;((2*IF(circ_int,0,eq_c2/2))+(PI()*(s_0+3*s_r+IF(circ_int,eq_c1/2,0))/2)),IF(circ_int,0,eq_c2/2)+(s_0+3*s_r+IF(circ_int,eq_c1/2,0))*SIN((((36+0.5)*(4*IF(circ_int,0,eq_c1/2)+4*IF(circ_int,0,eq_c2/2)+2*PI()*(s_0+3*s_r+IF(circ_int,eq_c1/2,0)))/INDEX(lk_legs,4))-(2*IF(circ_int,0,eq_c2/2)))/(s_0+3*s_r+IF(circ_int,eq_c1/2,0))),IF(((36+0.5)*(4*IF(circ_int,0,eq_c1/2)+4*IF(circ_int,0,eq_c2/2)+2*PI()*(s_0+3*s_r+IF(circ_int,eq_c1/2,0)))/INDEX(lk_legs,4))&lt;(((2*IF(circ_int,0,eq_c2/2))+(PI()*(s_0+3*s_r+IF(circ_int,eq_c1/2,0))/2))+2*IF(circ_int,0,eq_c1/2)),IF(circ_int,0,eq_c2/2)+(s_0+3*s_r+IF(circ_int,eq_c1/2,0)),IF(((36+0.5)*(4*IF(circ_int,0,eq_c1/2)+4*IF(circ_int,0,eq_c2/2)+2*PI()*(s_0+3*s_r+IF(circ_int,eq_c1/2,0)))/INDEX(lk_legs,4))&lt;((((2*IF(circ_int,0,eq_c2/2))+(PI()*(s_0+3*s_r+IF(circ_int,eq_c1/2,0))/2))+2*IF(circ_int,0,eq_c1/2))+(PI()*(s_0+3*s_r+IF(circ_int,eq_c1/2,0))/2)),IF(circ_int,0,eq_c2/2)+(s_0+3*s_r+IF(circ_int,eq_c1/2,0))*SIN(PI()/2+(((36+0.5)*(4*IF(circ_int,0,eq_c1/2)+4*IF(circ_int,0,eq_c2/2)+2*PI()*(s_0+3*s_r+IF(circ_int,eq_c1/2,0)))/INDEX(lk_legs,4))-(((2*IF(circ_int,0,eq_c2/2))+(PI()*(s_0+3*s_r+IF(circ_int,eq_c1/2,0))/2))+2*IF(circ_int,0,eq_c1/2)))/(s_0+3*s_r+IF(circ_int,eq_c1/2,0))),IF(((36+0.5)*(4*IF(circ_int,0,eq_c1/2)+4*IF(circ_int,0,eq_c2/2)+2*PI()*(s_0+3*s_r+IF(circ_int,eq_c1/2,0)))/INDEX(lk_legs,4))&lt;(((((2*IF(circ_int,0,eq_c2/2))+(PI()*(s_0+3*s_r+IF(circ_int,eq_c1/2,0))/2))+2*IF(circ_int,0,eq_c1/2))+(PI()*(s_0+3*s_r+IF(circ_int,eq_c1/2,0))/2))+2*IF(circ_int,0,eq_c2/2)),IF(circ_int,0,eq_c2/2)-(((36+0.5)*(4*IF(circ_int,0,eq_c1/2)+4*IF(circ_int,0,eq_c2/2)+2*PI()*(s_0+3*s_r+IF(circ_int,eq_c1/2,0)))/INDEX(lk_legs,4))-((((2*IF(circ_int,0,eq_c2/2))+(PI()*(s_0+3*s_r+IF(circ_int,eq_c1/2,0))/2))+2*IF(circ_int,0,eq_c1/2))+(PI()*(s_0+3*s_r+IF(circ_int,eq_c1/2,0))/2))),IF(((36+0.5)*(4*IF(circ_int,0,eq_c1/2)+4*IF(circ_int,0,eq_c2/2)+2*PI()*(s_0+3*s_r+IF(circ_int,eq_c1/2,0)))/INDEX(lk_legs,4))&lt;((((((2*IF(circ_int,0,eq_c2/2))+(PI()*(s_0+3*s_r+IF(circ_int,eq_c1/2,0))/2))+2*IF(circ_int,0,eq_c1/2))+(PI()*(s_0+3*s_r+IF(circ_int,eq_c1/2,0))/2))+2*IF(circ_int,0,eq_c2/2))+(PI()*(s_0+3*s_r+IF(circ_int,eq_c1/2,0))/2)),-IF(circ_int,0,eq_c2/2)+(s_0+3*s_r+IF(circ_int,eq_c1/2,0))*SIN(PI()+(((36+0.5)*(4*IF(circ_int,0,eq_c1/2)+4*IF(circ_int,0,eq_c2/2)+2*PI()*(s_0+3*s_r+IF(circ_int,eq_c1/2,0)))/INDEX(lk_legs,4))-(((((2*IF(circ_int,0,eq_c2/2))+(PI()*(s_0+3*s_r+IF(circ_int,eq_c1/2,0))/2))+2*IF(circ_int,0,eq_c1/2))+(PI()*(s_0+3*s_r+IF(circ_int,eq_c1/2,0))/2))+2*IF(circ_int,0,eq_c2/2)))/(s_0+3*s_r+IF(circ_int,eq_c1/2,0))),IF(((36+0.5)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(36+0.5)*(4*IF(circ_int,0,eq_c1/2)+4*IF(circ_int,0,eq_c2/2)+2*PI()*(s_0+3*s_r+IF(circ_int,eq_c1/2,0)))/INDEX(lk_legs,4))-(((((((2*IF(circ_int,0,eq_c2/2))+(PI()*(s_0+3*s_r+IF(circ_int,eq_c1/2,0))/2))+2*IF(circ_int,0,eq_c1/2))+(PI()*(s_0+3*s_r+IF(circ_int,eq_c1/2,0))/2))+2*IF(circ_int,0,eq_c2/2))+(PI()*(s_0+3*s_r+IF(circ_int,eq_c1/2,0))/2))+2*IF(circ_int,0,eq_c1/2)))/(s_0+3*s_r+IF(circ_int,eq_c1/2,0)))))))))),NA())</f>
        <v/>
      </c>
      <c r="BU39">
        <f>IF(AND(links_on,5&lt;=n_per),IF(circ_int,(g_ox)+(c_1/2+(s_0+4*s_r))*-0.354605,CHOOSE(INDEX(lk_kind,5),(g_ox-eq_c1/2)+((s_0+4*s_r))*-0.258819,0,eq_a1+eq_c1+(s_0+4*s_r),eq_a1+eq_c1+(s_0+4*s_r))),NA())</f>
        <v/>
      </c>
      <c r="BV39">
        <f>IF(AND(links_on,5&lt;=n_per),IF(circ_int,(g_oy)+(c_1/2+(s_0+4*s_r))*-0.935016,CHOOSE(INDEX(lk_kind,5),(g_oy-eq_c2/2)+((s_0+4*s_r))*-0.965926,g_oy-eq_c2/2-(s_0+4*s_r),0,0)),NA())</f>
        <v/>
      </c>
      <c r="BX39">
        <f>IF(AND(AND(links_on,5&lt;=n_per),INDEX(lk_kind,5)=1,36&lt;INDEX(lk_legs,5)),g_ox+IF(((36+0.5)*(4*IF(circ_int,0,eq_c1/2)+4*IF(circ_int,0,eq_c2/2)+2*PI()*(s_0+4*s_r+IF(circ_int,eq_c1/2,0)))/INDEX(lk_legs,5))&lt;(2*IF(circ_int,0,eq_c2/2)),IF(circ_int,0,eq_c1/2)+(s_0+4*s_r+IF(circ_int,eq_c1/2,0)),IF(((36+0.5)*(4*IF(circ_int,0,eq_c1/2)+4*IF(circ_int,0,eq_c2/2)+2*PI()*(s_0+4*s_r+IF(circ_int,eq_c1/2,0)))/INDEX(lk_legs,5))&lt;((2*IF(circ_int,0,eq_c2/2))+(PI()*(s_0+4*s_r+IF(circ_int,eq_c1/2,0))/2)),IF(circ_int,0,eq_c1/2)+(s_0+4*s_r+IF(circ_int,eq_c1/2,0))*COS((((36+0.5)*(4*IF(circ_int,0,eq_c1/2)+4*IF(circ_int,0,eq_c2/2)+2*PI()*(s_0+4*s_r+IF(circ_int,eq_c1/2,0)))/INDEX(lk_legs,5))-(2*IF(circ_int,0,eq_c2/2)))/(s_0+4*s_r+IF(circ_int,eq_c1/2,0))),IF(((36+0.5)*(4*IF(circ_int,0,eq_c1/2)+4*IF(circ_int,0,eq_c2/2)+2*PI()*(s_0+4*s_r+IF(circ_int,eq_c1/2,0)))/INDEX(lk_legs,5))&lt;(((2*IF(circ_int,0,eq_c2/2))+(PI()*(s_0+4*s_r+IF(circ_int,eq_c1/2,0))/2))+2*IF(circ_int,0,eq_c1/2)),IF(circ_int,0,eq_c1/2)-(((36+0.5)*(4*IF(circ_int,0,eq_c1/2)+4*IF(circ_int,0,eq_c2/2)+2*PI()*(s_0+4*s_r+IF(circ_int,eq_c1/2,0)))/INDEX(lk_legs,5))-((2*IF(circ_int,0,eq_c2/2))+(PI()*(s_0+4*s_r+IF(circ_int,eq_c1/2,0))/2))),IF(((36+0.5)*(4*IF(circ_int,0,eq_c1/2)+4*IF(circ_int,0,eq_c2/2)+2*PI()*(s_0+4*s_r+IF(circ_int,eq_c1/2,0)))/INDEX(lk_legs,5))&lt;((((2*IF(circ_int,0,eq_c2/2))+(PI()*(s_0+4*s_r+IF(circ_int,eq_c1/2,0))/2))+2*IF(circ_int,0,eq_c1/2))+(PI()*(s_0+4*s_r+IF(circ_int,eq_c1/2,0))/2)),-IF(circ_int,0,eq_c1/2)+(s_0+4*s_r+IF(circ_int,eq_c1/2,0))*COS(PI()/2+(((36+0.5)*(4*IF(circ_int,0,eq_c1/2)+4*IF(circ_int,0,eq_c2/2)+2*PI()*(s_0+4*s_r+IF(circ_int,eq_c1/2,0)))/INDEX(lk_legs,5))-(((2*IF(circ_int,0,eq_c2/2))+(PI()*(s_0+4*s_r+IF(circ_int,eq_c1/2,0))/2))+2*IF(circ_int,0,eq_c1/2)))/(s_0+4*s_r+IF(circ_int,eq_c1/2,0))),IF(((36+0.5)*(4*IF(circ_int,0,eq_c1/2)+4*IF(circ_int,0,eq_c2/2)+2*PI()*(s_0+4*s_r+IF(circ_int,eq_c1/2,0)))/INDEX(lk_legs,5))&lt;(((((2*IF(circ_int,0,eq_c2/2))+(PI()*(s_0+4*s_r+IF(circ_int,eq_c1/2,0))/2))+2*IF(circ_int,0,eq_c1/2))+(PI()*(s_0+4*s_r+IF(circ_int,eq_c1/2,0))/2))+2*IF(circ_int,0,eq_c2/2)),-IF(circ_int,0,eq_c1/2)-(s_0+4*s_r+IF(circ_int,eq_c1/2,0)),IF(((36+0.5)*(4*IF(circ_int,0,eq_c1/2)+4*IF(circ_int,0,eq_c2/2)+2*PI()*(s_0+4*s_r+IF(circ_int,eq_c1/2,0)))/INDEX(lk_legs,5))&lt;((((((2*IF(circ_int,0,eq_c2/2))+(PI()*(s_0+4*s_r+IF(circ_int,eq_c1/2,0))/2))+2*IF(circ_int,0,eq_c1/2))+(PI()*(s_0+4*s_r+IF(circ_int,eq_c1/2,0))/2))+2*IF(circ_int,0,eq_c2/2))+(PI()*(s_0+4*s_r+IF(circ_int,eq_c1/2,0))/2)),-IF(circ_int,0,eq_c1/2)+(s_0+4*s_r+IF(circ_int,eq_c1/2,0))*COS(PI()+(((36+0.5)*(4*IF(circ_int,0,eq_c1/2)+4*IF(circ_int,0,eq_c2/2)+2*PI()*(s_0+4*s_r+IF(circ_int,eq_c1/2,0)))/INDEX(lk_legs,5))-(((((2*IF(circ_int,0,eq_c2/2))+(PI()*(s_0+4*s_r+IF(circ_int,eq_c1/2,0))/2))+2*IF(circ_int,0,eq_c1/2))+(PI()*(s_0+4*s_r+IF(circ_int,eq_c1/2,0))/2))+2*IF(circ_int,0,eq_c2/2)))/(s_0+4*s_r+IF(circ_int,eq_c1/2,0))),IF(((36+0.5)*(4*IF(circ_int,0,eq_c1/2)+4*IF(circ_int,0,eq_c2/2)+2*PI()*(s_0+4*s_r+IF(circ_int,eq_c1/2,0)))/INDEX(lk_legs,5))&lt;(((((((2*IF(circ_int,0,eq_c2/2))+(PI()*(s_0+4*s_r+IF(circ_int,eq_c1/2,0))/2))+2*IF(circ_int,0,eq_c1/2))+(PI()*(s_0+4*s_r+IF(circ_int,eq_c1/2,0))/2))+2*IF(circ_int,0,eq_c2/2))+(PI()*(s_0+4*s_r+IF(circ_int,eq_c1/2,0))/2))+2*IF(circ_int,0,eq_c1/2)),-IF(circ_int,0,eq_c1/2)+(((36+0.5)*(4*IF(circ_int,0,eq_c1/2)+4*IF(circ_int,0,eq_c2/2)+2*PI()*(s_0+4*s_r+IF(circ_int,eq_c1/2,0)))/INDEX(lk_legs,5))-((((((2*IF(circ_int,0,eq_c2/2))+(PI()*(s_0+4*s_r+IF(circ_int,eq_c1/2,0))/2))+2*IF(circ_int,0,eq_c1/2))+(PI()*(s_0+4*s_r+IF(circ_int,eq_c1/2,0))/2))+2*IF(circ_int,0,eq_c2/2))+(PI()*(s_0+4*s_r+IF(circ_int,eq_c1/2,0))/2))),IF(circ_int,0,eq_c1/2)+(s_0+4*s_r+IF(circ_int,eq_c1/2,0))*COS(3*PI()/2+(((36+0.5)*(4*IF(circ_int,0,eq_c1/2)+4*IF(circ_int,0,eq_c2/2)+2*PI()*(s_0+4*s_r+IF(circ_int,eq_c1/2,0)))/INDEX(lk_legs,5))-(((((((2*IF(circ_int,0,eq_c2/2))+(PI()*(s_0+4*s_r+IF(circ_int,eq_c1/2,0))/2))+2*IF(circ_int,0,eq_c1/2))+(PI()*(s_0+4*s_r+IF(circ_int,eq_c1/2,0))/2))+2*IF(circ_int,0,eq_c2/2))+(PI()*(s_0+4*s_r+IF(circ_int,eq_c1/2,0))/2))+2*IF(circ_int,0,eq_c1/2)))/(s_0+4*s_r+IF(circ_int,eq_c1/2,0)))))))))),NA())</f>
        <v/>
      </c>
      <c r="BY39">
        <f>IF(AND(AND(links_on,5&lt;=n_per),INDEX(lk_kind,5)=1,36&lt;INDEX(lk_legs,5)),g_oy+IF(((36+0.5)*(4*IF(circ_int,0,eq_c1/2)+4*IF(circ_int,0,eq_c2/2)+2*PI()*(s_0+4*s_r+IF(circ_int,eq_c1/2,0)))/INDEX(lk_legs,5))&lt;(2*IF(circ_int,0,eq_c2/2)),-IF(circ_int,0,eq_c2/2)+((36+0.5)*(4*IF(circ_int,0,eq_c1/2)+4*IF(circ_int,0,eq_c2/2)+2*PI()*(s_0+4*s_r+IF(circ_int,eq_c1/2,0)))/INDEX(lk_legs,5)),IF(((36+0.5)*(4*IF(circ_int,0,eq_c1/2)+4*IF(circ_int,0,eq_c2/2)+2*PI()*(s_0+4*s_r+IF(circ_int,eq_c1/2,0)))/INDEX(lk_legs,5))&lt;((2*IF(circ_int,0,eq_c2/2))+(PI()*(s_0+4*s_r+IF(circ_int,eq_c1/2,0))/2)),IF(circ_int,0,eq_c2/2)+(s_0+4*s_r+IF(circ_int,eq_c1/2,0))*SIN((((36+0.5)*(4*IF(circ_int,0,eq_c1/2)+4*IF(circ_int,0,eq_c2/2)+2*PI()*(s_0+4*s_r+IF(circ_int,eq_c1/2,0)))/INDEX(lk_legs,5))-(2*IF(circ_int,0,eq_c2/2)))/(s_0+4*s_r+IF(circ_int,eq_c1/2,0))),IF(((36+0.5)*(4*IF(circ_int,0,eq_c1/2)+4*IF(circ_int,0,eq_c2/2)+2*PI()*(s_0+4*s_r+IF(circ_int,eq_c1/2,0)))/INDEX(lk_legs,5))&lt;(((2*IF(circ_int,0,eq_c2/2))+(PI()*(s_0+4*s_r+IF(circ_int,eq_c1/2,0))/2))+2*IF(circ_int,0,eq_c1/2)),IF(circ_int,0,eq_c2/2)+(s_0+4*s_r+IF(circ_int,eq_c1/2,0)),IF(((36+0.5)*(4*IF(circ_int,0,eq_c1/2)+4*IF(circ_int,0,eq_c2/2)+2*PI()*(s_0+4*s_r+IF(circ_int,eq_c1/2,0)))/INDEX(lk_legs,5))&lt;((((2*IF(circ_int,0,eq_c2/2))+(PI()*(s_0+4*s_r+IF(circ_int,eq_c1/2,0))/2))+2*IF(circ_int,0,eq_c1/2))+(PI()*(s_0+4*s_r+IF(circ_int,eq_c1/2,0))/2)),IF(circ_int,0,eq_c2/2)+(s_0+4*s_r+IF(circ_int,eq_c1/2,0))*SIN(PI()/2+(((36+0.5)*(4*IF(circ_int,0,eq_c1/2)+4*IF(circ_int,0,eq_c2/2)+2*PI()*(s_0+4*s_r+IF(circ_int,eq_c1/2,0)))/INDEX(lk_legs,5))-(((2*IF(circ_int,0,eq_c2/2))+(PI()*(s_0+4*s_r+IF(circ_int,eq_c1/2,0))/2))+2*IF(circ_int,0,eq_c1/2)))/(s_0+4*s_r+IF(circ_int,eq_c1/2,0))),IF(((36+0.5)*(4*IF(circ_int,0,eq_c1/2)+4*IF(circ_int,0,eq_c2/2)+2*PI()*(s_0+4*s_r+IF(circ_int,eq_c1/2,0)))/INDEX(lk_legs,5))&lt;(((((2*IF(circ_int,0,eq_c2/2))+(PI()*(s_0+4*s_r+IF(circ_int,eq_c1/2,0))/2))+2*IF(circ_int,0,eq_c1/2))+(PI()*(s_0+4*s_r+IF(circ_int,eq_c1/2,0))/2))+2*IF(circ_int,0,eq_c2/2)),IF(circ_int,0,eq_c2/2)-(((36+0.5)*(4*IF(circ_int,0,eq_c1/2)+4*IF(circ_int,0,eq_c2/2)+2*PI()*(s_0+4*s_r+IF(circ_int,eq_c1/2,0)))/INDEX(lk_legs,5))-((((2*IF(circ_int,0,eq_c2/2))+(PI()*(s_0+4*s_r+IF(circ_int,eq_c1/2,0))/2))+2*IF(circ_int,0,eq_c1/2))+(PI()*(s_0+4*s_r+IF(circ_int,eq_c1/2,0))/2))),IF(((36+0.5)*(4*IF(circ_int,0,eq_c1/2)+4*IF(circ_int,0,eq_c2/2)+2*PI()*(s_0+4*s_r+IF(circ_int,eq_c1/2,0)))/INDEX(lk_legs,5))&lt;((((((2*IF(circ_int,0,eq_c2/2))+(PI()*(s_0+4*s_r+IF(circ_int,eq_c1/2,0))/2))+2*IF(circ_int,0,eq_c1/2))+(PI()*(s_0+4*s_r+IF(circ_int,eq_c1/2,0))/2))+2*IF(circ_int,0,eq_c2/2))+(PI()*(s_0+4*s_r+IF(circ_int,eq_c1/2,0))/2)),-IF(circ_int,0,eq_c2/2)+(s_0+4*s_r+IF(circ_int,eq_c1/2,0))*SIN(PI()+(((36+0.5)*(4*IF(circ_int,0,eq_c1/2)+4*IF(circ_int,0,eq_c2/2)+2*PI()*(s_0+4*s_r+IF(circ_int,eq_c1/2,0)))/INDEX(lk_legs,5))-(((((2*IF(circ_int,0,eq_c2/2))+(PI()*(s_0+4*s_r+IF(circ_int,eq_c1/2,0))/2))+2*IF(circ_int,0,eq_c1/2))+(PI()*(s_0+4*s_r+IF(circ_int,eq_c1/2,0))/2))+2*IF(circ_int,0,eq_c2/2)))/(s_0+4*s_r+IF(circ_int,eq_c1/2,0))),IF(((36+0.5)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(36+0.5)*(4*IF(circ_int,0,eq_c1/2)+4*IF(circ_int,0,eq_c2/2)+2*PI()*(s_0+4*s_r+IF(circ_int,eq_c1/2,0)))/INDEX(lk_legs,5))-(((((((2*IF(circ_int,0,eq_c2/2))+(PI()*(s_0+4*s_r+IF(circ_int,eq_c1/2,0))/2))+2*IF(circ_int,0,eq_c1/2))+(PI()*(s_0+4*s_r+IF(circ_int,eq_c1/2,0))/2))+2*IF(circ_int,0,eq_c2/2))+(PI()*(s_0+4*s_r+IF(circ_int,eq_c1/2,0))/2))+2*IF(circ_int,0,eq_c1/2)))/(s_0+4*s_r+IF(circ_int,eq_c1/2,0)))))))))),NA())</f>
        <v/>
      </c>
      <c r="CA39">
        <f>IF(AND(links_on,6&lt;=n_per),IF(circ_int,(g_ox)+(c_1/2+(s_0+5*s_r))*-0.354605,CHOOSE(INDEX(lk_kind,6),(g_ox-eq_c1/2)+((s_0+5*s_r))*-0.258819,0,eq_a1+eq_c1+(s_0+5*s_r),eq_a1+eq_c1+(s_0+5*s_r))),NA())</f>
        <v/>
      </c>
      <c r="CB39">
        <f>IF(AND(links_on,6&lt;=n_per),IF(circ_int,(g_oy)+(c_1/2+(s_0+5*s_r))*-0.935016,CHOOSE(INDEX(lk_kind,6),(g_oy-eq_c2/2)+((s_0+5*s_r))*-0.965926,g_oy-eq_c2/2-(s_0+5*s_r),0,0)),NA())</f>
        <v/>
      </c>
      <c r="CD39">
        <f>IF(AND(AND(links_on,6&lt;=n_per),INDEX(lk_kind,6)=1,36&lt;INDEX(lk_legs,6)),g_ox+IF(((36+0.5)*(4*IF(circ_int,0,eq_c1/2)+4*IF(circ_int,0,eq_c2/2)+2*PI()*(s_0+5*s_r+IF(circ_int,eq_c1/2,0)))/INDEX(lk_legs,6))&lt;(2*IF(circ_int,0,eq_c2/2)),IF(circ_int,0,eq_c1/2)+(s_0+5*s_r+IF(circ_int,eq_c1/2,0)),IF(((36+0.5)*(4*IF(circ_int,0,eq_c1/2)+4*IF(circ_int,0,eq_c2/2)+2*PI()*(s_0+5*s_r+IF(circ_int,eq_c1/2,0)))/INDEX(lk_legs,6))&lt;((2*IF(circ_int,0,eq_c2/2))+(PI()*(s_0+5*s_r+IF(circ_int,eq_c1/2,0))/2)),IF(circ_int,0,eq_c1/2)+(s_0+5*s_r+IF(circ_int,eq_c1/2,0))*COS((((36+0.5)*(4*IF(circ_int,0,eq_c1/2)+4*IF(circ_int,0,eq_c2/2)+2*PI()*(s_0+5*s_r+IF(circ_int,eq_c1/2,0)))/INDEX(lk_legs,6))-(2*IF(circ_int,0,eq_c2/2)))/(s_0+5*s_r+IF(circ_int,eq_c1/2,0))),IF(((36+0.5)*(4*IF(circ_int,0,eq_c1/2)+4*IF(circ_int,0,eq_c2/2)+2*PI()*(s_0+5*s_r+IF(circ_int,eq_c1/2,0)))/INDEX(lk_legs,6))&lt;(((2*IF(circ_int,0,eq_c2/2))+(PI()*(s_0+5*s_r+IF(circ_int,eq_c1/2,0))/2))+2*IF(circ_int,0,eq_c1/2)),IF(circ_int,0,eq_c1/2)-(((36+0.5)*(4*IF(circ_int,0,eq_c1/2)+4*IF(circ_int,0,eq_c2/2)+2*PI()*(s_0+5*s_r+IF(circ_int,eq_c1/2,0)))/INDEX(lk_legs,6))-((2*IF(circ_int,0,eq_c2/2))+(PI()*(s_0+5*s_r+IF(circ_int,eq_c1/2,0))/2))),IF(((36+0.5)*(4*IF(circ_int,0,eq_c1/2)+4*IF(circ_int,0,eq_c2/2)+2*PI()*(s_0+5*s_r+IF(circ_int,eq_c1/2,0)))/INDEX(lk_legs,6))&lt;((((2*IF(circ_int,0,eq_c2/2))+(PI()*(s_0+5*s_r+IF(circ_int,eq_c1/2,0))/2))+2*IF(circ_int,0,eq_c1/2))+(PI()*(s_0+5*s_r+IF(circ_int,eq_c1/2,0))/2)),-IF(circ_int,0,eq_c1/2)+(s_0+5*s_r+IF(circ_int,eq_c1/2,0))*COS(PI()/2+(((36+0.5)*(4*IF(circ_int,0,eq_c1/2)+4*IF(circ_int,0,eq_c2/2)+2*PI()*(s_0+5*s_r+IF(circ_int,eq_c1/2,0)))/INDEX(lk_legs,6))-(((2*IF(circ_int,0,eq_c2/2))+(PI()*(s_0+5*s_r+IF(circ_int,eq_c1/2,0))/2))+2*IF(circ_int,0,eq_c1/2)))/(s_0+5*s_r+IF(circ_int,eq_c1/2,0))),IF(((36+0.5)*(4*IF(circ_int,0,eq_c1/2)+4*IF(circ_int,0,eq_c2/2)+2*PI()*(s_0+5*s_r+IF(circ_int,eq_c1/2,0)))/INDEX(lk_legs,6))&lt;(((((2*IF(circ_int,0,eq_c2/2))+(PI()*(s_0+5*s_r+IF(circ_int,eq_c1/2,0))/2))+2*IF(circ_int,0,eq_c1/2))+(PI()*(s_0+5*s_r+IF(circ_int,eq_c1/2,0))/2))+2*IF(circ_int,0,eq_c2/2)),-IF(circ_int,0,eq_c1/2)-(s_0+5*s_r+IF(circ_int,eq_c1/2,0)),IF(((36+0.5)*(4*IF(circ_int,0,eq_c1/2)+4*IF(circ_int,0,eq_c2/2)+2*PI()*(s_0+5*s_r+IF(circ_int,eq_c1/2,0)))/INDEX(lk_legs,6))&lt;((((((2*IF(circ_int,0,eq_c2/2))+(PI()*(s_0+5*s_r+IF(circ_int,eq_c1/2,0))/2))+2*IF(circ_int,0,eq_c1/2))+(PI()*(s_0+5*s_r+IF(circ_int,eq_c1/2,0))/2))+2*IF(circ_int,0,eq_c2/2))+(PI()*(s_0+5*s_r+IF(circ_int,eq_c1/2,0))/2)),-IF(circ_int,0,eq_c1/2)+(s_0+5*s_r+IF(circ_int,eq_c1/2,0))*COS(PI()+(((36+0.5)*(4*IF(circ_int,0,eq_c1/2)+4*IF(circ_int,0,eq_c2/2)+2*PI()*(s_0+5*s_r+IF(circ_int,eq_c1/2,0)))/INDEX(lk_legs,6))-(((((2*IF(circ_int,0,eq_c2/2))+(PI()*(s_0+5*s_r+IF(circ_int,eq_c1/2,0))/2))+2*IF(circ_int,0,eq_c1/2))+(PI()*(s_0+5*s_r+IF(circ_int,eq_c1/2,0))/2))+2*IF(circ_int,0,eq_c2/2)))/(s_0+5*s_r+IF(circ_int,eq_c1/2,0))),IF(((36+0.5)*(4*IF(circ_int,0,eq_c1/2)+4*IF(circ_int,0,eq_c2/2)+2*PI()*(s_0+5*s_r+IF(circ_int,eq_c1/2,0)))/INDEX(lk_legs,6))&lt;(((((((2*IF(circ_int,0,eq_c2/2))+(PI()*(s_0+5*s_r+IF(circ_int,eq_c1/2,0))/2))+2*IF(circ_int,0,eq_c1/2))+(PI()*(s_0+5*s_r+IF(circ_int,eq_c1/2,0))/2))+2*IF(circ_int,0,eq_c2/2))+(PI()*(s_0+5*s_r+IF(circ_int,eq_c1/2,0))/2))+2*IF(circ_int,0,eq_c1/2)),-IF(circ_int,0,eq_c1/2)+(((36+0.5)*(4*IF(circ_int,0,eq_c1/2)+4*IF(circ_int,0,eq_c2/2)+2*PI()*(s_0+5*s_r+IF(circ_int,eq_c1/2,0)))/INDEX(lk_legs,6))-((((((2*IF(circ_int,0,eq_c2/2))+(PI()*(s_0+5*s_r+IF(circ_int,eq_c1/2,0))/2))+2*IF(circ_int,0,eq_c1/2))+(PI()*(s_0+5*s_r+IF(circ_int,eq_c1/2,0))/2))+2*IF(circ_int,0,eq_c2/2))+(PI()*(s_0+5*s_r+IF(circ_int,eq_c1/2,0))/2))),IF(circ_int,0,eq_c1/2)+(s_0+5*s_r+IF(circ_int,eq_c1/2,0))*COS(3*PI()/2+(((36+0.5)*(4*IF(circ_int,0,eq_c1/2)+4*IF(circ_int,0,eq_c2/2)+2*PI()*(s_0+5*s_r+IF(circ_int,eq_c1/2,0)))/INDEX(lk_legs,6))-(((((((2*IF(circ_int,0,eq_c2/2))+(PI()*(s_0+5*s_r+IF(circ_int,eq_c1/2,0))/2))+2*IF(circ_int,0,eq_c1/2))+(PI()*(s_0+5*s_r+IF(circ_int,eq_c1/2,0))/2))+2*IF(circ_int,0,eq_c2/2))+(PI()*(s_0+5*s_r+IF(circ_int,eq_c1/2,0))/2))+2*IF(circ_int,0,eq_c1/2)))/(s_0+5*s_r+IF(circ_int,eq_c1/2,0)))))))))),NA())</f>
        <v/>
      </c>
      <c r="CE39">
        <f>IF(AND(AND(links_on,6&lt;=n_per),INDEX(lk_kind,6)=1,36&lt;INDEX(lk_legs,6)),g_oy+IF(((36+0.5)*(4*IF(circ_int,0,eq_c1/2)+4*IF(circ_int,0,eq_c2/2)+2*PI()*(s_0+5*s_r+IF(circ_int,eq_c1/2,0)))/INDEX(lk_legs,6))&lt;(2*IF(circ_int,0,eq_c2/2)),-IF(circ_int,0,eq_c2/2)+((36+0.5)*(4*IF(circ_int,0,eq_c1/2)+4*IF(circ_int,0,eq_c2/2)+2*PI()*(s_0+5*s_r+IF(circ_int,eq_c1/2,0)))/INDEX(lk_legs,6)),IF(((36+0.5)*(4*IF(circ_int,0,eq_c1/2)+4*IF(circ_int,0,eq_c2/2)+2*PI()*(s_0+5*s_r+IF(circ_int,eq_c1/2,0)))/INDEX(lk_legs,6))&lt;((2*IF(circ_int,0,eq_c2/2))+(PI()*(s_0+5*s_r+IF(circ_int,eq_c1/2,0))/2)),IF(circ_int,0,eq_c2/2)+(s_0+5*s_r+IF(circ_int,eq_c1/2,0))*SIN((((36+0.5)*(4*IF(circ_int,0,eq_c1/2)+4*IF(circ_int,0,eq_c2/2)+2*PI()*(s_0+5*s_r+IF(circ_int,eq_c1/2,0)))/INDEX(lk_legs,6))-(2*IF(circ_int,0,eq_c2/2)))/(s_0+5*s_r+IF(circ_int,eq_c1/2,0))),IF(((36+0.5)*(4*IF(circ_int,0,eq_c1/2)+4*IF(circ_int,0,eq_c2/2)+2*PI()*(s_0+5*s_r+IF(circ_int,eq_c1/2,0)))/INDEX(lk_legs,6))&lt;(((2*IF(circ_int,0,eq_c2/2))+(PI()*(s_0+5*s_r+IF(circ_int,eq_c1/2,0))/2))+2*IF(circ_int,0,eq_c1/2)),IF(circ_int,0,eq_c2/2)+(s_0+5*s_r+IF(circ_int,eq_c1/2,0)),IF(((36+0.5)*(4*IF(circ_int,0,eq_c1/2)+4*IF(circ_int,0,eq_c2/2)+2*PI()*(s_0+5*s_r+IF(circ_int,eq_c1/2,0)))/INDEX(lk_legs,6))&lt;((((2*IF(circ_int,0,eq_c2/2))+(PI()*(s_0+5*s_r+IF(circ_int,eq_c1/2,0))/2))+2*IF(circ_int,0,eq_c1/2))+(PI()*(s_0+5*s_r+IF(circ_int,eq_c1/2,0))/2)),IF(circ_int,0,eq_c2/2)+(s_0+5*s_r+IF(circ_int,eq_c1/2,0))*SIN(PI()/2+(((36+0.5)*(4*IF(circ_int,0,eq_c1/2)+4*IF(circ_int,0,eq_c2/2)+2*PI()*(s_0+5*s_r+IF(circ_int,eq_c1/2,0)))/INDEX(lk_legs,6))-(((2*IF(circ_int,0,eq_c2/2))+(PI()*(s_0+5*s_r+IF(circ_int,eq_c1/2,0))/2))+2*IF(circ_int,0,eq_c1/2)))/(s_0+5*s_r+IF(circ_int,eq_c1/2,0))),IF(((36+0.5)*(4*IF(circ_int,0,eq_c1/2)+4*IF(circ_int,0,eq_c2/2)+2*PI()*(s_0+5*s_r+IF(circ_int,eq_c1/2,0)))/INDEX(lk_legs,6))&lt;(((((2*IF(circ_int,0,eq_c2/2))+(PI()*(s_0+5*s_r+IF(circ_int,eq_c1/2,0))/2))+2*IF(circ_int,0,eq_c1/2))+(PI()*(s_0+5*s_r+IF(circ_int,eq_c1/2,0))/2))+2*IF(circ_int,0,eq_c2/2)),IF(circ_int,0,eq_c2/2)-(((36+0.5)*(4*IF(circ_int,0,eq_c1/2)+4*IF(circ_int,0,eq_c2/2)+2*PI()*(s_0+5*s_r+IF(circ_int,eq_c1/2,0)))/INDEX(lk_legs,6))-((((2*IF(circ_int,0,eq_c2/2))+(PI()*(s_0+5*s_r+IF(circ_int,eq_c1/2,0))/2))+2*IF(circ_int,0,eq_c1/2))+(PI()*(s_0+5*s_r+IF(circ_int,eq_c1/2,0))/2))),IF(((36+0.5)*(4*IF(circ_int,0,eq_c1/2)+4*IF(circ_int,0,eq_c2/2)+2*PI()*(s_0+5*s_r+IF(circ_int,eq_c1/2,0)))/INDEX(lk_legs,6))&lt;((((((2*IF(circ_int,0,eq_c2/2))+(PI()*(s_0+5*s_r+IF(circ_int,eq_c1/2,0))/2))+2*IF(circ_int,0,eq_c1/2))+(PI()*(s_0+5*s_r+IF(circ_int,eq_c1/2,0))/2))+2*IF(circ_int,0,eq_c2/2))+(PI()*(s_0+5*s_r+IF(circ_int,eq_c1/2,0))/2)),-IF(circ_int,0,eq_c2/2)+(s_0+5*s_r+IF(circ_int,eq_c1/2,0))*SIN(PI()+(((36+0.5)*(4*IF(circ_int,0,eq_c1/2)+4*IF(circ_int,0,eq_c2/2)+2*PI()*(s_0+5*s_r+IF(circ_int,eq_c1/2,0)))/INDEX(lk_legs,6))-(((((2*IF(circ_int,0,eq_c2/2))+(PI()*(s_0+5*s_r+IF(circ_int,eq_c1/2,0))/2))+2*IF(circ_int,0,eq_c1/2))+(PI()*(s_0+5*s_r+IF(circ_int,eq_c1/2,0))/2))+2*IF(circ_int,0,eq_c2/2)))/(s_0+5*s_r+IF(circ_int,eq_c1/2,0))),IF(((36+0.5)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(36+0.5)*(4*IF(circ_int,0,eq_c1/2)+4*IF(circ_int,0,eq_c2/2)+2*PI()*(s_0+5*s_r+IF(circ_int,eq_c1/2,0)))/INDEX(lk_legs,6))-(((((((2*IF(circ_int,0,eq_c2/2))+(PI()*(s_0+5*s_r+IF(circ_int,eq_c1/2,0))/2))+2*IF(circ_int,0,eq_c1/2))+(PI()*(s_0+5*s_r+IF(circ_int,eq_c1/2,0))/2))+2*IF(circ_int,0,eq_c2/2))+(PI()*(s_0+5*s_r+IF(circ_int,eq_c1/2,0))/2))+2*IF(circ_int,0,eq_c1/2)))/(s_0+5*s_r+IF(circ_int,eq_c1/2,0)))))))))),NA())</f>
        <v/>
      </c>
      <c r="CG39">
        <f>IF(AND(links_on,7&lt;=n_per),IF(circ_int,(g_ox)+(c_1/2+(s_0+6*s_r))*-0.354605,CHOOSE(INDEX(lk_kind,7),(g_ox-eq_c1/2)+((s_0+6*s_r))*-0.258819,0,eq_a1+eq_c1+(s_0+6*s_r),eq_a1+eq_c1+(s_0+6*s_r))),NA())</f>
        <v/>
      </c>
      <c r="CH39">
        <f>IF(AND(links_on,7&lt;=n_per),IF(circ_int,(g_oy)+(c_1/2+(s_0+6*s_r))*-0.935016,CHOOSE(INDEX(lk_kind,7),(g_oy-eq_c2/2)+((s_0+6*s_r))*-0.965926,g_oy-eq_c2/2-(s_0+6*s_r),0,0)),NA())</f>
        <v/>
      </c>
      <c r="CJ39">
        <f>IF(AND(AND(links_on,7&lt;=n_per),INDEX(lk_kind,7)=1,36&lt;INDEX(lk_legs,7)),g_ox+IF(((36+0.5)*(4*IF(circ_int,0,eq_c1/2)+4*IF(circ_int,0,eq_c2/2)+2*PI()*(s_0+6*s_r+IF(circ_int,eq_c1/2,0)))/INDEX(lk_legs,7))&lt;(2*IF(circ_int,0,eq_c2/2)),IF(circ_int,0,eq_c1/2)+(s_0+6*s_r+IF(circ_int,eq_c1/2,0)),IF(((36+0.5)*(4*IF(circ_int,0,eq_c1/2)+4*IF(circ_int,0,eq_c2/2)+2*PI()*(s_0+6*s_r+IF(circ_int,eq_c1/2,0)))/INDEX(lk_legs,7))&lt;((2*IF(circ_int,0,eq_c2/2))+(PI()*(s_0+6*s_r+IF(circ_int,eq_c1/2,0))/2)),IF(circ_int,0,eq_c1/2)+(s_0+6*s_r+IF(circ_int,eq_c1/2,0))*COS((((36+0.5)*(4*IF(circ_int,0,eq_c1/2)+4*IF(circ_int,0,eq_c2/2)+2*PI()*(s_0+6*s_r+IF(circ_int,eq_c1/2,0)))/INDEX(lk_legs,7))-(2*IF(circ_int,0,eq_c2/2)))/(s_0+6*s_r+IF(circ_int,eq_c1/2,0))),IF(((36+0.5)*(4*IF(circ_int,0,eq_c1/2)+4*IF(circ_int,0,eq_c2/2)+2*PI()*(s_0+6*s_r+IF(circ_int,eq_c1/2,0)))/INDEX(lk_legs,7))&lt;(((2*IF(circ_int,0,eq_c2/2))+(PI()*(s_0+6*s_r+IF(circ_int,eq_c1/2,0))/2))+2*IF(circ_int,0,eq_c1/2)),IF(circ_int,0,eq_c1/2)-(((36+0.5)*(4*IF(circ_int,0,eq_c1/2)+4*IF(circ_int,0,eq_c2/2)+2*PI()*(s_0+6*s_r+IF(circ_int,eq_c1/2,0)))/INDEX(lk_legs,7))-((2*IF(circ_int,0,eq_c2/2))+(PI()*(s_0+6*s_r+IF(circ_int,eq_c1/2,0))/2))),IF(((36+0.5)*(4*IF(circ_int,0,eq_c1/2)+4*IF(circ_int,0,eq_c2/2)+2*PI()*(s_0+6*s_r+IF(circ_int,eq_c1/2,0)))/INDEX(lk_legs,7))&lt;((((2*IF(circ_int,0,eq_c2/2))+(PI()*(s_0+6*s_r+IF(circ_int,eq_c1/2,0))/2))+2*IF(circ_int,0,eq_c1/2))+(PI()*(s_0+6*s_r+IF(circ_int,eq_c1/2,0))/2)),-IF(circ_int,0,eq_c1/2)+(s_0+6*s_r+IF(circ_int,eq_c1/2,0))*COS(PI()/2+(((36+0.5)*(4*IF(circ_int,0,eq_c1/2)+4*IF(circ_int,0,eq_c2/2)+2*PI()*(s_0+6*s_r+IF(circ_int,eq_c1/2,0)))/INDEX(lk_legs,7))-(((2*IF(circ_int,0,eq_c2/2))+(PI()*(s_0+6*s_r+IF(circ_int,eq_c1/2,0))/2))+2*IF(circ_int,0,eq_c1/2)))/(s_0+6*s_r+IF(circ_int,eq_c1/2,0))),IF(((36+0.5)*(4*IF(circ_int,0,eq_c1/2)+4*IF(circ_int,0,eq_c2/2)+2*PI()*(s_0+6*s_r+IF(circ_int,eq_c1/2,0)))/INDEX(lk_legs,7))&lt;(((((2*IF(circ_int,0,eq_c2/2))+(PI()*(s_0+6*s_r+IF(circ_int,eq_c1/2,0))/2))+2*IF(circ_int,0,eq_c1/2))+(PI()*(s_0+6*s_r+IF(circ_int,eq_c1/2,0))/2))+2*IF(circ_int,0,eq_c2/2)),-IF(circ_int,0,eq_c1/2)-(s_0+6*s_r+IF(circ_int,eq_c1/2,0)),IF(((36+0.5)*(4*IF(circ_int,0,eq_c1/2)+4*IF(circ_int,0,eq_c2/2)+2*PI()*(s_0+6*s_r+IF(circ_int,eq_c1/2,0)))/INDEX(lk_legs,7))&lt;((((((2*IF(circ_int,0,eq_c2/2))+(PI()*(s_0+6*s_r+IF(circ_int,eq_c1/2,0))/2))+2*IF(circ_int,0,eq_c1/2))+(PI()*(s_0+6*s_r+IF(circ_int,eq_c1/2,0))/2))+2*IF(circ_int,0,eq_c2/2))+(PI()*(s_0+6*s_r+IF(circ_int,eq_c1/2,0))/2)),-IF(circ_int,0,eq_c1/2)+(s_0+6*s_r+IF(circ_int,eq_c1/2,0))*COS(PI()+(((36+0.5)*(4*IF(circ_int,0,eq_c1/2)+4*IF(circ_int,0,eq_c2/2)+2*PI()*(s_0+6*s_r+IF(circ_int,eq_c1/2,0)))/INDEX(lk_legs,7))-(((((2*IF(circ_int,0,eq_c2/2))+(PI()*(s_0+6*s_r+IF(circ_int,eq_c1/2,0))/2))+2*IF(circ_int,0,eq_c1/2))+(PI()*(s_0+6*s_r+IF(circ_int,eq_c1/2,0))/2))+2*IF(circ_int,0,eq_c2/2)))/(s_0+6*s_r+IF(circ_int,eq_c1/2,0))),IF(((36+0.5)*(4*IF(circ_int,0,eq_c1/2)+4*IF(circ_int,0,eq_c2/2)+2*PI()*(s_0+6*s_r+IF(circ_int,eq_c1/2,0)))/INDEX(lk_legs,7))&lt;(((((((2*IF(circ_int,0,eq_c2/2))+(PI()*(s_0+6*s_r+IF(circ_int,eq_c1/2,0))/2))+2*IF(circ_int,0,eq_c1/2))+(PI()*(s_0+6*s_r+IF(circ_int,eq_c1/2,0))/2))+2*IF(circ_int,0,eq_c2/2))+(PI()*(s_0+6*s_r+IF(circ_int,eq_c1/2,0))/2))+2*IF(circ_int,0,eq_c1/2)),-IF(circ_int,0,eq_c1/2)+(((36+0.5)*(4*IF(circ_int,0,eq_c1/2)+4*IF(circ_int,0,eq_c2/2)+2*PI()*(s_0+6*s_r+IF(circ_int,eq_c1/2,0)))/INDEX(lk_legs,7))-((((((2*IF(circ_int,0,eq_c2/2))+(PI()*(s_0+6*s_r+IF(circ_int,eq_c1/2,0))/2))+2*IF(circ_int,0,eq_c1/2))+(PI()*(s_0+6*s_r+IF(circ_int,eq_c1/2,0))/2))+2*IF(circ_int,0,eq_c2/2))+(PI()*(s_0+6*s_r+IF(circ_int,eq_c1/2,0))/2))),IF(circ_int,0,eq_c1/2)+(s_0+6*s_r+IF(circ_int,eq_c1/2,0))*COS(3*PI()/2+(((36+0.5)*(4*IF(circ_int,0,eq_c1/2)+4*IF(circ_int,0,eq_c2/2)+2*PI()*(s_0+6*s_r+IF(circ_int,eq_c1/2,0)))/INDEX(lk_legs,7))-(((((((2*IF(circ_int,0,eq_c2/2))+(PI()*(s_0+6*s_r+IF(circ_int,eq_c1/2,0))/2))+2*IF(circ_int,0,eq_c1/2))+(PI()*(s_0+6*s_r+IF(circ_int,eq_c1/2,0))/2))+2*IF(circ_int,0,eq_c2/2))+(PI()*(s_0+6*s_r+IF(circ_int,eq_c1/2,0))/2))+2*IF(circ_int,0,eq_c1/2)))/(s_0+6*s_r+IF(circ_int,eq_c1/2,0)))))))))),NA())</f>
        <v/>
      </c>
      <c r="CK39">
        <f>IF(AND(AND(links_on,7&lt;=n_per),INDEX(lk_kind,7)=1,36&lt;INDEX(lk_legs,7)),g_oy+IF(((36+0.5)*(4*IF(circ_int,0,eq_c1/2)+4*IF(circ_int,0,eq_c2/2)+2*PI()*(s_0+6*s_r+IF(circ_int,eq_c1/2,0)))/INDEX(lk_legs,7))&lt;(2*IF(circ_int,0,eq_c2/2)),-IF(circ_int,0,eq_c2/2)+((36+0.5)*(4*IF(circ_int,0,eq_c1/2)+4*IF(circ_int,0,eq_c2/2)+2*PI()*(s_0+6*s_r+IF(circ_int,eq_c1/2,0)))/INDEX(lk_legs,7)),IF(((36+0.5)*(4*IF(circ_int,0,eq_c1/2)+4*IF(circ_int,0,eq_c2/2)+2*PI()*(s_0+6*s_r+IF(circ_int,eq_c1/2,0)))/INDEX(lk_legs,7))&lt;((2*IF(circ_int,0,eq_c2/2))+(PI()*(s_0+6*s_r+IF(circ_int,eq_c1/2,0))/2)),IF(circ_int,0,eq_c2/2)+(s_0+6*s_r+IF(circ_int,eq_c1/2,0))*SIN((((36+0.5)*(4*IF(circ_int,0,eq_c1/2)+4*IF(circ_int,0,eq_c2/2)+2*PI()*(s_0+6*s_r+IF(circ_int,eq_c1/2,0)))/INDEX(lk_legs,7))-(2*IF(circ_int,0,eq_c2/2)))/(s_0+6*s_r+IF(circ_int,eq_c1/2,0))),IF(((36+0.5)*(4*IF(circ_int,0,eq_c1/2)+4*IF(circ_int,0,eq_c2/2)+2*PI()*(s_0+6*s_r+IF(circ_int,eq_c1/2,0)))/INDEX(lk_legs,7))&lt;(((2*IF(circ_int,0,eq_c2/2))+(PI()*(s_0+6*s_r+IF(circ_int,eq_c1/2,0))/2))+2*IF(circ_int,0,eq_c1/2)),IF(circ_int,0,eq_c2/2)+(s_0+6*s_r+IF(circ_int,eq_c1/2,0)),IF(((36+0.5)*(4*IF(circ_int,0,eq_c1/2)+4*IF(circ_int,0,eq_c2/2)+2*PI()*(s_0+6*s_r+IF(circ_int,eq_c1/2,0)))/INDEX(lk_legs,7))&lt;((((2*IF(circ_int,0,eq_c2/2))+(PI()*(s_0+6*s_r+IF(circ_int,eq_c1/2,0))/2))+2*IF(circ_int,0,eq_c1/2))+(PI()*(s_0+6*s_r+IF(circ_int,eq_c1/2,0))/2)),IF(circ_int,0,eq_c2/2)+(s_0+6*s_r+IF(circ_int,eq_c1/2,0))*SIN(PI()/2+(((36+0.5)*(4*IF(circ_int,0,eq_c1/2)+4*IF(circ_int,0,eq_c2/2)+2*PI()*(s_0+6*s_r+IF(circ_int,eq_c1/2,0)))/INDEX(lk_legs,7))-(((2*IF(circ_int,0,eq_c2/2))+(PI()*(s_0+6*s_r+IF(circ_int,eq_c1/2,0))/2))+2*IF(circ_int,0,eq_c1/2)))/(s_0+6*s_r+IF(circ_int,eq_c1/2,0))),IF(((36+0.5)*(4*IF(circ_int,0,eq_c1/2)+4*IF(circ_int,0,eq_c2/2)+2*PI()*(s_0+6*s_r+IF(circ_int,eq_c1/2,0)))/INDEX(lk_legs,7))&lt;(((((2*IF(circ_int,0,eq_c2/2))+(PI()*(s_0+6*s_r+IF(circ_int,eq_c1/2,0))/2))+2*IF(circ_int,0,eq_c1/2))+(PI()*(s_0+6*s_r+IF(circ_int,eq_c1/2,0))/2))+2*IF(circ_int,0,eq_c2/2)),IF(circ_int,0,eq_c2/2)-(((36+0.5)*(4*IF(circ_int,0,eq_c1/2)+4*IF(circ_int,0,eq_c2/2)+2*PI()*(s_0+6*s_r+IF(circ_int,eq_c1/2,0)))/INDEX(lk_legs,7))-((((2*IF(circ_int,0,eq_c2/2))+(PI()*(s_0+6*s_r+IF(circ_int,eq_c1/2,0))/2))+2*IF(circ_int,0,eq_c1/2))+(PI()*(s_0+6*s_r+IF(circ_int,eq_c1/2,0))/2))),IF(((36+0.5)*(4*IF(circ_int,0,eq_c1/2)+4*IF(circ_int,0,eq_c2/2)+2*PI()*(s_0+6*s_r+IF(circ_int,eq_c1/2,0)))/INDEX(lk_legs,7))&lt;((((((2*IF(circ_int,0,eq_c2/2))+(PI()*(s_0+6*s_r+IF(circ_int,eq_c1/2,0))/2))+2*IF(circ_int,0,eq_c1/2))+(PI()*(s_0+6*s_r+IF(circ_int,eq_c1/2,0))/2))+2*IF(circ_int,0,eq_c2/2))+(PI()*(s_0+6*s_r+IF(circ_int,eq_c1/2,0))/2)),-IF(circ_int,0,eq_c2/2)+(s_0+6*s_r+IF(circ_int,eq_c1/2,0))*SIN(PI()+(((36+0.5)*(4*IF(circ_int,0,eq_c1/2)+4*IF(circ_int,0,eq_c2/2)+2*PI()*(s_0+6*s_r+IF(circ_int,eq_c1/2,0)))/INDEX(lk_legs,7))-(((((2*IF(circ_int,0,eq_c2/2))+(PI()*(s_0+6*s_r+IF(circ_int,eq_c1/2,0))/2))+2*IF(circ_int,0,eq_c1/2))+(PI()*(s_0+6*s_r+IF(circ_int,eq_c1/2,0))/2))+2*IF(circ_int,0,eq_c2/2)))/(s_0+6*s_r+IF(circ_int,eq_c1/2,0))),IF(((36+0.5)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(36+0.5)*(4*IF(circ_int,0,eq_c1/2)+4*IF(circ_int,0,eq_c2/2)+2*PI()*(s_0+6*s_r+IF(circ_int,eq_c1/2,0)))/INDEX(lk_legs,7))-(((((((2*IF(circ_int,0,eq_c2/2))+(PI()*(s_0+6*s_r+IF(circ_int,eq_c1/2,0))/2))+2*IF(circ_int,0,eq_c1/2))+(PI()*(s_0+6*s_r+IF(circ_int,eq_c1/2,0))/2))+2*IF(circ_int,0,eq_c2/2))+(PI()*(s_0+6*s_r+IF(circ_int,eq_c1/2,0))/2))+2*IF(circ_int,0,eq_c1/2)))/(s_0+6*s_r+IF(circ_int,eq_c1/2,0)))))))))),NA())</f>
        <v/>
      </c>
      <c r="CM39">
        <f>IF(AND(links_on,8&lt;=n_per),IF(circ_int,(g_ox)+(c_1/2+(s_0+7*s_r))*-0.354605,CHOOSE(INDEX(lk_kind,8),(g_ox-eq_c1/2)+((s_0+7*s_r))*-0.258819,0,eq_a1+eq_c1+(s_0+7*s_r),eq_a1+eq_c1+(s_0+7*s_r))),NA())</f>
        <v/>
      </c>
      <c r="CN39">
        <f>IF(AND(links_on,8&lt;=n_per),IF(circ_int,(g_oy)+(c_1/2+(s_0+7*s_r))*-0.935016,CHOOSE(INDEX(lk_kind,8),(g_oy-eq_c2/2)+((s_0+7*s_r))*-0.965926,g_oy-eq_c2/2-(s_0+7*s_r),0,0)),NA())</f>
        <v/>
      </c>
      <c r="CP39">
        <f>IF(AND(AND(links_on,8&lt;=n_per),INDEX(lk_kind,8)=1,36&lt;INDEX(lk_legs,8)),g_ox+IF(((36+0.5)*(4*IF(circ_int,0,eq_c1/2)+4*IF(circ_int,0,eq_c2/2)+2*PI()*(s_0+7*s_r+IF(circ_int,eq_c1/2,0)))/INDEX(lk_legs,8))&lt;(2*IF(circ_int,0,eq_c2/2)),IF(circ_int,0,eq_c1/2)+(s_0+7*s_r+IF(circ_int,eq_c1/2,0)),IF(((36+0.5)*(4*IF(circ_int,0,eq_c1/2)+4*IF(circ_int,0,eq_c2/2)+2*PI()*(s_0+7*s_r+IF(circ_int,eq_c1/2,0)))/INDEX(lk_legs,8))&lt;((2*IF(circ_int,0,eq_c2/2))+(PI()*(s_0+7*s_r+IF(circ_int,eq_c1/2,0))/2)),IF(circ_int,0,eq_c1/2)+(s_0+7*s_r+IF(circ_int,eq_c1/2,0))*COS((((36+0.5)*(4*IF(circ_int,0,eq_c1/2)+4*IF(circ_int,0,eq_c2/2)+2*PI()*(s_0+7*s_r+IF(circ_int,eq_c1/2,0)))/INDEX(lk_legs,8))-(2*IF(circ_int,0,eq_c2/2)))/(s_0+7*s_r+IF(circ_int,eq_c1/2,0))),IF(((36+0.5)*(4*IF(circ_int,0,eq_c1/2)+4*IF(circ_int,0,eq_c2/2)+2*PI()*(s_0+7*s_r+IF(circ_int,eq_c1/2,0)))/INDEX(lk_legs,8))&lt;(((2*IF(circ_int,0,eq_c2/2))+(PI()*(s_0+7*s_r+IF(circ_int,eq_c1/2,0))/2))+2*IF(circ_int,0,eq_c1/2)),IF(circ_int,0,eq_c1/2)-(((36+0.5)*(4*IF(circ_int,0,eq_c1/2)+4*IF(circ_int,0,eq_c2/2)+2*PI()*(s_0+7*s_r+IF(circ_int,eq_c1/2,0)))/INDEX(lk_legs,8))-((2*IF(circ_int,0,eq_c2/2))+(PI()*(s_0+7*s_r+IF(circ_int,eq_c1/2,0))/2))),IF(((36+0.5)*(4*IF(circ_int,0,eq_c1/2)+4*IF(circ_int,0,eq_c2/2)+2*PI()*(s_0+7*s_r+IF(circ_int,eq_c1/2,0)))/INDEX(lk_legs,8))&lt;((((2*IF(circ_int,0,eq_c2/2))+(PI()*(s_0+7*s_r+IF(circ_int,eq_c1/2,0))/2))+2*IF(circ_int,0,eq_c1/2))+(PI()*(s_0+7*s_r+IF(circ_int,eq_c1/2,0))/2)),-IF(circ_int,0,eq_c1/2)+(s_0+7*s_r+IF(circ_int,eq_c1/2,0))*COS(PI()/2+(((36+0.5)*(4*IF(circ_int,0,eq_c1/2)+4*IF(circ_int,0,eq_c2/2)+2*PI()*(s_0+7*s_r+IF(circ_int,eq_c1/2,0)))/INDEX(lk_legs,8))-(((2*IF(circ_int,0,eq_c2/2))+(PI()*(s_0+7*s_r+IF(circ_int,eq_c1/2,0))/2))+2*IF(circ_int,0,eq_c1/2)))/(s_0+7*s_r+IF(circ_int,eq_c1/2,0))),IF(((36+0.5)*(4*IF(circ_int,0,eq_c1/2)+4*IF(circ_int,0,eq_c2/2)+2*PI()*(s_0+7*s_r+IF(circ_int,eq_c1/2,0)))/INDEX(lk_legs,8))&lt;(((((2*IF(circ_int,0,eq_c2/2))+(PI()*(s_0+7*s_r+IF(circ_int,eq_c1/2,0))/2))+2*IF(circ_int,0,eq_c1/2))+(PI()*(s_0+7*s_r+IF(circ_int,eq_c1/2,0))/2))+2*IF(circ_int,0,eq_c2/2)),-IF(circ_int,0,eq_c1/2)-(s_0+7*s_r+IF(circ_int,eq_c1/2,0)),IF(((36+0.5)*(4*IF(circ_int,0,eq_c1/2)+4*IF(circ_int,0,eq_c2/2)+2*PI()*(s_0+7*s_r+IF(circ_int,eq_c1/2,0)))/INDEX(lk_legs,8))&lt;((((((2*IF(circ_int,0,eq_c2/2))+(PI()*(s_0+7*s_r+IF(circ_int,eq_c1/2,0))/2))+2*IF(circ_int,0,eq_c1/2))+(PI()*(s_0+7*s_r+IF(circ_int,eq_c1/2,0))/2))+2*IF(circ_int,0,eq_c2/2))+(PI()*(s_0+7*s_r+IF(circ_int,eq_c1/2,0))/2)),-IF(circ_int,0,eq_c1/2)+(s_0+7*s_r+IF(circ_int,eq_c1/2,0))*COS(PI()+(((36+0.5)*(4*IF(circ_int,0,eq_c1/2)+4*IF(circ_int,0,eq_c2/2)+2*PI()*(s_0+7*s_r+IF(circ_int,eq_c1/2,0)))/INDEX(lk_legs,8))-(((((2*IF(circ_int,0,eq_c2/2))+(PI()*(s_0+7*s_r+IF(circ_int,eq_c1/2,0))/2))+2*IF(circ_int,0,eq_c1/2))+(PI()*(s_0+7*s_r+IF(circ_int,eq_c1/2,0))/2))+2*IF(circ_int,0,eq_c2/2)))/(s_0+7*s_r+IF(circ_int,eq_c1/2,0))),IF(((36+0.5)*(4*IF(circ_int,0,eq_c1/2)+4*IF(circ_int,0,eq_c2/2)+2*PI()*(s_0+7*s_r+IF(circ_int,eq_c1/2,0)))/INDEX(lk_legs,8))&lt;(((((((2*IF(circ_int,0,eq_c2/2))+(PI()*(s_0+7*s_r+IF(circ_int,eq_c1/2,0))/2))+2*IF(circ_int,0,eq_c1/2))+(PI()*(s_0+7*s_r+IF(circ_int,eq_c1/2,0))/2))+2*IF(circ_int,0,eq_c2/2))+(PI()*(s_0+7*s_r+IF(circ_int,eq_c1/2,0))/2))+2*IF(circ_int,0,eq_c1/2)),-IF(circ_int,0,eq_c1/2)+(((36+0.5)*(4*IF(circ_int,0,eq_c1/2)+4*IF(circ_int,0,eq_c2/2)+2*PI()*(s_0+7*s_r+IF(circ_int,eq_c1/2,0)))/INDEX(lk_legs,8))-((((((2*IF(circ_int,0,eq_c2/2))+(PI()*(s_0+7*s_r+IF(circ_int,eq_c1/2,0))/2))+2*IF(circ_int,0,eq_c1/2))+(PI()*(s_0+7*s_r+IF(circ_int,eq_c1/2,0))/2))+2*IF(circ_int,0,eq_c2/2))+(PI()*(s_0+7*s_r+IF(circ_int,eq_c1/2,0))/2))),IF(circ_int,0,eq_c1/2)+(s_0+7*s_r+IF(circ_int,eq_c1/2,0))*COS(3*PI()/2+(((36+0.5)*(4*IF(circ_int,0,eq_c1/2)+4*IF(circ_int,0,eq_c2/2)+2*PI()*(s_0+7*s_r+IF(circ_int,eq_c1/2,0)))/INDEX(lk_legs,8))-(((((((2*IF(circ_int,0,eq_c2/2))+(PI()*(s_0+7*s_r+IF(circ_int,eq_c1/2,0))/2))+2*IF(circ_int,0,eq_c1/2))+(PI()*(s_0+7*s_r+IF(circ_int,eq_c1/2,0))/2))+2*IF(circ_int,0,eq_c2/2))+(PI()*(s_0+7*s_r+IF(circ_int,eq_c1/2,0))/2))+2*IF(circ_int,0,eq_c1/2)))/(s_0+7*s_r+IF(circ_int,eq_c1/2,0)))))))))),NA())</f>
        <v/>
      </c>
      <c r="CQ39">
        <f>IF(AND(AND(links_on,8&lt;=n_per),INDEX(lk_kind,8)=1,36&lt;INDEX(lk_legs,8)),g_oy+IF(((36+0.5)*(4*IF(circ_int,0,eq_c1/2)+4*IF(circ_int,0,eq_c2/2)+2*PI()*(s_0+7*s_r+IF(circ_int,eq_c1/2,0)))/INDEX(lk_legs,8))&lt;(2*IF(circ_int,0,eq_c2/2)),-IF(circ_int,0,eq_c2/2)+((36+0.5)*(4*IF(circ_int,0,eq_c1/2)+4*IF(circ_int,0,eq_c2/2)+2*PI()*(s_0+7*s_r+IF(circ_int,eq_c1/2,0)))/INDEX(lk_legs,8)),IF(((36+0.5)*(4*IF(circ_int,0,eq_c1/2)+4*IF(circ_int,0,eq_c2/2)+2*PI()*(s_0+7*s_r+IF(circ_int,eq_c1/2,0)))/INDEX(lk_legs,8))&lt;((2*IF(circ_int,0,eq_c2/2))+(PI()*(s_0+7*s_r+IF(circ_int,eq_c1/2,0))/2)),IF(circ_int,0,eq_c2/2)+(s_0+7*s_r+IF(circ_int,eq_c1/2,0))*SIN((((36+0.5)*(4*IF(circ_int,0,eq_c1/2)+4*IF(circ_int,0,eq_c2/2)+2*PI()*(s_0+7*s_r+IF(circ_int,eq_c1/2,0)))/INDEX(lk_legs,8))-(2*IF(circ_int,0,eq_c2/2)))/(s_0+7*s_r+IF(circ_int,eq_c1/2,0))),IF(((36+0.5)*(4*IF(circ_int,0,eq_c1/2)+4*IF(circ_int,0,eq_c2/2)+2*PI()*(s_0+7*s_r+IF(circ_int,eq_c1/2,0)))/INDEX(lk_legs,8))&lt;(((2*IF(circ_int,0,eq_c2/2))+(PI()*(s_0+7*s_r+IF(circ_int,eq_c1/2,0))/2))+2*IF(circ_int,0,eq_c1/2)),IF(circ_int,0,eq_c2/2)+(s_0+7*s_r+IF(circ_int,eq_c1/2,0)),IF(((36+0.5)*(4*IF(circ_int,0,eq_c1/2)+4*IF(circ_int,0,eq_c2/2)+2*PI()*(s_0+7*s_r+IF(circ_int,eq_c1/2,0)))/INDEX(lk_legs,8))&lt;((((2*IF(circ_int,0,eq_c2/2))+(PI()*(s_0+7*s_r+IF(circ_int,eq_c1/2,0))/2))+2*IF(circ_int,0,eq_c1/2))+(PI()*(s_0+7*s_r+IF(circ_int,eq_c1/2,0))/2)),IF(circ_int,0,eq_c2/2)+(s_0+7*s_r+IF(circ_int,eq_c1/2,0))*SIN(PI()/2+(((36+0.5)*(4*IF(circ_int,0,eq_c1/2)+4*IF(circ_int,0,eq_c2/2)+2*PI()*(s_0+7*s_r+IF(circ_int,eq_c1/2,0)))/INDEX(lk_legs,8))-(((2*IF(circ_int,0,eq_c2/2))+(PI()*(s_0+7*s_r+IF(circ_int,eq_c1/2,0))/2))+2*IF(circ_int,0,eq_c1/2)))/(s_0+7*s_r+IF(circ_int,eq_c1/2,0))),IF(((36+0.5)*(4*IF(circ_int,0,eq_c1/2)+4*IF(circ_int,0,eq_c2/2)+2*PI()*(s_0+7*s_r+IF(circ_int,eq_c1/2,0)))/INDEX(lk_legs,8))&lt;(((((2*IF(circ_int,0,eq_c2/2))+(PI()*(s_0+7*s_r+IF(circ_int,eq_c1/2,0))/2))+2*IF(circ_int,0,eq_c1/2))+(PI()*(s_0+7*s_r+IF(circ_int,eq_c1/2,0))/2))+2*IF(circ_int,0,eq_c2/2)),IF(circ_int,0,eq_c2/2)-(((36+0.5)*(4*IF(circ_int,0,eq_c1/2)+4*IF(circ_int,0,eq_c2/2)+2*PI()*(s_0+7*s_r+IF(circ_int,eq_c1/2,0)))/INDEX(lk_legs,8))-((((2*IF(circ_int,0,eq_c2/2))+(PI()*(s_0+7*s_r+IF(circ_int,eq_c1/2,0))/2))+2*IF(circ_int,0,eq_c1/2))+(PI()*(s_0+7*s_r+IF(circ_int,eq_c1/2,0))/2))),IF(((36+0.5)*(4*IF(circ_int,0,eq_c1/2)+4*IF(circ_int,0,eq_c2/2)+2*PI()*(s_0+7*s_r+IF(circ_int,eq_c1/2,0)))/INDEX(lk_legs,8))&lt;((((((2*IF(circ_int,0,eq_c2/2))+(PI()*(s_0+7*s_r+IF(circ_int,eq_c1/2,0))/2))+2*IF(circ_int,0,eq_c1/2))+(PI()*(s_0+7*s_r+IF(circ_int,eq_c1/2,0))/2))+2*IF(circ_int,0,eq_c2/2))+(PI()*(s_0+7*s_r+IF(circ_int,eq_c1/2,0))/2)),-IF(circ_int,0,eq_c2/2)+(s_0+7*s_r+IF(circ_int,eq_c1/2,0))*SIN(PI()+(((36+0.5)*(4*IF(circ_int,0,eq_c1/2)+4*IF(circ_int,0,eq_c2/2)+2*PI()*(s_0+7*s_r+IF(circ_int,eq_c1/2,0)))/INDEX(lk_legs,8))-(((((2*IF(circ_int,0,eq_c2/2))+(PI()*(s_0+7*s_r+IF(circ_int,eq_c1/2,0))/2))+2*IF(circ_int,0,eq_c1/2))+(PI()*(s_0+7*s_r+IF(circ_int,eq_c1/2,0))/2))+2*IF(circ_int,0,eq_c2/2)))/(s_0+7*s_r+IF(circ_int,eq_c1/2,0))),IF(((36+0.5)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(36+0.5)*(4*IF(circ_int,0,eq_c1/2)+4*IF(circ_int,0,eq_c2/2)+2*PI()*(s_0+7*s_r+IF(circ_int,eq_c1/2,0)))/INDEX(lk_legs,8))-(((((((2*IF(circ_int,0,eq_c2/2))+(PI()*(s_0+7*s_r+IF(circ_int,eq_c1/2,0))/2))+2*IF(circ_int,0,eq_c1/2))+(PI()*(s_0+7*s_r+IF(circ_int,eq_c1/2,0))/2))+2*IF(circ_int,0,eq_c2/2))+(PI()*(s_0+7*s_r+IF(circ_int,eq_c1/2,0))/2))+2*IF(circ_int,0,eq_c1/2)))/(s_0+7*s_r+IF(circ_int,eq_c1/2,0)))))))))),NA())</f>
        <v/>
      </c>
      <c r="CS39">
        <f>IF(AND(links_on,9&lt;=n_per),IF(circ_int,(g_ox)+(c_1/2+(s_0+8*s_r))*-0.354605,CHOOSE(INDEX(lk_kind,9),(g_ox-eq_c1/2)+((s_0+8*s_r))*-0.258819,0,eq_a1+eq_c1+(s_0+8*s_r),eq_a1+eq_c1+(s_0+8*s_r))),NA())</f>
        <v/>
      </c>
      <c r="CT39">
        <f>IF(AND(links_on,9&lt;=n_per),IF(circ_int,(g_oy)+(c_1/2+(s_0+8*s_r))*-0.935016,CHOOSE(INDEX(lk_kind,9),(g_oy-eq_c2/2)+((s_0+8*s_r))*-0.965926,g_oy-eq_c2/2-(s_0+8*s_r),0,0)),NA())</f>
        <v/>
      </c>
      <c r="CV39">
        <f>IF(AND(AND(links_on,9&lt;=n_per),INDEX(lk_kind,9)=1,36&lt;INDEX(lk_legs,9)),g_ox+IF(((36+0.5)*(4*IF(circ_int,0,eq_c1/2)+4*IF(circ_int,0,eq_c2/2)+2*PI()*(s_0+8*s_r+IF(circ_int,eq_c1/2,0)))/INDEX(lk_legs,9))&lt;(2*IF(circ_int,0,eq_c2/2)),IF(circ_int,0,eq_c1/2)+(s_0+8*s_r+IF(circ_int,eq_c1/2,0)),IF(((36+0.5)*(4*IF(circ_int,0,eq_c1/2)+4*IF(circ_int,0,eq_c2/2)+2*PI()*(s_0+8*s_r+IF(circ_int,eq_c1/2,0)))/INDEX(lk_legs,9))&lt;((2*IF(circ_int,0,eq_c2/2))+(PI()*(s_0+8*s_r+IF(circ_int,eq_c1/2,0))/2)),IF(circ_int,0,eq_c1/2)+(s_0+8*s_r+IF(circ_int,eq_c1/2,0))*COS((((36+0.5)*(4*IF(circ_int,0,eq_c1/2)+4*IF(circ_int,0,eq_c2/2)+2*PI()*(s_0+8*s_r+IF(circ_int,eq_c1/2,0)))/INDEX(lk_legs,9))-(2*IF(circ_int,0,eq_c2/2)))/(s_0+8*s_r+IF(circ_int,eq_c1/2,0))),IF(((36+0.5)*(4*IF(circ_int,0,eq_c1/2)+4*IF(circ_int,0,eq_c2/2)+2*PI()*(s_0+8*s_r+IF(circ_int,eq_c1/2,0)))/INDEX(lk_legs,9))&lt;(((2*IF(circ_int,0,eq_c2/2))+(PI()*(s_0+8*s_r+IF(circ_int,eq_c1/2,0))/2))+2*IF(circ_int,0,eq_c1/2)),IF(circ_int,0,eq_c1/2)-(((36+0.5)*(4*IF(circ_int,0,eq_c1/2)+4*IF(circ_int,0,eq_c2/2)+2*PI()*(s_0+8*s_r+IF(circ_int,eq_c1/2,0)))/INDEX(lk_legs,9))-((2*IF(circ_int,0,eq_c2/2))+(PI()*(s_0+8*s_r+IF(circ_int,eq_c1/2,0))/2))),IF(((36+0.5)*(4*IF(circ_int,0,eq_c1/2)+4*IF(circ_int,0,eq_c2/2)+2*PI()*(s_0+8*s_r+IF(circ_int,eq_c1/2,0)))/INDEX(lk_legs,9))&lt;((((2*IF(circ_int,0,eq_c2/2))+(PI()*(s_0+8*s_r+IF(circ_int,eq_c1/2,0))/2))+2*IF(circ_int,0,eq_c1/2))+(PI()*(s_0+8*s_r+IF(circ_int,eq_c1/2,0))/2)),-IF(circ_int,0,eq_c1/2)+(s_0+8*s_r+IF(circ_int,eq_c1/2,0))*COS(PI()/2+(((36+0.5)*(4*IF(circ_int,0,eq_c1/2)+4*IF(circ_int,0,eq_c2/2)+2*PI()*(s_0+8*s_r+IF(circ_int,eq_c1/2,0)))/INDEX(lk_legs,9))-(((2*IF(circ_int,0,eq_c2/2))+(PI()*(s_0+8*s_r+IF(circ_int,eq_c1/2,0))/2))+2*IF(circ_int,0,eq_c1/2)))/(s_0+8*s_r+IF(circ_int,eq_c1/2,0))),IF(((36+0.5)*(4*IF(circ_int,0,eq_c1/2)+4*IF(circ_int,0,eq_c2/2)+2*PI()*(s_0+8*s_r+IF(circ_int,eq_c1/2,0)))/INDEX(lk_legs,9))&lt;(((((2*IF(circ_int,0,eq_c2/2))+(PI()*(s_0+8*s_r+IF(circ_int,eq_c1/2,0))/2))+2*IF(circ_int,0,eq_c1/2))+(PI()*(s_0+8*s_r+IF(circ_int,eq_c1/2,0))/2))+2*IF(circ_int,0,eq_c2/2)),-IF(circ_int,0,eq_c1/2)-(s_0+8*s_r+IF(circ_int,eq_c1/2,0)),IF(((36+0.5)*(4*IF(circ_int,0,eq_c1/2)+4*IF(circ_int,0,eq_c2/2)+2*PI()*(s_0+8*s_r+IF(circ_int,eq_c1/2,0)))/INDEX(lk_legs,9))&lt;((((((2*IF(circ_int,0,eq_c2/2))+(PI()*(s_0+8*s_r+IF(circ_int,eq_c1/2,0))/2))+2*IF(circ_int,0,eq_c1/2))+(PI()*(s_0+8*s_r+IF(circ_int,eq_c1/2,0))/2))+2*IF(circ_int,0,eq_c2/2))+(PI()*(s_0+8*s_r+IF(circ_int,eq_c1/2,0))/2)),-IF(circ_int,0,eq_c1/2)+(s_0+8*s_r+IF(circ_int,eq_c1/2,0))*COS(PI()+(((36+0.5)*(4*IF(circ_int,0,eq_c1/2)+4*IF(circ_int,0,eq_c2/2)+2*PI()*(s_0+8*s_r+IF(circ_int,eq_c1/2,0)))/INDEX(lk_legs,9))-(((((2*IF(circ_int,0,eq_c2/2))+(PI()*(s_0+8*s_r+IF(circ_int,eq_c1/2,0))/2))+2*IF(circ_int,0,eq_c1/2))+(PI()*(s_0+8*s_r+IF(circ_int,eq_c1/2,0))/2))+2*IF(circ_int,0,eq_c2/2)))/(s_0+8*s_r+IF(circ_int,eq_c1/2,0))),IF(((36+0.5)*(4*IF(circ_int,0,eq_c1/2)+4*IF(circ_int,0,eq_c2/2)+2*PI()*(s_0+8*s_r+IF(circ_int,eq_c1/2,0)))/INDEX(lk_legs,9))&lt;(((((((2*IF(circ_int,0,eq_c2/2))+(PI()*(s_0+8*s_r+IF(circ_int,eq_c1/2,0))/2))+2*IF(circ_int,0,eq_c1/2))+(PI()*(s_0+8*s_r+IF(circ_int,eq_c1/2,0))/2))+2*IF(circ_int,0,eq_c2/2))+(PI()*(s_0+8*s_r+IF(circ_int,eq_c1/2,0))/2))+2*IF(circ_int,0,eq_c1/2)),-IF(circ_int,0,eq_c1/2)+(((36+0.5)*(4*IF(circ_int,0,eq_c1/2)+4*IF(circ_int,0,eq_c2/2)+2*PI()*(s_0+8*s_r+IF(circ_int,eq_c1/2,0)))/INDEX(lk_legs,9))-((((((2*IF(circ_int,0,eq_c2/2))+(PI()*(s_0+8*s_r+IF(circ_int,eq_c1/2,0))/2))+2*IF(circ_int,0,eq_c1/2))+(PI()*(s_0+8*s_r+IF(circ_int,eq_c1/2,0))/2))+2*IF(circ_int,0,eq_c2/2))+(PI()*(s_0+8*s_r+IF(circ_int,eq_c1/2,0))/2))),IF(circ_int,0,eq_c1/2)+(s_0+8*s_r+IF(circ_int,eq_c1/2,0))*COS(3*PI()/2+(((36+0.5)*(4*IF(circ_int,0,eq_c1/2)+4*IF(circ_int,0,eq_c2/2)+2*PI()*(s_0+8*s_r+IF(circ_int,eq_c1/2,0)))/INDEX(lk_legs,9))-(((((((2*IF(circ_int,0,eq_c2/2))+(PI()*(s_0+8*s_r+IF(circ_int,eq_c1/2,0))/2))+2*IF(circ_int,0,eq_c1/2))+(PI()*(s_0+8*s_r+IF(circ_int,eq_c1/2,0))/2))+2*IF(circ_int,0,eq_c2/2))+(PI()*(s_0+8*s_r+IF(circ_int,eq_c1/2,0))/2))+2*IF(circ_int,0,eq_c1/2)))/(s_0+8*s_r+IF(circ_int,eq_c1/2,0)))))))))),NA())</f>
        <v/>
      </c>
      <c r="CW39">
        <f>IF(AND(AND(links_on,9&lt;=n_per),INDEX(lk_kind,9)=1,36&lt;INDEX(lk_legs,9)),g_oy+IF(((36+0.5)*(4*IF(circ_int,0,eq_c1/2)+4*IF(circ_int,0,eq_c2/2)+2*PI()*(s_0+8*s_r+IF(circ_int,eq_c1/2,0)))/INDEX(lk_legs,9))&lt;(2*IF(circ_int,0,eq_c2/2)),-IF(circ_int,0,eq_c2/2)+((36+0.5)*(4*IF(circ_int,0,eq_c1/2)+4*IF(circ_int,0,eq_c2/2)+2*PI()*(s_0+8*s_r+IF(circ_int,eq_c1/2,0)))/INDEX(lk_legs,9)),IF(((36+0.5)*(4*IF(circ_int,0,eq_c1/2)+4*IF(circ_int,0,eq_c2/2)+2*PI()*(s_0+8*s_r+IF(circ_int,eq_c1/2,0)))/INDEX(lk_legs,9))&lt;((2*IF(circ_int,0,eq_c2/2))+(PI()*(s_0+8*s_r+IF(circ_int,eq_c1/2,0))/2)),IF(circ_int,0,eq_c2/2)+(s_0+8*s_r+IF(circ_int,eq_c1/2,0))*SIN((((36+0.5)*(4*IF(circ_int,0,eq_c1/2)+4*IF(circ_int,0,eq_c2/2)+2*PI()*(s_0+8*s_r+IF(circ_int,eq_c1/2,0)))/INDEX(lk_legs,9))-(2*IF(circ_int,0,eq_c2/2)))/(s_0+8*s_r+IF(circ_int,eq_c1/2,0))),IF(((36+0.5)*(4*IF(circ_int,0,eq_c1/2)+4*IF(circ_int,0,eq_c2/2)+2*PI()*(s_0+8*s_r+IF(circ_int,eq_c1/2,0)))/INDEX(lk_legs,9))&lt;(((2*IF(circ_int,0,eq_c2/2))+(PI()*(s_0+8*s_r+IF(circ_int,eq_c1/2,0))/2))+2*IF(circ_int,0,eq_c1/2)),IF(circ_int,0,eq_c2/2)+(s_0+8*s_r+IF(circ_int,eq_c1/2,0)),IF(((36+0.5)*(4*IF(circ_int,0,eq_c1/2)+4*IF(circ_int,0,eq_c2/2)+2*PI()*(s_0+8*s_r+IF(circ_int,eq_c1/2,0)))/INDEX(lk_legs,9))&lt;((((2*IF(circ_int,0,eq_c2/2))+(PI()*(s_0+8*s_r+IF(circ_int,eq_c1/2,0))/2))+2*IF(circ_int,0,eq_c1/2))+(PI()*(s_0+8*s_r+IF(circ_int,eq_c1/2,0))/2)),IF(circ_int,0,eq_c2/2)+(s_0+8*s_r+IF(circ_int,eq_c1/2,0))*SIN(PI()/2+(((36+0.5)*(4*IF(circ_int,0,eq_c1/2)+4*IF(circ_int,0,eq_c2/2)+2*PI()*(s_0+8*s_r+IF(circ_int,eq_c1/2,0)))/INDEX(lk_legs,9))-(((2*IF(circ_int,0,eq_c2/2))+(PI()*(s_0+8*s_r+IF(circ_int,eq_c1/2,0))/2))+2*IF(circ_int,0,eq_c1/2)))/(s_0+8*s_r+IF(circ_int,eq_c1/2,0))),IF(((36+0.5)*(4*IF(circ_int,0,eq_c1/2)+4*IF(circ_int,0,eq_c2/2)+2*PI()*(s_0+8*s_r+IF(circ_int,eq_c1/2,0)))/INDEX(lk_legs,9))&lt;(((((2*IF(circ_int,0,eq_c2/2))+(PI()*(s_0+8*s_r+IF(circ_int,eq_c1/2,0))/2))+2*IF(circ_int,0,eq_c1/2))+(PI()*(s_0+8*s_r+IF(circ_int,eq_c1/2,0))/2))+2*IF(circ_int,0,eq_c2/2)),IF(circ_int,0,eq_c2/2)-(((36+0.5)*(4*IF(circ_int,0,eq_c1/2)+4*IF(circ_int,0,eq_c2/2)+2*PI()*(s_0+8*s_r+IF(circ_int,eq_c1/2,0)))/INDEX(lk_legs,9))-((((2*IF(circ_int,0,eq_c2/2))+(PI()*(s_0+8*s_r+IF(circ_int,eq_c1/2,0))/2))+2*IF(circ_int,0,eq_c1/2))+(PI()*(s_0+8*s_r+IF(circ_int,eq_c1/2,0))/2))),IF(((36+0.5)*(4*IF(circ_int,0,eq_c1/2)+4*IF(circ_int,0,eq_c2/2)+2*PI()*(s_0+8*s_r+IF(circ_int,eq_c1/2,0)))/INDEX(lk_legs,9))&lt;((((((2*IF(circ_int,0,eq_c2/2))+(PI()*(s_0+8*s_r+IF(circ_int,eq_c1/2,0))/2))+2*IF(circ_int,0,eq_c1/2))+(PI()*(s_0+8*s_r+IF(circ_int,eq_c1/2,0))/2))+2*IF(circ_int,0,eq_c2/2))+(PI()*(s_0+8*s_r+IF(circ_int,eq_c1/2,0))/2)),-IF(circ_int,0,eq_c2/2)+(s_0+8*s_r+IF(circ_int,eq_c1/2,0))*SIN(PI()+(((36+0.5)*(4*IF(circ_int,0,eq_c1/2)+4*IF(circ_int,0,eq_c2/2)+2*PI()*(s_0+8*s_r+IF(circ_int,eq_c1/2,0)))/INDEX(lk_legs,9))-(((((2*IF(circ_int,0,eq_c2/2))+(PI()*(s_0+8*s_r+IF(circ_int,eq_c1/2,0))/2))+2*IF(circ_int,0,eq_c1/2))+(PI()*(s_0+8*s_r+IF(circ_int,eq_c1/2,0))/2))+2*IF(circ_int,0,eq_c2/2)))/(s_0+8*s_r+IF(circ_int,eq_c1/2,0))),IF(((36+0.5)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(36+0.5)*(4*IF(circ_int,0,eq_c1/2)+4*IF(circ_int,0,eq_c2/2)+2*PI()*(s_0+8*s_r+IF(circ_int,eq_c1/2,0)))/INDEX(lk_legs,9))-(((((((2*IF(circ_int,0,eq_c2/2))+(PI()*(s_0+8*s_r+IF(circ_int,eq_c1/2,0))/2))+2*IF(circ_int,0,eq_c1/2))+(PI()*(s_0+8*s_r+IF(circ_int,eq_c1/2,0))/2))+2*IF(circ_int,0,eq_c2/2))+(PI()*(s_0+8*s_r+IF(circ_int,eq_c1/2,0))/2))+2*IF(circ_int,0,eq_c1/2)))/(s_0+8*s_r+IF(circ_int,eq_c1/2,0)))))))))),NA())</f>
        <v/>
      </c>
      <c r="CY39">
        <f>IF(AND(links_on,10&lt;=n_per),IF(circ_int,(g_ox)+(c_1/2+(s_0+9*s_r))*-0.354605,CHOOSE(INDEX(lk_kind,10),(g_ox-eq_c1/2)+((s_0+9*s_r))*-0.258819,0,eq_a1+eq_c1+(s_0+9*s_r),eq_a1+eq_c1+(s_0+9*s_r))),NA())</f>
        <v/>
      </c>
      <c r="CZ39">
        <f>IF(AND(links_on,10&lt;=n_per),IF(circ_int,(g_oy)+(c_1/2+(s_0+9*s_r))*-0.935016,CHOOSE(INDEX(lk_kind,10),(g_oy-eq_c2/2)+((s_0+9*s_r))*-0.965926,g_oy-eq_c2/2-(s_0+9*s_r),0,0)),NA())</f>
        <v/>
      </c>
      <c r="DB39">
        <f>IF(AND(AND(links_on,10&lt;=n_per),INDEX(lk_kind,10)=1,36&lt;INDEX(lk_legs,10)),g_ox+IF(((36+0.5)*(4*IF(circ_int,0,eq_c1/2)+4*IF(circ_int,0,eq_c2/2)+2*PI()*(s_0+9*s_r+IF(circ_int,eq_c1/2,0)))/INDEX(lk_legs,10))&lt;(2*IF(circ_int,0,eq_c2/2)),IF(circ_int,0,eq_c1/2)+(s_0+9*s_r+IF(circ_int,eq_c1/2,0)),IF(((36+0.5)*(4*IF(circ_int,0,eq_c1/2)+4*IF(circ_int,0,eq_c2/2)+2*PI()*(s_0+9*s_r+IF(circ_int,eq_c1/2,0)))/INDEX(lk_legs,10))&lt;((2*IF(circ_int,0,eq_c2/2))+(PI()*(s_0+9*s_r+IF(circ_int,eq_c1/2,0))/2)),IF(circ_int,0,eq_c1/2)+(s_0+9*s_r+IF(circ_int,eq_c1/2,0))*COS((((36+0.5)*(4*IF(circ_int,0,eq_c1/2)+4*IF(circ_int,0,eq_c2/2)+2*PI()*(s_0+9*s_r+IF(circ_int,eq_c1/2,0)))/INDEX(lk_legs,10))-(2*IF(circ_int,0,eq_c2/2)))/(s_0+9*s_r+IF(circ_int,eq_c1/2,0))),IF(((36+0.5)*(4*IF(circ_int,0,eq_c1/2)+4*IF(circ_int,0,eq_c2/2)+2*PI()*(s_0+9*s_r+IF(circ_int,eq_c1/2,0)))/INDEX(lk_legs,10))&lt;(((2*IF(circ_int,0,eq_c2/2))+(PI()*(s_0+9*s_r+IF(circ_int,eq_c1/2,0))/2))+2*IF(circ_int,0,eq_c1/2)),IF(circ_int,0,eq_c1/2)-(((36+0.5)*(4*IF(circ_int,0,eq_c1/2)+4*IF(circ_int,0,eq_c2/2)+2*PI()*(s_0+9*s_r+IF(circ_int,eq_c1/2,0)))/INDEX(lk_legs,10))-((2*IF(circ_int,0,eq_c2/2))+(PI()*(s_0+9*s_r+IF(circ_int,eq_c1/2,0))/2))),IF(((36+0.5)*(4*IF(circ_int,0,eq_c1/2)+4*IF(circ_int,0,eq_c2/2)+2*PI()*(s_0+9*s_r+IF(circ_int,eq_c1/2,0)))/INDEX(lk_legs,10))&lt;((((2*IF(circ_int,0,eq_c2/2))+(PI()*(s_0+9*s_r+IF(circ_int,eq_c1/2,0))/2))+2*IF(circ_int,0,eq_c1/2))+(PI()*(s_0+9*s_r+IF(circ_int,eq_c1/2,0))/2)),-IF(circ_int,0,eq_c1/2)+(s_0+9*s_r+IF(circ_int,eq_c1/2,0))*COS(PI()/2+(((36+0.5)*(4*IF(circ_int,0,eq_c1/2)+4*IF(circ_int,0,eq_c2/2)+2*PI()*(s_0+9*s_r+IF(circ_int,eq_c1/2,0)))/INDEX(lk_legs,10))-(((2*IF(circ_int,0,eq_c2/2))+(PI()*(s_0+9*s_r+IF(circ_int,eq_c1/2,0))/2))+2*IF(circ_int,0,eq_c1/2)))/(s_0+9*s_r+IF(circ_int,eq_c1/2,0))),IF(((36+0.5)*(4*IF(circ_int,0,eq_c1/2)+4*IF(circ_int,0,eq_c2/2)+2*PI()*(s_0+9*s_r+IF(circ_int,eq_c1/2,0)))/INDEX(lk_legs,10))&lt;(((((2*IF(circ_int,0,eq_c2/2))+(PI()*(s_0+9*s_r+IF(circ_int,eq_c1/2,0))/2))+2*IF(circ_int,0,eq_c1/2))+(PI()*(s_0+9*s_r+IF(circ_int,eq_c1/2,0))/2))+2*IF(circ_int,0,eq_c2/2)),-IF(circ_int,0,eq_c1/2)-(s_0+9*s_r+IF(circ_int,eq_c1/2,0)),IF(((36+0.5)*(4*IF(circ_int,0,eq_c1/2)+4*IF(circ_int,0,eq_c2/2)+2*PI()*(s_0+9*s_r+IF(circ_int,eq_c1/2,0)))/INDEX(lk_legs,10))&lt;((((((2*IF(circ_int,0,eq_c2/2))+(PI()*(s_0+9*s_r+IF(circ_int,eq_c1/2,0))/2))+2*IF(circ_int,0,eq_c1/2))+(PI()*(s_0+9*s_r+IF(circ_int,eq_c1/2,0))/2))+2*IF(circ_int,0,eq_c2/2))+(PI()*(s_0+9*s_r+IF(circ_int,eq_c1/2,0))/2)),-IF(circ_int,0,eq_c1/2)+(s_0+9*s_r+IF(circ_int,eq_c1/2,0))*COS(PI()+(((36+0.5)*(4*IF(circ_int,0,eq_c1/2)+4*IF(circ_int,0,eq_c2/2)+2*PI()*(s_0+9*s_r+IF(circ_int,eq_c1/2,0)))/INDEX(lk_legs,10))-(((((2*IF(circ_int,0,eq_c2/2))+(PI()*(s_0+9*s_r+IF(circ_int,eq_c1/2,0))/2))+2*IF(circ_int,0,eq_c1/2))+(PI()*(s_0+9*s_r+IF(circ_int,eq_c1/2,0))/2))+2*IF(circ_int,0,eq_c2/2)))/(s_0+9*s_r+IF(circ_int,eq_c1/2,0))),IF(((36+0.5)*(4*IF(circ_int,0,eq_c1/2)+4*IF(circ_int,0,eq_c2/2)+2*PI()*(s_0+9*s_r+IF(circ_int,eq_c1/2,0)))/INDEX(lk_legs,10))&lt;(((((((2*IF(circ_int,0,eq_c2/2))+(PI()*(s_0+9*s_r+IF(circ_int,eq_c1/2,0))/2))+2*IF(circ_int,0,eq_c1/2))+(PI()*(s_0+9*s_r+IF(circ_int,eq_c1/2,0))/2))+2*IF(circ_int,0,eq_c2/2))+(PI()*(s_0+9*s_r+IF(circ_int,eq_c1/2,0))/2))+2*IF(circ_int,0,eq_c1/2)),-IF(circ_int,0,eq_c1/2)+(((36+0.5)*(4*IF(circ_int,0,eq_c1/2)+4*IF(circ_int,0,eq_c2/2)+2*PI()*(s_0+9*s_r+IF(circ_int,eq_c1/2,0)))/INDEX(lk_legs,10))-((((((2*IF(circ_int,0,eq_c2/2))+(PI()*(s_0+9*s_r+IF(circ_int,eq_c1/2,0))/2))+2*IF(circ_int,0,eq_c1/2))+(PI()*(s_0+9*s_r+IF(circ_int,eq_c1/2,0))/2))+2*IF(circ_int,0,eq_c2/2))+(PI()*(s_0+9*s_r+IF(circ_int,eq_c1/2,0))/2))),IF(circ_int,0,eq_c1/2)+(s_0+9*s_r+IF(circ_int,eq_c1/2,0))*COS(3*PI()/2+(((36+0.5)*(4*IF(circ_int,0,eq_c1/2)+4*IF(circ_int,0,eq_c2/2)+2*PI()*(s_0+9*s_r+IF(circ_int,eq_c1/2,0)))/INDEX(lk_legs,10))-(((((((2*IF(circ_int,0,eq_c2/2))+(PI()*(s_0+9*s_r+IF(circ_int,eq_c1/2,0))/2))+2*IF(circ_int,0,eq_c1/2))+(PI()*(s_0+9*s_r+IF(circ_int,eq_c1/2,0))/2))+2*IF(circ_int,0,eq_c2/2))+(PI()*(s_0+9*s_r+IF(circ_int,eq_c1/2,0))/2))+2*IF(circ_int,0,eq_c1/2)))/(s_0+9*s_r+IF(circ_int,eq_c1/2,0)))))))))),NA())</f>
        <v/>
      </c>
      <c r="DC39">
        <f>IF(AND(AND(links_on,10&lt;=n_per),INDEX(lk_kind,10)=1,36&lt;INDEX(lk_legs,10)),g_oy+IF(((36+0.5)*(4*IF(circ_int,0,eq_c1/2)+4*IF(circ_int,0,eq_c2/2)+2*PI()*(s_0+9*s_r+IF(circ_int,eq_c1/2,0)))/INDEX(lk_legs,10))&lt;(2*IF(circ_int,0,eq_c2/2)),-IF(circ_int,0,eq_c2/2)+((36+0.5)*(4*IF(circ_int,0,eq_c1/2)+4*IF(circ_int,0,eq_c2/2)+2*PI()*(s_0+9*s_r+IF(circ_int,eq_c1/2,0)))/INDEX(lk_legs,10)),IF(((36+0.5)*(4*IF(circ_int,0,eq_c1/2)+4*IF(circ_int,0,eq_c2/2)+2*PI()*(s_0+9*s_r+IF(circ_int,eq_c1/2,0)))/INDEX(lk_legs,10))&lt;((2*IF(circ_int,0,eq_c2/2))+(PI()*(s_0+9*s_r+IF(circ_int,eq_c1/2,0))/2)),IF(circ_int,0,eq_c2/2)+(s_0+9*s_r+IF(circ_int,eq_c1/2,0))*SIN((((36+0.5)*(4*IF(circ_int,0,eq_c1/2)+4*IF(circ_int,0,eq_c2/2)+2*PI()*(s_0+9*s_r+IF(circ_int,eq_c1/2,0)))/INDEX(lk_legs,10))-(2*IF(circ_int,0,eq_c2/2)))/(s_0+9*s_r+IF(circ_int,eq_c1/2,0))),IF(((36+0.5)*(4*IF(circ_int,0,eq_c1/2)+4*IF(circ_int,0,eq_c2/2)+2*PI()*(s_0+9*s_r+IF(circ_int,eq_c1/2,0)))/INDEX(lk_legs,10))&lt;(((2*IF(circ_int,0,eq_c2/2))+(PI()*(s_0+9*s_r+IF(circ_int,eq_c1/2,0))/2))+2*IF(circ_int,0,eq_c1/2)),IF(circ_int,0,eq_c2/2)+(s_0+9*s_r+IF(circ_int,eq_c1/2,0)),IF(((36+0.5)*(4*IF(circ_int,0,eq_c1/2)+4*IF(circ_int,0,eq_c2/2)+2*PI()*(s_0+9*s_r+IF(circ_int,eq_c1/2,0)))/INDEX(lk_legs,10))&lt;((((2*IF(circ_int,0,eq_c2/2))+(PI()*(s_0+9*s_r+IF(circ_int,eq_c1/2,0))/2))+2*IF(circ_int,0,eq_c1/2))+(PI()*(s_0+9*s_r+IF(circ_int,eq_c1/2,0))/2)),IF(circ_int,0,eq_c2/2)+(s_0+9*s_r+IF(circ_int,eq_c1/2,0))*SIN(PI()/2+(((36+0.5)*(4*IF(circ_int,0,eq_c1/2)+4*IF(circ_int,0,eq_c2/2)+2*PI()*(s_0+9*s_r+IF(circ_int,eq_c1/2,0)))/INDEX(lk_legs,10))-(((2*IF(circ_int,0,eq_c2/2))+(PI()*(s_0+9*s_r+IF(circ_int,eq_c1/2,0))/2))+2*IF(circ_int,0,eq_c1/2)))/(s_0+9*s_r+IF(circ_int,eq_c1/2,0))),IF(((36+0.5)*(4*IF(circ_int,0,eq_c1/2)+4*IF(circ_int,0,eq_c2/2)+2*PI()*(s_0+9*s_r+IF(circ_int,eq_c1/2,0)))/INDEX(lk_legs,10))&lt;(((((2*IF(circ_int,0,eq_c2/2))+(PI()*(s_0+9*s_r+IF(circ_int,eq_c1/2,0))/2))+2*IF(circ_int,0,eq_c1/2))+(PI()*(s_0+9*s_r+IF(circ_int,eq_c1/2,0))/2))+2*IF(circ_int,0,eq_c2/2)),IF(circ_int,0,eq_c2/2)-(((36+0.5)*(4*IF(circ_int,0,eq_c1/2)+4*IF(circ_int,0,eq_c2/2)+2*PI()*(s_0+9*s_r+IF(circ_int,eq_c1/2,0)))/INDEX(lk_legs,10))-((((2*IF(circ_int,0,eq_c2/2))+(PI()*(s_0+9*s_r+IF(circ_int,eq_c1/2,0))/2))+2*IF(circ_int,0,eq_c1/2))+(PI()*(s_0+9*s_r+IF(circ_int,eq_c1/2,0))/2))),IF(((36+0.5)*(4*IF(circ_int,0,eq_c1/2)+4*IF(circ_int,0,eq_c2/2)+2*PI()*(s_0+9*s_r+IF(circ_int,eq_c1/2,0)))/INDEX(lk_legs,10))&lt;((((((2*IF(circ_int,0,eq_c2/2))+(PI()*(s_0+9*s_r+IF(circ_int,eq_c1/2,0))/2))+2*IF(circ_int,0,eq_c1/2))+(PI()*(s_0+9*s_r+IF(circ_int,eq_c1/2,0))/2))+2*IF(circ_int,0,eq_c2/2))+(PI()*(s_0+9*s_r+IF(circ_int,eq_c1/2,0))/2)),-IF(circ_int,0,eq_c2/2)+(s_0+9*s_r+IF(circ_int,eq_c1/2,0))*SIN(PI()+(((36+0.5)*(4*IF(circ_int,0,eq_c1/2)+4*IF(circ_int,0,eq_c2/2)+2*PI()*(s_0+9*s_r+IF(circ_int,eq_c1/2,0)))/INDEX(lk_legs,10))-(((((2*IF(circ_int,0,eq_c2/2))+(PI()*(s_0+9*s_r+IF(circ_int,eq_c1/2,0))/2))+2*IF(circ_int,0,eq_c1/2))+(PI()*(s_0+9*s_r+IF(circ_int,eq_c1/2,0))/2))+2*IF(circ_int,0,eq_c2/2)))/(s_0+9*s_r+IF(circ_int,eq_c1/2,0))),IF(((36+0.5)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(36+0.5)*(4*IF(circ_int,0,eq_c1/2)+4*IF(circ_int,0,eq_c2/2)+2*PI()*(s_0+9*s_r+IF(circ_int,eq_c1/2,0)))/INDEX(lk_legs,10))-(((((((2*IF(circ_int,0,eq_c2/2))+(PI()*(s_0+9*s_r+IF(circ_int,eq_c1/2,0))/2))+2*IF(circ_int,0,eq_c1/2))+(PI()*(s_0+9*s_r+IF(circ_int,eq_c1/2,0))/2))+2*IF(circ_int,0,eq_c2/2))+(PI()*(s_0+9*s_r+IF(circ_int,eq_c1/2,0))/2))+2*IF(circ_int,0,eq_c1/2)))/(s_0+9*s_r+IF(circ_int,eq_c1/2,0)))))))))),NA())</f>
        <v/>
      </c>
      <c r="DE39">
        <f>IF(AND(links_on,11&lt;=n_per),IF(circ_int,(g_ox)+(c_1/2+(s_0+10*s_r))*-0.354605,CHOOSE(INDEX(lk_kind,11),(g_ox-eq_c1/2)+((s_0+10*s_r))*-0.258819,0,eq_a1+eq_c1+(s_0+10*s_r),eq_a1+eq_c1+(s_0+10*s_r))),NA())</f>
        <v/>
      </c>
      <c r="DF39">
        <f>IF(AND(links_on,11&lt;=n_per),IF(circ_int,(g_oy)+(c_1/2+(s_0+10*s_r))*-0.935016,CHOOSE(INDEX(lk_kind,11),(g_oy-eq_c2/2)+((s_0+10*s_r))*-0.965926,g_oy-eq_c2/2-(s_0+10*s_r),0,0)),NA())</f>
        <v/>
      </c>
      <c r="DH39">
        <f>IF(AND(AND(links_on,11&lt;=n_per),INDEX(lk_kind,11)=1,36&lt;INDEX(lk_legs,11)),g_ox+IF(((36+0.5)*(4*IF(circ_int,0,eq_c1/2)+4*IF(circ_int,0,eq_c2/2)+2*PI()*(s_0+10*s_r+IF(circ_int,eq_c1/2,0)))/INDEX(lk_legs,11))&lt;(2*IF(circ_int,0,eq_c2/2)),IF(circ_int,0,eq_c1/2)+(s_0+10*s_r+IF(circ_int,eq_c1/2,0)),IF(((36+0.5)*(4*IF(circ_int,0,eq_c1/2)+4*IF(circ_int,0,eq_c2/2)+2*PI()*(s_0+10*s_r+IF(circ_int,eq_c1/2,0)))/INDEX(lk_legs,11))&lt;((2*IF(circ_int,0,eq_c2/2))+(PI()*(s_0+10*s_r+IF(circ_int,eq_c1/2,0))/2)),IF(circ_int,0,eq_c1/2)+(s_0+10*s_r+IF(circ_int,eq_c1/2,0))*COS((((36+0.5)*(4*IF(circ_int,0,eq_c1/2)+4*IF(circ_int,0,eq_c2/2)+2*PI()*(s_0+10*s_r+IF(circ_int,eq_c1/2,0)))/INDEX(lk_legs,11))-(2*IF(circ_int,0,eq_c2/2)))/(s_0+10*s_r+IF(circ_int,eq_c1/2,0))),IF(((36+0.5)*(4*IF(circ_int,0,eq_c1/2)+4*IF(circ_int,0,eq_c2/2)+2*PI()*(s_0+10*s_r+IF(circ_int,eq_c1/2,0)))/INDEX(lk_legs,11))&lt;(((2*IF(circ_int,0,eq_c2/2))+(PI()*(s_0+10*s_r+IF(circ_int,eq_c1/2,0))/2))+2*IF(circ_int,0,eq_c1/2)),IF(circ_int,0,eq_c1/2)-(((36+0.5)*(4*IF(circ_int,0,eq_c1/2)+4*IF(circ_int,0,eq_c2/2)+2*PI()*(s_0+10*s_r+IF(circ_int,eq_c1/2,0)))/INDEX(lk_legs,11))-((2*IF(circ_int,0,eq_c2/2))+(PI()*(s_0+10*s_r+IF(circ_int,eq_c1/2,0))/2))),IF(((36+0.5)*(4*IF(circ_int,0,eq_c1/2)+4*IF(circ_int,0,eq_c2/2)+2*PI()*(s_0+10*s_r+IF(circ_int,eq_c1/2,0)))/INDEX(lk_legs,11))&lt;((((2*IF(circ_int,0,eq_c2/2))+(PI()*(s_0+10*s_r+IF(circ_int,eq_c1/2,0))/2))+2*IF(circ_int,0,eq_c1/2))+(PI()*(s_0+10*s_r+IF(circ_int,eq_c1/2,0))/2)),-IF(circ_int,0,eq_c1/2)+(s_0+10*s_r+IF(circ_int,eq_c1/2,0))*COS(PI()/2+(((36+0.5)*(4*IF(circ_int,0,eq_c1/2)+4*IF(circ_int,0,eq_c2/2)+2*PI()*(s_0+10*s_r+IF(circ_int,eq_c1/2,0)))/INDEX(lk_legs,11))-(((2*IF(circ_int,0,eq_c2/2))+(PI()*(s_0+10*s_r+IF(circ_int,eq_c1/2,0))/2))+2*IF(circ_int,0,eq_c1/2)))/(s_0+10*s_r+IF(circ_int,eq_c1/2,0))),IF(((36+0.5)*(4*IF(circ_int,0,eq_c1/2)+4*IF(circ_int,0,eq_c2/2)+2*PI()*(s_0+10*s_r+IF(circ_int,eq_c1/2,0)))/INDEX(lk_legs,11))&lt;(((((2*IF(circ_int,0,eq_c2/2))+(PI()*(s_0+10*s_r+IF(circ_int,eq_c1/2,0))/2))+2*IF(circ_int,0,eq_c1/2))+(PI()*(s_0+10*s_r+IF(circ_int,eq_c1/2,0))/2))+2*IF(circ_int,0,eq_c2/2)),-IF(circ_int,0,eq_c1/2)-(s_0+10*s_r+IF(circ_int,eq_c1/2,0)),IF(((36+0.5)*(4*IF(circ_int,0,eq_c1/2)+4*IF(circ_int,0,eq_c2/2)+2*PI()*(s_0+10*s_r+IF(circ_int,eq_c1/2,0)))/INDEX(lk_legs,11))&lt;((((((2*IF(circ_int,0,eq_c2/2))+(PI()*(s_0+10*s_r+IF(circ_int,eq_c1/2,0))/2))+2*IF(circ_int,0,eq_c1/2))+(PI()*(s_0+10*s_r+IF(circ_int,eq_c1/2,0))/2))+2*IF(circ_int,0,eq_c2/2))+(PI()*(s_0+10*s_r+IF(circ_int,eq_c1/2,0))/2)),-IF(circ_int,0,eq_c1/2)+(s_0+10*s_r+IF(circ_int,eq_c1/2,0))*COS(PI()+(((36+0.5)*(4*IF(circ_int,0,eq_c1/2)+4*IF(circ_int,0,eq_c2/2)+2*PI()*(s_0+10*s_r+IF(circ_int,eq_c1/2,0)))/INDEX(lk_legs,11))-(((((2*IF(circ_int,0,eq_c2/2))+(PI()*(s_0+10*s_r+IF(circ_int,eq_c1/2,0))/2))+2*IF(circ_int,0,eq_c1/2))+(PI()*(s_0+10*s_r+IF(circ_int,eq_c1/2,0))/2))+2*IF(circ_int,0,eq_c2/2)))/(s_0+10*s_r+IF(circ_int,eq_c1/2,0))),IF(((36+0.5)*(4*IF(circ_int,0,eq_c1/2)+4*IF(circ_int,0,eq_c2/2)+2*PI()*(s_0+10*s_r+IF(circ_int,eq_c1/2,0)))/INDEX(lk_legs,11))&lt;(((((((2*IF(circ_int,0,eq_c2/2))+(PI()*(s_0+10*s_r+IF(circ_int,eq_c1/2,0))/2))+2*IF(circ_int,0,eq_c1/2))+(PI()*(s_0+10*s_r+IF(circ_int,eq_c1/2,0))/2))+2*IF(circ_int,0,eq_c2/2))+(PI()*(s_0+10*s_r+IF(circ_int,eq_c1/2,0))/2))+2*IF(circ_int,0,eq_c1/2)),-IF(circ_int,0,eq_c1/2)+(((36+0.5)*(4*IF(circ_int,0,eq_c1/2)+4*IF(circ_int,0,eq_c2/2)+2*PI()*(s_0+10*s_r+IF(circ_int,eq_c1/2,0)))/INDEX(lk_legs,11))-((((((2*IF(circ_int,0,eq_c2/2))+(PI()*(s_0+10*s_r+IF(circ_int,eq_c1/2,0))/2))+2*IF(circ_int,0,eq_c1/2))+(PI()*(s_0+10*s_r+IF(circ_int,eq_c1/2,0))/2))+2*IF(circ_int,0,eq_c2/2))+(PI()*(s_0+10*s_r+IF(circ_int,eq_c1/2,0))/2))),IF(circ_int,0,eq_c1/2)+(s_0+10*s_r+IF(circ_int,eq_c1/2,0))*COS(3*PI()/2+(((36+0.5)*(4*IF(circ_int,0,eq_c1/2)+4*IF(circ_int,0,eq_c2/2)+2*PI()*(s_0+10*s_r+IF(circ_int,eq_c1/2,0)))/INDEX(lk_legs,11))-(((((((2*IF(circ_int,0,eq_c2/2))+(PI()*(s_0+10*s_r+IF(circ_int,eq_c1/2,0))/2))+2*IF(circ_int,0,eq_c1/2))+(PI()*(s_0+10*s_r+IF(circ_int,eq_c1/2,0))/2))+2*IF(circ_int,0,eq_c2/2))+(PI()*(s_0+10*s_r+IF(circ_int,eq_c1/2,0))/2))+2*IF(circ_int,0,eq_c1/2)))/(s_0+10*s_r+IF(circ_int,eq_c1/2,0)))))))))),NA())</f>
        <v/>
      </c>
      <c r="DI39">
        <f>IF(AND(AND(links_on,11&lt;=n_per),INDEX(lk_kind,11)=1,36&lt;INDEX(lk_legs,11)),g_oy+IF(((36+0.5)*(4*IF(circ_int,0,eq_c1/2)+4*IF(circ_int,0,eq_c2/2)+2*PI()*(s_0+10*s_r+IF(circ_int,eq_c1/2,0)))/INDEX(lk_legs,11))&lt;(2*IF(circ_int,0,eq_c2/2)),-IF(circ_int,0,eq_c2/2)+((36+0.5)*(4*IF(circ_int,0,eq_c1/2)+4*IF(circ_int,0,eq_c2/2)+2*PI()*(s_0+10*s_r+IF(circ_int,eq_c1/2,0)))/INDEX(lk_legs,11)),IF(((36+0.5)*(4*IF(circ_int,0,eq_c1/2)+4*IF(circ_int,0,eq_c2/2)+2*PI()*(s_0+10*s_r+IF(circ_int,eq_c1/2,0)))/INDEX(lk_legs,11))&lt;((2*IF(circ_int,0,eq_c2/2))+(PI()*(s_0+10*s_r+IF(circ_int,eq_c1/2,0))/2)),IF(circ_int,0,eq_c2/2)+(s_0+10*s_r+IF(circ_int,eq_c1/2,0))*SIN((((36+0.5)*(4*IF(circ_int,0,eq_c1/2)+4*IF(circ_int,0,eq_c2/2)+2*PI()*(s_0+10*s_r+IF(circ_int,eq_c1/2,0)))/INDEX(lk_legs,11))-(2*IF(circ_int,0,eq_c2/2)))/(s_0+10*s_r+IF(circ_int,eq_c1/2,0))),IF(((36+0.5)*(4*IF(circ_int,0,eq_c1/2)+4*IF(circ_int,0,eq_c2/2)+2*PI()*(s_0+10*s_r+IF(circ_int,eq_c1/2,0)))/INDEX(lk_legs,11))&lt;(((2*IF(circ_int,0,eq_c2/2))+(PI()*(s_0+10*s_r+IF(circ_int,eq_c1/2,0))/2))+2*IF(circ_int,0,eq_c1/2)),IF(circ_int,0,eq_c2/2)+(s_0+10*s_r+IF(circ_int,eq_c1/2,0)),IF(((36+0.5)*(4*IF(circ_int,0,eq_c1/2)+4*IF(circ_int,0,eq_c2/2)+2*PI()*(s_0+10*s_r+IF(circ_int,eq_c1/2,0)))/INDEX(lk_legs,11))&lt;((((2*IF(circ_int,0,eq_c2/2))+(PI()*(s_0+10*s_r+IF(circ_int,eq_c1/2,0))/2))+2*IF(circ_int,0,eq_c1/2))+(PI()*(s_0+10*s_r+IF(circ_int,eq_c1/2,0))/2)),IF(circ_int,0,eq_c2/2)+(s_0+10*s_r+IF(circ_int,eq_c1/2,0))*SIN(PI()/2+(((36+0.5)*(4*IF(circ_int,0,eq_c1/2)+4*IF(circ_int,0,eq_c2/2)+2*PI()*(s_0+10*s_r+IF(circ_int,eq_c1/2,0)))/INDEX(lk_legs,11))-(((2*IF(circ_int,0,eq_c2/2))+(PI()*(s_0+10*s_r+IF(circ_int,eq_c1/2,0))/2))+2*IF(circ_int,0,eq_c1/2)))/(s_0+10*s_r+IF(circ_int,eq_c1/2,0))),IF(((36+0.5)*(4*IF(circ_int,0,eq_c1/2)+4*IF(circ_int,0,eq_c2/2)+2*PI()*(s_0+10*s_r+IF(circ_int,eq_c1/2,0)))/INDEX(lk_legs,11))&lt;(((((2*IF(circ_int,0,eq_c2/2))+(PI()*(s_0+10*s_r+IF(circ_int,eq_c1/2,0))/2))+2*IF(circ_int,0,eq_c1/2))+(PI()*(s_0+10*s_r+IF(circ_int,eq_c1/2,0))/2))+2*IF(circ_int,0,eq_c2/2)),IF(circ_int,0,eq_c2/2)-(((36+0.5)*(4*IF(circ_int,0,eq_c1/2)+4*IF(circ_int,0,eq_c2/2)+2*PI()*(s_0+10*s_r+IF(circ_int,eq_c1/2,0)))/INDEX(lk_legs,11))-((((2*IF(circ_int,0,eq_c2/2))+(PI()*(s_0+10*s_r+IF(circ_int,eq_c1/2,0))/2))+2*IF(circ_int,0,eq_c1/2))+(PI()*(s_0+10*s_r+IF(circ_int,eq_c1/2,0))/2))),IF(((36+0.5)*(4*IF(circ_int,0,eq_c1/2)+4*IF(circ_int,0,eq_c2/2)+2*PI()*(s_0+10*s_r+IF(circ_int,eq_c1/2,0)))/INDEX(lk_legs,11))&lt;((((((2*IF(circ_int,0,eq_c2/2))+(PI()*(s_0+10*s_r+IF(circ_int,eq_c1/2,0))/2))+2*IF(circ_int,0,eq_c1/2))+(PI()*(s_0+10*s_r+IF(circ_int,eq_c1/2,0))/2))+2*IF(circ_int,0,eq_c2/2))+(PI()*(s_0+10*s_r+IF(circ_int,eq_c1/2,0))/2)),-IF(circ_int,0,eq_c2/2)+(s_0+10*s_r+IF(circ_int,eq_c1/2,0))*SIN(PI()+(((36+0.5)*(4*IF(circ_int,0,eq_c1/2)+4*IF(circ_int,0,eq_c2/2)+2*PI()*(s_0+10*s_r+IF(circ_int,eq_c1/2,0)))/INDEX(lk_legs,11))-(((((2*IF(circ_int,0,eq_c2/2))+(PI()*(s_0+10*s_r+IF(circ_int,eq_c1/2,0))/2))+2*IF(circ_int,0,eq_c1/2))+(PI()*(s_0+10*s_r+IF(circ_int,eq_c1/2,0))/2))+2*IF(circ_int,0,eq_c2/2)))/(s_0+10*s_r+IF(circ_int,eq_c1/2,0))),IF(((36+0.5)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(36+0.5)*(4*IF(circ_int,0,eq_c1/2)+4*IF(circ_int,0,eq_c2/2)+2*PI()*(s_0+10*s_r+IF(circ_int,eq_c1/2,0)))/INDEX(lk_legs,11))-(((((((2*IF(circ_int,0,eq_c2/2))+(PI()*(s_0+10*s_r+IF(circ_int,eq_c1/2,0))/2))+2*IF(circ_int,0,eq_c1/2))+(PI()*(s_0+10*s_r+IF(circ_int,eq_c1/2,0))/2))+2*IF(circ_int,0,eq_c2/2))+(PI()*(s_0+10*s_r+IF(circ_int,eq_c1/2,0))/2))+2*IF(circ_int,0,eq_c1/2)))/(s_0+10*s_r+IF(circ_int,eq_c1/2,0)))))))))),NA())</f>
        <v/>
      </c>
      <c r="DK39">
        <f>IF(AND(links_on,12&lt;=n_per),IF(circ_int,(g_ox)+(c_1/2+(s_0+11*s_r))*-0.354605,CHOOSE(INDEX(lk_kind,12),(g_ox-eq_c1/2)+((s_0+11*s_r))*-0.258819,0,eq_a1+eq_c1+(s_0+11*s_r),eq_a1+eq_c1+(s_0+11*s_r))),NA())</f>
        <v/>
      </c>
      <c r="DL39">
        <f>IF(AND(links_on,12&lt;=n_per),IF(circ_int,(g_oy)+(c_1/2+(s_0+11*s_r))*-0.935016,CHOOSE(INDEX(lk_kind,12),(g_oy-eq_c2/2)+((s_0+11*s_r))*-0.965926,g_oy-eq_c2/2-(s_0+11*s_r),0,0)),NA())</f>
        <v/>
      </c>
      <c r="DN39">
        <f>IF(AND(AND(links_on,12&lt;=n_per),INDEX(lk_kind,12)=1,36&lt;INDEX(lk_legs,12)),g_ox+IF(((36+0.5)*(4*IF(circ_int,0,eq_c1/2)+4*IF(circ_int,0,eq_c2/2)+2*PI()*(s_0+11*s_r+IF(circ_int,eq_c1/2,0)))/INDEX(lk_legs,12))&lt;(2*IF(circ_int,0,eq_c2/2)),IF(circ_int,0,eq_c1/2)+(s_0+11*s_r+IF(circ_int,eq_c1/2,0)),IF(((36+0.5)*(4*IF(circ_int,0,eq_c1/2)+4*IF(circ_int,0,eq_c2/2)+2*PI()*(s_0+11*s_r+IF(circ_int,eq_c1/2,0)))/INDEX(lk_legs,12))&lt;((2*IF(circ_int,0,eq_c2/2))+(PI()*(s_0+11*s_r+IF(circ_int,eq_c1/2,0))/2)),IF(circ_int,0,eq_c1/2)+(s_0+11*s_r+IF(circ_int,eq_c1/2,0))*COS((((36+0.5)*(4*IF(circ_int,0,eq_c1/2)+4*IF(circ_int,0,eq_c2/2)+2*PI()*(s_0+11*s_r+IF(circ_int,eq_c1/2,0)))/INDEX(lk_legs,12))-(2*IF(circ_int,0,eq_c2/2)))/(s_0+11*s_r+IF(circ_int,eq_c1/2,0))),IF(((36+0.5)*(4*IF(circ_int,0,eq_c1/2)+4*IF(circ_int,0,eq_c2/2)+2*PI()*(s_0+11*s_r+IF(circ_int,eq_c1/2,0)))/INDEX(lk_legs,12))&lt;(((2*IF(circ_int,0,eq_c2/2))+(PI()*(s_0+11*s_r+IF(circ_int,eq_c1/2,0))/2))+2*IF(circ_int,0,eq_c1/2)),IF(circ_int,0,eq_c1/2)-(((36+0.5)*(4*IF(circ_int,0,eq_c1/2)+4*IF(circ_int,0,eq_c2/2)+2*PI()*(s_0+11*s_r+IF(circ_int,eq_c1/2,0)))/INDEX(lk_legs,12))-((2*IF(circ_int,0,eq_c2/2))+(PI()*(s_0+11*s_r+IF(circ_int,eq_c1/2,0))/2))),IF(((36+0.5)*(4*IF(circ_int,0,eq_c1/2)+4*IF(circ_int,0,eq_c2/2)+2*PI()*(s_0+11*s_r+IF(circ_int,eq_c1/2,0)))/INDEX(lk_legs,12))&lt;((((2*IF(circ_int,0,eq_c2/2))+(PI()*(s_0+11*s_r+IF(circ_int,eq_c1/2,0))/2))+2*IF(circ_int,0,eq_c1/2))+(PI()*(s_0+11*s_r+IF(circ_int,eq_c1/2,0))/2)),-IF(circ_int,0,eq_c1/2)+(s_0+11*s_r+IF(circ_int,eq_c1/2,0))*COS(PI()/2+(((36+0.5)*(4*IF(circ_int,0,eq_c1/2)+4*IF(circ_int,0,eq_c2/2)+2*PI()*(s_0+11*s_r+IF(circ_int,eq_c1/2,0)))/INDEX(lk_legs,12))-(((2*IF(circ_int,0,eq_c2/2))+(PI()*(s_0+11*s_r+IF(circ_int,eq_c1/2,0))/2))+2*IF(circ_int,0,eq_c1/2)))/(s_0+11*s_r+IF(circ_int,eq_c1/2,0))),IF(((36+0.5)*(4*IF(circ_int,0,eq_c1/2)+4*IF(circ_int,0,eq_c2/2)+2*PI()*(s_0+11*s_r+IF(circ_int,eq_c1/2,0)))/INDEX(lk_legs,12))&lt;(((((2*IF(circ_int,0,eq_c2/2))+(PI()*(s_0+11*s_r+IF(circ_int,eq_c1/2,0))/2))+2*IF(circ_int,0,eq_c1/2))+(PI()*(s_0+11*s_r+IF(circ_int,eq_c1/2,0))/2))+2*IF(circ_int,0,eq_c2/2)),-IF(circ_int,0,eq_c1/2)-(s_0+11*s_r+IF(circ_int,eq_c1/2,0)),IF(((36+0.5)*(4*IF(circ_int,0,eq_c1/2)+4*IF(circ_int,0,eq_c2/2)+2*PI()*(s_0+11*s_r+IF(circ_int,eq_c1/2,0)))/INDEX(lk_legs,12))&lt;((((((2*IF(circ_int,0,eq_c2/2))+(PI()*(s_0+11*s_r+IF(circ_int,eq_c1/2,0))/2))+2*IF(circ_int,0,eq_c1/2))+(PI()*(s_0+11*s_r+IF(circ_int,eq_c1/2,0))/2))+2*IF(circ_int,0,eq_c2/2))+(PI()*(s_0+11*s_r+IF(circ_int,eq_c1/2,0))/2)),-IF(circ_int,0,eq_c1/2)+(s_0+11*s_r+IF(circ_int,eq_c1/2,0))*COS(PI()+(((36+0.5)*(4*IF(circ_int,0,eq_c1/2)+4*IF(circ_int,0,eq_c2/2)+2*PI()*(s_0+11*s_r+IF(circ_int,eq_c1/2,0)))/INDEX(lk_legs,12))-(((((2*IF(circ_int,0,eq_c2/2))+(PI()*(s_0+11*s_r+IF(circ_int,eq_c1/2,0))/2))+2*IF(circ_int,0,eq_c1/2))+(PI()*(s_0+11*s_r+IF(circ_int,eq_c1/2,0))/2))+2*IF(circ_int,0,eq_c2/2)))/(s_0+11*s_r+IF(circ_int,eq_c1/2,0))),IF(((36+0.5)*(4*IF(circ_int,0,eq_c1/2)+4*IF(circ_int,0,eq_c2/2)+2*PI()*(s_0+11*s_r+IF(circ_int,eq_c1/2,0)))/INDEX(lk_legs,12))&lt;(((((((2*IF(circ_int,0,eq_c2/2))+(PI()*(s_0+11*s_r+IF(circ_int,eq_c1/2,0))/2))+2*IF(circ_int,0,eq_c1/2))+(PI()*(s_0+11*s_r+IF(circ_int,eq_c1/2,0))/2))+2*IF(circ_int,0,eq_c2/2))+(PI()*(s_0+11*s_r+IF(circ_int,eq_c1/2,0))/2))+2*IF(circ_int,0,eq_c1/2)),-IF(circ_int,0,eq_c1/2)+(((36+0.5)*(4*IF(circ_int,0,eq_c1/2)+4*IF(circ_int,0,eq_c2/2)+2*PI()*(s_0+11*s_r+IF(circ_int,eq_c1/2,0)))/INDEX(lk_legs,12))-((((((2*IF(circ_int,0,eq_c2/2))+(PI()*(s_0+11*s_r+IF(circ_int,eq_c1/2,0))/2))+2*IF(circ_int,0,eq_c1/2))+(PI()*(s_0+11*s_r+IF(circ_int,eq_c1/2,0))/2))+2*IF(circ_int,0,eq_c2/2))+(PI()*(s_0+11*s_r+IF(circ_int,eq_c1/2,0))/2))),IF(circ_int,0,eq_c1/2)+(s_0+11*s_r+IF(circ_int,eq_c1/2,0))*COS(3*PI()/2+(((36+0.5)*(4*IF(circ_int,0,eq_c1/2)+4*IF(circ_int,0,eq_c2/2)+2*PI()*(s_0+11*s_r+IF(circ_int,eq_c1/2,0)))/INDEX(lk_legs,12))-(((((((2*IF(circ_int,0,eq_c2/2))+(PI()*(s_0+11*s_r+IF(circ_int,eq_c1/2,0))/2))+2*IF(circ_int,0,eq_c1/2))+(PI()*(s_0+11*s_r+IF(circ_int,eq_c1/2,0))/2))+2*IF(circ_int,0,eq_c2/2))+(PI()*(s_0+11*s_r+IF(circ_int,eq_c1/2,0))/2))+2*IF(circ_int,0,eq_c1/2)))/(s_0+11*s_r+IF(circ_int,eq_c1/2,0)))))))))),NA())</f>
        <v/>
      </c>
      <c r="DO39">
        <f>IF(AND(AND(links_on,12&lt;=n_per),INDEX(lk_kind,12)=1,36&lt;INDEX(lk_legs,12)),g_oy+IF(((36+0.5)*(4*IF(circ_int,0,eq_c1/2)+4*IF(circ_int,0,eq_c2/2)+2*PI()*(s_0+11*s_r+IF(circ_int,eq_c1/2,0)))/INDEX(lk_legs,12))&lt;(2*IF(circ_int,0,eq_c2/2)),-IF(circ_int,0,eq_c2/2)+((36+0.5)*(4*IF(circ_int,0,eq_c1/2)+4*IF(circ_int,0,eq_c2/2)+2*PI()*(s_0+11*s_r+IF(circ_int,eq_c1/2,0)))/INDEX(lk_legs,12)),IF(((36+0.5)*(4*IF(circ_int,0,eq_c1/2)+4*IF(circ_int,0,eq_c2/2)+2*PI()*(s_0+11*s_r+IF(circ_int,eq_c1/2,0)))/INDEX(lk_legs,12))&lt;((2*IF(circ_int,0,eq_c2/2))+(PI()*(s_0+11*s_r+IF(circ_int,eq_c1/2,0))/2)),IF(circ_int,0,eq_c2/2)+(s_0+11*s_r+IF(circ_int,eq_c1/2,0))*SIN((((36+0.5)*(4*IF(circ_int,0,eq_c1/2)+4*IF(circ_int,0,eq_c2/2)+2*PI()*(s_0+11*s_r+IF(circ_int,eq_c1/2,0)))/INDEX(lk_legs,12))-(2*IF(circ_int,0,eq_c2/2)))/(s_0+11*s_r+IF(circ_int,eq_c1/2,0))),IF(((36+0.5)*(4*IF(circ_int,0,eq_c1/2)+4*IF(circ_int,0,eq_c2/2)+2*PI()*(s_0+11*s_r+IF(circ_int,eq_c1/2,0)))/INDEX(lk_legs,12))&lt;(((2*IF(circ_int,0,eq_c2/2))+(PI()*(s_0+11*s_r+IF(circ_int,eq_c1/2,0))/2))+2*IF(circ_int,0,eq_c1/2)),IF(circ_int,0,eq_c2/2)+(s_0+11*s_r+IF(circ_int,eq_c1/2,0)),IF(((36+0.5)*(4*IF(circ_int,0,eq_c1/2)+4*IF(circ_int,0,eq_c2/2)+2*PI()*(s_0+11*s_r+IF(circ_int,eq_c1/2,0)))/INDEX(lk_legs,12))&lt;((((2*IF(circ_int,0,eq_c2/2))+(PI()*(s_0+11*s_r+IF(circ_int,eq_c1/2,0))/2))+2*IF(circ_int,0,eq_c1/2))+(PI()*(s_0+11*s_r+IF(circ_int,eq_c1/2,0))/2)),IF(circ_int,0,eq_c2/2)+(s_0+11*s_r+IF(circ_int,eq_c1/2,0))*SIN(PI()/2+(((36+0.5)*(4*IF(circ_int,0,eq_c1/2)+4*IF(circ_int,0,eq_c2/2)+2*PI()*(s_0+11*s_r+IF(circ_int,eq_c1/2,0)))/INDEX(lk_legs,12))-(((2*IF(circ_int,0,eq_c2/2))+(PI()*(s_0+11*s_r+IF(circ_int,eq_c1/2,0))/2))+2*IF(circ_int,0,eq_c1/2)))/(s_0+11*s_r+IF(circ_int,eq_c1/2,0))),IF(((36+0.5)*(4*IF(circ_int,0,eq_c1/2)+4*IF(circ_int,0,eq_c2/2)+2*PI()*(s_0+11*s_r+IF(circ_int,eq_c1/2,0)))/INDEX(lk_legs,12))&lt;(((((2*IF(circ_int,0,eq_c2/2))+(PI()*(s_0+11*s_r+IF(circ_int,eq_c1/2,0))/2))+2*IF(circ_int,0,eq_c1/2))+(PI()*(s_0+11*s_r+IF(circ_int,eq_c1/2,0))/2))+2*IF(circ_int,0,eq_c2/2)),IF(circ_int,0,eq_c2/2)-(((36+0.5)*(4*IF(circ_int,0,eq_c1/2)+4*IF(circ_int,0,eq_c2/2)+2*PI()*(s_0+11*s_r+IF(circ_int,eq_c1/2,0)))/INDEX(lk_legs,12))-((((2*IF(circ_int,0,eq_c2/2))+(PI()*(s_0+11*s_r+IF(circ_int,eq_c1/2,0))/2))+2*IF(circ_int,0,eq_c1/2))+(PI()*(s_0+11*s_r+IF(circ_int,eq_c1/2,0))/2))),IF(((36+0.5)*(4*IF(circ_int,0,eq_c1/2)+4*IF(circ_int,0,eq_c2/2)+2*PI()*(s_0+11*s_r+IF(circ_int,eq_c1/2,0)))/INDEX(lk_legs,12))&lt;((((((2*IF(circ_int,0,eq_c2/2))+(PI()*(s_0+11*s_r+IF(circ_int,eq_c1/2,0))/2))+2*IF(circ_int,0,eq_c1/2))+(PI()*(s_0+11*s_r+IF(circ_int,eq_c1/2,0))/2))+2*IF(circ_int,0,eq_c2/2))+(PI()*(s_0+11*s_r+IF(circ_int,eq_c1/2,0))/2)),-IF(circ_int,0,eq_c2/2)+(s_0+11*s_r+IF(circ_int,eq_c1/2,0))*SIN(PI()+(((36+0.5)*(4*IF(circ_int,0,eq_c1/2)+4*IF(circ_int,0,eq_c2/2)+2*PI()*(s_0+11*s_r+IF(circ_int,eq_c1/2,0)))/INDEX(lk_legs,12))-(((((2*IF(circ_int,0,eq_c2/2))+(PI()*(s_0+11*s_r+IF(circ_int,eq_c1/2,0))/2))+2*IF(circ_int,0,eq_c1/2))+(PI()*(s_0+11*s_r+IF(circ_int,eq_c1/2,0))/2))+2*IF(circ_int,0,eq_c2/2)))/(s_0+11*s_r+IF(circ_int,eq_c1/2,0))),IF(((36+0.5)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(36+0.5)*(4*IF(circ_int,0,eq_c1/2)+4*IF(circ_int,0,eq_c2/2)+2*PI()*(s_0+11*s_r+IF(circ_int,eq_c1/2,0)))/INDEX(lk_legs,12))-(((((((2*IF(circ_int,0,eq_c2/2))+(PI()*(s_0+11*s_r+IF(circ_int,eq_c1/2,0))/2))+2*IF(circ_int,0,eq_c1/2))+(PI()*(s_0+11*s_r+IF(circ_int,eq_c1/2,0))/2))+2*IF(circ_int,0,eq_c2/2))+(PI()*(s_0+11*s_r+IF(circ_int,eq_c1/2,0))/2))+2*IF(circ_int,0,eq_c1/2)))/(s_0+11*s_r+IF(circ_int,eq_c1/2,0)))))))))),NA())</f>
        <v/>
      </c>
    </row>
    <row r="40">
      <c r="A40">
        <f>IF(shape="Circular",(g_ox)+(c_1/2+0)*-0.239316,CHOOSE(1,(g_ox-eq_c1/2)+(0)*-0.130526,0,eq_a1+eq_c1+0,eq_a1+eq_c1+0))</f>
        <v/>
      </c>
      <c r="B40">
        <f>IF(shape="Circular",(g_oy)+(c_1/2+0)*-0.970942,CHOOSE(1,(g_oy-eq_c2/2)+(0)*-0.991445,g_oy-eq_c2/2-0,0,0))</f>
        <v/>
      </c>
      <c r="D40">
        <f>IF(circ_int,(g_ox)+(c_1/2+2*d_eff)*-0.239316,CHOOSE(geo_idx,(g_ox-eq_c1/2)+(2*d_eff)*-0.130526,0,eq_a1+eq_c1+2*d_eff,eq_a1+eq_c1+2*d_eff))</f>
        <v/>
      </c>
      <c r="E40">
        <f>IF(circ_int,(g_oy)+(c_1/2+2*d_eff)*-0.970942,CHOOSE(geo_idx,(g_oy-eq_c2/2)+(2*d_eff)*-0.991445,g_oy-eq_c2/2-2*d_eff,0,0))</f>
        <v/>
      </c>
      <c r="G40">
        <f>IF(AND(inputs_ok,punch_ok,A_sw&gt;0),IF(circ_int,(g_ox)+(c_1/2+r_out)*-0.239316,CHOOSE(kind_out,(g_ox-eq_c1/2)+(r_out)*-0.130526,0,eq_a1+eq_c1+r_out,eq_a1+eq_c1+r_out)),NA())</f>
        <v/>
      </c>
      <c r="H40">
        <f>IF(AND(inputs_ok,punch_ok,A_sw&gt;0),IF(circ_int,(g_oy)+(c_1/2+r_out)*-0.970942,CHOOSE(kind_out,(g_oy-eq_c2/2)+(r_out)*-0.991445,g_oy-eq_c2/2-r_out,0,0)),NA())</f>
        <v/>
      </c>
      <c r="AW40">
        <f>IF(AND(links_on,1&lt;=n_per),IF(circ_int,(g_ox)+(c_1/2+(s_0+0*s_r))*-0.239316,CHOOSE(INDEX(lk_kind,1),(g_ox-eq_c1/2)+((s_0+0*s_r))*-0.130526,0,eq_a1+eq_c1+(s_0+0*s_r),eq_a1+eq_c1+(s_0+0*s_r))),NA())</f>
        <v/>
      </c>
      <c r="AX40">
        <f>IF(AND(links_on,1&lt;=n_per),IF(circ_int,(g_oy)+(c_1/2+(s_0+0*s_r))*-0.970942,CHOOSE(INDEX(lk_kind,1),(g_oy-eq_c2/2)+((s_0+0*s_r))*-0.991445,g_oy-eq_c2/2-(s_0+0*s_r),0,0)),NA())</f>
        <v/>
      </c>
      <c r="AZ40">
        <f>IF(AND(AND(links_on,1&lt;=n_per),INDEX(lk_kind,1)=1,37&lt;INDEX(lk_legs,1)),g_ox+IF(((37+0.5)*(4*IF(circ_int,0,eq_c1/2)+4*IF(circ_int,0,eq_c2/2)+2*PI()*(s_0+0*s_r+IF(circ_int,eq_c1/2,0)))/INDEX(lk_legs,1))&lt;(2*IF(circ_int,0,eq_c2/2)),IF(circ_int,0,eq_c1/2)+(s_0+0*s_r+IF(circ_int,eq_c1/2,0)),IF(((37+0.5)*(4*IF(circ_int,0,eq_c1/2)+4*IF(circ_int,0,eq_c2/2)+2*PI()*(s_0+0*s_r+IF(circ_int,eq_c1/2,0)))/INDEX(lk_legs,1))&lt;((2*IF(circ_int,0,eq_c2/2))+(PI()*(s_0+0*s_r+IF(circ_int,eq_c1/2,0))/2)),IF(circ_int,0,eq_c1/2)+(s_0+0*s_r+IF(circ_int,eq_c1/2,0))*COS((((37+0.5)*(4*IF(circ_int,0,eq_c1/2)+4*IF(circ_int,0,eq_c2/2)+2*PI()*(s_0+0*s_r+IF(circ_int,eq_c1/2,0)))/INDEX(lk_legs,1))-(2*IF(circ_int,0,eq_c2/2)))/(s_0+0*s_r+IF(circ_int,eq_c1/2,0))),IF(((37+0.5)*(4*IF(circ_int,0,eq_c1/2)+4*IF(circ_int,0,eq_c2/2)+2*PI()*(s_0+0*s_r+IF(circ_int,eq_c1/2,0)))/INDEX(lk_legs,1))&lt;(((2*IF(circ_int,0,eq_c2/2))+(PI()*(s_0+0*s_r+IF(circ_int,eq_c1/2,0))/2))+2*IF(circ_int,0,eq_c1/2)),IF(circ_int,0,eq_c1/2)-(((37+0.5)*(4*IF(circ_int,0,eq_c1/2)+4*IF(circ_int,0,eq_c2/2)+2*PI()*(s_0+0*s_r+IF(circ_int,eq_c1/2,0)))/INDEX(lk_legs,1))-((2*IF(circ_int,0,eq_c2/2))+(PI()*(s_0+0*s_r+IF(circ_int,eq_c1/2,0))/2))),IF(((37+0.5)*(4*IF(circ_int,0,eq_c1/2)+4*IF(circ_int,0,eq_c2/2)+2*PI()*(s_0+0*s_r+IF(circ_int,eq_c1/2,0)))/INDEX(lk_legs,1))&lt;((((2*IF(circ_int,0,eq_c2/2))+(PI()*(s_0+0*s_r+IF(circ_int,eq_c1/2,0))/2))+2*IF(circ_int,0,eq_c1/2))+(PI()*(s_0+0*s_r+IF(circ_int,eq_c1/2,0))/2)),-IF(circ_int,0,eq_c1/2)+(s_0+0*s_r+IF(circ_int,eq_c1/2,0))*COS(PI()/2+(((37+0.5)*(4*IF(circ_int,0,eq_c1/2)+4*IF(circ_int,0,eq_c2/2)+2*PI()*(s_0+0*s_r+IF(circ_int,eq_c1/2,0)))/INDEX(lk_legs,1))-(((2*IF(circ_int,0,eq_c2/2))+(PI()*(s_0+0*s_r+IF(circ_int,eq_c1/2,0))/2))+2*IF(circ_int,0,eq_c1/2)))/(s_0+0*s_r+IF(circ_int,eq_c1/2,0))),IF(((37+0.5)*(4*IF(circ_int,0,eq_c1/2)+4*IF(circ_int,0,eq_c2/2)+2*PI()*(s_0+0*s_r+IF(circ_int,eq_c1/2,0)))/INDEX(lk_legs,1))&lt;(((((2*IF(circ_int,0,eq_c2/2))+(PI()*(s_0+0*s_r+IF(circ_int,eq_c1/2,0))/2))+2*IF(circ_int,0,eq_c1/2))+(PI()*(s_0+0*s_r+IF(circ_int,eq_c1/2,0))/2))+2*IF(circ_int,0,eq_c2/2)),-IF(circ_int,0,eq_c1/2)-(s_0+0*s_r+IF(circ_int,eq_c1/2,0)),IF(((37+0.5)*(4*IF(circ_int,0,eq_c1/2)+4*IF(circ_int,0,eq_c2/2)+2*PI()*(s_0+0*s_r+IF(circ_int,eq_c1/2,0)))/INDEX(lk_legs,1))&lt;((((((2*IF(circ_int,0,eq_c2/2))+(PI()*(s_0+0*s_r+IF(circ_int,eq_c1/2,0))/2))+2*IF(circ_int,0,eq_c1/2))+(PI()*(s_0+0*s_r+IF(circ_int,eq_c1/2,0))/2))+2*IF(circ_int,0,eq_c2/2))+(PI()*(s_0+0*s_r+IF(circ_int,eq_c1/2,0))/2)),-IF(circ_int,0,eq_c1/2)+(s_0+0*s_r+IF(circ_int,eq_c1/2,0))*COS(PI()+(((37+0.5)*(4*IF(circ_int,0,eq_c1/2)+4*IF(circ_int,0,eq_c2/2)+2*PI()*(s_0+0*s_r+IF(circ_int,eq_c1/2,0)))/INDEX(lk_legs,1))-(((((2*IF(circ_int,0,eq_c2/2))+(PI()*(s_0+0*s_r+IF(circ_int,eq_c1/2,0))/2))+2*IF(circ_int,0,eq_c1/2))+(PI()*(s_0+0*s_r+IF(circ_int,eq_c1/2,0))/2))+2*IF(circ_int,0,eq_c2/2)))/(s_0+0*s_r+IF(circ_int,eq_c1/2,0))),IF(((37+0.5)*(4*IF(circ_int,0,eq_c1/2)+4*IF(circ_int,0,eq_c2/2)+2*PI()*(s_0+0*s_r+IF(circ_int,eq_c1/2,0)))/INDEX(lk_legs,1))&lt;(((((((2*IF(circ_int,0,eq_c2/2))+(PI()*(s_0+0*s_r+IF(circ_int,eq_c1/2,0))/2))+2*IF(circ_int,0,eq_c1/2))+(PI()*(s_0+0*s_r+IF(circ_int,eq_c1/2,0))/2))+2*IF(circ_int,0,eq_c2/2))+(PI()*(s_0+0*s_r+IF(circ_int,eq_c1/2,0))/2))+2*IF(circ_int,0,eq_c1/2)),-IF(circ_int,0,eq_c1/2)+(((37+0.5)*(4*IF(circ_int,0,eq_c1/2)+4*IF(circ_int,0,eq_c2/2)+2*PI()*(s_0+0*s_r+IF(circ_int,eq_c1/2,0)))/INDEX(lk_legs,1))-((((((2*IF(circ_int,0,eq_c2/2))+(PI()*(s_0+0*s_r+IF(circ_int,eq_c1/2,0))/2))+2*IF(circ_int,0,eq_c1/2))+(PI()*(s_0+0*s_r+IF(circ_int,eq_c1/2,0))/2))+2*IF(circ_int,0,eq_c2/2))+(PI()*(s_0+0*s_r+IF(circ_int,eq_c1/2,0))/2))),IF(circ_int,0,eq_c1/2)+(s_0+0*s_r+IF(circ_int,eq_c1/2,0))*COS(3*PI()/2+(((37+0.5)*(4*IF(circ_int,0,eq_c1/2)+4*IF(circ_int,0,eq_c2/2)+2*PI()*(s_0+0*s_r+IF(circ_int,eq_c1/2,0)))/INDEX(lk_legs,1))-(((((((2*IF(circ_int,0,eq_c2/2))+(PI()*(s_0+0*s_r+IF(circ_int,eq_c1/2,0))/2))+2*IF(circ_int,0,eq_c1/2))+(PI()*(s_0+0*s_r+IF(circ_int,eq_c1/2,0))/2))+2*IF(circ_int,0,eq_c2/2))+(PI()*(s_0+0*s_r+IF(circ_int,eq_c1/2,0))/2))+2*IF(circ_int,0,eq_c1/2)))/(s_0+0*s_r+IF(circ_int,eq_c1/2,0)))))))))),NA())</f>
        <v/>
      </c>
      <c r="BA40">
        <f>IF(AND(AND(links_on,1&lt;=n_per),INDEX(lk_kind,1)=1,37&lt;INDEX(lk_legs,1)),g_oy+IF(((37+0.5)*(4*IF(circ_int,0,eq_c1/2)+4*IF(circ_int,0,eq_c2/2)+2*PI()*(s_0+0*s_r+IF(circ_int,eq_c1/2,0)))/INDEX(lk_legs,1))&lt;(2*IF(circ_int,0,eq_c2/2)),-IF(circ_int,0,eq_c2/2)+((37+0.5)*(4*IF(circ_int,0,eq_c1/2)+4*IF(circ_int,0,eq_c2/2)+2*PI()*(s_0+0*s_r+IF(circ_int,eq_c1/2,0)))/INDEX(lk_legs,1)),IF(((37+0.5)*(4*IF(circ_int,0,eq_c1/2)+4*IF(circ_int,0,eq_c2/2)+2*PI()*(s_0+0*s_r+IF(circ_int,eq_c1/2,0)))/INDEX(lk_legs,1))&lt;((2*IF(circ_int,0,eq_c2/2))+(PI()*(s_0+0*s_r+IF(circ_int,eq_c1/2,0))/2)),IF(circ_int,0,eq_c2/2)+(s_0+0*s_r+IF(circ_int,eq_c1/2,0))*SIN((((37+0.5)*(4*IF(circ_int,0,eq_c1/2)+4*IF(circ_int,0,eq_c2/2)+2*PI()*(s_0+0*s_r+IF(circ_int,eq_c1/2,0)))/INDEX(lk_legs,1))-(2*IF(circ_int,0,eq_c2/2)))/(s_0+0*s_r+IF(circ_int,eq_c1/2,0))),IF(((37+0.5)*(4*IF(circ_int,0,eq_c1/2)+4*IF(circ_int,0,eq_c2/2)+2*PI()*(s_0+0*s_r+IF(circ_int,eq_c1/2,0)))/INDEX(lk_legs,1))&lt;(((2*IF(circ_int,0,eq_c2/2))+(PI()*(s_0+0*s_r+IF(circ_int,eq_c1/2,0))/2))+2*IF(circ_int,0,eq_c1/2)),IF(circ_int,0,eq_c2/2)+(s_0+0*s_r+IF(circ_int,eq_c1/2,0)),IF(((37+0.5)*(4*IF(circ_int,0,eq_c1/2)+4*IF(circ_int,0,eq_c2/2)+2*PI()*(s_0+0*s_r+IF(circ_int,eq_c1/2,0)))/INDEX(lk_legs,1))&lt;((((2*IF(circ_int,0,eq_c2/2))+(PI()*(s_0+0*s_r+IF(circ_int,eq_c1/2,0))/2))+2*IF(circ_int,0,eq_c1/2))+(PI()*(s_0+0*s_r+IF(circ_int,eq_c1/2,0))/2)),IF(circ_int,0,eq_c2/2)+(s_0+0*s_r+IF(circ_int,eq_c1/2,0))*SIN(PI()/2+(((37+0.5)*(4*IF(circ_int,0,eq_c1/2)+4*IF(circ_int,0,eq_c2/2)+2*PI()*(s_0+0*s_r+IF(circ_int,eq_c1/2,0)))/INDEX(lk_legs,1))-(((2*IF(circ_int,0,eq_c2/2))+(PI()*(s_0+0*s_r+IF(circ_int,eq_c1/2,0))/2))+2*IF(circ_int,0,eq_c1/2)))/(s_0+0*s_r+IF(circ_int,eq_c1/2,0))),IF(((37+0.5)*(4*IF(circ_int,0,eq_c1/2)+4*IF(circ_int,0,eq_c2/2)+2*PI()*(s_0+0*s_r+IF(circ_int,eq_c1/2,0)))/INDEX(lk_legs,1))&lt;(((((2*IF(circ_int,0,eq_c2/2))+(PI()*(s_0+0*s_r+IF(circ_int,eq_c1/2,0))/2))+2*IF(circ_int,0,eq_c1/2))+(PI()*(s_0+0*s_r+IF(circ_int,eq_c1/2,0))/2))+2*IF(circ_int,0,eq_c2/2)),IF(circ_int,0,eq_c2/2)-(((37+0.5)*(4*IF(circ_int,0,eq_c1/2)+4*IF(circ_int,0,eq_c2/2)+2*PI()*(s_0+0*s_r+IF(circ_int,eq_c1/2,0)))/INDEX(lk_legs,1))-((((2*IF(circ_int,0,eq_c2/2))+(PI()*(s_0+0*s_r+IF(circ_int,eq_c1/2,0))/2))+2*IF(circ_int,0,eq_c1/2))+(PI()*(s_0+0*s_r+IF(circ_int,eq_c1/2,0))/2))),IF(((37+0.5)*(4*IF(circ_int,0,eq_c1/2)+4*IF(circ_int,0,eq_c2/2)+2*PI()*(s_0+0*s_r+IF(circ_int,eq_c1/2,0)))/INDEX(lk_legs,1))&lt;((((((2*IF(circ_int,0,eq_c2/2))+(PI()*(s_0+0*s_r+IF(circ_int,eq_c1/2,0))/2))+2*IF(circ_int,0,eq_c1/2))+(PI()*(s_0+0*s_r+IF(circ_int,eq_c1/2,0))/2))+2*IF(circ_int,0,eq_c2/2))+(PI()*(s_0+0*s_r+IF(circ_int,eq_c1/2,0))/2)),-IF(circ_int,0,eq_c2/2)+(s_0+0*s_r+IF(circ_int,eq_c1/2,0))*SIN(PI()+(((37+0.5)*(4*IF(circ_int,0,eq_c1/2)+4*IF(circ_int,0,eq_c2/2)+2*PI()*(s_0+0*s_r+IF(circ_int,eq_c1/2,0)))/INDEX(lk_legs,1))-(((((2*IF(circ_int,0,eq_c2/2))+(PI()*(s_0+0*s_r+IF(circ_int,eq_c1/2,0))/2))+2*IF(circ_int,0,eq_c1/2))+(PI()*(s_0+0*s_r+IF(circ_int,eq_c1/2,0))/2))+2*IF(circ_int,0,eq_c2/2)))/(s_0+0*s_r+IF(circ_int,eq_c1/2,0))),IF(((37+0.5)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(37+0.5)*(4*IF(circ_int,0,eq_c1/2)+4*IF(circ_int,0,eq_c2/2)+2*PI()*(s_0+0*s_r+IF(circ_int,eq_c1/2,0)))/INDEX(lk_legs,1))-(((((((2*IF(circ_int,0,eq_c2/2))+(PI()*(s_0+0*s_r+IF(circ_int,eq_c1/2,0))/2))+2*IF(circ_int,0,eq_c1/2))+(PI()*(s_0+0*s_r+IF(circ_int,eq_c1/2,0))/2))+2*IF(circ_int,0,eq_c2/2))+(PI()*(s_0+0*s_r+IF(circ_int,eq_c1/2,0))/2))+2*IF(circ_int,0,eq_c1/2)))/(s_0+0*s_r+IF(circ_int,eq_c1/2,0)))))))))),NA())</f>
        <v/>
      </c>
      <c r="BC40">
        <f>IF(AND(links_on,2&lt;=n_per),IF(circ_int,(g_ox)+(c_1/2+(s_0+1*s_r))*-0.239316,CHOOSE(INDEX(lk_kind,2),(g_ox-eq_c1/2)+((s_0+1*s_r))*-0.130526,0,eq_a1+eq_c1+(s_0+1*s_r),eq_a1+eq_c1+(s_0+1*s_r))),NA())</f>
        <v/>
      </c>
      <c r="BD40">
        <f>IF(AND(links_on,2&lt;=n_per),IF(circ_int,(g_oy)+(c_1/2+(s_0+1*s_r))*-0.970942,CHOOSE(INDEX(lk_kind,2),(g_oy-eq_c2/2)+((s_0+1*s_r))*-0.991445,g_oy-eq_c2/2-(s_0+1*s_r),0,0)),NA())</f>
        <v/>
      </c>
      <c r="BF40">
        <f>IF(AND(AND(links_on,2&lt;=n_per),INDEX(lk_kind,2)=1,37&lt;INDEX(lk_legs,2)),g_ox+IF(((37+0.5)*(4*IF(circ_int,0,eq_c1/2)+4*IF(circ_int,0,eq_c2/2)+2*PI()*(s_0+1*s_r+IF(circ_int,eq_c1/2,0)))/INDEX(lk_legs,2))&lt;(2*IF(circ_int,0,eq_c2/2)),IF(circ_int,0,eq_c1/2)+(s_0+1*s_r+IF(circ_int,eq_c1/2,0)),IF(((37+0.5)*(4*IF(circ_int,0,eq_c1/2)+4*IF(circ_int,0,eq_c2/2)+2*PI()*(s_0+1*s_r+IF(circ_int,eq_c1/2,0)))/INDEX(lk_legs,2))&lt;((2*IF(circ_int,0,eq_c2/2))+(PI()*(s_0+1*s_r+IF(circ_int,eq_c1/2,0))/2)),IF(circ_int,0,eq_c1/2)+(s_0+1*s_r+IF(circ_int,eq_c1/2,0))*COS((((37+0.5)*(4*IF(circ_int,0,eq_c1/2)+4*IF(circ_int,0,eq_c2/2)+2*PI()*(s_0+1*s_r+IF(circ_int,eq_c1/2,0)))/INDEX(lk_legs,2))-(2*IF(circ_int,0,eq_c2/2)))/(s_0+1*s_r+IF(circ_int,eq_c1/2,0))),IF(((37+0.5)*(4*IF(circ_int,0,eq_c1/2)+4*IF(circ_int,0,eq_c2/2)+2*PI()*(s_0+1*s_r+IF(circ_int,eq_c1/2,0)))/INDEX(lk_legs,2))&lt;(((2*IF(circ_int,0,eq_c2/2))+(PI()*(s_0+1*s_r+IF(circ_int,eq_c1/2,0))/2))+2*IF(circ_int,0,eq_c1/2)),IF(circ_int,0,eq_c1/2)-(((37+0.5)*(4*IF(circ_int,0,eq_c1/2)+4*IF(circ_int,0,eq_c2/2)+2*PI()*(s_0+1*s_r+IF(circ_int,eq_c1/2,0)))/INDEX(lk_legs,2))-((2*IF(circ_int,0,eq_c2/2))+(PI()*(s_0+1*s_r+IF(circ_int,eq_c1/2,0))/2))),IF(((37+0.5)*(4*IF(circ_int,0,eq_c1/2)+4*IF(circ_int,0,eq_c2/2)+2*PI()*(s_0+1*s_r+IF(circ_int,eq_c1/2,0)))/INDEX(lk_legs,2))&lt;((((2*IF(circ_int,0,eq_c2/2))+(PI()*(s_0+1*s_r+IF(circ_int,eq_c1/2,0))/2))+2*IF(circ_int,0,eq_c1/2))+(PI()*(s_0+1*s_r+IF(circ_int,eq_c1/2,0))/2)),-IF(circ_int,0,eq_c1/2)+(s_0+1*s_r+IF(circ_int,eq_c1/2,0))*COS(PI()/2+(((37+0.5)*(4*IF(circ_int,0,eq_c1/2)+4*IF(circ_int,0,eq_c2/2)+2*PI()*(s_0+1*s_r+IF(circ_int,eq_c1/2,0)))/INDEX(lk_legs,2))-(((2*IF(circ_int,0,eq_c2/2))+(PI()*(s_0+1*s_r+IF(circ_int,eq_c1/2,0))/2))+2*IF(circ_int,0,eq_c1/2)))/(s_0+1*s_r+IF(circ_int,eq_c1/2,0))),IF(((37+0.5)*(4*IF(circ_int,0,eq_c1/2)+4*IF(circ_int,0,eq_c2/2)+2*PI()*(s_0+1*s_r+IF(circ_int,eq_c1/2,0)))/INDEX(lk_legs,2))&lt;(((((2*IF(circ_int,0,eq_c2/2))+(PI()*(s_0+1*s_r+IF(circ_int,eq_c1/2,0))/2))+2*IF(circ_int,0,eq_c1/2))+(PI()*(s_0+1*s_r+IF(circ_int,eq_c1/2,0))/2))+2*IF(circ_int,0,eq_c2/2)),-IF(circ_int,0,eq_c1/2)-(s_0+1*s_r+IF(circ_int,eq_c1/2,0)),IF(((37+0.5)*(4*IF(circ_int,0,eq_c1/2)+4*IF(circ_int,0,eq_c2/2)+2*PI()*(s_0+1*s_r+IF(circ_int,eq_c1/2,0)))/INDEX(lk_legs,2))&lt;((((((2*IF(circ_int,0,eq_c2/2))+(PI()*(s_0+1*s_r+IF(circ_int,eq_c1/2,0))/2))+2*IF(circ_int,0,eq_c1/2))+(PI()*(s_0+1*s_r+IF(circ_int,eq_c1/2,0))/2))+2*IF(circ_int,0,eq_c2/2))+(PI()*(s_0+1*s_r+IF(circ_int,eq_c1/2,0))/2)),-IF(circ_int,0,eq_c1/2)+(s_0+1*s_r+IF(circ_int,eq_c1/2,0))*COS(PI()+(((37+0.5)*(4*IF(circ_int,0,eq_c1/2)+4*IF(circ_int,0,eq_c2/2)+2*PI()*(s_0+1*s_r+IF(circ_int,eq_c1/2,0)))/INDEX(lk_legs,2))-(((((2*IF(circ_int,0,eq_c2/2))+(PI()*(s_0+1*s_r+IF(circ_int,eq_c1/2,0))/2))+2*IF(circ_int,0,eq_c1/2))+(PI()*(s_0+1*s_r+IF(circ_int,eq_c1/2,0))/2))+2*IF(circ_int,0,eq_c2/2)))/(s_0+1*s_r+IF(circ_int,eq_c1/2,0))),IF(((37+0.5)*(4*IF(circ_int,0,eq_c1/2)+4*IF(circ_int,0,eq_c2/2)+2*PI()*(s_0+1*s_r+IF(circ_int,eq_c1/2,0)))/INDEX(lk_legs,2))&lt;(((((((2*IF(circ_int,0,eq_c2/2))+(PI()*(s_0+1*s_r+IF(circ_int,eq_c1/2,0))/2))+2*IF(circ_int,0,eq_c1/2))+(PI()*(s_0+1*s_r+IF(circ_int,eq_c1/2,0))/2))+2*IF(circ_int,0,eq_c2/2))+(PI()*(s_0+1*s_r+IF(circ_int,eq_c1/2,0))/2))+2*IF(circ_int,0,eq_c1/2)),-IF(circ_int,0,eq_c1/2)+(((37+0.5)*(4*IF(circ_int,0,eq_c1/2)+4*IF(circ_int,0,eq_c2/2)+2*PI()*(s_0+1*s_r+IF(circ_int,eq_c1/2,0)))/INDEX(lk_legs,2))-((((((2*IF(circ_int,0,eq_c2/2))+(PI()*(s_0+1*s_r+IF(circ_int,eq_c1/2,0))/2))+2*IF(circ_int,0,eq_c1/2))+(PI()*(s_0+1*s_r+IF(circ_int,eq_c1/2,0))/2))+2*IF(circ_int,0,eq_c2/2))+(PI()*(s_0+1*s_r+IF(circ_int,eq_c1/2,0))/2))),IF(circ_int,0,eq_c1/2)+(s_0+1*s_r+IF(circ_int,eq_c1/2,0))*COS(3*PI()/2+(((37+0.5)*(4*IF(circ_int,0,eq_c1/2)+4*IF(circ_int,0,eq_c2/2)+2*PI()*(s_0+1*s_r+IF(circ_int,eq_c1/2,0)))/INDEX(lk_legs,2))-(((((((2*IF(circ_int,0,eq_c2/2))+(PI()*(s_0+1*s_r+IF(circ_int,eq_c1/2,0))/2))+2*IF(circ_int,0,eq_c1/2))+(PI()*(s_0+1*s_r+IF(circ_int,eq_c1/2,0))/2))+2*IF(circ_int,0,eq_c2/2))+(PI()*(s_0+1*s_r+IF(circ_int,eq_c1/2,0))/2))+2*IF(circ_int,0,eq_c1/2)))/(s_0+1*s_r+IF(circ_int,eq_c1/2,0)))))))))),NA())</f>
        <v/>
      </c>
      <c r="BG40">
        <f>IF(AND(AND(links_on,2&lt;=n_per),INDEX(lk_kind,2)=1,37&lt;INDEX(lk_legs,2)),g_oy+IF(((37+0.5)*(4*IF(circ_int,0,eq_c1/2)+4*IF(circ_int,0,eq_c2/2)+2*PI()*(s_0+1*s_r+IF(circ_int,eq_c1/2,0)))/INDEX(lk_legs,2))&lt;(2*IF(circ_int,0,eq_c2/2)),-IF(circ_int,0,eq_c2/2)+((37+0.5)*(4*IF(circ_int,0,eq_c1/2)+4*IF(circ_int,0,eq_c2/2)+2*PI()*(s_0+1*s_r+IF(circ_int,eq_c1/2,0)))/INDEX(lk_legs,2)),IF(((37+0.5)*(4*IF(circ_int,0,eq_c1/2)+4*IF(circ_int,0,eq_c2/2)+2*PI()*(s_0+1*s_r+IF(circ_int,eq_c1/2,0)))/INDEX(lk_legs,2))&lt;((2*IF(circ_int,0,eq_c2/2))+(PI()*(s_0+1*s_r+IF(circ_int,eq_c1/2,0))/2)),IF(circ_int,0,eq_c2/2)+(s_0+1*s_r+IF(circ_int,eq_c1/2,0))*SIN((((37+0.5)*(4*IF(circ_int,0,eq_c1/2)+4*IF(circ_int,0,eq_c2/2)+2*PI()*(s_0+1*s_r+IF(circ_int,eq_c1/2,0)))/INDEX(lk_legs,2))-(2*IF(circ_int,0,eq_c2/2)))/(s_0+1*s_r+IF(circ_int,eq_c1/2,0))),IF(((37+0.5)*(4*IF(circ_int,0,eq_c1/2)+4*IF(circ_int,0,eq_c2/2)+2*PI()*(s_0+1*s_r+IF(circ_int,eq_c1/2,0)))/INDEX(lk_legs,2))&lt;(((2*IF(circ_int,0,eq_c2/2))+(PI()*(s_0+1*s_r+IF(circ_int,eq_c1/2,0))/2))+2*IF(circ_int,0,eq_c1/2)),IF(circ_int,0,eq_c2/2)+(s_0+1*s_r+IF(circ_int,eq_c1/2,0)),IF(((37+0.5)*(4*IF(circ_int,0,eq_c1/2)+4*IF(circ_int,0,eq_c2/2)+2*PI()*(s_0+1*s_r+IF(circ_int,eq_c1/2,0)))/INDEX(lk_legs,2))&lt;((((2*IF(circ_int,0,eq_c2/2))+(PI()*(s_0+1*s_r+IF(circ_int,eq_c1/2,0))/2))+2*IF(circ_int,0,eq_c1/2))+(PI()*(s_0+1*s_r+IF(circ_int,eq_c1/2,0))/2)),IF(circ_int,0,eq_c2/2)+(s_0+1*s_r+IF(circ_int,eq_c1/2,0))*SIN(PI()/2+(((37+0.5)*(4*IF(circ_int,0,eq_c1/2)+4*IF(circ_int,0,eq_c2/2)+2*PI()*(s_0+1*s_r+IF(circ_int,eq_c1/2,0)))/INDEX(lk_legs,2))-(((2*IF(circ_int,0,eq_c2/2))+(PI()*(s_0+1*s_r+IF(circ_int,eq_c1/2,0))/2))+2*IF(circ_int,0,eq_c1/2)))/(s_0+1*s_r+IF(circ_int,eq_c1/2,0))),IF(((37+0.5)*(4*IF(circ_int,0,eq_c1/2)+4*IF(circ_int,0,eq_c2/2)+2*PI()*(s_0+1*s_r+IF(circ_int,eq_c1/2,0)))/INDEX(lk_legs,2))&lt;(((((2*IF(circ_int,0,eq_c2/2))+(PI()*(s_0+1*s_r+IF(circ_int,eq_c1/2,0))/2))+2*IF(circ_int,0,eq_c1/2))+(PI()*(s_0+1*s_r+IF(circ_int,eq_c1/2,0))/2))+2*IF(circ_int,0,eq_c2/2)),IF(circ_int,0,eq_c2/2)-(((37+0.5)*(4*IF(circ_int,0,eq_c1/2)+4*IF(circ_int,0,eq_c2/2)+2*PI()*(s_0+1*s_r+IF(circ_int,eq_c1/2,0)))/INDEX(lk_legs,2))-((((2*IF(circ_int,0,eq_c2/2))+(PI()*(s_0+1*s_r+IF(circ_int,eq_c1/2,0))/2))+2*IF(circ_int,0,eq_c1/2))+(PI()*(s_0+1*s_r+IF(circ_int,eq_c1/2,0))/2))),IF(((37+0.5)*(4*IF(circ_int,0,eq_c1/2)+4*IF(circ_int,0,eq_c2/2)+2*PI()*(s_0+1*s_r+IF(circ_int,eq_c1/2,0)))/INDEX(lk_legs,2))&lt;((((((2*IF(circ_int,0,eq_c2/2))+(PI()*(s_0+1*s_r+IF(circ_int,eq_c1/2,0))/2))+2*IF(circ_int,0,eq_c1/2))+(PI()*(s_0+1*s_r+IF(circ_int,eq_c1/2,0))/2))+2*IF(circ_int,0,eq_c2/2))+(PI()*(s_0+1*s_r+IF(circ_int,eq_c1/2,0))/2)),-IF(circ_int,0,eq_c2/2)+(s_0+1*s_r+IF(circ_int,eq_c1/2,0))*SIN(PI()+(((37+0.5)*(4*IF(circ_int,0,eq_c1/2)+4*IF(circ_int,0,eq_c2/2)+2*PI()*(s_0+1*s_r+IF(circ_int,eq_c1/2,0)))/INDEX(lk_legs,2))-(((((2*IF(circ_int,0,eq_c2/2))+(PI()*(s_0+1*s_r+IF(circ_int,eq_c1/2,0))/2))+2*IF(circ_int,0,eq_c1/2))+(PI()*(s_0+1*s_r+IF(circ_int,eq_c1/2,0))/2))+2*IF(circ_int,0,eq_c2/2)))/(s_0+1*s_r+IF(circ_int,eq_c1/2,0))),IF(((37+0.5)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(37+0.5)*(4*IF(circ_int,0,eq_c1/2)+4*IF(circ_int,0,eq_c2/2)+2*PI()*(s_0+1*s_r+IF(circ_int,eq_c1/2,0)))/INDEX(lk_legs,2))-(((((((2*IF(circ_int,0,eq_c2/2))+(PI()*(s_0+1*s_r+IF(circ_int,eq_c1/2,0))/2))+2*IF(circ_int,0,eq_c1/2))+(PI()*(s_0+1*s_r+IF(circ_int,eq_c1/2,0))/2))+2*IF(circ_int,0,eq_c2/2))+(PI()*(s_0+1*s_r+IF(circ_int,eq_c1/2,0))/2))+2*IF(circ_int,0,eq_c1/2)))/(s_0+1*s_r+IF(circ_int,eq_c1/2,0)))))))))),NA())</f>
        <v/>
      </c>
      <c r="BI40">
        <f>IF(AND(links_on,3&lt;=n_per),IF(circ_int,(g_ox)+(c_1/2+(s_0+2*s_r))*-0.239316,CHOOSE(INDEX(lk_kind,3),(g_ox-eq_c1/2)+((s_0+2*s_r))*-0.130526,0,eq_a1+eq_c1+(s_0+2*s_r),eq_a1+eq_c1+(s_0+2*s_r))),NA())</f>
        <v/>
      </c>
      <c r="BJ40">
        <f>IF(AND(links_on,3&lt;=n_per),IF(circ_int,(g_oy)+(c_1/2+(s_0+2*s_r))*-0.970942,CHOOSE(INDEX(lk_kind,3),(g_oy-eq_c2/2)+((s_0+2*s_r))*-0.991445,g_oy-eq_c2/2-(s_0+2*s_r),0,0)),NA())</f>
        <v/>
      </c>
      <c r="BL40">
        <f>IF(AND(AND(links_on,3&lt;=n_per),INDEX(lk_kind,3)=1,37&lt;INDEX(lk_legs,3)),g_ox+IF(((37+0.5)*(4*IF(circ_int,0,eq_c1/2)+4*IF(circ_int,0,eq_c2/2)+2*PI()*(s_0+2*s_r+IF(circ_int,eq_c1/2,0)))/INDEX(lk_legs,3))&lt;(2*IF(circ_int,0,eq_c2/2)),IF(circ_int,0,eq_c1/2)+(s_0+2*s_r+IF(circ_int,eq_c1/2,0)),IF(((37+0.5)*(4*IF(circ_int,0,eq_c1/2)+4*IF(circ_int,0,eq_c2/2)+2*PI()*(s_0+2*s_r+IF(circ_int,eq_c1/2,0)))/INDEX(lk_legs,3))&lt;((2*IF(circ_int,0,eq_c2/2))+(PI()*(s_0+2*s_r+IF(circ_int,eq_c1/2,0))/2)),IF(circ_int,0,eq_c1/2)+(s_0+2*s_r+IF(circ_int,eq_c1/2,0))*COS((((37+0.5)*(4*IF(circ_int,0,eq_c1/2)+4*IF(circ_int,0,eq_c2/2)+2*PI()*(s_0+2*s_r+IF(circ_int,eq_c1/2,0)))/INDEX(lk_legs,3))-(2*IF(circ_int,0,eq_c2/2)))/(s_0+2*s_r+IF(circ_int,eq_c1/2,0))),IF(((37+0.5)*(4*IF(circ_int,0,eq_c1/2)+4*IF(circ_int,0,eq_c2/2)+2*PI()*(s_0+2*s_r+IF(circ_int,eq_c1/2,0)))/INDEX(lk_legs,3))&lt;(((2*IF(circ_int,0,eq_c2/2))+(PI()*(s_0+2*s_r+IF(circ_int,eq_c1/2,0))/2))+2*IF(circ_int,0,eq_c1/2)),IF(circ_int,0,eq_c1/2)-(((37+0.5)*(4*IF(circ_int,0,eq_c1/2)+4*IF(circ_int,0,eq_c2/2)+2*PI()*(s_0+2*s_r+IF(circ_int,eq_c1/2,0)))/INDEX(lk_legs,3))-((2*IF(circ_int,0,eq_c2/2))+(PI()*(s_0+2*s_r+IF(circ_int,eq_c1/2,0))/2))),IF(((37+0.5)*(4*IF(circ_int,0,eq_c1/2)+4*IF(circ_int,0,eq_c2/2)+2*PI()*(s_0+2*s_r+IF(circ_int,eq_c1/2,0)))/INDEX(lk_legs,3))&lt;((((2*IF(circ_int,0,eq_c2/2))+(PI()*(s_0+2*s_r+IF(circ_int,eq_c1/2,0))/2))+2*IF(circ_int,0,eq_c1/2))+(PI()*(s_0+2*s_r+IF(circ_int,eq_c1/2,0))/2)),-IF(circ_int,0,eq_c1/2)+(s_0+2*s_r+IF(circ_int,eq_c1/2,0))*COS(PI()/2+(((37+0.5)*(4*IF(circ_int,0,eq_c1/2)+4*IF(circ_int,0,eq_c2/2)+2*PI()*(s_0+2*s_r+IF(circ_int,eq_c1/2,0)))/INDEX(lk_legs,3))-(((2*IF(circ_int,0,eq_c2/2))+(PI()*(s_0+2*s_r+IF(circ_int,eq_c1/2,0))/2))+2*IF(circ_int,0,eq_c1/2)))/(s_0+2*s_r+IF(circ_int,eq_c1/2,0))),IF(((37+0.5)*(4*IF(circ_int,0,eq_c1/2)+4*IF(circ_int,0,eq_c2/2)+2*PI()*(s_0+2*s_r+IF(circ_int,eq_c1/2,0)))/INDEX(lk_legs,3))&lt;(((((2*IF(circ_int,0,eq_c2/2))+(PI()*(s_0+2*s_r+IF(circ_int,eq_c1/2,0))/2))+2*IF(circ_int,0,eq_c1/2))+(PI()*(s_0+2*s_r+IF(circ_int,eq_c1/2,0))/2))+2*IF(circ_int,0,eq_c2/2)),-IF(circ_int,0,eq_c1/2)-(s_0+2*s_r+IF(circ_int,eq_c1/2,0)),IF(((37+0.5)*(4*IF(circ_int,0,eq_c1/2)+4*IF(circ_int,0,eq_c2/2)+2*PI()*(s_0+2*s_r+IF(circ_int,eq_c1/2,0)))/INDEX(lk_legs,3))&lt;((((((2*IF(circ_int,0,eq_c2/2))+(PI()*(s_0+2*s_r+IF(circ_int,eq_c1/2,0))/2))+2*IF(circ_int,0,eq_c1/2))+(PI()*(s_0+2*s_r+IF(circ_int,eq_c1/2,0))/2))+2*IF(circ_int,0,eq_c2/2))+(PI()*(s_0+2*s_r+IF(circ_int,eq_c1/2,0))/2)),-IF(circ_int,0,eq_c1/2)+(s_0+2*s_r+IF(circ_int,eq_c1/2,0))*COS(PI()+(((37+0.5)*(4*IF(circ_int,0,eq_c1/2)+4*IF(circ_int,0,eq_c2/2)+2*PI()*(s_0+2*s_r+IF(circ_int,eq_c1/2,0)))/INDEX(lk_legs,3))-(((((2*IF(circ_int,0,eq_c2/2))+(PI()*(s_0+2*s_r+IF(circ_int,eq_c1/2,0))/2))+2*IF(circ_int,0,eq_c1/2))+(PI()*(s_0+2*s_r+IF(circ_int,eq_c1/2,0))/2))+2*IF(circ_int,0,eq_c2/2)))/(s_0+2*s_r+IF(circ_int,eq_c1/2,0))),IF(((37+0.5)*(4*IF(circ_int,0,eq_c1/2)+4*IF(circ_int,0,eq_c2/2)+2*PI()*(s_0+2*s_r+IF(circ_int,eq_c1/2,0)))/INDEX(lk_legs,3))&lt;(((((((2*IF(circ_int,0,eq_c2/2))+(PI()*(s_0+2*s_r+IF(circ_int,eq_c1/2,0))/2))+2*IF(circ_int,0,eq_c1/2))+(PI()*(s_0+2*s_r+IF(circ_int,eq_c1/2,0))/2))+2*IF(circ_int,0,eq_c2/2))+(PI()*(s_0+2*s_r+IF(circ_int,eq_c1/2,0))/2))+2*IF(circ_int,0,eq_c1/2)),-IF(circ_int,0,eq_c1/2)+(((37+0.5)*(4*IF(circ_int,0,eq_c1/2)+4*IF(circ_int,0,eq_c2/2)+2*PI()*(s_0+2*s_r+IF(circ_int,eq_c1/2,0)))/INDEX(lk_legs,3))-((((((2*IF(circ_int,0,eq_c2/2))+(PI()*(s_0+2*s_r+IF(circ_int,eq_c1/2,0))/2))+2*IF(circ_int,0,eq_c1/2))+(PI()*(s_0+2*s_r+IF(circ_int,eq_c1/2,0))/2))+2*IF(circ_int,0,eq_c2/2))+(PI()*(s_0+2*s_r+IF(circ_int,eq_c1/2,0))/2))),IF(circ_int,0,eq_c1/2)+(s_0+2*s_r+IF(circ_int,eq_c1/2,0))*COS(3*PI()/2+(((37+0.5)*(4*IF(circ_int,0,eq_c1/2)+4*IF(circ_int,0,eq_c2/2)+2*PI()*(s_0+2*s_r+IF(circ_int,eq_c1/2,0)))/INDEX(lk_legs,3))-(((((((2*IF(circ_int,0,eq_c2/2))+(PI()*(s_0+2*s_r+IF(circ_int,eq_c1/2,0))/2))+2*IF(circ_int,0,eq_c1/2))+(PI()*(s_0+2*s_r+IF(circ_int,eq_c1/2,0))/2))+2*IF(circ_int,0,eq_c2/2))+(PI()*(s_0+2*s_r+IF(circ_int,eq_c1/2,0))/2))+2*IF(circ_int,0,eq_c1/2)))/(s_0+2*s_r+IF(circ_int,eq_c1/2,0)))))))))),NA())</f>
        <v/>
      </c>
      <c r="BM40">
        <f>IF(AND(AND(links_on,3&lt;=n_per),INDEX(lk_kind,3)=1,37&lt;INDEX(lk_legs,3)),g_oy+IF(((37+0.5)*(4*IF(circ_int,0,eq_c1/2)+4*IF(circ_int,0,eq_c2/2)+2*PI()*(s_0+2*s_r+IF(circ_int,eq_c1/2,0)))/INDEX(lk_legs,3))&lt;(2*IF(circ_int,0,eq_c2/2)),-IF(circ_int,0,eq_c2/2)+((37+0.5)*(4*IF(circ_int,0,eq_c1/2)+4*IF(circ_int,0,eq_c2/2)+2*PI()*(s_0+2*s_r+IF(circ_int,eq_c1/2,0)))/INDEX(lk_legs,3)),IF(((37+0.5)*(4*IF(circ_int,0,eq_c1/2)+4*IF(circ_int,0,eq_c2/2)+2*PI()*(s_0+2*s_r+IF(circ_int,eq_c1/2,0)))/INDEX(lk_legs,3))&lt;((2*IF(circ_int,0,eq_c2/2))+(PI()*(s_0+2*s_r+IF(circ_int,eq_c1/2,0))/2)),IF(circ_int,0,eq_c2/2)+(s_0+2*s_r+IF(circ_int,eq_c1/2,0))*SIN((((37+0.5)*(4*IF(circ_int,0,eq_c1/2)+4*IF(circ_int,0,eq_c2/2)+2*PI()*(s_0+2*s_r+IF(circ_int,eq_c1/2,0)))/INDEX(lk_legs,3))-(2*IF(circ_int,0,eq_c2/2)))/(s_0+2*s_r+IF(circ_int,eq_c1/2,0))),IF(((37+0.5)*(4*IF(circ_int,0,eq_c1/2)+4*IF(circ_int,0,eq_c2/2)+2*PI()*(s_0+2*s_r+IF(circ_int,eq_c1/2,0)))/INDEX(lk_legs,3))&lt;(((2*IF(circ_int,0,eq_c2/2))+(PI()*(s_0+2*s_r+IF(circ_int,eq_c1/2,0))/2))+2*IF(circ_int,0,eq_c1/2)),IF(circ_int,0,eq_c2/2)+(s_0+2*s_r+IF(circ_int,eq_c1/2,0)),IF(((37+0.5)*(4*IF(circ_int,0,eq_c1/2)+4*IF(circ_int,0,eq_c2/2)+2*PI()*(s_0+2*s_r+IF(circ_int,eq_c1/2,0)))/INDEX(lk_legs,3))&lt;((((2*IF(circ_int,0,eq_c2/2))+(PI()*(s_0+2*s_r+IF(circ_int,eq_c1/2,0))/2))+2*IF(circ_int,0,eq_c1/2))+(PI()*(s_0+2*s_r+IF(circ_int,eq_c1/2,0))/2)),IF(circ_int,0,eq_c2/2)+(s_0+2*s_r+IF(circ_int,eq_c1/2,0))*SIN(PI()/2+(((37+0.5)*(4*IF(circ_int,0,eq_c1/2)+4*IF(circ_int,0,eq_c2/2)+2*PI()*(s_0+2*s_r+IF(circ_int,eq_c1/2,0)))/INDEX(lk_legs,3))-(((2*IF(circ_int,0,eq_c2/2))+(PI()*(s_0+2*s_r+IF(circ_int,eq_c1/2,0))/2))+2*IF(circ_int,0,eq_c1/2)))/(s_0+2*s_r+IF(circ_int,eq_c1/2,0))),IF(((37+0.5)*(4*IF(circ_int,0,eq_c1/2)+4*IF(circ_int,0,eq_c2/2)+2*PI()*(s_0+2*s_r+IF(circ_int,eq_c1/2,0)))/INDEX(lk_legs,3))&lt;(((((2*IF(circ_int,0,eq_c2/2))+(PI()*(s_0+2*s_r+IF(circ_int,eq_c1/2,0))/2))+2*IF(circ_int,0,eq_c1/2))+(PI()*(s_0+2*s_r+IF(circ_int,eq_c1/2,0))/2))+2*IF(circ_int,0,eq_c2/2)),IF(circ_int,0,eq_c2/2)-(((37+0.5)*(4*IF(circ_int,0,eq_c1/2)+4*IF(circ_int,0,eq_c2/2)+2*PI()*(s_0+2*s_r+IF(circ_int,eq_c1/2,0)))/INDEX(lk_legs,3))-((((2*IF(circ_int,0,eq_c2/2))+(PI()*(s_0+2*s_r+IF(circ_int,eq_c1/2,0))/2))+2*IF(circ_int,0,eq_c1/2))+(PI()*(s_0+2*s_r+IF(circ_int,eq_c1/2,0))/2))),IF(((37+0.5)*(4*IF(circ_int,0,eq_c1/2)+4*IF(circ_int,0,eq_c2/2)+2*PI()*(s_0+2*s_r+IF(circ_int,eq_c1/2,0)))/INDEX(lk_legs,3))&lt;((((((2*IF(circ_int,0,eq_c2/2))+(PI()*(s_0+2*s_r+IF(circ_int,eq_c1/2,0))/2))+2*IF(circ_int,0,eq_c1/2))+(PI()*(s_0+2*s_r+IF(circ_int,eq_c1/2,0))/2))+2*IF(circ_int,0,eq_c2/2))+(PI()*(s_0+2*s_r+IF(circ_int,eq_c1/2,0))/2)),-IF(circ_int,0,eq_c2/2)+(s_0+2*s_r+IF(circ_int,eq_c1/2,0))*SIN(PI()+(((37+0.5)*(4*IF(circ_int,0,eq_c1/2)+4*IF(circ_int,0,eq_c2/2)+2*PI()*(s_0+2*s_r+IF(circ_int,eq_c1/2,0)))/INDEX(lk_legs,3))-(((((2*IF(circ_int,0,eq_c2/2))+(PI()*(s_0+2*s_r+IF(circ_int,eq_c1/2,0))/2))+2*IF(circ_int,0,eq_c1/2))+(PI()*(s_0+2*s_r+IF(circ_int,eq_c1/2,0))/2))+2*IF(circ_int,0,eq_c2/2)))/(s_0+2*s_r+IF(circ_int,eq_c1/2,0))),IF(((37+0.5)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(37+0.5)*(4*IF(circ_int,0,eq_c1/2)+4*IF(circ_int,0,eq_c2/2)+2*PI()*(s_0+2*s_r+IF(circ_int,eq_c1/2,0)))/INDEX(lk_legs,3))-(((((((2*IF(circ_int,0,eq_c2/2))+(PI()*(s_0+2*s_r+IF(circ_int,eq_c1/2,0))/2))+2*IF(circ_int,0,eq_c1/2))+(PI()*(s_0+2*s_r+IF(circ_int,eq_c1/2,0))/2))+2*IF(circ_int,0,eq_c2/2))+(PI()*(s_0+2*s_r+IF(circ_int,eq_c1/2,0))/2))+2*IF(circ_int,0,eq_c1/2)))/(s_0+2*s_r+IF(circ_int,eq_c1/2,0)))))))))),NA())</f>
        <v/>
      </c>
      <c r="BO40">
        <f>IF(AND(links_on,4&lt;=n_per),IF(circ_int,(g_ox)+(c_1/2+(s_0+3*s_r))*-0.239316,CHOOSE(INDEX(lk_kind,4),(g_ox-eq_c1/2)+((s_0+3*s_r))*-0.130526,0,eq_a1+eq_c1+(s_0+3*s_r),eq_a1+eq_c1+(s_0+3*s_r))),NA())</f>
        <v/>
      </c>
      <c r="BP40">
        <f>IF(AND(links_on,4&lt;=n_per),IF(circ_int,(g_oy)+(c_1/2+(s_0+3*s_r))*-0.970942,CHOOSE(INDEX(lk_kind,4),(g_oy-eq_c2/2)+((s_0+3*s_r))*-0.991445,g_oy-eq_c2/2-(s_0+3*s_r),0,0)),NA())</f>
        <v/>
      </c>
      <c r="BR40">
        <f>IF(AND(AND(links_on,4&lt;=n_per),INDEX(lk_kind,4)=1,37&lt;INDEX(lk_legs,4)),g_ox+IF(((37+0.5)*(4*IF(circ_int,0,eq_c1/2)+4*IF(circ_int,0,eq_c2/2)+2*PI()*(s_0+3*s_r+IF(circ_int,eq_c1/2,0)))/INDEX(lk_legs,4))&lt;(2*IF(circ_int,0,eq_c2/2)),IF(circ_int,0,eq_c1/2)+(s_0+3*s_r+IF(circ_int,eq_c1/2,0)),IF(((37+0.5)*(4*IF(circ_int,0,eq_c1/2)+4*IF(circ_int,0,eq_c2/2)+2*PI()*(s_0+3*s_r+IF(circ_int,eq_c1/2,0)))/INDEX(lk_legs,4))&lt;((2*IF(circ_int,0,eq_c2/2))+(PI()*(s_0+3*s_r+IF(circ_int,eq_c1/2,0))/2)),IF(circ_int,0,eq_c1/2)+(s_0+3*s_r+IF(circ_int,eq_c1/2,0))*COS((((37+0.5)*(4*IF(circ_int,0,eq_c1/2)+4*IF(circ_int,0,eq_c2/2)+2*PI()*(s_0+3*s_r+IF(circ_int,eq_c1/2,0)))/INDEX(lk_legs,4))-(2*IF(circ_int,0,eq_c2/2)))/(s_0+3*s_r+IF(circ_int,eq_c1/2,0))),IF(((37+0.5)*(4*IF(circ_int,0,eq_c1/2)+4*IF(circ_int,0,eq_c2/2)+2*PI()*(s_0+3*s_r+IF(circ_int,eq_c1/2,0)))/INDEX(lk_legs,4))&lt;(((2*IF(circ_int,0,eq_c2/2))+(PI()*(s_0+3*s_r+IF(circ_int,eq_c1/2,0))/2))+2*IF(circ_int,0,eq_c1/2)),IF(circ_int,0,eq_c1/2)-(((37+0.5)*(4*IF(circ_int,0,eq_c1/2)+4*IF(circ_int,0,eq_c2/2)+2*PI()*(s_0+3*s_r+IF(circ_int,eq_c1/2,0)))/INDEX(lk_legs,4))-((2*IF(circ_int,0,eq_c2/2))+(PI()*(s_0+3*s_r+IF(circ_int,eq_c1/2,0))/2))),IF(((37+0.5)*(4*IF(circ_int,0,eq_c1/2)+4*IF(circ_int,0,eq_c2/2)+2*PI()*(s_0+3*s_r+IF(circ_int,eq_c1/2,0)))/INDEX(lk_legs,4))&lt;((((2*IF(circ_int,0,eq_c2/2))+(PI()*(s_0+3*s_r+IF(circ_int,eq_c1/2,0))/2))+2*IF(circ_int,0,eq_c1/2))+(PI()*(s_0+3*s_r+IF(circ_int,eq_c1/2,0))/2)),-IF(circ_int,0,eq_c1/2)+(s_0+3*s_r+IF(circ_int,eq_c1/2,0))*COS(PI()/2+(((37+0.5)*(4*IF(circ_int,0,eq_c1/2)+4*IF(circ_int,0,eq_c2/2)+2*PI()*(s_0+3*s_r+IF(circ_int,eq_c1/2,0)))/INDEX(lk_legs,4))-(((2*IF(circ_int,0,eq_c2/2))+(PI()*(s_0+3*s_r+IF(circ_int,eq_c1/2,0))/2))+2*IF(circ_int,0,eq_c1/2)))/(s_0+3*s_r+IF(circ_int,eq_c1/2,0))),IF(((37+0.5)*(4*IF(circ_int,0,eq_c1/2)+4*IF(circ_int,0,eq_c2/2)+2*PI()*(s_0+3*s_r+IF(circ_int,eq_c1/2,0)))/INDEX(lk_legs,4))&lt;(((((2*IF(circ_int,0,eq_c2/2))+(PI()*(s_0+3*s_r+IF(circ_int,eq_c1/2,0))/2))+2*IF(circ_int,0,eq_c1/2))+(PI()*(s_0+3*s_r+IF(circ_int,eq_c1/2,0))/2))+2*IF(circ_int,0,eq_c2/2)),-IF(circ_int,0,eq_c1/2)-(s_0+3*s_r+IF(circ_int,eq_c1/2,0)),IF(((37+0.5)*(4*IF(circ_int,0,eq_c1/2)+4*IF(circ_int,0,eq_c2/2)+2*PI()*(s_0+3*s_r+IF(circ_int,eq_c1/2,0)))/INDEX(lk_legs,4))&lt;((((((2*IF(circ_int,0,eq_c2/2))+(PI()*(s_0+3*s_r+IF(circ_int,eq_c1/2,0))/2))+2*IF(circ_int,0,eq_c1/2))+(PI()*(s_0+3*s_r+IF(circ_int,eq_c1/2,0))/2))+2*IF(circ_int,0,eq_c2/2))+(PI()*(s_0+3*s_r+IF(circ_int,eq_c1/2,0))/2)),-IF(circ_int,0,eq_c1/2)+(s_0+3*s_r+IF(circ_int,eq_c1/2,0))*COS(PI()+(((37+0.5)*(4*IF(circ_int,0,eq_c1/2)+4*IF(circ_int,0,eq_c2/2)+2*PI()*(s_0+3*s_r+IF(circ_int,eq_c1/2,0)))/INDEX(lk_legs,4))-(((((2*IF(circ_int,0,eq_c2/2))+(PI()*(s_0+3*s_r+IF(circ_int,eq_c1/2,0))/2))+2*IF(circ_int,0,eq_c1/2))+(PI()*(s_0+3*s_r+IF(circ_int,eq_c1/2,0))/2))+2*IF(circ_int,0,eq_c2/2)))/(s_0+3*s_r+IF(circ_int,eq_c1/2,0))),IF(((37+0.5)*(4*IF(circ_int,0,eq_c1/2)+4*IF(circ_int,0,eq_c2/2)+2*PI()*(s_0+3*s_r+IF(circ_int,eq_c1/2,0)))/INDEX(lk_legs,4))&lt;(((((((2*IF(circ_int,0,eq_c2/2))+(PI()*(s_0+3*s_r+IF(circ_int,eq_c1/2,0))/2))+2*IF(circ_int,0,eq_c1/2))+(PI()*(s_0+3*s_r+IF(circ_int,eq_c1/2,0))/2))+2*IF(circ_int,0,eq_c2/2))+(PI()*(s_0+3*s_r+IF(circ_int,eq_c1/2,0))/2))+2*IF(circ_int,0,eq_c1/2)),-IF(circ_int,0,eq_c1/2)+(((37+0.5)*(4*IF(circ_int,0,eq_c1/2)+4*IF(circ_int,0,eq_c2/2)+2*PI()*(s_0+3*s_r+IF(circ_int,eq_c1/2,0)))/INDEX(lk_legs,4))-((((((2*IF(circ_int,0,eq_c2/2))+(PI()*(s_0+3*s_r+IF(circ_int,eq_c1/2,0))/2))+2*IF(circ_int,0,eq_c1/2))+(PI()*(s_0+3*s_r+IF(circ_int,eq_c1/2,0))/2))+2*IF(circ_int,0,eq_c2/2))+(PI()*(s_0+3*s_r+IF(circ_int,eq_c1/2,0))/2))),IF(circ_int,0,eq_c1/2)+(s_0+3*s_r+IF(circ_int,eq_c1/2,0))*COS(3*PI()/2+(((37+0.5)*(4*IF(circ_int,0,eq_c1/2)+4*IF(circ_int,0,eq_c2/2)+2*PI()*(s_0+3*s_r+IF(circ_int,eq_c1/2,0)))/INDEX(lk_legs,4))-(((((((2*IF(circ_int,0,eq_c2/2))+(PI()*(s_0+3*s_r+IF(circ_int,eq_c1/2,0))/2))+2*IF(circ_int,0,eq_c1/2))+(PI()*(s_0+3*s_r+IF(circ_int,eq_c1/2,0))/2))+2*IF(circ_int,0,eq_c2/2))+(PI()*(s_0+3*s_r+IF(circ_int,eq_c1/2,0))/2))+2*IF(circ_int,0,eq_c1/2)))/(s_0+3*s_r+IF(circ_int,eq_c1/2,0)))))))))),NA())</f>
        <v/>
      </c>
      <c r="BS40">
        <f>IF(AND(AND(links_on,4&lt;=n_per),INDEX(lk_kind,4)=1,37&lt;INDEX(lk_legs,4)),g_oy+IF(((37+0.5)*(4*IF(circ_int,0,eq_c1/2)+4*IF(circ_int,0,eq_c2/2)+2*PI()*(s_0+3*s_r+IF(circ_int,eq_c1/2,0)))/INDEX(lk_legs,4))&lt;(2*IF(circ_int,0,eq_c2/2)),-IF(circ_int,0,eq_c2/2)+((37+0.5)*(4*IF(circ_int,0,eq_c1/2)+4*IF(circ_int,0,eq_c2/2)+2*PI()*(s_0+3*s_r+IF(circ_int,eq_c1/2,0)))/INDEX(lk_legs,4)),IF(((37+0.5)*(4*IF(circ_int,0,eq_c1/2)+4*IF(circ_int,0,eq_c2/2)+2*PI()*(s_0+3*s_r+IF(circ_int,eq_c1/2,0)))/INDEX(lk_legs,4))&lt;((2*IF(circ_int,0,eq_c2/2))+(PI()*(s_0+3*s_r+IF(circ_int,eq_c1/2,0))/2)),IF(circ_int,0,eq_c2/2)+(s_0+3*s_r+IF(circ_int,eq_c1/2,0))*SIN((((37+0.5)*(4*IF(circ_int,0,eq_c1/2)+4*IF(circ_int,0,eq_c2/2)+2*PI()*(s_0+3*s_r+IF(circ_int,eq_c1/2,0)))/INDEX(lk_legs,4))-(2*IF(circ_int,0,eq_c2/2)))/(s_0+3*s_r+IF(circ_int,eq_c1/2,0))),IF(((37+0.5)*(4*IF(circ_int,0,eq_c1/2)+4*IF(circ_int,0,eq_c2/2)+2*PI()*(s_0+3*s_r+IF(circ_int,eq_c1/2,0)))/INDEX(lk_legs,4))&lt;(((2*IF(circ_int,0,eq_c2/2))+(PI()*(s_0+3*s_r+IF(circ_int,eq_c1/2,0))/2))+2*IF(circ_int,0,eq_c1/2)),IF(circ_int,0,eq_c2/2)+(s_0+3*s_r+IF(circ_int,eq_c1/2,0)),IF(((37+0.5)*(4*IF(circ_int,0,eq_c1/2)+4*IF(circ_int,0,eq_c2/2)+2*PI()*(s_0+3*s_r+IF(circ_int,eq_c1/2,0)))/INDEX(lk_legs,4))&lt;((((2*IF(circ_int,0,eq_c2/2))+(PI()*(s_0+3*s_r+IF(circ_int,eq_c1/2,0))/2))+2*IF(circ_int,0,eq_c1/2))+(PI()*(s_0+3*s_r+IF(circ_int,eq_c1/2,0))/2)),IF(circ_int,0,eq_c2/2)+(s_0+3*s_r+IF(circ_int,eq_c1/2,0))*SIN(PI()/2+(((37+0.5)*(4*IF(circ_int,0,eq_c1/2)+4*IF(circ_int,0,eq_c2/2)+2*PI()*(s_0+3*s_r+IF(circ_int,eq_c1/2,0)))/INDEX(lk_legs,4))-(((2*IF(circ_int,0,eq_c2/2))+(PI()*(s_0+3*s_r+IF(circ_int,eq_c1/2,0))/2))+2*IF(circ_int,0,eq_c1/2)))/(s_0+3*s_r+IF(circ_int,eq_c1/2,0))),IF(((37+0.5)*(4*IF(circ_int,0,eq_c1/2)+4*IF(circ_int,0,eq_c2/2)+2*PI()*(s_0+3*s_r+IF(circ_int,eq_c1/2,0)))/INDEX(lk_legs,4))&lt;(((((2*IF(circ_int,0,eq_c2/2))+(PI()*(s_0+3*s_r+IF(circ_int,eq_c1/2,0))/2))+2*IF(circ_int,0,eq_c1/2))+(PI()*(s_0+3*s_r+IF(circ_int,eq_c1/2,0))/2))+2*IF(circ_int,0,eq_c2/2)),IF(circ_int,0,eq_c2/2)-(((37+0.5)*(4*IF(circ_int,0,eq_c1/2)+4*IF(circ_int,0,eq_c2/2)+2*PI()*(s_0+3*s_r+IF(circ_int,eq_c1/2,0)))/INDEX(lk_legs,4))-((((2*IF(circ_int,0,eq_c2/2))+(PI()*(s_0+3*s_r+IF(circ_int,eq_c1/2,0))/2))+2*IF(circ_int,0,eq_c1/2))+(PI()*(s_0+3*s_r+IF(circ_int,eq_c1/2,0))/2))),IF(((37+0.5)*(4*IF(circ_int,0,eq_c1/2)+4*IF(circ_int,0,eq_c2/2)+2*PI()*(s_0+3*s_r+IF(circ_int,eq_c1/2,0)))/INDEX(lk_legs,4))&lt;((((((2*IF(circ_int,0,eq_c2/2))+(PI()*(s_0+3*s_r+IF(circ_int,eq_c1/2,0))/2))+2*IF(circ_int,0,eq_c1/2))+(PI()*(s_0+3*s_r+IF(circ_int,eq_c1/2,0))/2))+2*IF(circ_int,0,eq_c2/2))+(PI()*(s_0+3*s_r+IF(circ_int,eq_c1/2,0))/2)),-IF(circ_int,0,eq_c2/2)+(s_0+3*s_r+IF(circ_int,eq_c1/2,0))*SIN(PI()+(((37+0.5)*(4*IF(circ_int,0,eq_c1/2)+4*IF(circ_int,0,eq_c2/2)+2*PI()*(s_0+3*s_r+IF(circ_int,eq_c1/2,0)))/INDEX(lk_legs,4))-(((((2*IF(circ_int,0,eq_c2/2))+(PI()*(s_0+3*s_r+IF(circ_int,eq_c1/2,0))/2))+2*IF(circ_int,0,eq_c1/2))+(PI()*(s_0+3*s_r+IF(circ_int,eq_c1/2,0))/2))+2*IF(circ_int,0,eq_c2/2)))/(s_0+3*s_r+IF(circ_int,eq_c1/2,0))),IF(((37+0.5)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(37+0.5)*(4*IF(circ_int,0,eq_c1/2)+4*IF(circ_int,0,eq_c2/2)+2*PI()*(s_0+3*s_r+IF(circ_int,eq_c1/2,0)))/INDEX(lk_legs,4))-(((((((2*IF(circ_int,0,eq_c2/2))+(PI()*(s_0+3*s_r+IF(circ_int,eq_c1/2,0))/2))+2*IF(circ_int,0,eq_c1/2))+(PI()*(s_0+3*s_r+IF(circ_int,eq_c1/2,0))/2))+2*IF(circ_int,0,eq_c2/2))+(PI()*(s_0+3*s_r+IF(circ_int,eq_c1/2,0))/2))+2*IF(circ_int,0,eq_c1/2)))/(s_0+3*s_r+IF(circ_int,eq_c1/2,0)))))))))),NA())</f>
        <v/>
      </c>
      <c r="BU40">
        <f>IF(AND(links_on,5&lt;=n_per),IF(circ_int,(g_ox)+(c_1/2+(s_0+4*s_r))*-0.239316,CHOOSE(INDEX(lk_kind,5),(g_ox-eq_c1/2)+((s_0+4*s_r))*-0.130526,0,eq_a1+eq_c1+(s_0+4*s_r),eq_a1+eq_c1+(s_0+4*s_r))),NA())</f>
        <v/>
      </c>
      <c r="BV40">
        <f>IF(AND(links_on,5&lt;=n_per),IF(circ_int,(g_oy)+(c_1/2+(s_0+4*s_r))*-0.970942,CHOOSE(INDEX(lk_kind,5),(g_oy-eq_c2/2)+((s_0+4*s_r))*-0.991445,g_oy-eq_c2/2-(s_0+4*s_r),0,0)),NA())</f>
        <v/>
      </c>
      <c r="BX40">
        <f>IF(AND(AND(links_on,5&lt;=n_per),INDEX(lk_kind,5)=1,37&lt;INDEX(lk_legs,5)),g_ox+IF(((37+0.5)*(4*IF(circ_int,0,eq_c1/2)+4*IF(circ_int,0,eq_c2/2)+2*PI()*(s_0+4*s_r+IF(circ_int,eq_c1/2,0)))/INDEX(lk_legs,5))&lt;(2*IF(circ_int,0,eq_c2/2)),IF(circ_int,0,eq_c1/2)+(s_0+4*s_r+IF(circ_int,eq_c1/2,0)),IF(((37+0.5)*(4*IF(circ_int,0,eq_c1/2)+4*IF(circ_int,0,eq_c2/2)+2*PI()*(s_0+4*s_r+IF(circ_int,eq_c1/2,0)))/INDEX(lk_legs,5))&lt;((2*IF(circ_int,0,eq_c2/2))+(PI()*(s_0+4*s_r+IF(circ_int,eq_c1/2,0))/2)),IF(circ_int,0,eq_c1/2)+(s_0+4*s_r+IF(circ_int,eq_c1/2,0))*COS((((37+0.5)*(4*IF(circ_int,0,eq_c1/2)+4*IF(circ_int,0,eq_c2/2)+2*PI()*(s_0+4*s_r+IF(circ_int,eq_c1/2,0)))/INDEX(lk_legs,5))-(2*IF(circ_int,0,eq_c2/2)))/(s_0+4*s_r+IF(circ_int,eq_c1/2,0))),IF(((37+0.5)*(4*IF(circ_int,0,eq_c1/2)+4*IF(circ_int,0,eq_c2/2)+2*PI()*(s_0+4*s_r+IF(circ_int,eq_c1/2,0)))/INDEX(lk_legs,5))&lt;(((2*IF(circ_int,0,eq_c2/2))+(PI()*(s_0+4*s_r+IF(circ_int,eq_c1/2,0))/2))+2*IF(circ_int,0,eq_c1/2)),IF(circ_int,0,eq_c1/2)-(((37+0.5)*(4*IF(circ_int,0,eq_c1/2)+4*IF(circ_int,0,eq_c2/2)+2*PI()*(s_0+4*s_r+IF(circ_int,eq_c1/2,0)))/INDEX(lk_legs,5))-((2*IF(circ_int,0,eq_c2/2))+(PI()*(s_0+4*s_r+IF(circ_int,eq_c1/2,0))/2))),IF(((37+0.5)*(4*IF(circ_int,0,eq_c1/2)+4*IF(circ_int,0,eq_c2/2)+2*PI()*(s_0+4*s_r+IF(circ_int,eq_c1/2,0)))/INDEX(lk_legs,5))&lt;((((2*IF(circ_int,0,eq_c2/2))+(PI()*(s_0+4*s_r+IF(circ_int,eq_c1/2,0))/2))+2*IF(circ_int,0,eq_c1/2))+(PI()*(s_0+4*s_r+IF(circ_int,eq_c1/2,0))/2)),-IF(circ_int,0,eq_c1/2)+(s_0+4*s_r+IF(circ_int,eq_c1/2,0))*COS(PI()/2+(((37+0.5)*(4*IF(circ_int,0,eq_c1/2)+4*IF(circ_int,0,eq_c2/2)+2*PI()*(s_0+4*s_r+IF(circ_int,eq_c1/2,0)))/INDEX(lk_legs,5))-(((2*IF(circ_int,0,eq_c2/2))+(PI()*(s_0+4*s_r+IF(circ_int,eq_c1/2,0))/2))+2*IF(circ_int,0,eq_c1/2)))/(s_0+4*s_r+IF(circ_int,eq_c1/2,0))),IF(((37+0.5)*(4*IF(circ_int,0,eq_c1/2)+4*IF(circ_int,0,eq_c2/2)+2*PI()*(s_0+4*s_r+IF(circ_int,eq_c1/2,0)))/INDEX(lk_legs,5))&lt;(((((2*IF(circ_int,0,eq_c2/2))+(PI()*(s_0+4*s_r+IF(circ_int,eq_c1/2,0))/2))+2*IF(circ_int,0,eq_c1/2))+(PI()*(s_0+4*s_r+IF(circ_int,eq_c1/2,0))/2))+2*IF(circ_int,0,eq_c2/2)),-IF(circ_int,0,eq_c1/2)-(s_0+4*s_r+IF(circ_int,eq_c1/2,0)),IF(((37+0.5)*(4*IF(circ_int,0,eq_c1/2)+4*IF(circ_int,0,eq_c2/2)+2*PI()*(s_0+4*s_r+IF(circ_int,eq_c1/2,0)))/INDEX(lk_legs,5))&lt;((((((2*IF(circ_int,0,eq_c2/2))+(PI()*(s_0+4*s_r+IF(circ_int,eq_c1/2,0))/2))+2*IF(circ_int,0,eq_c1/2))+(PI()*(s_0+4*s_r+IF(circ_int,eq_c1/2,0))/2))+2*IF(circ_int,0,eq_c2/2))+(PI()*(s_0+4*s_r+IF(circ_int,eq_c1/2,0))/2)),-IF(circ_int,0,eq_c1/2)+(s_0+4*s_r+IF(circ_int,eq_c1/2,0))*COS(PI()+(((37+0.5)*(4*IF(circ_int,0,eq_c1/2)+4*IF(circ_int,0,eq_c2/2)+2*PI()*(s_0+4*s_r+IF(circ_int,eq_c1/2,0)))/INDEX(lk_legs,5))-(((((2*IF(circ_int,0,eq_c2/2))+(PI()*(s_0+4*s_r+IF(circ_int,eq_c1/2,0))/2))+2*IF(circ_int,0,eq_c1/2))+(PI()*(s_0+4*s_r+IF(circ_int,eq_c1/2,0))/2))+2*IF(circ_int,0,eq_c2/2)))/(s_0+4*s_r+IF(circ_int,eq_c1/2,0))),IF(((37+0.5)*(4*IF(circ_int,0,eq_c1/2)+4*IF(circ_int,0,eq_c2/2)+2*PI()*(s_0+4*s_r+IF(circ_int,eq_c1/2,0)))/INDEX(lk_legs,5))&lt;(((((((2*IF(circ_int,0,eq_c2/2))+(PI()*(s_0+4*s_r+IF(circ_int,eq_c1/2,0))/2))+2*IF(circ_int,0,eq_c1/2))+(PI()*(s_0+4*s_r+IF(circ_int,eq_c1/2,0))/2))+2*IF(circ_int,0,eq_c2/2))+(PI()*(s_0+4*s_r+IF(circ_int,eq_c1/2,0))/2))+2*IF(circ_int,0,eq_c1/2)),-IF(circ_int,0,eq_c1/2)+(((37+0.5)*(4*IF(circ_int,0,eq_c1/2)+4*IF(circ_int,0,eq_c2/2)+2*PI()*(s_0+4*s_r+IF(circ_int,eq_c1/2,0)))/INDEX(lk_legs,5))-((((((2*IF(circ_int,0,eq_c2/2))+(PI()*(s_0+4*s_r+IF(circ_int,eq_c1/2,0))/2))+2*IF(circ_int,0,eq_c1/2))+(PI()*(s_0+4*s_r+IF(circ_int,eq_c1/2,0))/2))+2*IF(circ_int,0,eq_c2/2))+(PI()*(s_0+4*s_r+IF(circ_int,eq_c1/2,0))/2))),IF(circ_int,0,eq_c1/2)+(s_0+4*s_r+IF(circ_int,eq_c1/2,0))*COS(3*PI()/2+(((37+0.5)*(4*IF(circ_int,0,eq_c1/2)+4*IF(circ_int,0,eq_c2/2)+2*PI()*(s_0+4*s_r+IF(circ_int,eq_c1/2,0)))/INDEX(lk_legs,5))-(((((((2*IF(circ_int,0,eq_c2/2))+(PI()*(s_0+4*s_r+IF(circ_int,eq_c1/2,0))/2))+2*IF(circ_int,0,eq_c1/2))+(PI()*(s_0+4*s_r+IF(circ_int,eq_c1/2,0))/2))+2*IF(circ_int,0,eq_c2/2))+(PI()*(s_0+4*s_r+IF(circ_int,eq_c1/2,0))/2))+2*IF(circ_int,0,eq_c1/2)))/(s_0+4*s_r+IF(circ_int,eq_c1/2,0)))))))))),NA())</f>
        <v/>
      </c>
      <c r="BY40">
        <f>IF(AND(AND(links_on,5&lt;=n_per),INDEX(lk_kind,5)=1,37&lt;INDEX(lk_legs,5)),g_oy+IF(((37+0.5)*(4*IF(circ_int,0,eq_c1/2)+4*IF(circ_int,0,eq_c2/2)+2*PI()*(s_0+4*s_r+IF(circ_int,eq_c1/2,0)))/INDEX(lk_legs,5))&lt;(2*IF(circ_int,0,eq_c2/2)),-IF(circ_int,0,eq_c2/2)+((37+0.5)*(4*IF(circ_int,0,eq_c1/2)+4*IF(circ_int,0,eq_c2/2)+2*PI()*(s_0+4*s_r+IF(circ_int,eq_c1/2,0)))/INDEX(lk_legs,5)),IF(((37+0.5)*(4*IF(circ_int,0,eq_c1/2)+4*IF(circ_int,0,eq_c2/2)+2*PI()*(s_0+4*s_r+IF(circ_int,eq_c1/2,0)))/INDEX(lk_legs,5))&lt;((2*IF(circ_int,0,eq_c2/2))+(PI()*(s_0+4*s_r+IF(circ_int,eq_c1/2,0))/2)),IF(circ_int,0,eq_c2/2)+(s_0+4*s_r+IF(circ_int,eq_c1/2,0))*SIN((((37+0.5)*(4*IF(circ_int,0,eq_c1/2)+4*IF(circ_int,0,eq_c2/2)+2*PI()*(s_0+4*s_r+IF(circ_int,eq_c1/2,0)))/INDEX(lk_legs,5))-(2*IF(circ_int,0,eq_c2/2)))/(s_0+4*s_r+IF(circ_int,eq_c1/2,0))),IF(((37+0.5)*(4*IF(circ_int,0,eq_c1/2)+4*IF(circ_int,0,eq_c2/2)+2*PI()*(s_0+4*s_r+IF(circ_int,eq_c1/2,0)))/INDEX(lk_legs,5))&lt;(((2*IF(circ_int,0,eq_c2/2))+(PI()*(s_0+4*s_r+IF(circ_int,eq_c1/2,0))/2))+2*IF(circ_int,0,eq_c1/2)),IF(circ_int,0,eq_c2/2)+(s_0+4*s_r+IF(circ_int,eq_c1/2,0)),IF(((37+0.5)*(4*IF(circ_int,0,eq_c1/2)+4*IF(circ_int,0,eq_c2/2)+2*PI()*(s_0+4*s_r+IF(circ_int,eq_c1/2,0)))/INDEX(lk_legs,5))&lt;((((2*IF(circ_int,0,eq_c2/2))+(PI()*(s_0+4*s_r+IF(circ_int,eq_c1/2,0))/2))+2*IF(circ_int,0,eq_c1/2))+(PI()*(s_0+4*s_r+IF(circ_int,eq_c1/2,0))/2)),IF(circ_int,0,eq_c2/2)+(s_0+4*s_r+IF(circ_int,eq_c1/2,0))*SIN(PI()/2+(((37+0.5)*(4*IF(circ_int,0,eq_c1/2)+4*IF(circ_int,0,eq_c2/2)+2*PI()*(s_0+4*s_r+IF(circ_int,eq_c1/2,0)))/INDEX(lk_legs,5))-(((2*IF(circ_int,0,eq_c2/2))+(PI()*(s_0+4*s_r+IF(circ_int,eq_c1/2,0))/2))+2*IF(circ_int,0,eq_c1/2)))/(s_0+4*s_r+IF(circ_int,eq_c1/2,0))),IF(((37+0.5)*(4*IF(circ_int,0,eq_c1/2)+4*IF(circ_int,0,eq_c2/2)+2*PI()*(s_0+4*s_r+IF(circ_int,eq_c1/2,0)))/INDEX(lk_legs,5))&lt;(((((2*IF(circ_int,0,eq_c2/2))+(PI()*(s_0+4*s_r+IF(circ_int,eq_c1/2,0))/2))+2*IF(circ_int,0,eq_c1/2))+(PI()*(s_0+4*s_r+IF(circ_int,eq_c1/2,0))/2))+2*IF(circ_int,0,eq_c2/2)),IF(circ_int,0,eq_c2/2)-(((37+0.5)*(4*IF(circ_int,0,eq_c1/2)+4*IF(circ_int,0,eq_c2/2)+2*PI()*(s_0+4*s_r+IF(circ_int,eq_c1/2,0)))/INDEX(lk_legs,5))-((((2*IF(circ_int,0,eq_c2/2))+(PI()*(s_0+4*s_r+IF(circ_int,eq_c1/2,0))/2))+2*IF(circ_int,0,eq_c1/2))+(PI()*(s_0+4*s_r+IF(circ_int,eq_c1/2,0))/2))),IF(((37+0.5)*(4*IF(circ_int,0,eq_c1/2)+4*IF(circ_int,0,eq_c2/2)+2*PI()*(s_0+4*s_r+IF(circ_int,eq_c1/2,0)))/INDEX(lk_legs,5))&lt;((((((2*IF(circ_int,0,eq_c2/2))+(PI()*(s_0+4*s_r+IF(circ_int,eq_c1/2,0))/2))+2*IF(circ_int,0,eq_c1/2))+(PI()*(s_0+4*s_r+IF(circ_int,eq_c1/2,0))/2))+2*IF(circ_int,0,eq_c2/2))+(PI()*(s_0+4*s_r+IF(circ_int,eq_c1/2,0))/2)),-IF(circ_int,0,eq_c2/2)+(s_0+4*s_r+IF(circ_int,eq_c1/2,0))*SIN(PI()+(((37+0.5)*(4*IF(circ_int,0,eq_c1/2)+4*IF(circ_int,0,eq_c2/2)+2*PI()*(s_0+4*s_r+IF(circ_int,eq_c1/2,0)))/INDEX(lk_legs,5))-(((((2*IF(circ_int,0,eq_c2/2))+(PI()*(s_0+4*s_r+IF(circ_int,eq_c1/2,0))/2))+2*IF(circ_int,0,eq_c1/2))+(PI()*(s_0+4*s_r+IF(circ_int,eq_c1/2,0))/2))+2*IF(circ_int,0,eq_c2/2)))/(s_0+4*s_r+IF(circ_int,eq_c1/2,0))),IF(((37+0.5)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(37+0.5)*(4*IF(circ_int,0,eq_c1/2)+4*IF(circ_int,0,eq_c2/2)+2*PI()*(s_0+4*s_r+IF(circ_int,eq_c1/2,0)))/INDEX(lk_legs,5))-(((((((2*IF(circ_int,0,eq_c2/2))+(PI()*(s_0+4*s_r+IF(circ_int,eq_c1/2,0))/2))+2*IF(circ_int,0,eq_c1/2))+(PI()*(s_0+4*s_r+IF(circ_int,eq_c1/2,0))/2))+2*IF(circ_int,0,eq_c2/2))+(PI()*(s_0+4*s_r+IF(circ_int,eq_c1/2,0))/2))+2*IF(circ_int,0,eq_c1/2)))/(s_0+4*s_r+IF(circ_int,eq_c1/2,0)))))))))),NA())</f>
        <v/>
      </c>
      <c r="CA40">
        <f>IF(AND(links_on,6&lt;=n_per),IF(circ_int,(g_ox)+(c_1/2+(s_0+5*s_r))*-0.239316,CHOOSE(INDEX(lk_kind,6),(g_ox-eq_c1/2)+((s_0+5*s_r))*-0.130526,0,eq_a1+eq_c1+(s_0+5*s_r),eq_a1+eq_c1+(s_0+5*s_r))),NA())</f>
        <v/>
      </c>
      <c r="CB40">
        <f>IF(AND(links_on,6&lt;=n_per),IF(circ_int,(g_oy)+(c_1/2+(s_0+5*s_r))*-0.970942,CHOOSE(INDEX(lk_kind,6),(g_oy-eq_c2/2)+((s_0+5*s_r))*-0.991445,g_oy-eq_c2/2-(s_0+5*s_r),0,0)),NA())</f>
        <v/>
      </c>
      <c r="CD40">
        <f>IF(AND(AND(links_on,6&lt;=n_per),INDEX(lk_kind,6)=1,37&lt;INDEX(lk_legs,6)),g_ox+IF(((37+0.5)*(4*IF(circ_int,0,eq_c1/2)+4*IF(circ_int,0,eq_c2/2)+2*PI()*(s_0+5*s_r+IF(circ_int,eq_c1/2,0)))/INDEX(lk_legs,6))&lt;(2*IF(circ_int,0,eq_c2/2)),IF(circ_int,0,eq_c1/2)+(s_0+5*s_r+IF(circ_int,eq_c1/2,0)),IF(((37+0.5)*(4*IF(circ_int,0,eq_c1/2)+4*IF(circ_int,0,eq_c2/2)+2*PI()*(s_0+5*s_r+IF(circ_int,eq_c1/2,0)))/INDEX(lk_legs,6))&lt;((2*IF(circ_int,0,eq_c2/2))+(PI()*(s_0+5*s_r+IF(circ_int,eq_c1/2,0))/2)),IF(circ_int,0,eq_c1/2)+(s_0+5*s_r+IF(circ_int,eq_c1/2,0))*COS((((37+0.5)*(4*IF(circ_int,0,eq_c1/2)+4*IF(circ_int,0,eq_c2/2)+2*PI()*(s_0+5*s_r+IF(circ_int,eq_c1/2,0)))/INDEX(lk_legs,6))-(2*IF(circ_int,0,eq_c2/2)))/(s_0+5*s_r+IF(circ_int,eq_c1/2,0))),IF(((37+0.5)*(4*IF(circ_int,0,eq_c1/2)+4*IF(circ_int,0,eq_c2/2)+2*PI()*(s_0+5*s_r+IF(circ_int,eq_c1/2,0)))/INDEX(lk_legs,6))&lt;(((2*IF(circ_int,0,eq_c2/2))+(PI()*(s_0+5*s_r+IF(circ_int,eq_c1/2,0))/2))+2*IF(circ_int,0,eq_c1/2)),IF(circ_int,0,eq_c1/2)-(((37+0.5)*(4*IF(circ_int,0,eq_c1/2)+4*IF(circ_int,0,eq_c2/2)+2*PI()*(s_0+5*s_r+IF(circ_int,eq_c1/2,0)))/INDEX(lk_legs,6))-((2*IF(circ_int,0,eq_c2/2))+(PI()*(s_0+5*s_r+IF(circ_int,eq_c1/2,0))/2))),IF(((37+0.5)*(4*IF(circ_int,0,eq_c1/2)+4*IF(circ_int,0,eq_c2/2)+2*PI()*(s_0+5*s_r+IF(circ_int,eq_c1/2,0)))/INDEX(lk_legs,6))&lt;((((2*IF(circ_int,0,eq_c2/2))+(PI()*(s_0+5*s_r+IF(circ_int,eq_c1/2,0))/2))+2*IF(circ_int,0,eq_c1/2))+(PI()*(s_0+5*s_r+IF(circ_int,eq_c1/2,0))/2)),-IF(circ_int,0,eq_c1/2)+(s_0+5*s_r+IF(circ_int,eq_c1/2,0))*COS(PI()/2+(((37+0.5)*(4*IF(circ_int,0,eq_c1/2)+4*IF(circ_int,0,eq_c2/2)+2*PI()*(s_0+5*s_r+IF(circ_int,eq_c1/2,0)))/INDEX(lk_legs,6))-(((2*IF(circ_int,0,eq_c2/2))+(PI()*(s_0+5*s_r+IF(circ_int,eq_c1/2,0))/2))+2*IF(circ_int,0,eq_c1/2)))/(s_0+5*s_r+IF(circ_int,eq_c1/2,0))),IF(((37+0.5)*(4*IF(circ_int,0,eq_c1/2)+4*IF(circ_int,0,eq_c2/2)+2*PI()*(s_0+5*s_r+IF(circ_int,eq_c1/2,0)))/INDEX(lk_legs,6))&lt;(((((2*IF(circ_int,0,eq_c2/2))+(PI()*(s_0+5*s_r+IF(circ_int,eq_c1/2,0))/2))+2*IF(circ_int,0,eq_c1/2))+(PI()*(s_0+5*s_r+IF(circ_int,eq_c1/2,0))/2))+2*IF(circ_int,0,eq_c2/2)),-IF(circ_int,0,eq_c1/2)-(s_0+5*s_r+IF(circ_int,eq_c1/2,0)),IF(((37+0.5)*(4*IF(circ_int,0,eq_c1/2)+4*IF(circ_int,0,eq_c2/2)+2*PI()*(s_0+5*s_r+IF(circ_int,eq_c1/2,0)))/INDEX(lk_legs,6))&lt;((((((2*IF(circ_int,0,eq_c2/2))+(PI()*(s_0+5*s_r+IF(circ_int,eq_c1/2,0))/2))+2*IF(circ_int,0,eq_c1/2))+(PI()*(s_0+5*s_r+IF(circ_int,eq_c1/2,0))/2))+2*IF(circ_int,0,eq_c2/2))+(PI()*(s_0+5*s_r+IF(circ_int,eq_c1/2,0))/2)),-IF(circ_int,0,eq_c1/2)+(s_0+5*s_r+IF(circ_int,eq_c1/2,0))*COS(PI()+(((37+0.5)*(4*IF(circ_int,0,eq_c1/2)+4*IF(circ_int,0,eq_c2/2)+2*PI()*(s_0+5*s_r+IF(circ_int,eq_c1/2,0)))/INDEX(lk_legs,6))-(((((2*IF(circ_int,0,eq_c2/2))+(PI()*(s_0+5*s_r+IF(circ_int,eq_c1/2,0))/2))+2*IF(circ_int,0,eq_c1/2))+(PI()*(s_0+5*s_r+IF(circ_int,eq_c1/2,0))/2))+2*IF(circ_int,0,eq_c2/2)))/(s_0+5*s_r+IF(circ_int,eq_c1/2,0))),IF(((37+0.5)*(4*IF(circ_int,0,eq_c1/2)+4*IF(circ_int,0,eq_c2/2)+2*PI()*(s_0+5*s_r+IF(circ_int,eq_c1/2,0)))/INDEX(lk_legs,6))&lt;(((((((2*IF(circ_int,0,eq_c2/2))+(PI()*(s_0+5*s_r+IF(circ_int,eq_c1/2,0))/2))+2*IF(circ_int,0,eq_c1/2))+(PI()*(s_0+5*s_r+IF(circ_int,eq_c1/2,0))/2))+2*IF(circ_int,0,eq_c2/2))+(PI()*(s_0+5*s_r+IF(circ_int,eq_c1/2,0))/2))+2*IF(circ_int,0,eq_c1/2)),-IF(circ_int,0,eq_c1/2)+(((37+0.5)*(4*IF(circ_int,0,eq_c1/2)+4*IF(circ_int,0,eq_c2/2)+2*PI()*(s_0+5*s_r+IF(circ_int,eq_c1/2,0)))/INDEX(lk_legs,6))-((((((2*IF(circ_int,0,eq_c2/2))+(PI()*(s_0+5*s_r+IF(circ_int,eq_c1/2,0))/2))+2*IF(circ_int,0,eq_c1/2))+(PI()*(s_0+5*s_r+IF(circ_int,eq_c1/2,0))/2))+2*IF(circ_int,0,eq_c2/2))+(PI()*(s_0+5*s_r+IF(circ_int,eq_c1/2,0))/2))),IF(circ_int,0,eq_c1/2)+(s_0+5*s_r+IF(circ_int,eq_c1/2,0))*COS(3*PI()/2+(((37+0.5)*(4*IF(circ_int,0,eq_c1/2)+4*IF(circ_int,0,eq_c2/2)+2*PI()*(s_0+5*s_r+IF(circ_int,eq_c1/2,0)))/INDEX(lk_legs,6))-(((((((2*IF(circ_int,0,eq_c2/2))+(PI()*(s_0+5*s_r+IF(circ_int,eq_c1/2,0))/2))+2*IF(circ_int,0,eq_c1/2))+(PI()*(s_0+5*s_r+IF(circ_int,eq_c1/2,0))/2))+2*IF(circ_int,0,eq_c2/2))+(PI()*(s_0+5*s_r+IF(circ_int,eq_c1/2,0))/2))+2*IF(circ_int,0,eq_c1/2)))/(s_0+5*s_r+IF(circ_int,eq_c1/2,0)))))))))),NA())</f>
        <v/>
      </c>
      <c r="CE40">
        <f>IF(AND(AND(links_on,6&lt;=n_per),INDEX(lk_kind,6)=1,37&lt;INDEX(lk_legs,6)),g_oy+IF(((37+0.5)*(4*IF(circ_int,0,eq_c1/2)+4*IF(circ_int,0,eq_c2/2)+2*PI()*(s_0+5*s_r+IF(circ_int,eq_c1/2,0)))/INDEX(lk_legs,6))&lt;(2*IF(circ_int,0,eq_c2/2)),-IF(circ_int,0,eq_c2/2)+((37+0.5)*(4*IF(circ_int,0,eq_c1/2)+4*IF(circ_int,0,eq_c2/2)+2*PI()*(s_0+5*s_r+IF(circ_int,eq_c1/2,0)))/INDEX(lk_legs,6)),IF(((37+0.5)*(4*IF(circ_int,0,eq_c1/2)+4*IF(circ_int,0,eq_c2/2)+2*PI()*(s_0+5*s_r+IF(circ_int,eq_c1/2,0)))/INDEX(lk_legs,6))&lt;((2*IF(circ_int,0,eq_c2/2))+(PI()*(s_0+5*s_r+IF(circ_int,eq_c1/2,0))/2)),IF(circ_int,0,eq_c2/2)+(s_0+5*s_r+IF(circ_int,eq_c1/2,0))*SIN((((37+0.5)*(4*IF(circ_int,0,eq_c1/2)+4*IF(circ_int,0,eq_c2/2)+2*PI()*(s_0+5*s_r+IF(circ_int,eq_c1/2,0)))/INDEX(lk_legs,6))-(2*IF(circ_int,0,eq_c2/2)))/(s_0+5*s_r+IF(circ_int,eq_c1/2,0))),IF(((37+0.5)*(4*IF(circ_int,0,eq_c1/2)+4*IF(circ_int,0,eq_c2/2)+2*PI()*(s_0+5*s_r+IF(circ_int,eq_c1/2,0)))/INDEX(lk_legs,6))&lt;(((2*IF(circ_int,0,eq_c2/2))+(PI()*(s_0+5*s_r+IF(circ_int,eq_c1/2,0))/2))+2*IF(circ_int,0,eq_c1/2)),IF(circ_int,0,eq_c2/2)+(s_0+5*s_r+IF(circ_int,eq_c1/2,0)),IF(((37+0.5)*(4*IF(circ_int,0,eq_c1/2)+4*IF(circ_int,0,eq_c2/2)+2*PI()*(s_0+5*s_r+IF(circ_int,eq_c1/2,0)))/INDEX(lk_legs,6))&lt;((((2*IF(circ_int,0,eq_c2/2))+(PI()*(s_0+5*s_r+IF(circ_int,eq_c1/2,0))/2))+2*IF(circ_int,0,eq_c1/2))+(PI()*(s_0+5*s_r+IF(circ_int,eq_c1/2,0))/2)),IF(circ_int,0,eq_c2/2)+(s_0+5*s_r+IF(circ_int,eq_c1/2,0))*SIN(PI()/2+(((37+0.5)*(4*IF(circ_int,0,eq_c1/2)+4*IF(circ_int,0,eq_c2/2)+2*PI()*(s_0+5*s_r+IF(circ_int,eq_c1/2,0)))/INDEX(lk_legs,6))-(((2*IF(circ_int,0,eq_c2/2))+(PI()*(s_0+5*s_r+IF(circ_int,eq_c1/2,0))/2))+2*IF(circ_int,0,eq_c1/2)))/(s_0+5*s_r+IF(circ_int,eq_c1/2,0))),IF(((37+0.5)*(4*IF(circ_int,0,eq_c1/2)+4*IF(circ_int,0,eq_c2/2)+2*PI()*(s_0+5*s_r+IF(circ_int,eq_c1/2,0)))/INDEX(lk_legs,6))&lt;(((((2*IF(circ_int,0,eq_c2/2))+(PI()*(s_0+5*s_r+IF(circ_int,eq_c1/2,0))/2))+2*IF(circ_int,0,eq_c1/2))+(PI()*(s_0+5*s_r+IF(circ_int,eq_c1/2,0))/2))+2*IF(circ_int,0,eq_c2/2)),IF(circ_int,0,eq_c2/2)-(((37+0.5)*(4*IF(circ_int,0,eq_c1/2)+4*IF(circ_int,0,eq_c2/2)+2*PI()*(s_0+5*s_r+IF(circ_int,eq_c1/2,0)))/INDEX(lk_legs,6))-((((2*IF(circ_int,0,eq_c2/2))+(PI()*(s_0+5*s_r+IF(circ_int,eq_c1/2,0))/2))+2*IF(circ_int,0,eq_c1/2))+(PI()*(s_0+5*s_r+IF(circ_int,eq_c1/2,0))/2))),IF(((37+0.5)*(4*IF(circ_int,0,eq_c1/2)+4*IF(circ_int,0,eq_c2/2)+2*PI()*(s_0+5*s_r+IF(circ_int,eq_c1/2,0)))/INDEX(lk_legs,6))&lt;((((((2*IF(circ_int,0,eq_c2/2))+(PI()*(s_0+5*s_r+IF(circ_int,eq_c1/2,0))/2))+2*IF(circ_int,0,eq_c1/2))+(PI()*(s_0+5*s_r+IF(circ_int,eq_c1/2,0))/2))+2*IF(circ_int,0,eq_c2/2))+(PI()*(s_0+5*s_r+IF(circ_int,eq_c1/2,0))/2)),-IF(circ_int,0,eq_c2/2)+(s_0+5*s_r+IF(circ_int,eq_c1/2,0))*SIN(PI()+(((37+0.5)*(4*IF(circ_int,0,eq_c1/2)+4*IF(circ_int,0,eq_c2/2)+2*PI()*(s_0+5*s_r+IF(circ_int,eq_c1/2,0)))/INDEX(lk_legs,6))-(((((2*IF(circ_int,0,eq_c2/2))+(PI()*(s_0+5*s_r+IF(circ_int,eq_c1/2,0))/2))+2*IF(circ_int,0,eq_c1/2))+(PI()*(s_0+5*s_r+IF(circ_int,eq_c1/2,0))/2))+2*IF(circ_int,0,eq_c2/2)))/(s_0+5*s_r+IF(circ_int,eq_c1/2,0))),IF(((37+0.5)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(37+0.5)*(4*IF(circ_int,0,eq_c1/2)+4*IF(circ_int,0,eq_c2/2)+2*PI()*(s_0+5*s_r+IF(circ_int,eq_c1/2,0)))/INDEX(lk_legs,6))-(((((((2*IF(circ_int,0,eq_c2/2))+(PI()*(s_0+5*s_r+IF(circ_int,eq_c1/2,0))/2))+2*IF(circ_int,0,eq_c1/2))+(PI()*(s_0+5*s_r+IF(circ_int,eq_c1/2,0))/2))+2*IF(circ_int,0,eq_c2/2))+(PI()*(s_0+5*s_r+IF(circ_int,eq_c1/2,0))/2))+2*IF(circ_int,0,eq_c1/2)))/(s_0+5*s_r+IF(circ_int,eq_c1/2,0)))))))))),NA())</f>
        <v/>
      </c>
      <c r="CG40">
        <f>IF(AND(links_on,7&lt;=n_per),IF(circ_int,(g_ox)+(c_1/2+(s_0+6*s_r))*-0.239316,CHOOSE(INDEX(lk_kind,7),(g_ox-eq_c1/2)+((s_0+6*s_r))*-0.130526,0,eq_a1+eq_c1+(s_0+6*s_r),eq_a1+eq_c1+(s_0+6*s_r))),NA())</f>
        <v/>
      </c>
      <c r="CH40">
        <f>IF(AND(links_on,7&lt;=n_per),IF(circ_int,(g_oy)+(c_1/2+(s_0+6*s_r))*-0.970942,CHOOSE(INDEX(lk_kind,7),(g_oy-eq_c2/2)+((s_0+6*s_r))*-0.991445,g_oy-eq_c2/2-(s_0+6*s_r),0,0)),NA())</f>
        <v/>
      </c>
      <c r="CJ40">
        <f>IF(AND(AND(links_on,7&lt;=n_per),INDEX(lk_kind,7)=1,37&lt;INDEX(lk_legs,7)),g_ox+IF(((37+0.5)*(4*IF(circ_int,0,eq_c1/2)+4*IF(circ_int,0,eq_c2/2)+2*PI()*(s_0+6*s_r+IF(circ_int,eq_c1/2,0)))/INDEX(lk_legs,7))&lt;(2*IF(circ_int,0,eq_c2/2)),IF(circ_int,0,eq_c1/2)+(s_0+6*s_r+IF(circ_int,eq_c1/2,0)),IF(((37+0.5)*(4*IF(circ_int,0,eq_c1/2)+4*IF(circ_int,0,eq_c2/2)+2*PI()*(s_0+6*s_r+IF(circ_int,eq_c1/2,0)))/INDEX(lk_legs,7))&lt;((2*IF(circ_int,0,eq_c2/2))+(PI()*(s_0+6*s_r+IF(circ_int,eq_c1/2,0))/2)),IF(circ_int,0,eq_c1/2)+(s_0+6*s_r+IF(circ_int,eq_c1/2,0))*COS((((37+0.5)*(4*IF(circ_int,0,eq_c1/2)+4*IF(circ_int,0,eq_c2/2)+2*PI()*(s_0+6*s_r+IF(circ_int,eq_c1/2,0)))/INDEX(lk_legs,7))-(2*IF(circ_int,0,eq_c2/2)))/(s_0+6*s_r+IF(circ_int,eq_c1/2,0))),IF(((37+0.5)*(4*IF(circ_int,0,eq_c1/2)+4*IF(circ_int,0,eq_c2/2)+2*PI()*(s_0+6*s_r+IF(circ_int,eq_c1/2,0)))/INDEX(lk_legs,7))&lt;(((2*IF(circ_int,0,eq_c2/2))+(PI()*(s_0+6*s_r+IF(circ_int,eq_c1/2,0))/2))+2*IF(circ_int,0,eq_c1/2)),IF(circ_int,0,eq_c1/2)-(((37+0.5)*(4*IF(circ_int,0,eq_c1/2)+4*IF(circ_int,0,eq_c2/2)+2*PI()*(s_0+6*s_r+IF(circ_int,eq_c1/2,0)))/INDEX(lk_legs,7))-((2*IF(circ_int,0,eq_c2/2))+(PI()*(s_0+6*s_r+IF(circ_int,eq_c1/2,0))/2))),IF(((37+0.5)*(4*IF(circ_int,0,eq_c1/2)+4*IF(circ_int,0,eq_c2/2)+2*PI()*(s_0+6*s_r+IF(circ_int,eq_c1/2,0)))/INDEX(lk_legs,7))&lt;((((2*IF(circ_int,0,eq_c2/2))+(PI()*(s_0+6*s_r+IF(circ_int,eq_c1/2,0))/2))+2*IF(circ_int,0,eq_c1/2))+(PI()*(s_0+6*s_r+IF(circ_int,eq_c1/2,0))/2)),-IF(circ_int,0,eq_c1/2)+(s_0+6*s_r+IF(circ_int,eq_c1/2,0))*COS(PI()/2+(((37+0.5)*(4*IF(circ_int,0,eq_c1/2)+4*IF(circ_int,0,eq_c2/2)+2*PI()*(s_0+6*s_r+IF(circ_int,eq_c1/2,0)))/INDEX(lk_legs,7))-(((2*IF(circ_int,0,eq_c2/2))+(PI()*(s_0+6*s_r+IF(circ_int,eq_c1/2,0))/2))+2*IF(circ_int,0,eq_c1/2)))/(s_0+6*s_r+IF(circ_int,eq_c1/2,0))),IF(((37+0.5)*(4*IF(circ_int,0,eq_c1/2)+4*IF(circ_int,0,eq_c2/2)+2*PI()*(s_0+6*s_r+IF(circ_int,eq_c1/2,0)))/INDEX(lk_legs,7))&lt;(((((2*IF(circ_int,0,eq_c2/2))+(PI()*(s_0+6*s_r+IF(circ_int,eq_c1/2,0))/2))+2*IF(circ_int,0,eq_c1/2))+(PI()*(s_0+6*s_r+IF(circ_int,eq_c1/2,0))/2))+2*IF(circ_int,0,eq_c2/2)),-IF(circ_int,0,eq_c1/2)-(s_0+6*s_r+IF(circ_int,eq_c1/2,0)),IF(((37+0.5)*(4*IF(circ_int,0,eq_c1/2)+4*IF(circ_int,0,eq_c2/2)+2*PI()*(s_0+6*s_r+IF(circ_int,eq_c1/2,0)))/INDEX(lk_legs,7))&lt;((((((2*IF(circ_int,0,eq_c2/2))+(PI()*(s_0+6*s_r+IF(circ_int,eq_c1/2,0))/2))+2*IF(circ_int,0,eq_c1/2))+(PI()*(s_0+6*s_r+IF(circ_int,eq_c1/2,0))/2))+2*IF(circ_int,0,eq_c2/2))+(PI()*(s_0+6*s_r+IF(circ_int,eq_c1/2,0))/2)),-IF(circ_int,0,eq_c1/2)+(s_0+6*s_r+IF(circ_int,eq_c1/2,0))*COS(PI()+(((37+0.5)*(4*IF(circ_int,0,eq_c1/2)+4*IF(circ_int,0,eq_c2/2)+2*PI()*(s_0+6*s_r+IF(circ_int,eq_c1/2,0)))/INDEX(lk_legs,7))-(((((2*IF(circ_int,0,eq_c2/2))+(PI()*(s_0+6*s_r+IF(circ_int,eq_c1/2,0))/2))+2*IF(circ_int,0,eq_c1/2))+(PI()*(s_0+6*s_r+IF(circ_int,eq_c1/2,0))/2))+2*IF(circ_int,0,eq_c2/2)))/(s_0+6*s_r+IF(circ_int,eq_c1/2,0))),IF(((37+0.5)*(4*IF(circ_int,0,eq_c1/2)+4*IF(circ_int,0,eq_c2/2)+2*PI()*(s_0+6*s_r+IF(circ_int,eq_c1/2,0)))/INDEX(lk_legs,7))&lt;(((((((2*IF(circ_int,0,eq_c2/2))+(PI()*(s_0+6*s_r+IF(circ_int,eq_c1/2,0))/2))+2*IF(circ_int,0,eq_c1/2))+(PI()*(s_0+6*s_r+IF(circ_int,eq_c1/2,0))/2))+2*IF(circ_int,0,eq_c2/2))+(PI()*(s_0+6*s_r+IF(circ_int,eq_c1/2,0))/2))+2*IF(circ_int,0,eq_c1/2)),-IF(circ_int,0,eq_c1/2)+(((37+0.5)*(4*IF(circ_int,0,eq_c1/2)+4*IF(circ_int,0,eq_c2/2)+2*PI()*(s_0+6*s_r+IF(circ_int,eq_c1/2,0)))/INDEX(lk_legs,7))-((((((2*IF(circ_int,0,eq_c2/2))+(PI()*(s_0+6*s_r+IF(circ_int,eq_c1/2,0))/2))+2*IF(circ_int,0,eq_c1/2))+(PI()*(s_0+6*s_r+IF(circ_int,eq_c1/2,0))/2))+2*IF(circ_int,0,eq_c2/2))+(PI()*(s_0+6*s_r+IF(circ_int,eq_c1/2,0))/2))),IF(circ_int,0,eq_c1/2)+(s_0+6*s_r+IF(circ_int,eq_c1/2,0))*COS(3*PI()/2+(((37+0.5)*(4*IF(circ_int,0,eq_c1/2)+4*IF(circ_int,0,eq_c2/2)+2*PI()*(s_0+6*s_r+IF(circ_int,eq_c1/2,0)))/INDEX(lk_legs,7))-(((((((2*IF(circ_int,0,eq_c2/2))+(PI()*(s_0+6*s_r+IF(circ_int,eq_c1/2,0))/2))+2*IF(circ_int,0,eq_c1/2))+(PI()*(s_0+6*s_r+IF(circ_int,eq_c1/2,0))/2))+2*IF(circ_int,0,eq_c2/2))+(PI()*(s_0+6*s_r+IF(circ_int,eq_c1/2,0))/2))+2*IF(circ_int,0,eq_c1/2)))/(s_0+6*s_r+IF(circ_int,eq_c1/2,0)))))))))),NA())</f>
        <v/>
      </c>
      <c r="CK40">
        <f>IF(AND(AND(links_on,7&lt;=n_per),INDEX(lk_kind,7)=1,37&lt;INDEX(lk_legs,7)),g_oy+IF(((37+0.5)*(4*IF(circ_int,0,eq_c1/2)+4*IF(circ_int,0,eq_c2/2)+2*PI()*(s_0+6*s_r+IF(circ_int,eq_c1/2,0)))/INDEX(lk_legs,7))&lt;(2*IF(circ_int,0,eq_c2/2)),-IF(circ_int,0,eq_c2/2)+((37+0.5)*(4*IF(circ_int,0,eq_c1/2)+4*IF(circ_int,0,eq_c2/2)+2*PI()*(s_0+6*s_r+IF(circ_int,eq_c1/2,0)))/INDEX(lk_legs,7)),IF(((37+0.5)*(4*IF(circ_int,0,eq_c1/2)+4*IF(circ_int,0,eq_c2/2)+2*PI()*(s_0+6*s_r+IF(circ_int,eq_c1/2,0)))/INDEX(lk_legs,7))&lt;((2*IF(circ_int,0,eq_c2/2))+(PI()*(s_0+6*s_r+IF(circ_int,eq_c1/2,0))/2)),IF(circ_int,0,eq_c2/2)+(s_0+6*s_r+IF(circ_int,eq_c1/2,0))*SIN((((37+0.5)*(4*IF(circ_int,0,eq_c1/2)+4*IF(circ_int,0,eq_c2/2)+2*PI()*(s_0+6*s_r+IF(circ_int,eq_c1/2,0)))/INDEX(lk_legs,7))-(2*IF(circ_int,0,eq_c2/2)))/(s_0+6*s_r+IF(circ_int,eq_c1/2,0))),IF(((37+0.5)*(4*IF(circ_int,0,eq_c1/2)+4*IF(circ_int,0,eq_c2/2)+2*PI()*(s_0+6*s_r+IF(circ_int,eq_c1/2,0)))/INDEX(lk_legs,7))&lt;(((2*IF(circ_int,0,eq_c2/2))+(PI()*(s_0+6*s_r+IF(circ_int,eq_c1/2,0))/2))+2*IF(circ_int,0,eq_c1/2)),IF(circ_int,0,eq_c2/2)+(s_0+6*s_r+IF(circ_int,eq_c1/2,0)),IF(((37+0.5)*(4*IF(circ_int,0,eq_c1/2)+4*IF(circ_int,0,eq_c2/2)+2*PI()*(s_0+6*s_r+IF(circ_int,eq_c1/2,0)))/INDEX(lk_legs,7))&lt;((((2*IF(circ_int,0,eq_c2/2))+(PI()*(s_0+6*s_r+IF(circ_int,eq_c1/2,0))/2))+2*IF(circ_int,0,eq_c1/2))+(PI()*(s_0+6*s_r+IF(circ_int,eq_c1/2,0))/2)),IF(circ_int,0,eq_c2/2)+(s_0+6*s_r+IF(circ_int,eq_c1/2,0))*SIN(PI()/2+(((37+0.5)*(4*IF(circ_int,0,eq_c1/2)+4*IF(circ_int,0,eq_c2/2)+2*PI()*(s_0+6*s_r+IF(circ_int,eq_c1/2,0)))/INDEX(lk_legs,7))-(((2*IF(circ_int,0,eq_c2/2))+(PI()*(s_0+6*s_r+IF(circ_int,eq_c1/2,0))/2))+2*IF(circ_int,0,eq_c1/2)))/(s_0+6*s_r+IF(circ_int,eq_c1/2,0))),IF(((37+0.5)*(4*IF(circ_int,0,eq_c1/2)+4*IF(circ_int,0,eq_c2/2)+2*PI()*(s_0+6*s_r+IF(circ_int,eq_c1/2,0)))/INDEX(lk_legs,7))&lt;(((((2*IF(circ_int,0,eq_c2/2))+(PI()*(s_0+6*s_r+IF(circ_int,eq_c1/2,0))/2))+2*IF(circ_int,0,eq_c1/2))+(PI()*(s_0+6*s_r+IF(circ_int,eq_c1/2,0))/2))+2*IF(circ_int,0,eq_c2/2)),IF(circ_int,0,eq_c2/2)-(((37+0.5)*(4*IF(circ_int,0,eq_c1/2)+4*IF(circ_int,0,eq_c2/2)+2*PI()*(s_0+6*s_r+IF(circ_int,eq_c1/2,0)))/INDEX(lk_legs,7))-((((2*IF(circ_int,0,eq_c2/2))+(PI()*(s_0+6*s_r+IF(circ_int,eq_c1/2,0))/2))+2*IF(circ_int,0,eq_c1/2))+(PI()*(s_0+6*s_r+IF(circ_int,eq_c1/2,0))/2))),IF(((37+0.5)*(4*IF(circ_int,0,eq_c1/2)+4*IF(circ_int,0,eq_c2/2)+2*PI()*(s_0+6*s_r+IF(circ_int,eq_c1/2,0)))/INDEX(lk_legs,7))&lt;((((((2*IF(circ_int,0,eq_c2/2))+(PI()*(s_0+6*s_r+IF(circ_int,eq_c1/2,0))/2))+2*IF(circ_int,0,eq_c1/2))+(PI()*(s_0+6*s_r+IF(circ_int,eq_c1/2,0))/2))+2*IF(circ_int,0,eq_c2/2))+(PI()*(s_0+6*s_r+IF(circ_int,eq_c1/2,0))/2)),-IF(circ_int,0,eq_c2/2)+(s_0+6*s_r+IF(circ_int,eq_c1/2,0))*SIN(PI()+(((37+0.5)*(4*IF(circ_int,0,eq_c1/2)+4*IF(circ_int,0,eq_c2/2)+2*PI()*(s_0+6*s_r+IF(circ_int,eq_c1/2,0)))/INDEX(lk_legs,7))-(((((2*IF(circ_int,0,eq_c2/2))+(PI()*(s_0+6*s_r+IF(circ_int,eq_c1/2,0))/2))+2*IF(circ_int,0,eq_c1/2))+(PI()*(s_0+6*s_r+IF(circ_int,eq_c1/2,0))/2))+2*IF(circ_int,0,eq_c2/2)))/(s_0+6*s_r+IF(circ_int,eq_c1/2,0))),IF(((37+0.5)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(37+0.5)*(4*IF(circ_int,0,eq_c1/2)+4*IF(circ_int,0,eq_c2/2)+2*PI()*(s_0+6*s_r+IF(circ_int,eq_c1/2,0)))/INDEX(lk_legs,7))-(((((((2*IF(circ_int,0,eq_c2/2))+(PI()*(s_0+6*s_r+IF(circ_int,eq_c1/2,0))/2))+2*IF(circ_int,0,eq_c1/2))+(PI()*(s_0+6*s_r+IF(circ_int,eq_c1/2,0))/2))+2*IF(circ_int,0,eq_c2/2))+(PI()*(s_0+6*s_r+IF(circ_int,eq_c1/2,0))/2))+2*IF(circ_int,0,eq_c1/2)))/(s_0+6*s_r+IF(circ_int,eq_c1/2,0)))))))))),NA())</f>
        <v/>
      </c>
      <c r="CM40">
        <f>IF(AND(links_on,8&lt;=n_per),IF(circ_int,(g_ox)+(c_1/2+(s_0+7*s_r))*-0.239316,CHOOSE(INDEX(lk_kind,8),(g_ox-eq_c1/2)+((s_0+7*s_r))*-0.130526,0,eq_a1+eq_c1+(s_0+7*s_r),eq_a1+eq_c1+(s_0+7*s_r))),NA())</f>
        <v/>
      </c>
      <c r="CN40">
        <f>IF(AND(links_on,8&lt;=n_per),IF(circ_int,(g_oy)+(c_1/2+(s_0+7*s_r))*-0.970942,CHOOSE(INDEX(lk_kind,8),(g_oy-eq_c2/2)+((s_0+7*s_r))*-0.991445,g_oy-eq_c2/2-(s_0+7*s_r),0,0)),NA())</f>
        <v/>
      </c>
      <c r="CP40">
        <f>IF(AND(AND(links_on,8&lt;=n_per),INDEX(lk_kind,8)=1,37&lt;INDEX(lk_legs,8)),g_ox+IF(((37+0.5)*(4*IF(circ_int,0,eq_c1/2)+4*IF(circ_int,0,eq_c2/2)+2*PI()*(s_0+7*s_r+IF(circ_int,eq_c1/2,0)))/INDEX(lk_legs,8))&lt;(2*IF(circ_int,0,eq_c2/2)),IF(circ_int,0,eq_c1/2)+(s_0+7*s_r+IF(circ_int,eq_c1/2,0)),IF(((37+0.5)*(4*IF(circ_int,0,eq_c1/2)+4*IF(circ_int,0,eq_c2/2)+2*PI()*(s_0+7*s_r+IF(circ_int,eq_c1/2,0)))/INDEX(lk_legs,8))&lt;((2*IF(circ_int,0,eq_c2/2))+(PI()*(s_0+7*s_r+IF(circ_int,eq_c1/2,0))/2)),IF(circ_int,0,eq_c1/2)+(s_0+7*s_r+IF(circ_int,eq_c1/2,0))*COS((((37+0.5)*(4*IF(circ_int,0,eq_c1/2)+4*IF(circ_int,0,eq_c2/2)+2*PI()*(s_0+7*s_r+IF(circ_int,eq_c1/2,0)))/INDEX(lk_legs,8))-(2*IF(circ_int,0,eq_c2/2)))/(s_0+7*s_r+IF(circ_int,eq_c1/2,0))),IF(((37+0.5)*(4*IF(circ_int,0,eq_c1/2)+4*IF(circ_int,0,eq_c2/2)+2*PI()*(s_0+7*s_r+IF(circ_int,eq_c1/2,0)))/INDEX(lk_legs,8))&lt;(((2*IF(circ_int,0,eq_c2/2))+(PI()*(s_0+7*s_r+IF(circ_int,eq_c1/2,0))/2))+2*IF(circ_int,0,eq_c1/2)),IF(circ_int,0,eq_c1/2)-(((37+0.5)*(4*IF(circ_int,0,eq_c1/2)+4*IF(circ_int,0,eq_c2/2)+2*PI()*(s_0+7*s_r+IF(circ_int,eq_c1/2,0)))/INDEX(lk_legs,8))-((2*IF(circ_int,0,eq_c2/2))+(PI()*(s_0+7*s_r+IF(circ_int,eq_c1/2,0))/2))),IF(((37+0.5)*(4*IF(circ_int,0,eq_c1/2)+4*IF(circ_int,0,eq_c2/2)+2*PI()*(s_0+7*s_r+IF(circ_int,eq_c1/2,0)))/INDEX(lk_legs,8))&lt;((((2*IF(circ_int,0,eq_c2/2))+(PI()*(s_0+7*s_r+IF(circ_int,eq_c1/2,0))/2))+2*IF(circ_int,0,eq_c1/2))+(PI()*(s_0+7*s_r+IF(circ_int,eq_c1/2,0))/2)),-IF(circ_int,0,eq_c1/2)+(s_0+7*s_r+IF(circ_int,eq_c1/2,0))*COS(PI()/2+(((37+0.5)*(4*IF(circ_int,0,eq_c1/2)+4*IF(circ_int,0,eq_c2/2)+2*PI()*(s_0+7*s_r+IF(circ_int,eq_c1/2,0)))/INDEX(lk_legs,8))-(((2*IF(circ_int,0,eq_c2/2))+(PI()*(s_0+7*s_r+IF(circ_int,eq_c1/2,0))/2))+2*IF(circ_int,0,eq_c1/2)))/(s_0+7*s_r+IF(circ_int,eq_c1/2,0))),IF(((37+0.5)*(4*IF(circ_int,0,eq_c1/2)+4*IF(circ_int,0,eq_c2/2)+2*PI()*(s_0+7*s_r+IF(circ_int,eq_c1/2,0)))/INDEX(lk_legs,8))&lt;(((((2*IF(circ_int,0,eq_c2/2))+(PI()*(s_0+7*s_r+IF(circ_int,eq_c1/2,0))/2))+2*IF(circ_int,0,eq_c1/2))+(PI()*(s_0+7*s_r+IF(circ_int,eq_c1/2,0))/2))+2*IF(circ_int,0,eq_c2/2)),-IF(circ_int,0,eq_c1/2)-(s_0+7*s_r+IF(circ_int,eq_c1/2,0)),IF(((37+0.5)*(4*IF(circ_int,0,eq_c1/2)+4*IF(circ_int,0,eq_c2/2)+2*PI()*(s_0+7*s_r+IF(circ_int,eq_c1/2,0)))/INDEX(lk_legs,8))&lt;((((((2*IF(circ_int,0,eq_c2/2))+(PI()*(s_0+7*s_r+IF(circ_int,eq_c1/2,0))/2))+2*IF(circ_int,0,eq_c1/2))+(PI()*(s_0+7*s_r+IF(circ_int,eq_c1/2,0))/2))+2*IF(circ_int,0,eq_c2/2))+(PI()*(s_0+7*s_r+IF(circ_int,eq_c1/2,0))/2)),-IF(circ_int,0,eq_c1/2)+(s_0+7*s_r+IF(circ_int,eq_c1/2,0))*COS(PI()+(((37+0.5)*(4*IF(circ_int,0,eq_c1/2)+4*IF(circ_int,0,eq_c2/2)+2*PI()*(s_0+7*s_r+IF(circ_int,eq_c1/2,0)))/INDEX(lk_legs,8))-(((((2*IF(circ_int,0,eq_c2/2))+(PI()*(s_0+7*s_r+IF(circ_int,eq_c1/2,0))/2))+2*IF(circ_int,0,eq_c1/2))+(PI()*(s_0+7*s_r+IF(circ_int,eq_c1/2,0))/2))+2*IF(circ_int,0,eq_c2/2)))/(s_0+7*s_r+IF(circ_int,eq_c1/2,0))),IF(((37+0.5)*(4*IF(circ_int,0,eq_c1/2)+4*IF(circ_int,0,eq_c2/2)+2*PI()*(s_0+7*s_r+IF(circ_int,eq_c1/2,0)))/INDEX(lk_legs,8))&lt;(((((((2*IF(circ_int,0,eq_c2/2))+(PI()*(s_0+7*s_r+IF(circ_int,eq_c1/2,0))/2))+2*IF(circ_int,0,eq_c1/2))+(PI()*(s_0+7*s_r+IF(circ_int,eq_c1/2,0))/2))+2*IF(circ_int,0,eq_c2/2))+(PI()*(s_0+7*s_r+IF(circ_int,eq_c1/2,0))/2))+2*IF(circ_int,0,eq_c1/2)),-IF(circ_int,0,eq_c1/2)+(((37+0.5)*(4*IF(circ_int,0,eq_c1/2)+4*IF(circ_int,0,eq_c2/2)+2*PI()*(s_0+7*s_r+IF(circ_int,eq_c1/2,0)))/INDEX(lk_legs,8))-((((((2*IF(circ_int,0,eq_c2/2))+(PI()*(s_0+7*s_r+IF(circ_int,eq_c1/2,0))/2))+2*IF(circ_int,0,eq_c1/2))+(PI()*(s_0+7*s_r+IF(circ_int,eq_c1/2,0))/2))+2*IF(circ_int,0,eq_c2/2))+(PI()*(s_0+7*s_r+IF(circ_int,eq_c1/2,0))/2))),IF(circ_int,0,eq_c1/2)+(s_0+7*s_r+IF(circ_int,eq_c1/2,0))*COS(3*PI()/2+(((37+0.5)*(4*IF(circ_int,0,eq_c1/2)+4*IF(circ_int,0,eq_c2/2)+2*PI()*(s_0+7*s_r+IF(circ_int,eq_c1/2,0)))/INDEX(lk_legs,8))-(((((((2*IF(circ_int,0,eq_c2/2))+(PI()*(s_0+7*s_r+IF(circ_int,eq_c1/2,0))/2))+2*IF(circ_int,0,eq_c1/2))+(PI()*(s_0+7*s_r+IF(circ_int,eq_c1/2,0))/2))+2*IF(circ_int,0,eq_c2/2))+(PI()*(s_0+7*s_r+IF(circ_int,eq_c1/2,0))/2))+2*IF(circ_int,0,eq_c1/2)))/(s_0+7*s_r+IF(circ_int,eq_c1/2,0)))))))))),NA())</f>
        <v/>
      </c>
      <c r="CQ40">
        <f>IF(AND(AND(links_on,8&lt;=n_per),INDEX(lk_kind,8)=1,37&lt;INDEX(lk_legs,8)),g_oy+IF(((37+0.5)*(4*IF(circ_int,0,eq_c1/2)+4*IF(circ_int,0,eq_c2/2)+2*PI()*(s_0+7*s_r+IF(circ_int,eq_c1/2,0)))/INDEX(lk_legs,8))&lt;(2*IF(circ_int,0,eq_c2/2)),-IF(circ_int,0,eq_c2/2)+((37+0.5)*(4*IF(circ_int,0,eq_c1/2)+4*IF(circ_int,0,eq_c2/2)+2*PI()*(s_0+7*s_r+IF(circ_int,eq_c1/2,0)))/INDEX(lk_legs,8)),IF(((37+0.5)*(4*IF(circ_int,0,eq_c1/2)+4*IF(circ_int,0,eq_c2/2)+2*PI()*(s_0+7*s_r+IF(circ_int,eq_c1/2,0)))/INDEX(lk_legs,8))&lt;((2*IF(circ_int,0,eq_c2/2))+(PI()*(s_0+7*s_r+IF(circ_int,eq_c1/2,0))/2)),IF(circ_int,0,eq_c2/2)+(s_0+7*s_r+IF(circ_int,eq_c1/2,0))*SIN((((37+0.5)*(4*IF(circ_int,0,eq_c1/2)+4*IF(circ_int,0,eq_c2/2)+2*PI()*(s_0+7*s_r+IF(circ_int,eq_c1/2,0)))/INDEX(lk_legs,8))-(2*IF(circ_int,0,eq_c2/2)))/(s_0+7*s_r+IF(circ_int,eq_c1/2,0))),IF(((37+0.5)*(4*IF(circ_int,0,eq_c1/2)+4*IF(circ_int,0,eq_c2/2)+2*PI()*(s_0+7*s_r+IF(circ_int,eq_c1/2,0)))/INDEX(lk_legs,8))&lt;(((2*IF(circ_int,0,eq_c2/2))+(PI()*(s_0+7*s_r+IF(circ_int,eq_c1/2,0))/2))+2*IF(circ_int,0,eq_c1/2)),IF(circ_int,0,eq_c2/2)+(s_0+7*s_r+IF(circ_int,eq_c1/2,0)),IF(((37+0.5)*(4*IF(circ_int,0,eq_c1/2)+4*IF(circ_int,0,eq_c2/2)+2*PI()*(s_0+7*s_r+IF(circ_int,eq_c1/2,0)))/INDEX(lk_legs,8))&lt;((((2*IF(circ_int,0,eq_c2/2))+(PI()*(s_0+7*s_r+IF(circ_int,eq_c1/2,0))/2))+2*IF(circ_int,0,eq_c1/2))+(PI()*(s_0+7*s_r+IF(circ_int,eq_c1/2,0))/2)),IF(circ_int,0,eq_c2/2)+(s_0+7*s_r+IF(circ_int,eq_c1/2,0))*SIN(PI()/2+(((37+0.5)*(4*IF(circ_int,0,eq_c1/2)+4*IF(circ_int,0,eq_c2/2)+2*PI()*(s_0+7*s_r+IF(circ_int,eq_c1/2,0)))/INDEX(lk_legs,8))-(((2*IF(circ_int,0,eq_c2/2))+(PI()*(s_0+7*s_r+IF(circ_int,eq_c1/2,0))/2))+2*IF(circ_int,0,eq_c1/2)))/(s_0+7*s_r+IF(circ_int,eq_c1/2,0))),IF(((37+0.5)*(4*IF(circ_int,0,eq_c1/2)+4*IF(circ_int,0,eq_c2/2)+2*PI()*(s_0+7*s_r+IF(circ_int,eq_c1/2,0)))/INDEX(lk_legs,8))&lt;(((((2*IF(circ_int,0,eq_c2/2))+(PI()*(s_0+7*s_r+IF(circ_int,eq_c1/2,0))/2))+2*IF(circ_int,0,eq_c1/2))+(PI()*(s_0+7*s_r+IF(circ_int,eq_c1/2,0))/2))+2*IF(circ_int,0,eq_c2/2)),IF(circ_int,0,eq_c2/2)-(((37+0.5)*(4*IF(circ_int,0,eq_c1/2)+4*IF(circ_int,0,eq_c2/2)+2*PI()*(s_0+7*s_r+IF(circ_int,eq_c1/2,0)))/INDEX(lk_legs,8))-((((2*IF(circ_int,0,eq_c2/2))+(PI()*(s_0+7*s_r+IF(circ_int,eq_c1/2,0))/2))+2*IF(circ_int,0,eq_c1/2))+(PI()*(s_0+7*s_r+IF(circ_int,eq_c1/2,0))/2))),IF(((37+0.5)*(4*IF(circ_int,0,eq_c1/2)+4*IF(circ_int,0,eq_c2/2)+2*PI()*(s_0+7*s_r+IF(circ_int,eq_c1/2,0)))/INDEX(lk_legs,8))&lt;((((((2*IF(circ_int,0,eq_c2/2))+(PI()*(s_0+7*s_r+IF(circ_int,eq_c1/2,0))/2))+2*IF(circ_int,0,eq_c1/2))+(PI()*(s_0+7*s_r+IF(circ_int,eq_c1/2,0))/2))+2*IF(circ_int,0,eq_c2/2))+(PI()*(s_0+7*s_r+IF(circ_int,eq_c1/2,0))/2)),-IF(circ_int,0,eq_c2/2)+(s_0+7*s_r+IF(circ_int,eq_c1/2,0))*SIN(PI()+(((37+0.5)*(4*IF(circ_int,0,eq_c1/2)+4*IF(circ_int,0,eq_c2/2)+2*PI()*(s_0+7*s_r+IF(circ_int,eq_c1/2,0)))/INDEX(lk_legs,8))-(((((2*IF(circ_int,0,eq_c2/2))+(PI()*(s_0+7*s_r+IF(circ_int,eq_c1/2,0))/2))+2*IF(circ_int,0,eq_c1/2))+(PI()*(s_0+7*s_r+IF(circ_int,eq_c1/2,0))/2))+2*IF(circ_int,0,eq_c2/2)))/(s_0+7*s_r+IF(circ_int,eq_c1/2,0))),IF(((37+0.5)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(37+0.5)*(4*IF(circ_int,0,eq_c1/2)+4*IF(circ_int,0,eq_c2/2)+2*PI()*(s_0+7*s_r+IF(circ_int,eq_c1/2,0)))/INDEX(lk_legs,8))-(((((((2*IF(circ_int,0,eq_c2/2))+(PI()*(s_0+7*s_r+IF(circ_int,eq_c1/2,0))/2))+2*IF(circ_int,0,eq_c1/2))+(PI()*(s_0+7*s_r+IF(circ_int,eq_c1/2,0))/2))+2*IF(circ_int,0,eq_c2/2))+(PI()*(s_0+7*s_r+IF(circ_int,eq_c1/2,0))/2))+2*IF(circ_int,0,eq_c1/2)))/(s_0+7*s_r+IF(circ_int,eq_c1/2,0)))))))))),NA())</f>
        <v/>
      </c>
      <c r="CS40">
        <f>IF(AND(links_on,9&lt;=n_per),IF(circ_int,(g_ox)+(c_1/2+(s_0+8*s_r))*-0.239316,CHOOSE(INDEX(lk_kind,9),(g_ox-eq_c1/2)+((s_0+8*s_r))*-0.130526,0,eq_a1+eq_c1+(s_0+8*s_r),eq_a1+eq_c1+(s_0+8*s_r))),NA())</f>
        <v/>
      </c>
      <c r="CT40">
        <f>IF(AND(links_on,9&lt;=n_per),IF(circ_int,(g_oy)+(c_1/2+(s_0+8*s_r))*-0.970942,CHOOSE(INDEX(lk_kind,9),(g_oy-eq_c2/2)+((s_0+8*s_r))*-0.991445,g_oy-eq_c2/2-(s_0+8*s_r),0,0)),NA())</f>
        <v/>
      </c>
      <c r="CV40">
        <f>IF(AND(AND(links_on,9&lt;=n_per),INDEX(lk_kind,9)=1,37&lt;INDEX(lk_legs,9)),g_ox+IF(((37+0.5)*(4*IF(circ_int,0,eq_c1/2)+4*IF(circ_int,0,eq_c2/2)+2*PI()*(s_0+8*s_r+IF(circ_int,eq_c1/2,0)))/INDEX(lk_legs,9))&lt;(2*IF(circ_int,0,eq_c2/2)),IF(circ_int,0,eq_c1/2)+(s_0+8*s_r+IF(circ_int,eq_c1/2,0)),IF(((37+0.5)*(4*IF(circ_int,0,eq_c1/2)+4*IF(circ_int,0,eq_c2/2)+2*PI()*(s_0+8*s_r+IF(circ_int,eq_c1/2,0)))/INDEX(lk_legs,9))&lt;((2*IF(circ_int,0,eq_c2/2))+(PI()*(s_0+8*s_r+IF(circ_int,eq_c1/2,0))/2)),IF(circ_int,0,eq_c1/2)+(s_0+8*s_r+IF(circ_int,eq_c1/2,0))*COS((((37+0.5)*(4*IF(circ_int,0,eq_c1/2)+4*IF(circ_int,0,eq_c2/2)+2*PI()*(s_0+8*s_r+IF(circ_int,eq_c1/2,0)))/INDEX(lk_legs,9))-(2*IF(circ_int,0,eq_c2/2)))/(s_0+8*s_r+IF(circ_int,eq_c1/2,0))),IF(((37+0.5)*(4*IF(circ_int,0,eq_c1/2)+4*IF(circ_int,0,eq_c2/2)+2*PI()*(s_0+8*s_r+IF(circ_int,eq_c1/2,0)))/INDEX(lk_legs,9))&lt;(((2*IF(circ_int,0,eq_c2/2))+(PI()*(s_0+8*s_r+IF(circ_int,eq_c1/2,0))/2))+2*IF(circ_int,0,eq_c1/2)),IF(circ_int,0,eq_c1/2)-(((37+0.5)*(4*IF(circ_int,0,eq_c1/2)+4*IF(circ_int,0,eq_c2/2)+2*PI()*(s_0+8*s_r+IF(circ_int,eq_c1/2,0)))/INDEX(lk_legs,9))-((2*IF(circ_int,0,eq_c2/2))+(PI()*(s_0+8*s_r+IF(circ_int,eq_c1/2,0))/2))),IF(((37+0.5)*(4*IF(circ_int,0,eq_c1/2)+4*IF(circ_int,0,eq_c2/2)+2*PI()*(s_0+8*s_r+IF(circ_int,eq_c1/2,0)))/INDEX(lk_legs,9))&lt;((((2*IF(circ_int,0,eq_c2/2))+(PI()*(s_0+8*s_r+IF(circ_int,eq_c1/2,0))/2))+2*IF(circ_int,0,eq_c1/2))+(PI()*(s_0+8*s_r+IF(circ_int,eq_c1/2,0))/2)),-IF(circ_int,0,eq_c1/2)+(s_0+8*s_r+IF(circ_int,eq_c1/2,0))*COS(PI()/2+(((37+0.5)*(4*IF(circ_int,0,eq_c1/2)+4*IF(circ_int,0,eq_c2/2)+2*PI()*(s_0+8*s_r+IF(circ_int,eq_c1/2,0)))/INDEX(lk_legs,9))-(((2*IF(circ_int,0,eq_c2/2))+(PI()*(s_0+8*s_r+IF(circ_int,eq_c1/2,0))/2))+2*IF(circ_int,0,eq_c1/2)))/(s_0+8*s_r+IF(circ_int,eq_c1/2,0))),IF(((37+0.5)*(4*IF(circ_int,0,eq_c1/2)+4*IF(circ_int,0,eq_c2/2)+2*PI()*(s_0+8*s_r+IF(circ_int,eq_c1/2,0)))/INDEX(lk_legs,9))&lt;(((((2*IF(circ_int,0,eq_c2/2))+(PI()*(s_0+8*s_r+IF(circ_int,eq_c1/2,0))/2))+2*IF(circ_int,0,eq_c1/2))+(PI()*(s_0+8*s_r+IF(circ_int,eq_c1/2,0))/2))+2*IF(circ_int,0,eq_c2/2)),-IF(circ_int,0,eq_c1/2)-(s_0+8*s_r+IF(circ_int,eq_c1/2,0)),IF(((37+0.5)*(4*IF(circ_int,0,eq_c1/2)+4*IF(circ_int,0,eq_c2/2)+2*PI()*(s_0+8*s_r+IF(circ_int,eq_c1/2,0)))/INDEX(lk_legs,9))&lt;((((((2*IF(circ_int,0,eq_c2/2))+(PI()*(s_0+8*s_r+IF(circ_int,eq_c1/2,0))/2))+2*IF(circ_int,0,eq_c1/2))+(PI()*(s_0+8*s_r+IF(circ_int,eq_c1/2,0))/2))+2*IF(circ_int,0,eq_c2/2))+(PI()*(s_0+8*s_r+IF(circ_int,eq_c1/2,0))/2)),-IF(circ_int,0,eq_c1/2)+(s_0+8*s_r+IF(circ_int,eq_c1/2,0))*COS(PI()+(((37+0.5)*(4*IF(circ_int,0,eq_c1/2)+4*IF(circ_int,0,eq_c2/2)+2*PI()*(s_0+8*s_r+IF(circ_int,eq_c1/2,0)))/INDEX(lk_legs,9))-(((((2*IF(circ_int,0,eq_c2/2))+(PI()*(s_0+8*s_r+IF(circ_int,eq_c1/2,0))/2))+2*IF(circ_int,0,eq_c1/2))+(PI()*(s_0+8*s_r+IF(circ_int,eq_c1/2,0))/2))+2*IF(circ_int,0,eq_c2/2)))/(s_0+8*s_r+IF(circ_int,eq_c1/2,0))),IF(((37+0.5)*(4*IF(circ_int,0,eq_c1/2)+4*IF(circ_int,0,eq_c2/2)+2*PI()*(s_0+8*s_r+IF(circ_int,eq_c1/2,0)))/INDEX(lk_legs,9))&lt;(((((((2*IF(circ_int,0,eq_c2/2))+(PI()*(s_0+8*s_r+IF(circ_int,eq_c1/2,0))/2))+2*IF(circ_int,0,eq_c1/2))+(PI()*(s_0+8*s_r+IF(circ_int,eq_c1/2,0))/2))+2*IF(circ_int,0,eq_c2/2))+(PI()*(s_0+8*s_r+IF(circ_int,eq_c1/2,0))/2))+2*IF(circ_int,0,eq_c1/2)),-IF(circ_int,0,eq_c1/2)+(((37+0.5)*(4*IF(circ_int,0,eq_c1/2)+4*IF(circ_int,0,eq_c2/2)+2*PI()*(s_0+8*s_r+IF(circ_int,eq_c1/2,0)))/INDEX(lk_legs,9))-((((((2*IF(circ_int,0,eq_c2/2))+(PI()*(s_0+8*s_r+IF(circ_int,eq_c1/2,0))/2))+2*IF(circ_int,0,eq_c1/2))+(PI()*(s_0+8*s_r+IF(circ_int,eq_c1/2,0))/2))+2*IF(circ_int,0,eq_c2/2))+(PI()*(s_0+8*s_r+IF(circ_int,eq_c1/2,0))/2))),IF(circ_int,0,eq_c1/2)+(s_0+8*s_r+IF(circ_int,eq_c1/2,0))*COS(3*PI()/2+(((37+0.5)*(4*IF(circ_int,0,eq_c1/2)+4*IF(circ_int,0,eq_c2/2)+2*PI()*(s_0+8*s_r+IF(circ_int,eq_c1/2,0)))/INDEX(lk_legs,9))-(((((((2*IF(circ_int,0,eq_c2/2))+(PI()*(s_0+8*s_r+IF(circ_int,eq_c1/2,0))/2))+2*IF(circ_int,0,eq_c1/2))+(PI()*(s_0+8*s_r+IF(circ_int,eq_c1/2,0))/2))+2*IF(circ_int,0,eq_c2/2))+(PI()*(s_0+8*s_r+IF(circ_int,eq_c1/2,0))/2))+2*IF(circ_int,0,eq_c1/2)))/(s_0+8*s_r+IF(circ_int,eq_c1/2,0)))))))))),NA())</f>
        <v/>
      </c>
      <c r="CW40">
        <f>IF(AND(AND(links_on,9&lt;=n_per),INDEX(lk_kind,9)=1,37&lt;INDEX(lk_legs,9)),g_oy+IF(((37+0.5)*(4*IF(circ_int,0,eq_c1/2)+4*IF(circ_int,0,eq_c2/2)+2*PI()*(s_0+8*s_r+IF(circ_int,eq_c1/2,0)))/INDEX(lk_legs,9))&lt;(2*IF(circ_int,0,eq_c2/2)),-IF(circ_int,0,eq_c2/2)+((37+0.5)*(4*IF(circ_int,0,eq_c1/2)+4*IF(circ_int,0,eq_c2/2)+2*PI()*(s_0+8*s_r+IF(circ_int,eq_c1/2,0)))/INDEX(lk_legs,9)),IF(((37+0.5)*(4*IF(circ_int,0,eq_c1/2)+4*IF(circ_int,0,eq_c2/2)+2*PI()*(s_0+8*s_r+IF(circ_int,eq_c1/2,0)))/INDEX(lk_legs,9))&lt;((2*IF(circ_int,0,eq_c2/2))+(PI()*(s_0+8*s_r+IF(circ_int,eq_c1/2,0))/2)),IF(circ_int,0,eq_c2/2)+(s_0+8*s_r+IF(circ_int,eq_c1/2,0))*SIN((((37+0.5)*(4*IF(circ_int,0,eq_c1/2)+4*IF(circ_int,0,eq_c2/2)+2*PI()*(s_0+8*s_r+IF(circ_int,eq_c1/2,0)))/INDEX(lk_legs,9))-(2*IF(circ_int,0,eq_c2/2)))/(s_0+8*s_r+IF(circ_int,eq_c1/2,0))),IF(((37+0.5)*(4*IF(circ_int,0,eq_c1/2)+4*IF(circ_int,0,eq_c2/2)+2*PI()*(s_0+8*s_r+IF(circ_int,eq_c1/2,0)))/INDEX(lk_legs,9))&lt;(((2*IF(circ_int,0,eq_c2/2))+(PI()*(s_0+8*s_r+IF(circ_int,eq_c1/2,0))/2))+2*IF(circ_int,0,eq_c1/2)),IF(circ_int,0,eq_c2/2)+(s_0+8*s_r+IF(circ_int,eq_c1/2,0)),IF(((37+0.5)*(4*IF(circ_int,0,eq_c1/2)+4*IF(circ_int,0,eq_c2/2)+2*PI()*(s_0+8*s_r+IF(circ_int,eq_c1/2,0)))/INDEX(lk_legs,9))&lt;((((2*IF(circ_int,0,eq_c2/2))+(PI()*(s_0+8*s_r+IF(circ_int,eq_c1/2,0))/2))+2*IF(circ_int,0,eq_c1/2))+(PI()*(s_0+8*s_r+IF(circ_int,eq_c1/2,0))/2)),IF(circ_int,0,eq_c2/2)+(s_0+8*s_r+IF(circ_int,eq_c1/2,0))*SIN(PI()/2+(((37+0.5)*(4*IF(circ_int,0,eq_c1/2)+4*IF(circ_int,0,eq_c2/2)+2*PI()*(s_0+8*s_r+IF(circ_int,eq_c1/2,0)))/INDEX(lk_legs,9))-(((2*IF(circ_int,0,eq_c2/2))+(PI()*(s_0+8*s_r+IF(circ_int,eq_c1/2,0))/2))+2*IF(circ_int,0,eq_c1/2)))/(s_0+8*s_r+IF(circ_int,eq_c1/2,0))),IF(((37+0.5)*(4*IF(circ_int,0,eq_c1/2)+4*IF(circ_int,0,eq_c2/2)+2*PI()*(s_0+8*s_r+IF(circ_int,eq_c1/2,0)))/INDEX(lk_legs,9))&lt;(((((2*IF(circ_int,0,eq_c2/2))+(PI()*(s_0+8*s_r+IF(circ_int,eq_c1/2,0))/2))+2*IF(circ_int,0,eq_c1/2))+(PI()*(s_0+8*s_r+IF(circ_int,eq_c1/2,0))/2))+2*IF(circ_int,0,eq_c2/2)),IF(circ_int,0,eq_c2/2)-(((37+0.5)*(4*IF(circ_int,0,eq_c1/2)+4*IF(circ_int,0,eq_c2/2)+2*PI()*(s_0+8*s_r+IF(circ_int,eq_c1/2,0)))/INDEX(lk_legs,9))-((((2*IF(circ_int,0,eq_c2/2))+(PI()*(s_0+8*s_r+IF(circ_int,eq_c1/2,0))/2))+2*IF(circ_int,0,eq_c1/2))+(PI()*(s_0+8*s_r+IF(circ_int,eq_c1/2,0))/2))),IF(((37+0.5)*(4*IF(circ_int,0,eq_c1/2)+4*IF(circ_int,0,eq_c2/2)+2*PI()*(s_0+8*s_r+IF(circ_int,eq_c1/2,0)))/INDEX(lk_legs,9))&lt;((((((2*IF(circ_int,0,eq_c2/2))+(PI()*(s_0+8*s_r+IF(circ_int,eq_c1/2,0))/2))+2*IF(circ_int,0,eq_c1/2))+(PI()*(s_0+8*s_r+IF(circ_int,eq_c1/2,0))/2))+2*IF(circ_int,0,eq_c2/2))+(PI()*(s_0+8*s_r+IF(circ_int,eq_c1/2,0))/2)),-IF(circ_int,0,eq_c2/2)+(s_0+8*s_r+IF(circ_int,eq_c1/2,0))*SIN(PI()+(((37+0.5)*(4*IF(circ_int,0,eq_c1/2)+4*IF(circ_int,0,eq_c2/2)+2*PI()*(s_0+8*s_r+IF(circ_int,eq_c1/2,0)))/INDEX(lk_legs,9))-(((((2*IF(circ_int,0,eq_c2/2))+(PI()*(s_0+8*s_r+IF(circ_int,eq_c1/2,0))/2))+2*IF(circ_int,0,eq_c1/2))+(PI()*(s_0+8*s_r+IF(circ_int,eq_c1/2,0))/2))+2*IF(circ_int,0,eq_c2/2)))/(s_0+8*s_r+IF(circ_int,eq_c1/2,0))),IF(((37+0.5)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(37+0.5)*(4*IF(circ_int,0,eq_c1/2)+4*IF(circ_int,0,eq_c2/2)+2*PI()*(s_0+8*s_r+IF(circ_int,eq_c1/2,0)))/INDEX(lk_legs,9))-(((((((2*IF(circ_int,0,eq_c2/2))+(PI()*(s_0+8*s_r+IF(circ_int,eq_c1/2,0))/2))+2*IF(circ_int,0,eq_c1/2))+(PI()*(s_0+8*s_r+IF(circ_int,eq_c1/2,0))/2))+2*IF(circ_int,0,eq_c2/2))+(PI()*(s_0+8*s_r+IF(circ_int,eq_c1/2,0))/2))+2*IF(circ_int,0,eq_c1/2)))/(s_0+8*s_r+IF(circ_int,eq_c1/2,0)))))))))),NA())</f>
        <v/>
      </c>
      <c r="CY40">
        <f>IF(AND(links_on,10&lt;=n_per),IF(circ_int,(g_ox)+(c_1/2+(s_0+9*s_r))*-0.239316,CHOOSE(INDEX(lk_kind,10),(g_ox-eq_c1/2)+((s_0+9*s_r))*-0.130526,0,eq_a1+eq_c1+(s_0+9*s_r),eq_a1+eq_c1+(s_0+9*s_r))),NA())</f>
        <v/>
      </c>
      <c r="CZ40">
        <f>IF(AND(links_on,10&lt;=n_per),IF(circ_int,(g_oy)+(c_1/2+(s_0+9*s_r))*-0.970942,CHOOSE(INDEX(lk_kind,10),(g_oy-eq_c2/2)+((s_0+9*s_r))*-0.991445,g_oy-eq_c2/2-(s_0+9*s_r),0,0)),NA())</f>
        <v/>
      </c>
      <c r="DB40">
        <f>IF(AND(AND(links_on,10&lt;=n_per),INDEX(lk_kind,10)=1,37&lt;INDEX(lk_legs,10)),g_ox+IF(((37+0.5)*(4*IF(circ_int,0,eq_c1/2)+4*IF(circ_int,0,eq_c2/2)+2*PI()*(s_0+9*s_r+IF(circ_int,eq_c1/2,0)))/INDEX(lk_legs,10))&lt;(2*IF(circ_int,0,eq_c2/2)),IF(circ_int,0,eq_c1/2)+(s_0+9*s_r+IF(circ_int,eq_c1/2,0)),IF(((37+0.5)*(4*IF(circ_int,0,eq_c1/2)+4*IF(circ_int,0,eq_c2/2)+2*PI()*(s_0+9*s_r+IF(circ_int,eq_c1/2,0)))/INDEX(lk_legs,10))&lt;((2*IF(circ_int,0,eq_c2/2))+(PI()*(s_0+9*s_r+IF(circ_int,eq_c1/2,0))/2)),IF(circ_int,0,eq_c1/2)+(s_0+9*s_r+IF(circ_int,eq_c1/2,0))*COS((((37+0.5)*(4*IF(circ_int,0,eq_c1/2)+4*IF(circ_int,0,eq_c2/2)+2*PI()*(s_0+9*s_r+IF(circ_int,eq_c1/2,0)))/INDEX(lk_legs,10))-(2*IF(circ_int,0,eq_c2/2)))/(s_0+9*s_r+IF(circ_int,eq_c1/2,0))),IF(((37+0.5)*(4*IF(circ_int,0,eq_c1/2)+4*IF(circ_int,0,eq_c2/2)+2*PI()*(s_0+9*s_r+IF(circ_int,eq_c1/2,0)))/INDEX(lk_legs,10))&lt;(((2*IF(circ_int,0,eq_c2/2))+(PI()*(s_0+9*s_r+IF(circ_int,eq_c1/2,0))/2))+2*IF(circ_int,0,eq_c1/2)),IF(circ_int,0,eq_c1/2)-(((37+0.5)*(4*IF(circ_int,0,eq_c1/2)+4*IF(circ_int,0,eq_c2/2)+2*PI()*(s_0+9*s_r+IF(circ_int,eq_c1/2,0)))/INDEX(lk_legs,10))-((2*IF(circ_int,0,eq_c2/2))+(PI()*(s_0+9*s_r+IF(circ_int,eq_c1/2,0))/2))),IF(((37+0.5)*(4*IF(circ_int,0,eq_c1/2)+4*IF(circ_int,0,eq_c2/2)+2*PI()*(s_0+9*s_r+IF(circ_int,eq_c1/2,0)))/INDEX(lk_legs,10))&lt;((((2*IF(circ_int,0,eq_c2/2))+(PI()*(s_0+9*s_r+IF(circ_int,eq_c1/2,0))/2))+2*IF(circ_int,0,eq_c1/2))+(PI()*(s_0+9*s_r+IF(circ_int,eq_c1/2,0))/2)),-IF(circ_int,0,eq_c1/2)+(s_0+9*s_r+IF(circ_int,eq_c1/2,0))*COS(PI()/2+(((37+0.5)*(4*IF(circ_int,0,eq_c1/2)+4*IF(circ_int,0,eq_c2/2)+2*PI()*(s_0+9*s_r+IF(circ_int,eq_c1/2,0)))/INDEX(lk_legs,10))-(((2*IF(circ_int,0,eq_c2/2))+(PI()*(s_0+9*s_r+IF(circ_int,eq_c1/2,0))/2))+2*IF(circ_int,0,eq_c1/2)))/(s_0+9*s_r+IF(circ_int,eq_c1/2,0))),IF(((37+0.5)*(4*IF(circ_int,0,eq_c1/2)+4*IF(circ_int,0,eq_c2/2)+2*PI()*(s_0+9*s_r+IF(circ_int,eq_c1/2,0)))/INDEX(lk_legs,10))&lt;(((((2*IF(circ_int,0,eq_c2/2))+(PI()*(s_0+9*s_r+IF(circ_int,eq_c1/2,0))/2))+2*IF(circ_int,0,eq_c1/2))+(PI()*(s_0+9*s_r+IF(circ_int,eq_c1/2,0))/2))+2*IF(circ_int,0,eq_c2/2)),-IF(circ_int,0,eq_c1/2)-(s_0+9*s_r+IF(circ_int,eq_c1/2,0)),IF(((37+0.5)*(4*IF(circ_int,0,eq_c1/2)+4*IF(circ_int,0,eq_c2/2)+2*PI()*(s_0+9*s_r+IF(circ_int,eq_c1/2,0)))/INDEX(lk_legs,10))&lt;((((((2*IF(circ_int,0,eq_c2/2))+(PI()*(s_0+9*s_r+IF(circ_int,eq_c1/2,0))/2))+2*IF(circ_int,0,eq_c1/2))+(PI()*(s_0+9*s_r+IF(circ_int,eq_c1/2,0))/2))+2*IF(circ_int,0,eq_c2/2))+(PI()*(s_0+9*s_r+IF(circ_int,eq_c1/2,0))/2)),-IF(circ_int,0,eq_c1/2)+(s_0+9*s_r+IF(circ_int,eq_c1/2,0))*COS(PI()+(((37+0.5)*(4*IF(circ_int,0,eq_c1/2)+4*IF(circ_int,0,eq_c2/2)+2*PI()*(s_0+9*s_r+IF(circ_int,eq_c1/2,0)))/INDEX(lk_legs,10))-(((((2*IF(circ_int,0,eq_c2/2))+(PI()*(s_0+9*s_r+IF(circ_int,eq_c1/2,0))/2))+2*IF(circ_int,0,eq_c1/2))+(PI()*(s_0+9*s_r+IF(circ_int,eq_c1/2,0))/2))+2*IF(circ_int,0,eq_c2/2)))/(s_0+9*s_r+IF(circ_int,eq_c1/2,0))),IF(((37+0.5)*(4*IF(circ_int,0,eq_c1/2)+4*IF(circ_int,0,eq_c2/2)+2*PI()*(s_0+9*s_r+IF(circ_int,eq_c1/2,0)))/INDEX(lk_legs,10))&lt;(((((((2*IF(circ_int,0,eq_c2/2))+(PI()*(s_0+9*s_r+IF(circ_int,eq_c1/2,0))/2))+2*IF(circ_int,0,eq_c1/2))+(PI()*(s_0+9*s_r+IF(circ_int,eq_c1/2,0))/2))+2*IF(circ_int,0,eq_c2/2))+(PI()*(s_0+9*s_r+IF(circ_int,eq_c1/2,0))/2))+2*IF(circ_int,0,eq_c1/2)),-IF(circ_int,0,eq_c1/2)+(((37+0.5)*(4*IF(circ_int,0,eq_c1/2)+4*IF(circ_int,0,eq_c2/2)+2*PI()*(s_0+9*s_r+IF(circ_int,eq_c1/2,0)))/INDEX(lk_legs,10))-((((((2*IF(circ_int,0,eq_c2/2))+(PI()*(s_0+9*s_r+IF(circ_int,eq_c1/2,0))/2))+2*IF(circ_int,0,eq_c1/2))+(PI()*(s_0+9*s_r+IF(circ_int,eq_c1/2,0))/2))+2*IF(circ_int,0,eq_c2/2))+(PI()*(s_0+9*s_r+IF(circ_int,eq_c1/2,0))/2))),IF(circ_int,0,eq_c1/2)+(s_0+9*s_r+IF(circ_int,eq_c1/2,0))*COS(3*PI()/2+(((37+0.5)*(4*IF(circ_int,0,eq_c1/2)+4*IF(circ_int,0,eq_c2/2)+2*PI()*(s_0+9*s_r+IF(circ_int,eq_c1/2,0)))/INDEX(lk_legs,10))-(((((((2*IF(circ_int,0,eq_c2/2))+(PI()*(s_0+9*s_r+IF(circ_int,eq_c1/2,0))/2))+2*IF(circ_int,0,eq_c1/2))+(PI()*(s_0+9*s_r+IF(circ_int,eq_c1/2,0))/2))+2*IF(circ_int,0,eq_c2/2))+(PI()*(s_0+9*s_r+IF(circ_int,eq_c1/2,0))/2))+2*IF(circ_int,0,eq_c1/2)))/(s_0+9*s_r+IF(circ_int,eq_c1/2,0)))))))))),NA())</f>
        <v/>
      </c>
      <c r="DC40">
        <f>IF(AND(AND(links_on,10&lt;=n_per),INDEX(lk_kind,10)=1,37&lt;INDEX(lk_legs,10)),g_oy+IF(((37+0.5)*(4*IF(circ_int,0,eq_c1/2)+4*IF(circ_int,0,eq_c2/2)+2*PI()*(s_0+9*s_r+IF(circ_int,eq_c1/2,0)))/INDEX(lk_legs,10))&lt;(2*IF(circ_int,0,eq_c2/2)),-IF(circ_int,0,eq_c2/2)+((37+0.5)*(4*IF(circ_int,0,eq_c1/2)+4*IF(circ_int,0,eq_c2/2)+2*PI()*(s_0+9*s_r+IF(circ_int,eq_c1/2,0)))/INDEX(lk_legs,10)),IF(((37+0.5)*(4*IF(circ_int,0,eq_c1/2)+4*IF(circ_int,0,eq_c2/2)+2*PI()*(s_0+9*s_r+IF(circ_int,eq_c1/2,0)))/INDEX(lk_legs,10))&lt;((2*IF(circ_int,0,eq_c2/2))+(PI()*(s_0+9*s_r+IF(circ_int,eq_c1/2,0))/2)),IF(circ_int,0,eq_c2/2)+(s_0+9*s_r+IF(circ_int,eq_c1/2,0))*SIN((((37+0.5)*(4*IF(circ_int,0,eq_c1/2)+4*IF(circ_int,0,eq_c2/2)+2*PI()*(s_0+9*s_r+IF(circ_int,eq_c1/2,0)))/INDEX(lk_legs,10))-(2*IF(circ_int,0,eq_c2/2)))/(s_0+9*s_r+IF(circ_int,eq_c1/2,0))),IF(((37+0.5)*(4*IF(circ_int,0,eq_c1/2)+4*IF(circ_int,0,eq_c2/2)+2*PI()*(s_0+9*s_r+IF(circ_int,eq_c1/2,0)))/INDEX(lk_legs,10))&lt;(((2*IF(circ_int,0,eq_c2/2))+(PI()*(s_0+9*s_r+IF(circ_int,eq_c1/2,0))/2))+2*IF(circ_int,0,eq_c1/2)),IF(circ_int,0,eq_c2/2)+(s_0+9*s_r+IF(circ_int,eq_c1/2,0)),IF(((37+0.5)*(4*IF(circ_int,0,eq_c1/2)+4*IF(circ_int,0,eq_c2/2)+2*PI()*(s_0+9*s_r+IF(circ_int,eq_c1/2,0)))/INDEX(lk_legs,10))&lt;((((2*IF(circ_int,0,eq_c2/2))+(PI()*(s_0+9*s_r+IF(circ_int,eq_c1/2,0))/2))+2*IF(circ_int,0,eq_c1/2))+(PI()*(s_0+9*s_r+IF(circ_int,eq_c1/2,0))/2)),IF(circ_int,0,eq_c2/2)+(s_0+9*s_r+IF(circ_int,eq_c1/2,0))*SIN(PI()/2+(((37+0.5)*(4*IF(circ_int,0,eq_c1/2)+4*IF(circ_int,0,eq_c2/2)+2*PI()*(s_0+9*s_r+IF(circ_int,eq_c1/2,0)))/INDEX(lk_legs,10))-(((2*IF(circ_int,0,eq_c2/2))+(PI()*(s_0+9*s_r+IF(circ_int,eq_c1/2,0))/2))+2*IF(circ_int,0,eq_c1/2)))/(s_0+9*s_r+IF(circ_int,eq_c1/2,0))),IF(((37+0.5)*(4*IF(circ_int,0,eq_c1/2)+4*IF(circ_int,0,eq_c2/2)+2*PI()*(s_0+9*s_r+IF(circ_int,eq_c1/2,0)))/INDEX(lk_legs,10))&lt;(((((2*IF(circ_int,0,eq_c2/2))+(PI()*(s_0+9*s_r+IF(circ_int,eq_c1/2,0))/2))+2*IF(circ_int,0,eq_c1/2))+(PI()*(s_0+9*s_r+IF(circ_int,eq_c1/2,0))/2))+2*IF(circ_int,0,eq_c2/2)),IF(circ_int,0,eq_c2/2)-(((37+0.5)*(4*IF(circ_int,0,eq_c1/2)+4*IF(circ_int,0,eq_c2/2)+2*PI()*(s_0+9*s_r+IF(circ_int,eq_c1/2,0)))/INDEX(lk_legs,10))-((((2*IF(circ_int,0,eq_c2/2))+(PI()*(s_0+9*s_r+IF(circ_int,eq_c1/2,0))/2))+2*IF(circ_int,0,eq_c1/2))+(PI()*(s_0+9*s_r+IF(circ_int,eq_c1/2,0))/2))),IF(((37+0.5)*(4*IF(circ_int,0,eq_c1/2)+4*IF(circ_int,0,eq_c2/2)+2*PI()*(s_0+9*s_r+IF(circ_int,eq_c1/2,0)))/INDEX(lk_legs,10))&lt;((((((2*IF(circ_int,0,eq_c2/2))+(PI()*(s_0+9*s_r+IF(circ_int,eq_c1/2,0))/2))+2*IF(circ_int,0,eq_c1/2))+(PI()*(s_0+9*s_r+IF(circ_int,eq_c1/2,0))/2))+2*IF(circ_int,0,eq_c2/2))+(PI()*(s_0+9*s_r+IF(circ_int,eq_c1/2,0))/2)),-IF(circ_int,0,eq_c2/2)+(s_0+9*s_r+IF(circ_int,eq_c1/2,0))*SIN(PI()+(((37+0.5)*(4*IF(circ_int,0,eq_c1/2)+4*IF(circ_int,0,eq_c2/2)+2*PI()*(s_0+9*s_r+IF(circ_int,eq_c1/2,0)))/INDEX(lk_legs,10))-(((((2*IF(circ_int,0,eq_c2/2))+(PI()*(s_0+9*s_r+IF(circ_int,eq_c1/2,0))/2))+2*IF(circ_int,0,eq_c1/2))+(PI()*(s_0+9*s_r+IF(circ_int,eq_c1/2,0))/2))+2*IF(circ_int,0,eq_c2/2)))/(s_0+9*s_r+IF(circ_int,eq_c1/2,0))),IF(((37+0.5)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(37+0.5)*(4*IF(circ_int,0,eq_c1/2)+4*IF(circ_int,0,eq_c2/2)+2*PI()*(s_0+9*s_r+IF(circ_int,eq_c1/2,0)))/INDEX(lk_legs,10))-(((((((2*IF(circ_int,0,eq_c2/2))+(PI()*(s_0+9*s_r+IF(circ_int,eq_c1/2,0))/2))+2*IF(circ_int,0,eq_c1/2))+(PI()*(s_0+9*s_r+IF(circ_int,eq_c1/2,0))/2))+2*IF(circ_int,0,eq_c2/2))+(PI()*(s_0+9*s_r+IF(circ_int,eq_c1/2,0))/2))+2*IF(circ_int,0,eq_c1/2)))/(s_0+9*s_r+IF(circ_int,eq_c1/2,0)))))))))),NA())</f>
        <v/>
      </c>
      <c r="DE40">
        <f>IF(AND(links_on,11&lt;=n_per),IF(circ_int,(g_ox)+(c_1/2+(s_0+10*s_r))*-0.239316,CHOOSE(INDEX(lk_kind,11),(g_ox-eq_c1/2)+((s_0+10*s_r))*-0.130526,0,eq_a1+eq_c1+(s_0+10*s_r),eq_a1+eq_c1+(s_0+10*s_r))),NA())</f>
        <v/>
      </c>
      <c r="DF40">
        <f>IF(AND(links_on,11&lt;=n_per),IF(circ_int,(g_oy)+(c_1/2+(s_0+10*s_r))*-0.970942,CHOOSE(INDEX(lk_kind,11),(g_oy-eq_c2/2)+((s_0+10*s_r))*-0.991445,g_oy-eq_c2/2-(s_0+10*s_r),0,0)),NA())</f>
        <v/>
      </c>
      <c r="DH40">
        <f>IF(AND(AND(links_on,11&lt;=n_per),INDEX(lk_kind,11)=1,37&lt;INDEX(lk_legs,11)),g_ox+IF(((37+0.5)*(4*IF(circ_int,0,eq_c1/2)+4*IF(circ_int,0,eq_c2/2)+2*PI()*(s_0+10*s_r+IF(circ_int,eq_c1/2,0)))/INDEX(lk_legs,11))&lt;(2*IF(circ_int,0,eq_c2/2)),IF(circ_int,0,eq_c1/2)+(s_0+10*s_r+IF(circ_int,eq_c1/2,0)),IF(((37+0.5)*(4*IF(circ_int,0,eq_c1/2)+4*IF(circ_int,0,eq_c2/2)+2*PI()*(s_0+10*s_r+IF(circ_int,eq_c1/2,0)))/INDEX(lk_legs,11))&lt;((2*IF(circ_int,0,eq_c2/2))+(PI()*(s_0+10*s_r+IF(circ_int,eq_c1/2,0))/2)),IF(circ_int,0,eq_c1/2)+(s_0+10*s_r+IF(circ_int,eq_c1/2,0))*COS((((37+0.5)*(4*IF(circ_int,0,eq_c1/2)+4*IF(circ_int,0,eq_c2/2)+2*PI()*(s_0+10*s_r+IF(circ_int,eq_c1/2,0)))/INDEX(lk_legs,11))-(2*IF(circ_int,0,eq_c2/2)))/(s_0+10*s_r+IF(circ_int,eq_c1/2,0))),IF(((37+0.5)*(4*IF(circ_int,0,eq_c1/2)+4*IF(circ_int,0,eq_c2/2)+2*PI()*(s_0+10*s_r+IF(circ_int,eq_c1/2,0)))/INDEX(lk_legs,11))&lt;(((2*IF(circ_int,0,eq_c2/2))+(PI()*(s_0+10*s_r+IF(circ_int,eq_c1/2,0))/2))+2*IF(circ_int,0,eq_c1/2)),IF(circ_int,0,eq_c1/2)-(((37+0.5)*(4*IF(circ_int,0,eq_c1/2)+4*IF(circ_int,0,eq_c2/2)+2*PI()*(s_0+10*s_r+IF(circ_int,eq_c1/2,0)))/INDEX(lk_legs,11))-((2*IF(circ_int,0,eq_c2/2))+(PI()*(s_0+10*s_r+IF(circ_int,eq_c1/2,0))/2))),IF(((37+0.5)*(4*IF(circ_int,0,eq_c1/2)+4*IF(circ_int,0,eq_c2/2)+2*PI()*(s_0+10*s_r+IF(circ_int,eq_c1/2,0)))/INDEX(lk_legs,11))&lt;((((2*IF(circ_int,0,eq_c2/2))+(PI()*(s_0+10*s_r+IF(circ_int,eq_c1/2,0))/2))+2*IF(circ_int,0,eq_c1/2))+(PI()*(s_0+10*s_r+IF(circ_int,eq_c1/2,0))/2)),-IF(circ_int,0,eq_c1/2)+(s_0+10*s_r+IF(circ_int,eq_c1/2,0))*COS(PI()/2+(((37+0.5)*(4*IF(circ_int,0,eq_c1/2)+4*IF(circ_int,0,eq_c2/2)+2*PI()*(s_0+10*s_r+IF(circ_int,eq_c1/2,0)))/INDEX(lk_legs,11))-(((2*IF(circ_int,0,eq_c2/2))+(PI()*(s_0+10*s_r+IF(circ_int,eq_c1/2,0))/2))+2*IF(circ_int,0,eq_c1/2)))/(s_0+10*s_r+IF(circ_int,eq_c1/2,0))),IF(((37+0.5)*(4*IF(circ_int,0,eq_c1/2)+4*IF(circ_int,0,eq_c2/2)+2*PI()*(s_0+10*s_r+IF(circ_int,eq_c1/2,0)))/INDEX(lk_legs,11))&lt;(((((2*IF(circ_int,0,eq_c2/2))+(PI()*(s_0+10*s_r+IF(circ_int,eq_c1/2,0))/2))+2*IF(circ_int,0,eq_c1/2))+(PI()*(s_0+10*s_r+IF(circ_int,eq_c1/2,0))/2))+2*IF(circ_int,0,eq_c2/2)),-IF(circ_int,0,eq_c1/2)-(s_0+10*s_r+IF(circ_int,eq_c1/2,0)),IF(((37+0.5)*(4*IF(circ_int,0,eq_c1/2)+4*IF(circ_int,0,eq_c2/2)+2*PI()*(s_0+10*s_r+IF(circ_int,eq_c1/2,0)))/INDEX(lk_legs,11))&lt;((((((2*IF(circ_int,0,eq_c2/2))+(PI()*(s_0+10*s_r+IF(circ_int,eq_c1/2,0))/2))+2*IF(circ_int,0,eq_c1/2))+(PI()*(s_0+10*s_r+IF(circ_int,eq_c1/2,0))/2))+2*IF(circ_int,0,eq_c2/2))+(PI()*(s_0+10*s_r+IF(circ_int,eq_c1/2,0))/2)),-IF(circ_int,0,eq_c1/2)+(s_0+10*s_r+IF(circ_int,eq_c1/2,0))*COS(PI()+(((37+0.5)*(4*IF(circ_int,0,eq_c1/2)+4*IF(circ_int,0,eq_c2/2)+2*PI()*(s_0+10*s_r+IF(circ_int,eq_c1/2,0)))/INDEX(lk_legs,11))-(((((2*IF(circ_int,0,eq_c2/2))+(PI()*(s_0+10*s_r+IF(circ_int,eq_c1/2,0))/2))+2*IF(circ_int,0,eq_c1/2))+(PI()*(s_0+10*s_r+IF(circ_int,eq_c1/2,0))/2))+2*IF(circ_int,0,eq_c2/2)))/(s_0+10*s_r+IF(circ_int,eq_c1/2,0))),IF(((37+0.5)*(4*IF(circ_int,0,eq_c1/2)+4*IF(circ_int,0,eq_c2/2)+2*PI()*(s_0+10*s_r+IF(circ_int,eq_c1/2,0)))/INDEX(lk_legs,11))&lt;(((((((2*IF(circ_int,0,eq_c2/2))+(PI()*(s_0+10*s_r+IF(circ_int,eq_c1/2,0))/2))+2*IF(circ_int,0,eq_c1/2))+(PI()*(s_0+10*s_r+IF(circ_int,eq_c1/2,0))/2))+2*IF(circ_int,0,eq_c2/2))+(PI()*(s_0+10*s_r+IF(circ_int,eq_c1/2,0))/2))+2*IF(circ_int,0,eq_c1/2)),-IF(circ_int,0,eq_c1/2)+(((37+0.5)*(4*IF(circ_int,0,eq_c1/2)+4*IF(circ_int,0,eq_c2/2)+2*PI()*(s_0+10*s_r+IF(circ_int,eq_c1/2,0)))/INDEX(lk_legs,11))-((((((2*IF(circ_int,0,eq_c2/2))+(PI()*(s_0+10*s_r+IF(circ_int,eq_c1/2,0))/2))+2*IF(circ_int,0,eq_c1/2))+(PI()*(s_0+10*s_r+IF(circ_int,eq_c1/2,0))/2))+2*IF(circ_int,0,eq_c2/2))+(PI()*(s_0+10*s_r+IF(circ_int,eq_c1/2,0))/2))),IF(circ_int,0,eq_c1/2)+(s_0+10*s_r+IF(circ_int,eq_c1/2,0))*COS(3*PI()/2+(((37+0.5)*(4*IF(circ_int,0,eq_c1/2)+4*IF(circ_int,0,eq_c2/2)+2*PI()*(s_0+10*s_r+IF(circ_int,eq_c1/2,0)))/INDEX(lk_legs,11))-(((((((2*IF(circ_int,0,eq_c2/2))+(PI()*(s_0+10*s_r+IF(circ_int,eq_c1/2,0))/2))+2*IF(circ_int,0,eq_c1/2))+(PI()*(s_0+10*s_r+IF(circ_int,eq_c1/2,0))/2))+2*IF(circ_int,0,eq_c2/2))+(PI()*(s_0+10*s_r+IF(circ_int,eq_c1/2,0))/2))+2*IF(circ_int,0,eq_c1/2)))/(s_0+10*s_r+IF(circ_int,eq_c1/2,0)))))))))),NA())</f>
        <v/>
      </c>
      <c r="DI40">
        <f>IF(AND(AND(links_on,11&lt;=n_per),INDEX(lk_kind,11)=1,37&lt;INDEX(lk_legs,11)),g_oy+IF(((37+0.5)*(4*IF(circ_int,0,eq_c1/2)+4*IF(circ_int,0,eq_c2/2)+2*PI()*(s_0+10*s_r+IF(circ_int,eq_c1/2,0)))/INDEX(lk_legs,11))&lt;(2*IF(circ_int,0,eq_c2/2)),-IF(circ_int,0,eq_c2/2)+((37+0.5)*(4*IF(circ_int,0,eq_c1/2)+4*IF(circ_int,0,eq_c2/2)+2*PI()*(s_0+10*s_r+IF(circ_int,eq_c1/2,0)))/INDEX(lk_legs,11)),IF(((37+0.5)*(4*IF(circ_int,0,eq_c1/2)+4*IF(circ_int,0,eq_c2/2)+2*PI()*(s_0+10*s_r+IF(circ_int,eq_c1/2,0)))/INDEX(lk_legs,11))&lt;((2*IF(circ_int,0,eq_c2/2))+(PI()*(s_0+10*s_r+IF(circ_int,eq_c1/2,0))/2)),IF(circ_int,0,eq_c2/2)+(s_0+10*s_r+IF(circ_int,eq_c1/2,0))*SIN((((37+0.5)*(4*IF(circ_int,0,eq_c1/2)+4*IF(circ_int,0,eq_c2/2)+2*PI()*(s_0+10*s_r+IF(circ_int,eq_c1/2,0)))/INDEX(lk_legs,11))-(2*IF(circ_int,0,eq_c2/2)))/(s_0+10*s_r+IF(circ_int,eq_c1/2,0))),IF(((37+0.5)*(4*IF(circ_int,0,eq_c1/2)+4*IF(circ_int,0,eq_c2/2)+2*PI()*(s_0+10*s_r+IF(circ_int,eq_c1/2,0)))/INDEX(lk_legs,11))&lt;(((2*IF(circ_int,0,eq_c2/2))+(PI()*(s_0+10*s_r+IF(circ_int,eq_c1/2,0))/2))+2*IF(circ_int,0,eq_c1/2)),IF(circ_int,0,eq_c2/2)+(s_0+10*s_r+IF(circ_int,eq_c1/2,0)),IF(((37+0.5)*(4*IF(circ_int,0,eq_c1/2)+4*IF(circ_int,0,eq_c2/2)+2*PI()*(s_0+10*s_r+IF(circ_int,eq_c1/2,0)))/INDEX(lk_legs,11))&lt;((((2*IF(circ_int,0,eq_c2/2))+(PI()*(s_0+10*s_r+IF(circ_int,eq_c1/2,0))/2))+2*IF(circ_int,0,eq_c1/2))+(PI()*(s_0+10*s_r+IF(circ_int,eq_c1/2,0))/2)),IF(circ_int,0,eq_c2/2)+(s_0+10*s_r+IF(circ_int,eq_c1/2,0))*SIN(PI()/2+(((37+0.5)*(4*IF(circ_int,0,eq_c1/2)+4*IF(circ_int,0,eq_c2/2)+2*PI()*(s_0+10*s_r+IF(circ_int,eq_c1/2,0)))/INDEX(lk_legs,11))-(((2*IF(circ_int,0,eq_c2/2))+(PI()*(s_0+10*s_r+IF(circ_int,eq_c1/2,0))/2))+2*IF(circ_int,0,eq_c1/2)))/(s_0+10*s_r+IF(circ_int,eq_c1/2,0))),IF(((37+0.5)*(4*IF(circ_int,0,eq_c1/2)+4*IF(circ_int,0,eq_c2/2)+2*PI()*(s_0+10*s_r+IF(circ_int,eq_c1/2,0)))/INDEX(lk_legs,11))&lt;(((((2*IF(circ_int,0,eq_c2/2))+(PI()*(s_0+10*s_r+IF(circ_int,eq_c1/2,0))/2))+2*IF(circ_int,0,eq_c1/2))+(PI()*(s_0+10*s_r+IF(circ_int,eq_c1/2,0))/2))+2*IF(circ_int,0,eq_c2/2)),IF(circ_int,0,eq_c2/2)-(((37+0.5)*(4*IF(circ_int,0,eq_c1/2)+4*IF(circ_int,0,eq_c2/2)+2*PI()*(s_0+10*s_r+IF(circ_int,eq_c1/2,0)))/INDEX(lk_legs,11))-((((2*IF(circ_int,0,eq_c2/2))+(PI()*(s_0+10*s_r+IF(circ_int,eq_c1/2,0))/2))+2*IF(circ_int,0,eq_c1/2))+(PI()*(s_0+10*s_r+IF(circ_int,eq_c1/2,0))/2))),IF(((37+0.5)*(4*IF(circ_int,0,eq_c1/2)+4*IF(circ_int,0,eq_c2/2)+2*PI()*(s_0+10*s_r+IF(circ_int,eq_c1/2,0)))/INDEX(lk_legs,11))&lt;((((((2*IF(circ_int,0,eq_c2/2))+(PI()*(s_0+10*s_r+IF(circ_int,eq_c1/2,0))/2))+2*IF(circ_int,0,eq_c1/2))+(PI()*(s_0+10*s_r+IF(circ_int,eq_c1/2,0))/2))+2*IF(circ_int,0,eq_c2/2))+(PI()*(s_0+10*s_r+IF(circ_int,eq_c1/2,0))/2)),-IF(circ_int,0,eq_c2/2)+(s_0+10*s_r+IF(circ_int,eq_c1/2,0))*SIN(PI()+(((37+0.5)*(4*IF(circ_int,0,eq_c1/2)+4*IF(circ_int,0,eq_c2/2)+2*PI()*(s_0+10*s_r+IF(circ_int,eq_c1/2,0)))/INDEX(lk_legs,11))-(((((2*IF(circ_int,0,eq_c2/2))+(PI()*(s_0+10*s_r+IF(circ_int,eq_c1/2,0))/2))+2*IF(circ_int,0,eq_c1/2))+(PI()*(s_0+10*s_r+IF(circ_int,eq_c1/2,0))/2))+2*IF(circ_int,0,eq_c2/2)))/(s_0+10*s_r+IF(circ_int,eq_c1/2,0))),IF(((37+0.5)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(37+0.5)*(4*IF(circ_int,0,eq_c1/2)+4*IF(circ_int,0,eq_c2/2)+2*PI()*(s_0+10*s_r+IF(circ_int,eq_c1/2,0)))/INDEX(lk_legs,11))-(((((((2*IF(circ_int,0,eq_c2/2))+(PI()*(s_0+10*s_r+IF(circ_int,eq_c1/2,0))/2))+2*IF(circ_int,0,eq_c1/2))+(PI()*(s_0+10*s_r+IF(circ_int,eq_c1/2,0))/2))+2*IF(circ_int,0,eq_c2/2))+(PI()*(s_0+10*s_r+IF(circ_int,eq_c1/2,0))/2))+2*IF(circ_int,0,eq_c1/2)))/(s_0+10*s_r+IF(circ_int,eq_c1/2,0)))))))))),NA())</f>
        <v/>
      </c>
      <c r="DK40">
        <f>IF(AND(links_on,12&lt;=n_per),IF(circ_int,(g_ox)+(c_1/2+(s_0+11*s_r))*-0.239316,CHOOSE(INDEX(lk_kind,12),(g_ox-eq_c1/2)+((s_0+11*s_r))*-0.130526,0,eq_a1+eq_c1+(s_0+11*s_r),eq_a1+eq_c1+(s_0+11*s_r))),NA())</f>
        <v/>
      </c>
      <c r="DL40">
        <f>IF(AND(links_on,12&lt;=n_per),IF(circ_int,(g_oy)+(c_1/2+(s_0+11*s_r))*-0.970942,CHOOSE(INDEX(lk_kind,12),(g_oy-eq_c2/2)+((s_0+11*s_r))*-0.991445,g_oy-eq_c2/2-(s_0+11*s_r),0,0)),NA())</f>
        <v/>
      </c>
      <c r="DN40">
        <f>IF(AND(AND(links_on,12&lt;=n_per),INDEX(lk_kind,12)=1,37&lt;INDEX(lk_legs,12)),g_ox+IF(((37+0.5)*(4*IF(circ_int,0,eq_c1/2)+4*IF(circ_int,0,eq_c2/2)+2*PI()*(s_0+11*s_r+IF(circ_int,eq_c1/2,0)))/INDEX(lk_legs,12))&lt;(2*IF(circ_int,0,eq_c2/2)),IF(circ_int,0,eq_c1/2)+(s_0+11*s_r+IF(circ_int,eq_c1/2,0)),IF(((37+0.5)*(4*IF(circ_int,0,eq_c1/2)+4*IF(circ_int,0,eq_c2/2)+2*PI()*(s_0+11*s_r+IF(circ_int,eq_c1/2,0)))/INDEX(lk_legs,12))&lt;((2*IF(circ_int,0,eq_c2/2))+(PI()*(s_0+11*s_r+IF(circ_int,eq_c1/2,0))/2)),IF(circ_int,0,eq_c1/2)+(s_0+11*s_r+IF(circ_int,eq_c1/2,0))*COS((((37+0.5)*(4*IF(circ_int,0,eq_c1/2)+4*IF(circ_int,0,eq_c2/2)+2*PI()*(s_0+11*s_r+IF(circ_int,eq_c1/2,0)))/INDEX(lk_legs,12))-(2*IF(circ_int,0,eq_c2/2)))/(s_0+11*s_r+IF(circ_int,eq_c1/2,0))),IF(((37+0.5)*(4*IF(circ_int,0,eq_c1/2)+4*IF(circ_int,0,eq_c2/2)+2*PI()*(s_0+11*s_r+IF(circ_int,eq_c1/2,0)))/INDEX(lk_legs,12))&lt;(((2*IF(circ_int,0,eq_c2/2))+(PI()*(s_0+11*s_r+IF(circ_int,eq_c1/2,0))/2))+2*IF(circ_int,0,eq_c1/2)),IF(circ_int,0,eq_c1/2)-(((37+0.5)*(4*IF(circ_int,0,eq_c1/2)+4*IF(circ_int,0,eq_c2/2)+2*PI()*(s_0+11*s_r+IF(circ_int,eq_c1/2,0)))/INDEX(lk_legs,12))-((2*IF(circ_int,0,eq_c2/2))+(PI()*(s_0+11*s_r+IF(circ_int,eq_c1/2,0))/2))),IF(((37+0.5)*(4*IF(circ_int,0,eq_c1/2)+4*IF(circ_int,0,eq_c2/2)+2*PI()*(s_0+11*s_r+IF(circ_int,eq_c1/2,0)))/INDEX(lk_legs,12))&lt;((((2*IF(circ_int,0,eq_c2/2))+(PI()*(s_0+11*s_r+IF(circ_int,eq_c1/2,0))/2))+2*IF(circ_int,0,eq_c1/2))+(PI()*(s_0+11*s_r+IF(circ_int,eq_c1/2,0))/2)),-IF(circ_int,0,eq_c1/2)+(s_0+11*s_r+IF(circ_int,eq_c1/2,0))*COS(PI()/2+(((37+0.5)*(4*IF(circ_int,0,eq_c1/2)+4*IF(circ_int,0,eq_c2/2)+2*PI()*(s_0+11*s_r+IF(circ_int,eq_c1/2,0)))/INDEX(lk_legs,12))-(((2*IF(circ_int,0,eq_c2/2))+(PI()*(s_0+11*s_r+IF(circ_int,eq_c1/2,0))/2))+2*IF(circ_int,0,eq_c1/2)))/(s_0+11*s_r+IF(circ_int,eq_c1/2,0))),IF(((37+0.5)*(4*IF(circ_int,0,eq_c1/2)+4*IF(circ_int,0,eq_c2/2)+2*PI()*(s_0+11*s_r+IF(circ_int,eq_c1/2,0)))/INDEX(lk_legs,12))&lt;(((((2*IF(circ_int,0,eq_c2/2))+(PI()*(s_0+11*s_r+IF(circ_int,eq_c1/2,0))/2))+2*IF(circ_int,0,eq_c1/2))+(PI()*(s_0+11*s_r+IF(circ_int,eq_c1/2,0))/2))+2*IF(circ_int,0,eq_c2/2)),-IF(circ_int,0,eq_c1/2)-(s_0+11*s_r+IF(circ_int,eq_c1/2,0)),IF(((37+0.5)*(4*IF(circ_int,0,eq_c1/2)+4*IF(circ_int,0,eq_c2/2)+2*PI()*(s_0+11*s_r+IF(circ_int,eq_c1/2,0)))/INDEX(lk_legs,12))&lt;((((((2*IF(circ_int,0,eq_c2/2))+(PI()*(s_0+11*s_r+IF(circ_int,eq_c1/2,0))/2))+2*IF(circ_int,0,eq_c1/2))+(PI()*(s_0+11*s_r+IF(circ_int,eq_c1/2,0))/2))+2*IF(circ_int,0,eq_c2/2))+(PI()*(s_0+11*s_r+IF(circ_int,eq_c1/2,0))/2)),-IF(circ_int,0,eq_c1/2)+(s_0+11*s_r+IF(circ_int,eq_c1/2,0))*COS(PI()+(((37+0.5)*(4*IF(circ_int,0,eq_c1/2)+4*IF(circ_int,0,eq_c2/2)+2*PI()*(s_0+11*s_r+IF(circ_int,eq_c1/2,0)))/INDEX(lk_legs,12))-(((((2*IF(circ_int,0,eq_c2/2))+(PI()*(s_0+11*s_r+IF(circ_int,eq_c1/2,0))/2))+2*IF(circ_int,0,eq_c1/2))+(PI()*(s_0+11*s_r+IF(circ_int,eq_c1/2,0))/2))+2*IF(circ_int,0,eq_c2/2)))/(s_0+11*s_r+IF(circ_int,eq_c1/2,0))),IF(((37+0.5)*(4*IF(circ_int,0,eq_c1/2)+4*IF(circ_int,0,eq_c2/2)+2*PI()*(s_0+11*s_r+IF(circ_int,eq_c1/2,0)))/INDEX(lk_legs,12))&lt;(((((((2*IF(circ_int,0,eq_c2/2))+(PI()*(s_0+11*s_r+IF(circ_int,eq_c1/2,0))/2))+2*IF(circ_int,0,eq_c1/2))+(PI()*(s_0+11*s_r+IF(circ_int,eq_c1/2,0))/2))+2*IF(circ_int,0,eq_c2/2))+(PI()*(s_0+11*s_r+IF(circ_int,eq_c1/2,0))/2))+2*IF(circ_int,0,eq_c1/2)),-IF(circ_int,0,eq_c1/2)+(((37+0.5)*(4*IF(circ_int,0,eq_c1/2)+4*IF(circ_int,0,eq_c2/2)+2*PI()*(s_0+11*s_r+IF(circ_int,eq_c1/2,0)))/INDEX(lk_legs,12))-((((((2*IF(circ_int,0,eq_c2/2))+(PI()*(s_0+11*s_r+IF(circ_int,eq_c1/2,0))/2))+2*IF(circ_int,0,eq_c1/2))+(PI()*(s_0+11*s_r+IF(circ_int,eq_c1/2,0))/2))+2*IF(circ_int,0,eq_c2/2))+(PI()*(s_0+11*s_r+IF(circ_int,eq_c1/2,0))/2))),IF(circ_int,0,eq_c1/2)+(s_0+11*s_r+IF(circ_int,eq_c1/2,0))*COS(3*PI()/2+(((37+0.5)*(4*IF(circ_int,0,eq_c1/2)+4*IF(circ_int,0,eq_c2/2)+2*PI()*(s_0+11*s_r+IF(circ_int,eq_c1/2,0)))/INDEX(lk_legs,12))-(((((((2*IF(circ_int,0,eq_c2/2))+(PI()*(s_0+11*s_r+IF(circ_int,eq_c1/2,0))/2))+2*IF(circ_int,0,eq_c1/2))+(PI()*(s_0+11*s_r+IF(circ_int,eq_c1/2,0))/2))+2*IF(circ_int,0,eq_c2/2))+(PI()*(s_0+11*s_r+IF(circ_int,eq_c1/2,0))/2))+2*IF(circ_int,0,eq_c1/2)))/(s_0+11*s_r+IF(circ_int,eq_c1/2,0)))))))))),NA())</f>
        <v/>
      </c>
      <c r="DO40">
        <f>IF(AND(AND(links_on,12&lt;=n_per),INDEX(lk_kind,12)=1,37&lt;INDEX(lk_legs,12)),g_oy+IF(((37+0.5)*(4*IF(circ_int,0,eq_c1/2)+4*IF(circ_int,0,eq_c2/2)+2*PI()*(s_0+11*s_r+IF(circ_int,eq_c1/2,0)))/INDEX(lk_legs,12))&lt;(2*IF(circ_int,0,eq_c2/2)),-IF(circ_int,0,eq_c2/2)+((37+0.5)*(4*IF(circ_int,0,eq_c1/2)+4*IF(circ_int,0,eq_c2/2)+2*PI()*(s_0+11*s_r+IF(circ_int,eq_c1/2,0)))/INDEX(lk_legs,12)),IF(((37+0.5)*(4*IF(circ_int,0,eq_c1/2)+4*IF(circ_int,0,eq_c2/2)+2*PI()*(s_0+11*s_r+IF(circ_int,eq_c1/2,0)))/INDEX(lk_legs,12))&lt;((2*IF(circ_int,0,eq_c2/2))+(PI()*(s_0+11*s_r+IF(circ_int,eq_c1/2,0))/2)),IF(circ_int,0,eq_c2/2)+(s_0+11*s_r+IF(circ_int,eq_c1/2,0))*SIN((((37+0.5)*(4*IF(circ_int,0,eq_c1/2)+4*IF(circ_int,0,eq_c2/2)+2*PI()*(s_0+11*s_r+IF(circ_int,eq_c1/2,0)))/INDEX(lk_legs,12))-(2*IF(circ_int,0,eq_c2/2)))/(s_0+11*s_r+IF(circ_int,eq_c1/2,0))),IF(((37+0.5)*(4*IF(circ_int,0,eq_c1/2)+4*IF(circ_int,0,eq_c2/2)+2*PI()*(s_0+11*s_r+IF(circ_int,eq_c1/2,0)))/INDEX(lk_legs,12))&lt;(((2*IF(circ_int,0,eq_c2/2))+(PI()*(s_0+11*s_r+IF(circ_int,eq_c1/2,0))/2))+2*IF(circ_int,0,eq_c1/2)),IF(circ_int,0,eq_c2/2)+(s_0+11*s_r+IF(circ_int,eq_c1/2,0)),IF(((37+0.5)*(4*IF(circ_int,0,eq_c1/2)+4*IF(circ_int,0,eq_c2/2)+2*PI()*(s_0+11*s_r+IF(circ_int,eq_c1/2,0)))/INDEX(lk_legs,12))&lt;((((2*IF(circ_int,0,eq_c2/2))+(PI()*(s_0+11*s_r+IF(circ_int,eq_c1/2,0))/2))+2*IF(circ_int,0,eq_c1/2))+(PI()*(s_0+11*s_r+IF(circ_int,eq_c1/2,0))/2)),IF(circ_int,0,eq_c2/2)+(s_0+11*s_r+IF(circ_int,eq_c1/2,0))*SIN(PI()/2+(((37+0.5)*(4*IF(circ_int,0,eq_c1/2)+4*IF(circ_int,0,eq_c2/2)+2*PI()*(s_0+11*s_r+IF(circ_int,eq_c1/2,0)))/INDEX(lk_legs,12))-(((2*IF(circ_int,0,eq_c2/2))+(PI()*(s_0+11*s_r+IF(circ_int,eq_c1/2,0))/2))+2*IF(circ_int,0,eq_c1/2)))/(s_0+11*s_r+IF(circ_int,eq_c1/2,0))),IF(((37+0.5)*(4*IF(circ_int,0,eq_c1/2)+4*IF(circ_int,0,eq_c2/2)+2*PI()*(s_0+11*s_r+IF(circ_int,eq_c1/2,0)))/INDEX(lk_legs,12))&lt;(((((2*IF(circ_int,0,eq_c2/2))+(PI()*(s_0+11*s_r+IF(circ_int,eq_c1/2,0))/2))+2*IF(circ_int,0,eq_c1/2))+(PI()*(s_0+11*s_r+IF(circ_int,eq_c1/2,0))/2))+2*IF(circ_int,0,eq_c2/2)),IF(circ_int,0,eq_c2/2)-(((37+0.5)*(4*IF(circ_int,0,eq_c1/2)+4*IF(circ_int,0,eq_c2/2)+2*PI()*(s_0+11*s_r+IF(circ_int,eq_c1/2,0)))/INDEX(lk_legs,12))-((((2*IF(circ_int,0,eq_c2/2))+(PI()*(s_0+11*s_r+IF(circ_int,eq_c1/2,0))/2))+2*IF(circ_int,0,eq_c1/2))+(PI()*(s_0+11*s_r+IF(circ_int,eq_c1/2,0))/2))),IF(((37+0.5)*(4*IF(circ_int,0,eq_c1/2)+4*IF(circ_int,0,eq_c2/2)+2*PI()*(s_0+11*s_r+IF(circ_int,eq_c1/2,0)))/INDEX(lk_legs,12))&lt;((((((2*IF(circ_int,0,eq_c2/2))+(PI()*(s_0+11*s_r+IF(circ_int,eq_c1/2,0))/2))+2*IF(circ_int,0,eq_c1/2))+(PI()*(s_0+11*s_r+IF(circ_int,eq_c1/2,0))/2))+2*IF(circ_int,0,eq_c2/2))+(PI()*(s_0+11*s_r+IF(circ_int,eq_c1/2,0))/2)),-IF(circ_int,0,eq_c2/2)+(s_0+11*s_r+IF(circ_int,eq_c1/2,0))*SIN(PI()+(((37+0.5)*(4*IF(circ_int,0,eq_c1/2)+4*IF(circ_int,0,eq_c2/2)+2*PI()*(s_0+11*s_r+IF(circ_int,eq_c1/2,0)))/INDEX(lk_legs,12))-(((((2*IF(circ_int,0,eq_c2/2))+(PI()*(s_0+11*s_r+IF(circ_int,eq_c1/2,0))/2))+2*IF(circ_int,0,eq_c1/2))+(PI()*(s_0+11*s_r+IF(circ_int,eq_c1/2,0))/2))+2*IF(circ_int,0,eq_c2/2)))/(s_0+11*s_r+IF(circ_int,eq_c1/2,0))),IF(((37+0.5)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(37+0.5)*(4*IF(circ_int,0,eq_c1/2)+4*IF(circ_int,0,eq_c2/2)+2*PI()*(s_0+11*s_r+IF(circ_int,eq_c1/2,0)))/INDEX(lk_legs,12))-(((((((2*IF(circ_int,0,eq_c2/2))+(PI()*(s_0+11*s_r+IF(circ_int,eq_c1/2,0))/2))+2*IF(circ_int,0,eq_c1/2))+(PI()*(s_0+11*s_r+IF(circ_int,eq_c1/2,0))/2))+2*IF(circ_int,0,eq_c2/2))+(PI()*(s_0+11*s_r+IF(circ_int,eq_c1/2,0))/2))+2*IF(circ_int,0,eq_c1/2)))/(s_0+11*s_r+IF(circ_int,eq_c1/2,0)))))))))),NA())</f>
        <v/>
      </c>
    </row>
    <row r="41">
      <c r="A41">
        <f>IF(shape="Circular",(g_ox)+(c_1/2+0)*-0.120537,CHOOSE(1,(g_ox-eq_c1/2)+(0)*-0.000000,0,eq_a1+eq_c1+0,eq_a1+eq_c1+0))</f>
        <v/>
      </c>
      <c r="B41">
        <f>IF(shape="Circular",(g_oy)+(c_1/2+0)*-0.992709,CHOOSE(1,(g_oy-eq_c2/2)+(0)*-1.000000,g_oy-eq_c2/2-0,0,0))</f>
        <v/>
      </c>
      <c r="D41">
        <f>IF(circ_int,(g_ox)+(c_1/2+2*d_eff)*-0.120537,CHOOSE(geo_idx,(g_ox-eq_c1/2)+(2*d_eff)*-0.000000,0,eq_a1+eq_c1+2*d_eff,eq_a1+eq_c1+2*d_eff))</f>
        <v/>
      </c>
      <c r="E41">
        <f>IF(circ_int,(g_oy)+(c_1/2+2*d_eff)*-0.992709,CHOOSE(geo_idx,(g_oy-eq_c2/2)+(2*d_eff)*-1.000000,g_oy-eq_c2/2-2*d_eff,0,0))</f>
        <v/>
      </c>
      <c r="G41">
        <f>IF(AND(inputs_ok,punch_ok,A_sw&gt;0),IF(circ_int,(g_ox)+(c_1/2+r_out)*-0.120537,CHOOSE(kind_out,(g_ox-eq_c1/2)+(r_out)*-0.000000,0,eq_a1+eq_c1+r_out,eq_a1+eq_c1+r_out)),NA())</f>
        <v/>
      </c>
      <c r="H41">
        <f>IF(AND(inputs_ok,punch_ok,A_sw&gt;0),IF(circ_int,(g_oy)+(c_1/2+r_out)*-0.992709,CHOOSE(kind_out,(g_oy-eq_c2/2)+(r_out)*-1.000000,g_oy-eq_c2/2-r_out,0,0)),NA())</f>
        <v/>
      </c>
      <c r="AW41">
        <f>IF(AND(links_on,1&lt;=n_per),IF(circ_int,(g_ox)+(c_1/2+(s_0+0*s_r))*-0.120537,CHOOSE(INDEX(lk_kind,1),(g_ox-eq_c1/2)+((s_0+0*s_r))*-0.000000,0,eq_a1+eq_c1+(s_0+0*s_r),eq_a1+eq_c1+(s_0+0*s_r))),NA())</f>
        <v/>
      </c>
      <c r="AX41">
        <f>IF(AND(links_on,1&lt;=n_per),IF(circ_int,(g_oy)+(c_1/2+(s_0+0*s_r))*-0.992709,CHOOSE(INDEX(lk_kind,1),(g_oy-eq_c2/2)+((s_0+0*s_r))*-1.000000,g_oy-eq_c2/2-(s_0+0*s_r),0,0)),NA())</f>
        <v/>
      </c>
      <c r="AZ41">
        <f>IF(AND(AND(links_on,1&lt;=n_per),INDEX(lk_kind,1)=1,38&lt;INDEX(lk_legs,1)),g_ox+IF(((38+0.5)*(4*IF(circ_int,0,eq_c1/2)+4*IF(circ_int,0,eq_c2/2)+2*PI()*(s_0+0*s_r+IF(circ_int,eq_c1/2,0)))/INDEX(lk_legs,1))&lt;(2*IF(circ_int,0,eq_c2/2)),IF(circ_int,0,eq_c1/2)+(s_0+0*s_r+IF(circ_int,eq_c1/2,0)),IF(((38+0.5)*(4*IF(circ_int,0,eq_c1/2)+4*IF(circ_int,0,eq_c2/2)+2*PI()*(s_0+0*s_r+IF(circ_int,eq_c1/2,0)))/INDEX(lk_legs,1))&lt;((2*IF(circ_int,0,eq_c2/2))+(PI()*(s_0+0*s_r+IF(circ_int,eq_c1/2,0))/2)),IF(circ_int,0,eq_c1/2)+(s_0+0*s_r+IF(circ_int,eq_c1/2,0))*COS((((38+0.5)*(4*IF(circ_int,0,eq_c1/2)+4*IF(circ_int,0,eq_c2/2)+2*PI()*(s_0+0*s_r+IF(circ_int,eq_c1/2,0)))/INDEX(lk_legs,1))-(2*IF(circ_int,0,eq_c2/2)))/(s_0+0*s_r+IF(circ_int,eq_c1/2,0))),IF(((38+0.5)*(4*IF(circ_int,0,eq_c1/2)+4*IF(circ_int,0,eq_c2/2)+2*PI()*(s_0+0*s_r+IF(circ_int,eq_c1/2,0)))/INDEX(lk_legs,1))&lt;(((2*IF(circ_int,0,eq_c2/2))+(PI()*(s_0+0*s_r+IF(circ_int,eq_c1/2,0))/2))+2*IF(circ_int,0,eq_c1/2)),IF(circ_int,0,eq_c1/2)-(((38+0.5)*(4*IF(circ_int,0,eq_c1/2)+4*IF(circ_int,0,eq_c2/2)+2*PI()*(s_0+0*s_r+IF(circ_int,eq_c1/2,0)))/INDEX(lk_legs,1))-((2*IF(circ_int,0,eq_c2/2))+(PI()*(s_0+0*s_r+IF(circ_int,eq_c1/2,0))/2))),IF(((38+0.5)*(4*IF(circ_int,0,eq_c1/2)+4*IF(circ_int,0,eq_c2/2)+2*PI()*(s_0+0*s_r+IF(circ_int,eq_c1/2,0)))/INDEX(lk_legs,1))&lt;((((2*IF(circ_int,0,eq_c2/2))+(PI()*(s_0+0*s_r+IF(circ_int,eq_c1/2,0))/2))+2*IF(circ_int,0,eq_c1/2))+(PI()*(s_0+0*s_r+IF(circ_int,eq_c1/2,0))/2)),-IF(circ_int,0,eq_c1/2)+(s_0+0*s_r+IF(circ_int,eq_c1/2,0))*COS(PI()/2+(((38+0.5)*(4*IF(circ_int,0,eq_c1/2)+4*IF(circ_int,0,eq_c2/2)+2*PI()*(s_0+0*s_r+IF(circ_int,eq_c1/2,0)))/INDEX(lk_legs,1))-(((2*IF(circ_int,0,eq_c2/2))+(PI()*(s_0+0*s_r+IF(circ_int,eq_c1/2,0))/2))+2*IF(circ_int,0,eq_c1/2)))/(s_0+0*s_r+IF(circ_int,eq_c1/2,0))),IF(((38+0.5)*(4*IF(circ_int,0,eq_c1/2)+4*IF(circ_int,0,eq_c2/2)+2*PI()*(s_0+0*s_r+IF(circ_int,eq_c1/2,0)))/INDEX(lk_legs,1))&lt;(((((2*IF(circ_int,0,eq_c2/2))+(PI()*(s_0+0*s_r+IF(circ_int,eq_c1/2,0))/2))+2*IF(circ_int,0,eq_c1/2))+(PI()*(s_0+0*s_r+IF(circ_int,eq_c1/2,0))/2))+2*IF(circ_int,0,eq_c2/2)),-IF(circ_int,0,eq_c1/2)-(s_0+0*s_r+IF(circ_int,eq_c1/2,0)),IF(((38+0.5)*(4*IF(circ_int,0,eq_c1/2)+4*IF(circ_int,0,eq_c2/2)+2*PI()*(s_0+0*s_r+IF(circ_int,eq_c1/2,0)))/INDEX(lk_legs,1))&lt;((((((2*IF(circ_int,0,eq_c2/2))+(PI()*(s_0+0*s_r+IF(circ_int,eq_c1/2,0))/2))+2*IF(circ_int,0,eq_c1/2))+(PI()*(s_0+0*s_r+IF(circ_int,eq_c1/2,0))/2))+2*IF(circ_int,0,eq_c2/2))+(PI()*(s_0+0*s_r+IF(circ_int,eq_c1/2,0))/2)),-IF(circ_int,0,eq_c1/2)+(s_0+0*s_r+IF(circ_int,eq_c1/2,0))*COS(PI()+(((38+0.5)*(4*IF(circ_int,0,eq_c1/2)+4*IF(circ_int,0,eq_c2/2)+2*PI()*(s_0+0*s_r+IF(circ_int,eq_c1/2,0)))/INDEX(lk_legs,1))-(((((2*IF(circ_int,0,eq_c2/2))+(PI()*(s_0+0*s_r+IF(circ_int,eq_c1/2,0))/2))+2*IF(circ_int,0,eq_c1/2))+(PI()*(s_0+0*s_r+IF(circ_int,eq_c1/2,0))/2))+2*IF(circ_int,0,eq_c2/2)))/(s_0+0*s_r+IF(circ_int,eq_c1/2,0))),IF(((38+0.5)*(4*IF(circ_int,0,eq_c1/2)+4*IF(circ_int,0,eq_c2/2)+2*PI()*(s_0+0*s_r+IF(circ_int,eq_c1/2,0)))/INDEX(lk_legs,1))&lt;(((((((2*IF(circ_int,0,eq_c2/2))+(PI()*(s_0+0*s_r+IF(circ_int,eq_c1/2,0))/2))+2*IF(circ_int,0,eq_c1/2))+(PI()*(s_0+0*s_r+IF(circ_int,eq_c1/2,0))/2))+2*IF(circ_int,0,eq_c2/2))+(PI()*(s_0+0*s_r+IF(circ_int,eq_c1/2,0))/2))+2*IF(circ_int,0,eq_c1/2)),-IF(circ_int,0,eq_c1/2)+(((38+0.5)*(4*IF(circ_int,0,eq_c1/2)+4*IF(circ_int,0,eq_c2/2)+2*PI()*(s_0+0*s_r+IF(circ_int,eq_c1/2,0)))/INDEX(lk_legs,1))-((((((2*IF(circ_int,0,eq_c2/2))+(PI()*(s_0+0*s_r+IF(circ_int,eq_c1/2,0))/2))+2*IF(circ_int,0,eq_c1/2))+(PI()*(s_0+0*s_r+IF(circ_int,eq_c1/2,0))/2))+2*IF(circ_int,0,eq_c2/2))+(PI()*(s_0+0*s_r+IF(circ_int,eq_c1/2,0))/2))),IF(circ_int,0,eq_c1/2)+(s_0+0*s_r+IF(circ_int,eq_c1/2,0))*COS(3*PI()/2+(((38+0.5)*(4*IF(circ_int,0,eq_c1/2)+4*IF(circ_int,0,eq_c2/2)+2*PI()*(s_0+0*s_r+IF(circ_int,eq_c1/2,0)))/INDEX(lk_legs,1))-(((((((2*IF(circ_int,0,eq_c2/2))+(PI()*(s_0+0*s_r+IF(circ_int,eq_c1/2,0))/2))+2*IF(circ_int,0,eq_c1/2))+(PI()*(s_0+0*s_r+IF(circ_int,eq_c1/2,0))/2))+2*IF(circ_int,0,eq_c2/2))+(PI()*(s_0+0*s_r+IF(circ_int,eq_c1/2,0))/2))+2*IF(circ_int,0,eq_c1/2)))/(s_0+0*s_r+IF(circ_int,eq_c1/2,0)))))))))),NA())</f>
        <v/>
      </c>
      <c r="BA41">
        <f>IF(AND(AND(links_on,1&lt;=n_per),INDEX(lk_kind,1)=1,38&lt;INDEX(lk_legs,1)),g_oy+IF(((38+0.5)*(4*IF(circ_int,0,eq_c1/2)+4*IF(circ_int,0,eq_c2/2)+2*PI()*(s_0+0*s_r+IF(circ_int,eq_c1/2,0)))/INDEX(lk_legs,1))&lt;(2*IF(circ_int,0,eq_c2/2)),-IF(circ_int,0,eq_c2/2)+((38+0.5)*(4*IF(circ_int,0,eq_c1/2)+4*IF(circ_int,0,eq_c2/2)+2*PI()*(s_0+0*s_r+IF(circ_int,eq_c1/2,0)))/INDEX(lk_legs,1)),IF(((38+0.5)*(4*IF(circ_int,0,eq_c1/2)+4*IF(circ_int,0,eq_c2/2)+2*PI()*(s_0+0*s_r+IF(circ_int,eq_c1/2,0)))/INDEX(lk_legs,1))&lt;((2*IF(circ_int,0,eq_c2/2))+(PI()*(s_0+0*s_r+IF(circ_int,eq_c1/2,0))/2)),IF(circ_int,0,eq_c2/2)+(s_0+0*s_r+IF(circ_int,eq_c1/2,0))*SIN((((38+0.5)*(4*IF(circ_int,0,eq_c1/2)+4*IF(circ_int,0,eq_c2/2)+2*PI()*(s_0+0*s_r+IF(circ_int,eq_c1/2,0)))/INDEX(lk_legs,1))-(2*IF(circ_int,0,eq_c2/2)))/(s_0+0*s_r+IF(circ_int,eq_c1/2,0))),IF(((38+0.5)*(4*IF(circ_int,0,eq_c1/2)+4*IF(circ_int,0,eq_c2/2)+2*PI()*(s_0+0*s_r+IF(circ_int,eq_c1/2,0)))/INDEX(lk_legs,1))&lt;(((2*IF(circ_int,0,eq_c2/2))+(PI()*(s_0+0*s_r+IF(circ_int,eq_c1/2,0))/2))+2*IF(circ_int,0,eq_c1/2)),IF(circ_int,0,eq_c2/2)+(s_0+0*s_r+IF(circ_int,eq_c1/2,0)),IF(((38+0.5)*(4*IF(circ_int,0,eq_c1/2)+4*IF(circ_int,0,eq_c2/2)+2*PI()*(s_0+0*s_r+IF(circ_int,eq_c1/2,0)))/INDEX(lk_legs,1))&lt;((((2*IF(circ_int,0,eq_c2/2))+(PI()*(s_0+0*s_r+IF(circ_int,eq_c1/2,0))/2))+2*IF(circ_int,0,eq_c1/2))+(PI()*(s_0+0*s_r+IF(circ_int,eq_c1/2,0))/2)),IF(circ_int,0,eq_c2/2)+(s_0+0*s_r+IF(circ_int,eq_c1/2,0))*SIN(PI()/2+(((38+0.5)*(4*IF(circ_int,0,eq_c1/2)+4*IF(circ_int,0,eq_c2/2)+2*PI()*(s_0+0*s_r+IF(circ_int,eq_c1/2,0)))/INDEX(lk_legs,1))-(((2*IF(circ_int,0,eq_c2/2))+(PI()*(s_0+0*s_r+IF(circ_int,eq_c1/2,0))/2))+2*IF(circ_int,0,eq_c1/2)))/(s_0+0*s_r+IF(circ_int,eq_c1/2,0))),IF(((38+0.5)*(4*IF(circ_int,0,eq_c1/2)+4*IF(circ_int,0,eq_c2/2)+2*PI()*(s_0+0*s_r+IF(circ_int,eq_c1/2,0)))/INDEX(lk_legs,1))&lt;(((((2*IF(circ_int,0,eq_c2/2))+(PI()*(s_0+0*s_r+IF(circ_int,eq_c1/2,0))/2))+2*IF(circ_int,0,eq_c1/2))+(PI()*(s_0+0*s_r+IF(circ_int,eq_c1/2,0))/2))+2*IF(circ_int,0,eq_c2/2)),IF(circ_int,0,eq_c2/2)-(((38+0.5)*(4*IF(circ_int,0,eq_c1/2)+4*IF(circ_int,0,eq_c2/2)+2*PI()*(s_0+0*s_r+IF(circ_int,eq_c1/2,0)))/INDEX(lk_legs,1))-((((2*IF(circ_int,0,eq_c2/2))+(PI()*(s_0+0*s_r+IF(circ_int,eq_c1/2,0))/2))+2*IF(circ_int,0,eq_c1/2))+(PI()*(s_0+0*s_r+IF(circ_int,eq_c1/2,0))/2))),IF(((38+0.5)*(4*IF(circ_int,0,eq_c1/2)+4*IF(circ_int,0,eq_c2/2)+2*PI()*(s_0+0*s_r+IF(circ_int,eq_c1/2,0)))/INDEX(lk_legs,1))&lt;((((((2*IF(circ_int,0,eq_c2/2))+(PI()*(s_0+0*s_r+IF(circ_int,eq_c1/2,0))/2))+2*IF(circ_int,0,eq_c1/2))+(PI()*(s_0+0*s_r+IF(circ_int,eq_c1/2,0))/2))+2*IF(circ_int,0,eq_c2/2))+(PI()*(s_0+0*s_r+IF(circ_int,eq_c1/2,0))/2)),-IF(circ_int,0,eq_c2/2)+(s_0+0*s_r+IF(circ_int,eq_c1/2,0))*SIN(PI()+(((38+0.5)*(4*IF(circ_int,0,eq_c1/2)+4*IF(circ_int,0,eq_c2/2)+2*PI()*(s_0+0*s_r+IF(circ_int,eq_c1/2,0)))/INDEX(lk_legs,1))-(((((2*IF(circ_int,0,eq_c2/2))+(PI()*(s_0+0*s_r+IF(circ_int,eq_c1/2,0))/2))+2*IF(circ_int,0,eq_c1/2))+(PI()*(s_0+0*s_r+IF(circ_int,eq_c1/2,0))/2))+2*IF(circ_int,0,eq_c2/2)))/(s_0+0*s_r+IF(circ_int,eq_c1/2,0))),IF(((38+0.5)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(38+0.5)*(4*IF(circ_int,0,eq_c1/2)+4*IF(circ_int,0,eq_c2/2)+2*PI()*(s_0+0*s_r+IF(circ_int,eq_c1/2,0)))/INDEX(lk_legs,1))-(((((((2*IF(circ_int,0,eq_c2/2))+(PI()*(s_0+0*s_r+IF(circ_int,eq_c1/2,0))/2))+2*IF(circ_int,0,eq_c1/2))+(PI()*(s_0+0*s_r+IF(circ_int,eq_c1/2,0))/2))+2*IF(circ_int,0,eq_c2/2))+(PI()*(s_0+0*s_r+IF(circ_int,eq_c1/2,0))/2))+2*IF(circ_int,0,eq_c1/2)))/(s_0+0*s_r+IF(circ_int,eq_c1/2,0)))))))))),NA())</f>
        <v/>
      </c>
      <c r="BC41">
        <f>IF(AND(links_on,2&lt;=n_per),IF(circ_int,(g_ox)+(c_1/2+(s_0+1*s_r))*-0.120537,CHOOSE(INDEX(lk_kind,2),(g_ox-eq_c1/2)+((s_0+1*s_r))*-0.000000,0,eq_a1+eq_c1+(s_0+1*s_r),eq_a1+eq_c1+(s_0+1*s_r))),NA())</f>
        <v/>
      </c>
      <c r="BD41">
        <f>IF(AND(links_on,2&lt;=n_per),IF(circ_int,(g_oy)+(c_1/2+(s_0+1*s_r))*-0.992709,CHOOSE(INDEX(lk_kind,2),(g_oy-eq_c2/2)+((s_0+1*s_r))*-1.000000,g_oy-eq_c2/2-(s_0+1*s_r),0,0)),NA())</f>
        <v/>
      </c>
      <c r="BF41">
        <f>IF(AND(AND(links_on,2&lt;=n_per),INDEX(lk_kind,2)=1,38&lt;INDEX(lk_legs,2)),g_ox+IF(((38+0.5)*(4*IF(circ_int,0,eq_c1/2)+4*IF(circ_int,0,eq_c2/2)+2*PI()*(s_0+1*s_r+IF(circ_int,eq_c1/2,0)))/INDEX(lk_legs,2))&lt;(2*IF(circ_int,0,eq_c2/2)),IF(circ_int,0,eq_c1/2)+(s_0+1*s_r+IF(circ_int,eq_c1/2,0)),IF(((38+0.5)*(4*IF(circ_int,0,eq_c1/2)+4*IF(circ_int,0,eq_c2/2)+2*PI()*(s_0+1*s_r+IF(circ_int,eq_c1/2,0)))/INDEX(lk_legs,2))&lt;((2*IF(circ_int,0,eq_c2/2))+(PI()*(s_0+1*s_r+IF(circ_int,eq_c1/2,0))/2)),IF(circ_int,0,eq_c1/2)+(s_0+1*s_r+IF(circ_int,eq_c1/2,0))*COS((((38+0.5)*(4*IF(circ_int,0,eq_c1/2)+4*IF(circ_int,0,eq_c2/2)+2*PI()*(s_0+1*s_r+IF(circ_int,eq_c1/2,0)))/INDEX(lk_legs,2))-(2*IF(circ_int,0,eq_c2/2)))/(s_0+1*s_r+IF(circ_int,eq_c1/2,0))),IF(((38+0.5)*(4*IF(circ_int,0,eq_c1/2)+4*IF(circ_int,0,eq_c2/2)+2*PI()*(s_0+1*s_r+IF(circ_int,eq_c1/2,0)))/INDEX(lk_legs,2))&lt;(((2*IF(circ_int,0,eq_c2/2))+(PI()*(s_0+1*s_r+IF(circ_int,eq_c1/2,0))/2))+2*IF(circ_int,0,eq_c1/2)),IF(circ_int,0,eq_c1/2)-(((38+0.5)*(4*IF(circ_int,0,eq_c1/2)+4*IF(circ_int,0,eq_c2/2)+2*PI()*(s_0+1*s_r+IF(circ_int,eq_c1/2,0)))/INDEX(lk_legs,2))-((2*IF(circ_int,0,eq_c2/2))+(PI()*(s_0+1*s_r+IF(circ_int,eq_c1/2,0))/2))),IF(((38+0.5)*(4*IF(circ_int,0,eq_c1/2)+4*IF(circ_int,0,eq_c2/2)+2*PI()*(s_0+1*s_r+IF(circ_int,eq_c1/2,0)))/INDEX(lk_legs,2))&lt;((((2*IF(circ_int,0,eq_c2/2))+(PI()*(s_0+1*s_r+IF(circ_int,eq_c1/2,0))/2))+2*IF(circ_int,0,eq_c1/2))+(PI()*(s_0+1*s_r+IF(circ_int,eq_c1/2,0))/2)),-IF(circ_int,0,eq_c1/2)+(s_0+1*s_r+IF(circ_int,eq_c1/2,0))*COS(PI()/2+(((38+0.5)*(4*IF(circ_int,0,eq_c1/2)+4*IF(circ_int,0,eq_c2/2)+2*PI()*(s_0+1*s_r+IF(circ_int,eq_c1/2,0)))/INDEX(lk_legs,2))-(((2*IF(circ_int,0,eq_c2/2))+(PI()*(s_0+1*s_r+IF(circ_int,eq_c1/2,0))/2))+2*IF(circ_int,0,eq_c1/2)))/(s_0+1*s_r+IF(circ_int,eq_c1/2,0))),IF(((38+0.5)*(4*IF(circ_int,0,eq_c1/2)+4*IF(circ_int,0,eq_c2/2)+2*PI()*(s_0+1*s_r+IF(circ_int,eq_c1/2,0)))/INDEX(lk_legs,2))&lt;(((((2*IF(circ_int,0,eq_c2/2))+(PI()*(s_0+1*s_r+IF(circ_int,eq_c1/2,0))/2))+2*IF(circ_int,0,eq_c1/2))+(PI()*(s_0+1*s_r+IF(circ_int,eq_c1/2,0))/2))+2*IF(circ_int,0,eq_c2/2)),-IF(circ_int,0,eq_c1/2)-(s_0+1*s_r+IF(circ_int,eq_c1/2,0)),IF(((38+0.5)*(4*IF(circ_int,0,eq_c1/2)+4*IF(circ_int,0,eq_c2/2)+2*PI()*(s_0+1*s_r+IF(circ_int,eq_c1/2,0)))/INDEX(lk_legs,2))&lt;((((((2*IF(circ_int,0,eq_c2/2))+(PI()*(s_0+1*s_r+IF(circ_int,eq_c1/2,0))/2))+2*IF(circ_int,0,eq_c1/2))+(PI()*(s_0+1*s_r+IF(circ_int,eq_c1/2,0))/2))+2*IF(circ_int,0,eq_c2/2))+(PI()*(s_0+1*s_r+IF(circ_int,eq_c1/2,0))/2)),-IF(circ_int,0,eq_c1/2)+(s_0+1*s_r+IF(circ_int,eq_c1/2,0))*COS(PI()+(((38+0.5)*(4*IF(circ_int,0,eq_c1/2)+4*IF(circ_int,0,eq_c2/2)+2*PI()*(s_0+1*s_r+IF(circ_int,eq_c1/2,0)))/INDEX(lk_legs,2))-(((((2*IF(circ_int,0,eq_c2/2))+(PI()*(s_0+1*s_r+IF(circ_int,eq_c1/2,0))/2))+2*IF(circ_int,0,eq_c1/2))+(PI()*(s_0+1*s_r+IF(circ_int,eq_c1/2,0))/2))+2*IF(circ_int,0,eq_c2/2)))/(s_0+1*s_r+IF(circ_int,eq_c1/2,0))),IF(((38+0.5)*(4*IF(circ_int,0,eq_c1/2)+4*IF(circ_int,0,eq_c2/2)+2*PI()*(s_0+1*s_r+IF(circ_int,eq_c1/2,0)))/INDEX(lk_legs,2))&lt;(((((((2*IF(circ_int,0,eq_c2/2))+(PI()*(s_0+1*s_r+IF(circ_int,eq_c1/2,0))/2))+2*IF(circ_int,0,eq_c1/2))+(PI()*(s_0+1*s_r+IF(circ_int,eq_c1/2,0))/2))+2*IF(circ_int,0,eq_c2/2))+(PI()*(s_0+1*s_r+IF(circ_int,eq_c1/2,0))/2))+2*IF(circ_int,0,eq_c1/2)),-IF(circ_int,0,eq_c1/2)+(((38+0.5)*(4*IF(circ_int,0,eq_c1/2)+4*IF(circ_int,0,eq_c2/2)+2*PI()*(s_0+1*s_r+IF(circ_int,eq_c1/2,0)))/INDEX(lk_legs,2))-((((((2*IF(circ_int,0,eq_c2/2))+(PI()*(s_0+1*s_r+IF(circ_int,eq_c1/2,0))/2))+2*IF(circ_int,0,eq_c1/2))+(PI()*(s_0+1*s_r+IF(circ_int,eq_c1/2,0))/2))+2*IF(circ_int,0,eq_c2/2))+(PI()*(s_0+1*s_r+IF(circ_int,eq_c1/2,0))/2))),IF(circ_int,0,eq_c1/2)+(s_0+1*s_r+IF(circ_int,eq_c1/2,0))*COS(3*PI()/2+(((38+0.5)*(4*IF(circ_int,0,eq_c1/2)+4*IF(circ_int,0,eq_c2/2)+2*PI()*(s_0+1*s_r+IF(circ_int,eq_c1/2,0)))/INDEX(lk_legs,2))-(((((((2*IF(circ_int,0,eq_c2/2))+(PI()*(s_0+1*s_r+IF(circ_int,eq_c1/2,0))/2))+2*IF(circ_int,0,eq_c1/2))+(PI()*(s_0+1*s_r+IF(circ_int,eq_c1/2,0))/2))+2*IF(circ_int,0,eq_c2/2))+(PI()*(s_0+1*s_r+IF(circ_int,eq_c1/2,0))/2))+2*IF(circ_int,0,eq_c1/2)))/(s_0+1*s_r+IF(circ_int,eq_c1/2,0)))))))))),NA())</f>
        <v/>
      </c>
      <c r="BG41">
        <f>IF(AND(AND(links_on,2&lt;=n_per),INDEX(lk_kind,2)=1,38&lt;INDEX(lk_legs,2)),g_oy+IF(((38+0.5)*(4*IF(circ_int,0,eq_c1/2)+4*IF(circ_int,0,eq_c2/2)+2*PI()*(s_0+1*s_r+IF(circ_int,eq_c1/2,0)))/INDEX(lk_legs,2))&lt;(2*IF(circ_int,0,eq_c2/2)),-IF(circ_int,0,eq_c2/2)+((38+0.5)*(4*IF(circ_int,0,eq_c1/2)+4*IF(circ_int,0,eq_c2/2)+2*PI()*(s_0+1*s_r+IF(circ_int,eq_c1/2,0)))/INDEX(lk_legs,2)),IF(((38+0.5)*(4*IF(circ_int,0,eq_c1/2)+4*IF(circ_int,0,eq_c2/2)+2*PI()*(s_0+1*s_r+IF(circ_int,eq_c1/2,0)))/INDEX(lk_legs,2))&lt;((2*IF(circ_int,0,eq_c2/2))+(PI()*(s_0+1*s_r+IF(circ_int,eq_c1/2,0))/2)),IF(circ_int,0,eq_c2/2)+(s_0+1*s_r+IF(circ_int,eq_c1/2,0))*SIN((((38+0.5)*(4*IF(circ_int,0,eq_c1/2)+4*IF(circ_int,0,eq_c2/2)+2*PI()*(s_0+1*s_r+IF(circ_int,eq_c1/2,0)))/INDEX(lk_legs,2))-(2*IF(circ_int,0,eq_c2/2)))/(s_0+1*s_r+IF(circ_int,eq_c1/2,0))),IF(((38+0.5)*(4*IF(circ_int,0,eq_c1/2)+4*IF(circ_int,0,eq_c2/2)+2*PI()*(s_0+1*s_r+IF(circ_int,eq_c1/2,0)))/INDEX(lk_legs,2))&lt;(((2*IF(circ_int,0,eq_c2/2))+(PI()*(s_0+1*s_r+IF(circ_int,eq_c1/2,0))/2))+2*IF(circ_int,0,eq_c1/2)),IF(circ_int,0,eq_c2/2)+(s_0+1*s_r+IF(circ_int,eq_c1/2,0)),IF(((38+0.5)*(4*IF(circ_int,0,eq_c1/2)+4*IF(circ_int,0,eq_c2/2)+2*PI()*(s_0+1*s_r+IF(circ_int,eq_c1/2,0)))/INDEX(lk_legs,2))&lt;((((2*IF(circ_int,0,eq_c2/2))+(PI()*(s_0+1*s_r+IF(circ_int,eq_c1/2,0))/2))+2*IF(circ_int,0,eq_c1/2))+(PI()*(s_0+1*s_r+IF(circ_int,eq_c1/2,0))/2)),IF(circ_int,0,eq_c2/2)+(s_0+1*s_r+IF(circ_int,eq_c1/2,0))*SIN(PI()/2+(((38+0.5)*(4*IF(circ_int,0,eq_c1/2)+4*IF(circ_int,0,eq_c2/2)+2*PI()*(s_0+1*s_r+IF(circ_int,eq_c1/2,0)))/INDEX(lk_legs,2))-(((2*IF(circ_int,0,eq_c2/2))+(PI()*(s_0+1*s_r+IF(circ_int,eq_c1/2,0))/2))+2*IF(circ_int,0,eq_c1/2)))/(s_0+1*s_r+IF(circ_int,eq_c1/2,0))),IF(((38+0.5)*(4*IF(circ_int,0,eq_c1/2)+4*IF(circ_int,0,eq_c2/2)+2*PI()*(s_0+1*s_r+IF(circ_int,eq_c1/2,0)))/INDEX(lk_legs,2))&lt;(((((2*IF(circ_int,0,eq_c2/2))+(PI()*(s_0+1*s_r+IF(circ_int,eq_c1/2,0))/2))+2*IF(circ_int,0,eq_c1/2))+(PI()*(s_0+1*s_r+IF(circ_int,eq_c1/2,0))/2))+2*IF(circ_int,0,eq_c2/2)),IF(circ_int,0,eq_c2/2)-(((38+0.5)*(4*IF(circ_int,0,eq_c1/2)+4*IF(circ_int,0,eq_c2/2)+2*PI()*(s_0+1*s_r+IF(circ_int,eq_c1/2,0)))/INDEX(lk_legs,2))-((((2*IF(circ_int,0,eq_c2/2))+(PI()*(s_0+1*s_r+IF(circ_int,eq_c1/2,0))/2))+2*IF(circ_int,0,eq_c1/2))+(PI()*(s_0+1*s_r+IF(circ_int,eq_c1/2,0))/2))),IF(((38+0.5)*(4*IF(circ_int,0,eq_c1/2)+4*IF(circ_int,0,eq_c2/2)+2*PI()*(s_0+1*s_r+IF(circ_int,eq_c1/2,0)))/INDEX(lk_legs,2))&lt;((((((2*IF(circ_int,0,eq_c2/2))+(PI()*(s_0+1*s_r+IF(circ_int,eq_c1/2,0))/2))+2*IF(circ_int,0,eq_c1/2))+(PI()*(s_0+1*s_r+IF(circ_int,eq_c1/2,0))/2))+2*IF(circ_int,0,eq_c2/2))+(PI()*(s_0+1*s_r+IF(circ_int,eq_c1/2,0))/2)),-IF(circ_int,0,eq_c2/2)+(s_0+1*s_r+IF(circ_int,eq_c1/2,0))*SIN(PI()+(((38+0.5)*(4*IF(circ_int,0,eq_c1/2)+4*IF(circ_int,0,eq_c2/2)+2*PI()*(s_0+1*s_r+IF(circ_int,eq_c1/2,0)))/INDEX(lk_legs,2))-(((((2*IF(circ_int,0,eq_c2/2))+(PI()*(s_0+1*s_r+IF(circ_int,eq_c1/2,0))/2))+2*IF(circ_int,0,eq_c1/2))+(PI()*(s_0+1*s_r+IF(circ_int,eq_c1/2,0))/2))+2*IF(circ_int,0,eq_c2/2)))/(s_0+1*s_r+IF(circ_int,eq_c1/2,0))),IF(((38+0.5)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(38+0.5)*(4*IF(circ_int,0,eq_c1/2)+4*IF(circ_int,0,eq_c2/2)+2*PI()*(s_0+1*s_r+IF(circ_int,eq_c1/2,0)))/INDEX(lk_legs,2))-(((((((2*IF(circ_int,0,eq_c2/2))+(PI()*(s_0+1*s_r+IF(circ_int,eq_c1/2,0))/2))+2*IF(circ_int,0,eq_c1/2))+(PI()*(s_0+1*s_r+IF(circ_int,eq_c1/2,0))/2))+2*IF(circ_int,0,eq_c2/2))+(PI()*(s_0+1*s_r+IF(circ_int,eq_c1/2,0))/2))+2*IF(circ_int,0,eq_c1/2)))/(s_0+1*s_r+IF(circ_int,eq_c1/2,0)))))))))),NA())</f>
        <v/>
      </c>
      <c r="BI41">
        <f>IF(AND(links_on,3&lt;=n_per),IF(circ_int,(g_ox)+(c_1/2+(s_0+2*s_r))*-0.120537,CHOOSE(INDEX(lk_kind,3),(g_ox-eq_c1/2)+((s_0+2*s_r))*-0.000000,0,eq_a1+eq_c1+(s_0+2*s_r),eq_a1+eq_c1+(s_0+2*s_r))),NA())</f>
        <v/>
      </c>
      <c r="BJ41">
        <f>IF(AND(links_on,3&lt;=n_per),IF(circ_int,(g_oy)+(c_1/2+(s_0+2*s_r))*-0.992709,CHOOSE(INDEX(lk_kind,3),(g_oy-eq_c2/2)+((s_0+2*s_r))*-1.000000,g_oy-eq_c2/2-(s_0+2*s_r),0,0)),NA())</f>
        <v/>
      </c>
      <c r="BL41">
        <f>IF(AND(AND(links_on,3&lt;=n_per),INDEX(lk_kind,3)=1,38&lt;INDEX(lk_legs,3)),g_ox+IF(((38+0.5)*(4*IF(circ_int,0,eq_c1/2)+4*IF(circ_int,0,eq_c2/2)+2*PI()*(s_0+2*s_r+IF(circ_int,eq_c1/2,0)))/INDEX(lk_legs,3))&lt;(2*IF(circ_int,0,eq_c2/2)),IF(circ_int,0,eq_c1/2)+(s_0+2*s_r+IF(circ_int,eq_c1/2,0)),IF(((38+0.5)*(4*IF(circ_int,0,eq_c1/2)+4*IF(circ_int,0,eq_c2/2)+2*PI()*(s_0+2*s_r+IF(circ_int,eq_c1/2,0)))/INDEX(lk_legs,3))&lt;((2*IF(circ_int,0,eq_c2/2))+(PI()*(s_0+2*s_r+IF(circ_int,eq_c1/2,0))/2)),IF(circ_int,0,eq_c1/2)+(s_0+2*s_r+IF(circ_int,eq_c1/2,0))*COS((((38+0.5)*(4*IF(circ_int,0,eq_c1/2)+4*IF(circ_int,0,eq_c2/2)+2*PI()*(s_0+2*s_r+IF(circ_int,eq_c1/2,0)))/INDEX(lk_legs,3))-(2*IF(circ_int,0,eq_c2/2)))/(s_0+2*s_r+IF(circ_int,eq_c1/2,0))),IF(((38+0.5)*(4*IF(circ_int,0,eq_c1/2)+4*IF(circ_int,0,eq_c2/2)+2*PI()*(s_0+2*s_r+IF(circ_int,eq_c1/2,0)))/INDEX(lk_legs,3))&lt;(((2*IF(circ_int,0,eq_c2/2))+(PI()*(s_0+2*s_r+IF(circ_int,eq_c1/2,0))/2))+2*IF(circ_int,0,eq_c1/2)),IF(circ_int,0,eq_c1/2)-(((38+0.5)*(4*IF(circ_int,0,eq_c1/2)+4*IF(circ_int,0,eq_c2/2)+2*PI()*(s_0+2*s_r+IF(circ_int,eq_c1/2,0)))/INDEX(lk_legs,3))-((2*IF(circ_int,0,eq_c2/2))+(PI()*(s_0+2*s_r+IF(circ_int,eq_c1/2,0))/2))),IF(((38+0.5)*(4*IF(circ_int,0,eq_c1/2)+4*IF(circ_int,0,eq_c2/2)+2*PI()*(s_0+2*s_r+IF(circ_int,eq_c1/2,0)))/INDEX(lk_legs,3))&lt;((((2*IF(circ_int,0,eq_c2/2))+(PI()*(s_0+2*s_r+IF(circ_int,eq_c1/2,0))/2))+2*IF(circ_int,0,eq_c1/2))+(PI()*(s_0+2*s_r+IF(circ_int,eq_c1/2,0))/2)),-IF(circ_int,0,eq_c1/2)+(s_0+2*s_r+IF(circ_int,eq_c1/2,0))*COS(PI()/2+(((38+0.5)*(4*IF(circ_int,0,eq_c1/2)+4*IF(circ_int,0,eq_c2/2)+2*PI()*(s_0+2*s_r+IF(circ_int,eq_c1/2,0)))/INDEX(lk_legs,3))-(((2*IF(circ_int,0,eq_c2/2))+(PI()*(s_0+2*s_r+IF(circ_int,eq_c1/2,0))/2))+2*IF(circ_int,0,eq_c1/2)))/(s_0+2*s_r+IF(circ_int,eq_c1/2,0))),IF(((38+0.5)*(4*IF(circ_int,0,eq_c1/2)+4*IF(circ_int,0,eq_c2/2)+2*PI()*(s_0+2*s_r+IF(circ_int,eq_c1/2,0)))/INDEX(lk_legs,3))&lt;(((((2*IF(circ_int,0,eq_c2/2))+(PI()*(s_0+2*s_r+IF(circ_int,eq_c1/2,0))/2))+2*IF(circ_int,0,eq_c1/2))+(PI()*(s_0+2*s_r+IF(circ_int,eq_c1/2,0))/2))+2*IF(circ_int,0,eq_c2/2)),-IF(circ_int,0,eq_c1/2)-(s_0+2*s_r+IF(circ_int,eq_c1/2,0)),IF(((38+0.5)*(4*IF(circ_int,0,eq_c1/2)+4*IF(circ_int,0,eq_c2/2)+2*PI()*(s_0+2*s_r+IF(circ_int,eq_c1/2,0)))/INDEX(lk_legs,3))&lt;((((((2*IF(circ_int,0,eq_c2/2))+(PI()*(s_0+2*s_r+IF(circ_int,eq_c1/2,0))/2))+2*IF(circ_int,0,eq_c1/2))+(PI()*(s_0+2*s_r+IF(circ_int,eq_c1/2,0))/2))+2*IF(circ_int,0,eq_c2/2))+(PI()*(s_0+2*s_r+IF(circ_int,eq_c1/2,0))/2)),-IF(circ_int,0,eq_c1/2)+(s_0+2*s_r+IF(circ_int,eq_c1/2,0))*COS(PI()+(((38+0.5)*(4*IF(circ_int,0,eq_c1/2)+4*IF(circ_int,0,eq_c2/2)+2*PI()*(s_0+2*s_r+IF(circ_int,eq_c1/2,0)))/INDEX(lk_legs,3))-(((((2*IF(circ_int,0,eq_c2/2))+(PI()*(s_0+2*s_r+IF(circ_int,eq_c1/2,0))/2))+2*IF(circ_int,0,eq_c1/2))+(PI()*(s_0+2*s_r+IF(circ_int,eq_c1/2,0))/2))+2*IF(circ_int,0,eq_c2/2)))/(s_0+2*s_r+IF(circ_int,eq_c1/2,0))),IF(((38+0.5)*(4*IF(circ_int,0,eq_c1/2)+4*IF(circ_int,0,eq_c2/2)+2*PI()*(s_0+2*s_r+IF(circ_int,eq_c1/2,0)))/INDEX(lk_legs,3))&lt;(((((((2*IF(circ_int,0,eq_c2/2))+(PI()*(s_0+2*s_r+IF(circ_int,eq_c1/2,0))/2))+2*IF(circ_int,0,eq_c1/2))+(PI()*(s_0+2*s_r+IF(circ_int,eq_c1/2,0))/2))+2*IF(circ_int,0,eq_c2/2))+(PI()*(s_0+2*s_r+IF(circ_int,eq_c1/2,0))/2))+2*IF(circ_int,0,eq_c1/2)),-IF(circ_int,0,eq_c1/2)+(((38+0.5)*(4*IF(circ_int,0,eq_c1/2)+4*IF(circ_int,0,eq_c2/2)+2*PI()*(s_0+2*s_r+IF(circ_int,eq_c1/2,0)))/INDEX(lk_legs,3))-((((((2*IF(circ_int,0,eq_c2/2))+(PI()*(s_0+2*s_r+IF(circ_int,eq_c1/2,0))/2))+2*IF(circ_int,0,eq_c1/2))+(PI()*(s_0+2*s_r+IF(circ_int,eq_c1/2,0))/2))+2*IF(circ_int,0,eq_c2/2))+(PI()*(s_0+2*s_r+IF(circ_int,eq_c1/2,0))/2))),IF(circ_int,0,eq_c1/2)+(s_0+2*s_r+IF(circ_int,eq_c1/2,0))*COS(3*PI()/2+(((38+0.5)*(4*IF(circ_int,0,eq_c1/2)+4*IF(circ_int,0,eq_c2/2)+2*PI()*(s_0+2*s_r+IF(circ_int,eq_c1/2,0)))/INDEX(lk_legs,3))-(((((((2*IF(circ_int,0,eq_c2/2))+(PI()*(s_0+2*s_r+IF(circ_int,eq_c1/2,0))/2))+2*IF(circ_int,0,eq_c1/2))+(PI()*(s_0+2*s_r+IF(circ_int,eq_c1/2,0))/2))+2*IF(circ_int,0,eq_c2/2))+(PI()*(s_0+2*s_r+IF(circ_int,eq_c1/2,0))/2))+2*IF(circ_int,0,eq_c1/2)))/(s_0+2*s_r+IF(circ_int,eq_c1/2,0)))))))))),NA())</f>
        <v/>
      </c>
      <c r="BM41">
        <f>IF(AND(AND(links_on,3&lt;=n_per),INDEX(lk_kind,3)=1,38&lt;INDEX(lk_legs,3)),g_oy+IF(((38+0.5)*(4*IF(circ_int,0,eq_c1/2)+4*IF(circ_int,0,eq_c2/2)+2*PI()*(s_0+2*s_r+IF(circ_int,eq_c1/2,0)))/INDEX(lk_legs,3))&lt;(2*IF(circ_int,0,eq_c2/2)),-IF(circ_int,0,eq_c2/2)+((38+0.5)*(4*IF(circ_int,0,eq_c1/2)+4*IF(circ_int,0,eq_c2/2)+2*PI()*(s_0+2*s_r+IF(circ_int,eq_c1/2,0)))/INDEX(lk_legs,3)),IF(((38+0.5)*(4*IF(circ_int,0,eq_c1/2)+4*IF(circ_int,0,eq_c2/2)+2*PI()*(s_0+2*s_r+IF(circ_int,eq_c1/2,0)))/INDEX(lk_legs,3))&lt;((2*IF(circ_int,0,eq_c2/2))+(PI()*(s_0+2*s_r+IF(circ_int,eq_c1/2,0))/2)),IF(circ_int,0,eq_c2/2)+(s_0+2*s_r+IF(circ_int,eq_c1/2,0))*SIN((((38+0.5)*(4*IF(circ_int,0,eq_c1/2)+4*IF(circ_int,0,eq_c2/2)+2*PI()*(s_0+2*s_r+IF(circ_int,eq_c1/2,0)))/INDEX(lk_legs,3))-(2*IF(circ_int,0,eq_c2/2)))/(s_0+2*s_r+IF(circ_int,eq_c1/2,0))),IF(((38+0.5)*(4*IF(circ_int,0,eq_c1/2)+4*IF(circ_int,0,eq_c2/2)+2*PI()*(s_0+2*s_r+IF(circ_int,eq_c1/2,0)))/INDEX(lk_legs,3))&lt;(((2*IF(circ_int,0,eq_c2/2))+(PI()*(s_0+2*s_r+IF(circ_int,eq_c1/2,0))/2))+2*IF(circ_int,0,eq_c1/2)),IF(circ_int,0,eq_c2/2)+(s_0+2*s_r+IF(circ_int,eq_c1/2,0)),IF(((38+0.5)*(4*IF(circ_int,0,eq_c1/2)+4*IF(circ_int,0,eq_c2/2)+2*PI()*(s_0+2*s_r+IF(circ_int,eq_c1/2,0)))/INDEX(lk_legs,3))&lt;((((2*IF(circ_int,0,eq_c2/2))+(PI()*(s_0+2*s_r+IF(circ_int,eq_c1/2,0))/2))+2*IF(circ_int,0,eq_c1/2))+(PI()*(s_0+2*s_r+IF(circ_int,eq_c1/2,0))/2)),IF(circ_int,0,eq_c2/2)+(s_0+2*s_r+IF(circ_int,eq_c1/2,0))*SIN(PI()/2+(((38+0.5)*(4*IF(circ_int,0,eq_c1/2)+4*IF(circ_int,0,eq_c2/2)+2*PI()*(s_0+2*s_r+IF(circ_int,eq_c1/2,0)))/INDEX(lk_legs,3))-(((2*IF(circ_int,0,eq_c2/2))+(PI()*(s_0+2*s_r+IF(circ_int,eq_c1/2,0))/2))+2*IF(circ_int,0,eq_c1/2)))/(s_0+2*s_r+IF(circ_int,eq_c1/2,0))),IF(((38+0.5)*(4*IF(circ_int,0,eq_c1/2)+4*IF(circ_int,0,eq_c2/2)+2*PI()*(s_0+2*s_r+IF(circ_int,eq_c1/2,0)))/INDEX(lk_legs,3))&lt;(((((2*IF(circ_int,0,eq_c2/2))+(PI()*(s_0+2*s_r+IF(circ_int,eq_c1/2,0))/2))+2*IF(circ_int,0,eq_c1/2))+(PI()*(s_0+2*s_r+IF(circ_int,eq_c1/2,0))/2))+2*IF(circ_int,0,eq_c2/2)),IF(circ_int,0,eq_c2/2)-(((38+0.5)*(4*IF(circ_int,0,eq_c1/2)+4*IF(circ_int,0,eq_c2/2)+2*PI()*(s_0+2*s_r+IF(circ_int,eq_c1/2,0)))/INDEX(lk_legs,3))-((((2*IF(circ_int,0,eq_c2/2))+(PI()*(s_0+2*s_r+IF(circ_int,eq_c1/2,0))/2))+2*IF(circ_int,0,eq_c1/2))+(PI()*(s_0+2*s_r+IF(circ_int,eq_c1/2,0))/2))),IF(((38+0.5)*(4*IF(circ_int,0,eq_c1/2)+4*IF(circ_int,0,eq_c2/2)+2*PI()*(s_0+2*s_r+IF(circ_int,eq_c1/2,0)))/INDEX(lk_legs,3))&lt;((((((2*IF(circ_int,0,eq_c2/2))+(PI()*(s_0+2*s_r+IF(circ_int,eq_c1/2,0))/2))+2*IF(circ_int,0,eq_c1/2))+(PI()*(s_0+2*s_r+IF(circ_int,eq_c1/2,0))/2))+2*IF(circ_int,0,eq_c2/2))+(PI()*(s_0+2*s_r+IF(circ_int,eq_c1/2,0))/2)),-IF(circ_int,0,eq_c2/2)+(s_0+2*s_r+IF(circ_int,eq_c1/2,0))*SIN(PI()+(((38+0.5)*(4*IF(circ_int,0,eq_c1/2)+4*IF(circ_int,0,eq_c2/2)+2*PI()*(s_0+2*s_r+IF(circ_int,eq_c1/2,0)))/INDEX(lk_legs,3))-(((((2*IF(circ_int,0,eq_c2/2))+(PI()*(s_0+2*s_r+IF(circ_int,eq_c1/2,0))/2))+2*IF(circ_int,0,eq_c1/2))+(PI()*(s_0+2*s_r+IF(circ_int,eq_c1/2,0))/2))+2*IF(circ_int,0,eq_c2/2)))/(s_0+2*s_r+IF(circ_int,eq_c1/2,0))),IF(((38+0.5)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(38+0.5)*(4*IF(circ_int,0,eq_c1/2)+4*IF(circ_int,0,eq_c2/2)+2*PI()*(s_0+2*s_r+IF(circ_int,eq_c1/2,0)))/INDEX(lk_legs,3))-(((((((2*IF(circ_int,0,eq_c2/2))+(PI()*(s_0+2*s_r+IF(circ_int,eq_c1/2,0))/2))+2*IF(circ_int,0,eq_c1/2))+(PI()*(s_0+2*s_r+IF(circ_int,eq_c1/2,0))/2))+2*IF(circ_int,0,eq_c2/2))+(PI()*(s_0+2*s_r+IF(circ_int,eq_c1/2,0))/2))+2*IF(circ_int,0,eq_c1/2)))/(s_0+2*s_r+IF(circ_int,eq_c1/2,0)))))))))),NA())</f>
        <v/>
      </c>
      <c r="BO41">
        <f>IF(AND(links_on,4&lt;=n_per),IF(circ_int,(g_ox)+(c_1/2+(s_0+3*s_r))*-0.120537,CHOOSE(INDEX(lk_kind,4),(g_ox-eq_c1/2)+((s_0+3*s_r))*-0.000000,0,eq_a1+eq_c1+(s_0+3*s_r),eq_a1+eq_c1+(s_0+3*s_r))),NA())</f>
        <v/>
      </c>
      <c r="BP41">
        <f>IF(AND(links_on,4&lt;=n_per),IF(circ_int,(g_oy)+(c_1/2+(s_0+3*s_r))*-0.992709,CHOOSE(INDEX(lk_kind,4),(g_oy-eq_c2/2)+((s_0+3*s_r))*-1.000000,g_oy-eq_c2/2-(s_0+3*s_r),0,0)),NA())</f>
        <v/>
      </c>
      <c r="BR41">
        <f>IF(AND(AND(links_on,4&lt;=n_per),INDEX(lk_kind,4)=1,38&lt;INDEX(lk_legs,4)),g_ox+IF(((38+0.5)*(4*IF(circ_int,0,eq_c1/2)+4*IF(circ_int,0,eq_c2/2)+2*PI()*(s_0+3*s_r+IF(circ_int,eq_c1/2,0)))/INDEX(lk_legs,4))&lt;(2*IF(circ_int,0,eq_c2/2)),IF(circ_int,0,eq_c1/2)+(s_0+3*s_r+IF(circ_int,eq_c1/2,0)),IF(((38+0.5)*(4*IF(circ_int,0,eq_c1/2)+4*IF(circ_int,0,eq_c2/2)+2*PI()*(s_0+3*s_r+IF(circ_int,eq_c1/2,0)))/INDEX(lk_legs,4))&lt;((2*IF(circ_int,0,eq_c2/2))+(PI()*(s_0+3*s_r+IF(circ_int,eq_c1/2,0))/2)),IF(circ_int,0,eq_c1/2)+(s_0+3*s_r+IF(circ_int,eq_c1/2,0))*COS((((38+0.5)*(4*IF(circ_int,0,eq_c1/2)+4*IF(circ_int,0,eq_c2/2)+2*PI()*(s_0+3*s_r+IF(circ_int,eq_c1/2,0)))/INDEX(lk_legs,4))-(2*IF(circ_int,0,eq_c2/2)))/(s_0+3*s_r+IF(circ_int,eq_c1/2,0))),IF(((38+0.5)*(4*IF(circ_int,0,eq_c1/2)+4*IF(circ_int,0,eq_c2/2)+2*PI()*(s_0+3*s_r+IF(circ_int,eq_c1/2,0)))/INDEX(lk_legs,4))&lt;(((2*IF(circ_int,0,eq_c2/2))+(PI()*(s_0+3*s_r+IF(circ_int,eq_c1/2,0))/2))+2*IF(circ_int,0,eq_c1/2)),IF(circ_int,0,eq_c1/2)-(((38+0.5)*(4*IF(circ_int,0,eq_c1/2)+4*IF(circ_int,0,eq_c2/2)+2*PI()*(s_0+3*s_r+IF(circ_int,eq_c1/2,0)))/INDEX(lk_legs,4))-((2*IF(circ_int,0,eq_c2/2))+(PI()*(s_0+3*s_r+IF(circ_int,eq_c1/2,0))/2))),IF(((38+0.5)*(4*IF(circ_int,0,eq_c1/2)+4*IF(circ_int,0,eq_c2/2)+2*PI()*(s_0+3*s_r+IF(circ_int,eq_c1/2,0)))/INDEX(lk_legs,4))&lt;((((2*IF(circ_int,0,eq_c2/2))+(PI()*(s_0+3*s_r+IF(circ_int,eq_c1/2,0))/2))+2*IF(circ_int,0,eq_c1/2))+(PI()*(s_0+3*s_r+IF(circ_int,eq_c1/2,0))/2)),-IF(circ_int,0,eq_c1/2)+(s_0+3*s_r+IF(circ_int,eq_c1/2,0))*COS(PI()/2+(((38+0.5)*(4*IF(circ_int,0,eq_c1/2)+4*IF(circ_int,0,eq_c2/2)+2*PI()*(s_0+3*s_r+IF(circ_int,eq_c1/2,0)))/INDEX(lk_legs,4))-(((2*IF(circ_int,0,eq_c2/2))+(PI()*(s_0+3*s_r+IF(circ_int,eq_c1/2,0))/2))+2*IF(circ_int,0,eq_c1/2)))/(s_0+3*s_r+IF(circ_int,eq_c1/2,0))),IF(((38+0.5)*(4*IF(circ_int,0,eq_c1/2)+4*IF(circ_int,0,eq_c2/2)+2*PI()*(s_0+3*s_r+IF(circ_int,eq_c1/2,0)))/INDEX(lk_legs,4))&lt;(((((2*IF(circ_int,0,eq_c2/2))+(PI()*(s_0+3*s_r+IF(circ_int,eq_c1/2,0))/2))+2*IF(circ_int,0,eq_c1/2))+(PI()*(s_0+3*s_r+IF(circ_int,eq_c1/2,0))/2))+2*IF(circ_int,0,eq_c2/2)),-IF(circ_int,0,eq_c1/2)-(s_0+3*s_r+IF(circ_int,eq_c1/2,0)),IF(((38+0.5)*(4*IF(circ_int,0,eq_c1/2)+4*IF(circ_int,0,eq_c2/2)+2*PI()*(s_0+3*s_r+IF(circ_int,eq_c1/2,0)))/INDEX(lk_legs,4))&lt;((((((2*IF(circ_int,0,eq_c2/2))+(PI()*(s_0+3*s_r+IF(circ_int,eq_c1/2,0))/2))+2*IF(circ_int,0,eq_c1/2))+(PI()*(s_0+3*s_r+IF(circ_int,eq_c1/2,0))/2))+2*IF(circ_int,0,eq_c2/2))+(PI()*(s_0+3*s_r+IF(circ_int,eq_c1/2,0))/2)),-IF(circ_int,0,eq_c1/2)+(s_0+3*s_r+IF(circ_int,eq_c1/2,0))*COS(PI()+(((38+0.5)*(4*IF(circ_int,0,eq_c1/2)+4*IF(circ_int,0,eq_c2/2)+2*PI()*(s_0+3*s_r+IF(circ_int,eq_c1/2,0)))/INDEX(lk_legs,4))-(((((2*IF(circ_int,0,eq_c2/2))+(PI()*(s_0+3*s_r+IF(circ_int,eq_c1/2,0))/2))+2*IF(circ_int,0,eq_c1/2))+(PI()*(s_0+3*s_r+IF(circ_int,eq_c1/2,0))/2))+2*IF(circ_int,0,eq_c2/2)))/(s_0+3*s_r+IF(circ_int,eq_c1/2,0))),IF(((38+0.5)*(4*IF(circ_int,0,eq_c1/2)+4*IF(circ_int,0,eq_c2/2)+2*PI()*(s_0+3*s_r+IF(circ_int,eq_c1/2,0)))/INDEX(lk_legs,4))&lt;(((((((2*IF(circ_int,0,eq_c2/2))+(PI()*(s_0+3*s_r+IF(circ_int,eq_c1/2,0))/2))+2*IF(circ_int,0,eq_c1/2))+(PI()*(s_0+3*s_r+IF(circ_int,eq_c1/2,0))/2))+2*IF(circ_int,0,eq_c2/2))+(PI()*(s_0+3*s_r+IF(circ_int,eq_c1/2,0))/2))+2*IF(circ_int,0,eq_c1/2)),-IF(circ_int,0,eq_c1/2)+(((38+0.5)*(4*IF(circ_int,0,eq_c1/2)+4*IF(circ_int,0,eq_c2/2)+2*PI()*(s_0+3*s_r+IF(circ_int,eq_c1/2,0)))/INDEX(lk_legs,4))-((((((2*IF(circ_int,0,eq_c2/2))+(PI()*(s_0+3*s_r+IF(circ_int,eq_c1/2,0))/2))+2*IF(circ_int,0,eq_c1/2))+(PI()*(s_0+3*s_r+IF(circ_int,eq_c1/2,0))/2))+2*IF(circ_int,0,eq_c2/2))+(PI()*(s_0+3*s_r+IF(circ_int,eq_c1/2,0))/2))),IF(circ_int,0,eq_c1/2)+(s_0+3*s_r+IF(circ_int,eq_c1/2,0))*COS(3*PI()/2+(((38+0.5)*(4*IF(circ_int,0,eq_c1/2)+4*IF(circ_int,0,eq_c2/2)+2*PI()*(s_0+3*s_r+IF(circ_int,eq_c1/2,0)))/INDEX(lk_legs,4))-(((((((2*IF(circ_int,0,eq_c2/2))+(PI()*(s_0+3*s_r+IF(circ_int,eq_c1/2,0))/2))+2*IF(circ_int,0,eq_c1/2))+(PI()*(s_0+3*s_r+IF(circ_int,eq_c1/2,0))/2))+2*IF(circ_int,0,eq_c2/2))+(PI()*(s_0+3*s_r+IF(circ_int,eq_c1/2,0))/2))+2*IF(circ_int,0,eq_c1/2)))/(s_0+3*s_r+IF(circ_int,eq_c1/2,0)))))))))),NA())</f>
        <v/>
      </c>
      <c r="BS41">
        <f>IF(AND(AND(links_on,4&lt;=n_per),INDEX(lk_kind,4)=1,38&lt;INDEX(lk_legs,4)),g_oy+IF(((38+0.5)*(4*IF(circ_int,0,eq_c1/2)+4*IF(circ_int,0,eq_c2/2)+2*PI()*(s_0+3*s_r+IF(circ_int,eq_c1/2,0)))/INDEX(lk_legs,4))&lt;(2*IF(circ_int,0,eq_c2/2)),-IF(circ_int,0,eq_c2/2)+((38+0.5)*(4*IF(circ_int,0,eq_c1/2)+4*IF(circ_int,0,eq_c2/2)+2*PI()*(s_0+3*s_r+IF(circ_int,eq_c1/2,0)))/INDEX(lk_legs,4)),IF(((38+0.5)*(4*IF(circ_int,0,eq_c1/2)+4*IF(circ_int,0,eq_c2/2)+2*PI()*(s_0+3*s_r+IF(circ_int,eq_c1/2,0)))/INDEX(lk_legs,4))&lt;((2*IF(circ_int,0,eq_c2/2))+(PI()*(s_0+3*s_r+IF(circ_int,eq_c1/2,0))/2)),IF(circ_int,0,eq_c2/2)+(s_0+3*s_r+IF(circ_int,eq_c1/2,0))*SIN((((38+0.5)*(4*IF(circ_int,0,eq_c1/2)+4*IF(circ_int,0,eq_c2/2)+2*PI()*(s_0+3*s_r+IF(circ_int,eq_c1/2,0)))/INDEX(lk_legs,4))-(2*IF(circ_int,0,eq_c2/2)))/(s_0+3*s_r+IF(circ_int,eq_c1/2,0))),IF(((38+0.5)*(4*IF(circ_int,0,eq_c1/2)+4*IF(circ_int,0,eq_c2/2)+2*PI()*(s_0+3*s_r+IF(circ_int,eq_c1/2,0)))/INDEX(lk_legs,4))&lt;(((2*IF(circ_int,0,eq_c2/2))+(PI()*(s_0+3*s_r+IF(circ_int,eq_c1/2,0))/2))+2*IF(circ_int,0,eq_c1/2)),IF(circ_int,0,eq_c2/2)+(s_0+3*s_r+IF(circ_int,eq_c1/2,0)),IF(((38+0.5)*(4*IF(circ_int,0,eq_c1/2)+4*IF(circ_int,0,eq_c2/2)+2*PI()*(s_0+3*s_r+IF(circ_int,eq_c1/2,0)))/INDEX(lk_legs,4))&lt;((((2*IF(circ_int,0,eq_c2/2))+(PI()*(s_0+3*s_r+IF(circ_int,eq_c1/2,0))/2))+2*IF(circ_int,0,eq_c1/2))+(PI()*(s_0+3*s_r+IF(circ_int,eq_c1/2,0))/2)),IF(circ_int,0,eq_c2/2)+(s_0+3*s_r+IF(circ_int,eq_c1/2,0))*SIN(PI()/2+(((38+0.5)*(4*IF(circ_int,0,eq_c1/2)+4*IF(circ_int,0,eq_c2/2)+2*PI()*(s_0+3*s_r+IF(circ_int,eq_c1/2,0)))/INDEX(lk_legs,4))-(((2*IF(circ_int,0,eq_c2/2))+(PI()*(s_0+3*s_r+IF(circ_int,eq_c1/2,0))/2))+2*IF(circ_int,0,eq_c1/2)))/(s_0+3*s_r+IF(circ_int,eq_c1/2,0))),IF(((38+0.5)*(4*IF(circ_int,0,eq_c1/2)+4*IF(circ_int,0,eq_c2/2)+2*PI()*(s_0+3*s_r+IF(circ_int,eq_c1/2,0)))/INDEX(lk_legs,4))&lt;(((((2*IF(circ_int,0,eq_c2/2))+(PI()*(s_0+3*s_r+IF(circ_int,eq_c1/2,0))/2))+2*IF(circ_int,0,eq_c1/2))+(PI()*(s_0+3*s_r+IF(circ_int,eq_c1/2,0))/2))+2*IF(circ_int,0,eq_c2/2)),IF(circ_int,0,eq_c2/2)-(((38+0.5)*(4*IF(circ_int,0,eq_c1/2)+4*IF(circ_int,0,eq_c2/2)+2*PI()*(s_0+3*s_r+IF(circ_int,eq_c1/2,0)))/INDEX(lk_legs,4))-((((2*IF(circ_int,0,eq_c2/2))+(PI()*(s_0+3*s_r+IF(circ_int,eq_c1/2,0))/2))+2*IF(circ_int,0,eq_c1/2))+(PI()*(s_0+3*s_r+IF(circ_int,eq_c1/2,0))/2))),IF(((38+0.5)*(4*IF(circ_int,0,eq_c1/2)+4*IF(circ_int,0,eq_c2/2)+2*PI()*(s_0+3*s_r+IF(circ_int,eq_c1/2,0)))/INDEX(lk_legs,4))&lt;((((((2*IF(circ_int,0,eq_c2/2))+(PI()*(s_0+3*s_r+IF(circ_int,eq_c1/2,0))/2))+2*IF(circ_int,0,eq_c1/2))+(PI()*(s_0+3*s_r+IF(circ_int,eq_c1/2,0))/2))+2*IF(circ_int,0,eq_c2/2))+(PI()*(s_0+3*s_r+IF(circ_int,eq_c1/2,0))/2)),-IF(circ_int,0,eq_c2/2)+(s_0+3*s_r+IF(circ_int,eq_c1/2,0))*SIN(PI()+(((38+0.5)*(4*IF(circ_int,0,eq_c1/2)+4*IF(circ_int,0,eq_c2/2)+2*PI()*(s_0+3*s_r+IF(circ_int,eq_c1/2,0)))/INDEX(lk_legs,4))-(((((2*IF(circ_int,0,eq_c2/2))+(PI()*(s_0+3*s_r+IF(circ_int,eq_c1/2,0))/2))+2*IF(circ_int,0,eq_c1/2))+(PI()*(s_0+3*s_r+IF(circ_int,eq_c1/2,0))/2))+2*IF(circ_int,0,eq_c2/2)))/(s_0+3*s_r+IF(circ_int,eq_c1/2,0))),IF(((38+0.5)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(38+0.5)*(4*IF(circ_int,0,eq_c1/2)+4*IF(circ_int,0,eq_c2/2)+2*PI()*(s_0+3*s_r+IF(circ_int,eq_c1/2,0)))/INDEX(lk_legs,4))-(((((((2*IF(circ_int,0,eq_c2/2))+(PI()*(s_0+3*s_r+IF(circ_int,eq_c1/2,0))/2))+2*IF(circ_int,0,eq_c1/2))+(PI()*(s_0+3*s_r+IF(circ_int,eq_c1/2,0))/2))+2*IF(circ_int,0,eq_c2/2))+(PI()*(s_0+3*s_r+IF(circ_int,eq_c1/2,0))/2))+2*IF(circ_int,0,eq_c1/2)))/(s_0+3*s_r+IF(circ_int,eq_c1/2,0)))))))))),NA())</f>
        <v/>
      </c>
      <c r="BU41">
        <f>IF(AND(links_on,5&lt;=n_per),IF(circ_int,(g_ox)+(c_1/2+(s_0+4*s_r))*-0.120537,CHOOSE(INDEX(lk_kind,5),(g_ox-eq_c1/2)+((s_0+4*s_r))*-0.000000,0,eq_a1+eq_c1+(s_0+4*s_r),eq_a1+eq_c1+(s_0+4*s_r))),NA())</f>
        <v/>
      </c>
      <c r="BV41">
        <f>IF(AND(links_on,5&lt;=n_per),IF(circ_int,(g_oy)+(c_1/2+(s_0+4*s_r))*-0.992709,CHOOSE(INDEX(lk_kind,5),(g_oy-eq_c2/2)+((s_0+4*s_r))*-1.000000,g_oy-eq_c2/2-(s_0+4*s_r),0,0)),NA())</f>
        <v/>
      </c>
      <c r="BX41">
        <f>IF(AND(AND(links_on,5&lt;=n_per),INDEX(lk_kind,5)=1,38&lt;INDEX(lk_legs,5)),g_ox+IF(((38+0.5)*(4*IF(circ_int,0,eq_c1/2)+4*IF(circ_int,0,eq_c2/2)+2*PI()*(s_0+4*s_r+IF(circ_int,eq_c1/2,0)))/INDEX(lk_legs,5))&lt;(2*IF(circ_int,0,eq_c2/2)),IF(circ_int,0,eq_c1/2)+(s_0+4*s_r+IF(circ_int,eq_c1/2,0)),IF(((38+0.5)*(4*IF(circ_int,0,eq_c1/2)+4*IF(circ_int,0,eq_c2/2)+2*PI()*(s_0+4*s_r+IF(circ_int,eq_c1/2,0)))/INDEX(lk_legs,5))&lt;((2*IF(circ_int,0,eq_c2/2))+(PI()*(s_0+4*s_r+IF(circ_int,eq_c1/2,0))/2)),IF(circ_int,0,eq_c1/2)+(s_0+4*s_r+IF(circ_int,eq_c1/2,0))*COS((((38+0.5)*(4*IF(circ_int,0,eq_c1/2)+4*IF(circ_int,0,eq_c2/2)+2*PI()*(s_0+4*s_r+IF(circ_int,eq_c1/2,0)))/INDEX(lk_legs,5))-(2*IF(circ_int,0,eq_c2/2)))/(s_0+4*s_r+IF(circ_int,eq_c1/2,0))),IF(((38+0.5)*(4*IF(circ_int,0,eq_c1/2)+4*IF(circ_int,0,eq_c2/2)+2*PI()*(s_0+4*s_r+IF(circ_int,eq_c1/2,0)))/INDEX(lk_legs,5))&lt;(((2*IF(circ_int,0,eq_c2/2))+(PI()*(s_0+4*s_r+IF(circ_int,eq_c1/2,0))/2))+2*IF(circ_int,0,eq_c1/2)),IF(circ_int,0,eq_c1/2)-(((38+0.5)*(4*IF(circ_int,0,eq_c1/2)+4*IF(circ_int,0,eq_c2/2)+2*PI()*(s_0+4*s_r+IF(circ_int,eq_c1/2,0)))/INDEX(lk_legs,5))-((2*IF(circ_int,0,eq_c2/2))+(PI()*(s_0+4*s_r+IF(circ_int,eq_c1/2,0))/2))),IF(((38+0.5)*(4*IF(circ_int,0,eq_c1/2)+4*IF(circ_int,0,eq_c2/2)+2*PI()*(s_0+4*s_r+IF(circ_int,eq_c1/2,0)))/INDEX(lk_legs,5))&lt;((((2*IF(circ_int,0,eq_c2/2))+(PI()*(s_0+4*s_r+IF(circ_int,eq_c1/2,0))/2))+2*IF(circ_int,0,eq_c1/2))+(PI()*(s_0+4*s_r+IF(circ_int,eq_c1/2,0))/2)),-IF(circ_int,0,eq_c1/2)+(s_0+4*s_r+IF(circ_int,eq_c1/2,0))*COS(PI()/2+(((38+0.5)*(4*IF(circ_int,0,eq_c1/2)+4*IF(circ_int,0,eq_c2/2)+2*PI()*(s_0+4*s_r+IF(circ_int,eq_c1/2,0)))/INDEX(lk_legs,5))-(((2*IF(circ_int,0,eq_c2/2))+(PI()*(s_0+4*s_r+IF(circ_int,eq_c1/2,0))/2))+2*IF(circ_int,0,eq_c1/2)))/(s_0+4*s_r+IF(circ_int,eq_c1/2,0))),IF(((38+0.5)*(4*IF(circ_int,0,eq_c1/2)+4*IF(circ_int,0,eq_c2/2)+2*PI()*(s_0+4*s_r+IF(circ_int,eq_c1/2,0)))/INDEX(lk_legs,5))&lt;(((((2*IF(circ_int,0,eq_c2/2))+(PI()*(s_0+4*s_r+IF(circ_int,eq_c1/2,0))/2))+2*IF(circ_int,0,eq_c1/2))+(PI()*(s_0+4*s_r+IF(circ_int,eq_c1/2,0))/2))+2*IF(circ_int,0,eq_c2/2)),-IF(circ_int,0,eq_c1/2)-(s_0+4*s_r+IF(circ_int,eq_c1/2,0)),IF(((38+0.5)*(4*IF(circ_int,0,eq_c1/2)+4*IF(circ_int,0,eq_c2/2)+2*PI()*(s_0+4*s_r+IF(circ_int,eq_c1/2,0)))/INDEX(lk_legs,5))&lt;((((((2*IF(circ_int,0,eq_c2/2))+(PI()*(s_0+4*s_r+IF(circ_int,eq_c1/2,0))/2))+2*IF(circ_int,0,eq_c1/2))+(PI()*(s_0+4*s_r+IF(circ_int,eq_c1/2,0))/2))+2*IF(circ_int,0,eq_c2/2))+(PI()*(s_0+4*s_r+IF(circ_int,eq_c1/2,0))/2)),-IF(circ_int,0,eq_c1/2)+(s_0+4*s_r+IF(circ_int,eq_c1/2,0))*COS(PI()+(((38+0.5)*(4*IF(circ_int,0,eq_c1/2)+4*IF(circ_int,0,eq_c2/2)+2*PI()*(s_0+4*s_r+IF(circ_int,eq_c1/2,0)))/INDEX(lk_legs,5))-(((((2*IF(circ_int,0,eq_c2/2))+(PI()*(s_0+4*s_r+IF(circ_int,eq_c1/2,0))/2))+2*IF(circ_int,0,eq_c1/2))+(PI()*(s_0+4*s_r+IF(circ_int,eq_c1/2,0))/2))+2*IF(circ_int,0,eq_c2/2)))/(s_0+4*s_r+IF(circ_int,eq_c1/2,0))),IF(((38+0.5)*(4*IF(circ_int,0,eq_c1/2)+4*IF(circ_int,0,eq_c2/2)+2*PI()*(s_0+4*s_r+IF(circ_int,eq_c1/2,0)))/INDEX(lk_legs,5))&lt;(((((((2*IF(circ_int,0,eq_c2/2))+(PI()*(s_0+4*s_r+IF(circ_int,eq_c1/2,0))/2))+2*IF(circ_int,0,eq_c1/2))+(PI()*(s_0+4*s_r+IF(circ_int,eq_c1/2,0))/2))+2*IF(circ_int,0,eq_c2/2))+(PI()*(s_0+4*s_r+IF(circ_int,eq_c1/2,0))/2))+2*IF(circ_int,0,eq_c1/2)),-IF(circ_int,0,eq_c1/2)+(((38+0.5)*(4*IF(circ_int,0,eq_c1/2)+4*IF(circ_int,0,eq_c2/2)+2*PI()*(s_0+4*s_r+IF(circ_int,eq_c1/2,0)))/INDEX(lk_legs,5))-((((((2*IF(circ_int,0,eq_c2/2))+(PI()*(s_0+4*s_r+IF(circ_int,eq_c1/2,0))/2))+2*IF(circ_int,0,eq_c1/2))+(PI()*(s_0+4*s_r+IF(circ_int,eq_c1/2,0))/2))+2*IF(circ_int,0,eq_c2/2))+(PI()*(s_0+4*s_r+IF(circ_int,eq_c1/2,0))/2))),IF(circ_int,0,eq_c1/2)+(s_0+4*s_r+IF(circ_int,eq_c1/2,0))*COS(3*PI()/2+(((38+0.5)*(4*IF(circ_int,0,eq_c1/2)+4*IF(circ_int,0,eq_c2/2)+2*PI()*(s_0+4*s_r+IF(circ_int,eq_c1/2,0)))/INDEX(lk_legs,5))-(((((((2*IF(circ_int,0,eq_c2/2))+(PI()*(s_0+4*s_r+IF(circ_int,eq_c1/2,0))/2))+2*IF(circ_int,0,eq_c1/2))+(PI()*(s_0+4*s_r+IF(circ_int,eq_c1/2,0))/2))+2*IF(circ_int,0,eq_c2/2))+(PI()*(s_0+4*s_r+IF(circ_int,eq_c1/2,0))/2))+2*IF(circ_int,0,eq_c1/2)))/(s_0+4*s_r+IF(circ_int,eq_c1/2,0)))))))))),NA())</f>
        <v/>
      </c>
      <c r="BY41">
        <f>IF(AND(AND(links_on,5&lt;=n_per),INDEX(lk_kind,5)=1,38&lt;INDEX(lk_legs,5)),g_oy+IF(((38+0.5)*(4*IF(circ_int,0,eq_c1/2)+4*IF(circ_int,0,eq_c2/2)+2*PI()*(s_0+4*s_r+IF(circ_int,eq_c1/2,0)))/INDEX(lk_legs,5))&lt;(2*IF(circ_int,0,eq_c2/2)),-IF(circ_int,0,eq_c2/2)+((38+0.5)*(4*IF(circ_int,0,eq_c1/2)+4*IF(circ_int,0,eq_c2/2)+2*PI()*(s_0+4*s_r+IF(circ_int,eq_c1/2,0)))/INDEX(lk_legs,5)),IF(((38+0.5)*(4*IF(circ_int,0,eq_c1/2)+4*IF(circ_int,0,eq_c2/2)+2*PI()*(s_0+4*s_r+IF(circ_int,eq_c1/2,0)))/INDEX(lk_legs,5))&lt;((2*IF(circ_int,0,eq_c2/2))+(PI()*(s_0+4*s_r+IF(circ_int,eq_c1/2,0))/2)),IF(circ_int,0,eq_c2/2)+(s_0+4*s_r+IF(circ_int,eq_c1/2,0))*SIN((((38+0.5)*(4*IF(circ_int,0,eq_c1/2)+4*IF(circ_int,0,eq_c2/2)+2*PI()*(s_0+4*s_r+IF(circ_int,eq_c1/2,0)))/INDEX(lk_legs,5))-(2*IF(circ_int,0,eq_c2/2)))/(s_0+4*s_r+IF(circ_int,eq_c1/2,0))),IF(((38+0.5)*(4*IF(circ_int,0,eq_c1/2)+4*IF(circ_int,0,eq_c2/2)+2*PI()*(s_0+4*s_r+IF(circ_int,eq_c1/2,0)))/INDEX(lk_legs,5))&lt;(((2*IF(circ_int,0,eq_c2/2))+(PI()*(s_0+4*s_r+IF(circ_int,eq_c1/2,0))/2))+2*IF(circ_int,0,eq_c1/2)),IF(circ_int,0,eq_c2/2)+(s_0+4*s_r+IF(circ_int,eq_c1/2,0)),IF(((38+0.5)*(4*IF(circ_int,0,eq_c1/2)+4*IF(circ_int,0,eq_c2/2)+2*PI()*(s_0+4*s_r+IF(circ_int,eq_c1/2,0)))/INDEX(lk_legs,5))&lt;((((2*IF(circ_int,0,eq_c2/2))+(PI()*(s_0+4*s_r+IF(circ_int,eq_c1/2,0))/2))+2*IF(circ_int,0,eq_c1/2))+(PI()*(s_0+4*s_r+IF(circ_int,eq_c1/2,0))/2)),IF(circ_int,0,eq_c2/2)+(s_0+4*s_r+IF(circ_int,eq_c1/2,0))*SIN(PI()/2+(((38+0.5)*(4*IF(circ_int,0,eq_c1/2)+4*IF(circ_int,0,eq_c2/2)+2*PI()*(s_0+4*s_r+IF(circ_int,eq_c1/2,0)))/INDEX(lk_legs,5))-(((2*IF(circ_int,0,eq_c2/2))+(PI()*(s_0+4*s_r+IF(circ_int,eq_c1/2,0))/2))+2*IF(circ_int,0,eq_c1/2)))/(s_0+4*s_r+IF(circ_int,eq_c1/2,0))),IF(((38+0.5)*(4*IF(circ_int,0,eq_c1/2)+4*IF(circ_int,0,eq_c2/2)+2*PI()*(s_0+4*s_r+IF(circ_int,eq_c1/2,0)))/INDEX(lk_legs,5))&lt;(((((2*IF(circ_int,0,eq_c2/2))+(PI()*(s_0+4*s_r+IF(circ_int,eq_c1/2,0))/2))+2*IF(circ_int,0,eq_c1/2))+(PI()*(s_0+4*s_r+IF(circ_int,eq_c1/2,0))/2))+2*IF(circ_int,0,eq_c2/2)),IF(circ_int,0,eq_c2/2)-(((38+0.5)*(4*IF(circ_int,0,eq_c1/2)+4*IF(circ_int,0,eq_c2/2)+2*PI()*(s_0+4*s_r+IF(circ_int,eq_c1/2,0)))/INDEX(lk_legs,5))-((((2*IF(circ_int,0,eq_c2/2))+(PI()*(s_0+4*s_r+IF(circ_int,eq_c1/2,0))/2))+2*IF(circ_int,0,eq_c1/2))+(PI()*(s_0+4*s_r+IF(circ_int,eq_c1/2,0))/2))),IF(((38+0.5)*(4*IF(circ_int,0,eq_c1/2)+4*IF(circ_int,0,eq_c2/2)+2*PI()*(s_0+4*s_r+IF(circ_int,eq_c1/2,0)))/INDEX(lk_legs,5))&lt;((((((2*IF(circ_int,0,eq_c2/2))+(PI()*(s_0+4*s_r+IF(circ_int,eq_c1/2,0))/2))+2*IF(circ_int,0,eq_c1/2))+(PI()*(s_0+4*s_r+IF(circ_int,eq_c1/2,0))/2))+2*IF(circ_int,0,eq_c2/2))+(PI()*(s_0+4*s_r+IF(circ_int,eq_c1/2,0))/2)),-IF(circ_int,0,eq_c2/2)+(s_0+4*s_r+IF(circ_int,eq_c1/2,0))*SIN(PI()+(((38+0.5)*(4*IF(circ_int,0,eq_c1/2)+4*IF(circ_int,0,eq_c2/2)+2*PI()*(s_0+4*s_r+IF(circ_int,eq_c1/2,0)))/INDEX(lk_legs,5))-(((((2*IF(circ_int,0,eq_c2/2))+(PI()*(s_0+4*s_r+IF(circ_int,eq_c1/2,0))/2))+2*IF(circ_int,0,eq_c1/2))+(PI()*(s_0+4*s_r+IF(circ_int,eq_c1/2,0))/2))+2*IF(circ_int,0,eq_c2/2)))/(s_0+4*s_r+IF(circ_int,eq_c1/2,0))),IF(((38+0.5)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(38+0.5)*(4*IF(circ_int,0,eq_c1/2)+4*IF(circ_int,0,eq_c2/2)+2*PI()*(s_0+4*s_r+IF(circ_int,eq_c1/2,0)))/INDEX(lk_legs,5))-(((((((2*IF(circ_int,0,eq_c2/2))+(PI()*(s_0+4*s_r+IF(circ_int,eq_c1/2,0))/2))+2*IF(circ_int,0,eq_c1/2))+(PI()*(s_0+4*s_r+IF(circ_int,eq_c1/2,0))/2))+2*IF(circ_int,0,eq_c2/2))+(PI()*(s_0+4*s_r+IF(circ_int,eq_c1/2,0))/2))+2*IF(circ_int,0,eq_c1/2)))/(s_0+4*s_r+IF(circ_int,eq_c1/2,0)))))))))),NA())</f>
        <v/>
      </c>
      <c r="CA41">
        <f>IF(AND(links_on,6&lt;=n_per),IF(circ_int,(g_ox)+(c_1/2+(s_0+5*s_r))*-0.120537,CHOOSE(INDEX(lk_kind,6),(g_ox-eq_c1/2)+((s_0+5*s_r))*-0.000000,0,eq_a1+eq_c1+(s_0+5*s_r),eq_a1+eq_c1+(s_0+5*s_r))),NA())</f>
        <v/>
      </c>
      <c r="CB41">
        <f>IF(AND(links_on,6&lt;=n_per),IF(circ_int,(g_oy)+(c_1/2+(s_0+5*s_r))*-0.992709,CHOOSE(INDEX(lk_kind,6),(g_oy-eq_c2/2)+((s_0+5*s_r))*-1.000000,g_oy-eq_c2/2-(s_0+5*s_r),0,0)),NA())</f>
        <v/>
      </c>
      <c r="CD41">
        <f>IF(AND(AND(links_on,6&lt;=n_per),INDEX(lk_kind,6)=1,38&lt;INDEX(lk_legs,6)),g_ox+IF(((38+0.5)*(4*IF(circ_int,0,eq_c1/2)+4*IF(circ_int,0,eq_c2/2)+2*PI()*(s_0+5*s_r+IF(circ_int,eq_c1/2,0)))/INDEX(lk_legs,6))&lt;(2*IF(circ_int,0,eq_c2/2)),IF(circ_int,0,eq_c1/2)+(s_0+5*s_r+IF(circ_int,eq_c1/2,0)),IF(((38+0.5)*(4*IF(circ_int,0,eq_c1/2)+4*IF(circ_int,0,eq_c2/2)+2*PI()*(s_0+5*s_r+IF(circ_int,eq_c1/2,0)))/INDEX(lk_legs,6))&lt;((2*IF(circ_int,0,eq_c2/2))+(PI()*(s_0+5*s_r+IF(circ_int,eq_c1/2,0))/2)),IF(circ_int,0,eq_c1/2)+(s_0+5*s_r+IF(circ_int,eq_c1/2,0))*COS((((38+0.5)*(4*IF(circ_int,0,eq_c1/2)+4*IF(circ_int,0,eq_c2/2)+2*PI()*(s_0+5*s_r+IF(circ_int,eq_c1/2,0)))/INDEX(lk_legs,6))-(2*IF(circ_int,0,eq_c2/2)))/(s_0+5*s_r+IF(circ_int,eq_c1/2,0))),IF(((38+0.5)*(4*IF(circ_int,0,eq_c1/2)+4*IF(circ_int,0,eq_c2/2)+2*PI()*(s_0+5*s_r+IF(circ_int,eq_c1/2,0)))/INDEX(lk_legs,6))&lt;(((2*IF(circ_int,0,eq_c2/2))+(PI()*(s_0+5*s_r+IF(circ_int,eq_c1/2,0))/2))+2*IF(circ_int,0,eq_c1/2)),IF(circ_int,0,eq_c1/2)-(((38+0.5)*(4*IF(circ_int,0,eq_c1/2)+4*IF(circ_int,0,eq_c2/2)+2*PI()*(s_0+5*s_r+IF(circ_int,eq_c1/2,0)))/INDEX(lk_legs,6))-((2*IF(circ_int,0,eq_c2/2))+(PI()*(s_0+5*s_r+IF(circ_int,eq_c1/2,0))/2))),IF(((38+0.5)*(4*IF(circ_int,0,eq_c1/2)+4*IF(circ_int,0,eq_c2/2)+2*PI()*(s_0+5*s_r+IF(circ_int,eq_c1/2,0)))/INDEX(lk_legs,6))&lt;((((2*IF(circ_int,0,eq_c2/2))+(PI()*(s_0+5*s_r+IF(circ_int,eq_c1/2,0))/2))+2*IF(circ_int,0,eq_c1/2))+(PI()*(s_0+5*s_r+IF(circ_int,eq_c1/2,0))/2)),-IF(circ_int,0,eq_c1/2)+(s_0+5*s_r+IF(circ_int,eq_c1/2,0))*COS(PI()/2+(((38+0.5)*(4*IF(circ_int,0,eq_c1/2)+4*IF(circ_int,0,eq_c2/2)+2*PI()*(s_0+5*s_r+IF(circ_int,eq_c1/2,0)))/INDEX(lk_legs,6))-(((2*IF(circ_int,0,eq_c2/2))+(PI()*(s_0+5*s_r+IF(circ_int,eq_c1/2,0))/2))+2*IF(circ_int,0,eq_c1/2)))/(s_0+5*s_r+IF(circ_int,eq_c1/2,0))),IF(((38+0.5)*(4*IF(circ_int,0,eq_c1/2)+4*IF(circ_int,0,eq_c2/2)+2*PI()*(s_0+5*s_r+IF(circ_int,eq_c1/2,0)))/INDEX(lk_legs,6))&lt;(((((2*IF(circ_int,0,eq_c2/2))+(PI()*(s_0+5*s_r+IF(circ_int,eq_c1/2,0))/2))+2*IF(circ_int,0,eq_c1/2))+(PI()*(s_0+5*s_r+IF(circ_int,eq_c1/2,0))/2))+2*IF(circ_int,0,eq_c2/2)),-IF(circ_int,0,eq_c1/2)-(s_0+5*s_r+IF(circ_int,eq_c1/2,0)),IF(((38+0.5)*(4*IF(circ_int,0,eq_c1/2)+4*IF(circ_int,0,eq_c2/2)+2*PI()*(s_0+5*s_r+IF(circ_int,eq_c1/2,0)))/INDEX(lk_legs,6))&lt;((((((2*IF(circ_int,0,eq_c2/2))+(PI()*(s_0+5*s_r+IF(circ_int,eq_c1/2,0))/2))+2*IF(circ_int,0,eq_c1/2))+(PI()*(s_0+5*s_r+IF(circ_int,eq_c1/2,0))/2))+2*IF(circ_int,0,eq_c2/2))+(PI()*(s_0+5*s_r+IF(circ_int,eq_c1/2,0))/2)),-IF(circ_int,0,eq_c1/2)+(s_0+5*s_r+IF(circ_int,eq_c1/2,0))*COS(PI()+(((38+0.5)*(4*IF(circ_int,0,eq_c1/2)+4*IF(circ_int,0,eq_c2/2)+2*PI()*(s_0+5*s_r+IF(circ_int,eq_c1/2,0)))/INDEX(lk_legs,6))-(((((2*IF(circ_int,0,eq_c2/2))+(PI()*(s_0+5*s_r+IF(circ_int,eq_c1/2,0))/2))+2*IF(circ_int,0,eq_c1/2))+(PI()*(s_0+5*s_r+IF(circ_int,eq_c1/2,0))/2))+2*IF(circ_int,0,eq_c2/2)))/(s_0+5*s_r+IF(circ_int,eq_c1/2,0))),IF(((38+0.5)*(4*IF(circ_int,0,eq_c1/2)+4*IF(circ_int,0,eq_c2/2)+2*PI()*(s_0+5*s_r+IF(circ_int,eq_c1/2,0)))/INDEX(lk_legs,6))&lt;(((((((2*IF(circ_int,0,eq_c2/2))+(PI()*(s_0+5*s_r+IF(circ_int,eq_c1/2,0))/2))+2*IF(circ_int,0,eq_c1/2))+(PI()*(s_0+5*s_r+IF(circ_int,eq_c1/2,0))/2))+2*IF(circ_int,0,eq_c2/2))+(PI()*(s_0+5*s_r+IF(circ_int,eq_c1/2,0))/2))+2*IF(circ_int,0,eq_c1/2)),-IF(circ_int,0,eq_c1/2)+(((38+0.5)*(4*IF(circ_int,0,eq_c1/2)+4*IF(circ_int,0,eq_c2/2)+2*PI()*(s_0+5*s_r+IF(circ_int,eq_c1/2,0)))/INDEX(lk_legs,6))-((((((2*IF(circ_int,0,eq_c2/2))+(PI()*(s_0+5*s_r+IF(circ_int,eq_c1/2,0))/2))+2*IF(circ_int,0,eq_c1/2))+(PI()*(s_0+5*s_r+IF(circ_int,eq_c1/2,0))/2))+2*IF(circ_int,0,eq_c2/2))+(PI()*(s_0+5*s_r+IF(circ_int,eq_c1/2,0))/2))),IF(circ_int,0,eq_c1/2)+(s_0+5*s_r+IF(circ_int,eq_c1/2,0))*COS(3*PI()/2+(((38+0.5)*(4*IF(circ_int,0,eq_c1/2)+4*IF(circ_int,0,eq_c2/2)+2*PI()*(s_0+5*s_r+IF(circ_int,eq_c1/2,0)))/INDEX(lk_legs,6))-(((((((2*IF(circ_int,0,eq_c2/2))+(PI()*(s_0+5*s_r+IF(circ_int,eq_c1/2,0))/2))+2*IF(circ_int,0,eq_c1/2))+(PI()*(s_0+5*s_r+IF(circ_int,eq_c1/2,0))/2))+2*IF(circ_int,0,eq_c2/2))+(PI()*(s_0+5*s_r+IF(circ_int,eq_c1/2,0))/2))+2*IF(circ_int,0,eq_c1/2)))/(s_0+5*s_r+IF(circ_int,eq_c1/2,0)))))))))),NA())</f>
        <v/>
      </c>
      <c r="CE41">
        <f>IF(AND(AND(links_on,6&lt;=n_per),INDEX(lk_kind,6)=1,38&lt;INDEX(lk_legs,6)),g_oy+IF(((38+0.5)*(4*IF(circ_int,0,eq_c1/2)+4*IF(circ_int,0,eq_c2/2)+2*PI()*(s_0+5*s_r+IF(circ_int,eq_c1/2,0)))/INDEX(lk_legs,6))&lt;(2*IF(circ_int,0,eq_c2/2)),-IF(circ_int,0,eq_c2/2)+((38+0.5)*(4*IF(circ_int,0,eq_c1/2)+4*IF(circ_int,0,eq_c2/2)+2*PI()*(s_0+5*s_r+IF(circ_int,eq_c1/2,0)))/INDEX(lk_legs,6)),IF(((38+0.5)*(4*IF(circ_int,0,eq_c1/2)+4*IF(circ_int,0,eq_c2/2)+2*PI()*(s_0+5*s_r+IF(circ_int,eq_c1/2,0)))/INDEX(lk_legs,6))&lt;((2*IF(circ_int,0,eq_c2/2))+(PI()*(s_0+5*s_r+IF(circ_int,eq_c1/2,0))/2)),IF(circ_int,0,eq_c2/2)+(s_0+5*s_r+IF(circ_int,eq_c1/2,0))*SIN((((38+0.5)*(4*IF(circ_int,0,eq_c1/2)+4*IF(circ_int,0,eq_c2/2)+2*PI()*(s_0+5*s_r+IF(circ_int,eq_c1/2,0)))/INDEX(lk_legs,6))-(2*IF(circ_int,0,eq_c2/2)))/(s_0+5*s_r+IF(circ_int,eq_c1/2,0))),IF(((38+0.5)*(4*IF(circ_int,0,eq_c1/2)+4*IF(circ_int,0,eq_c2/2)+2*PI()*(s_0+5*s_r+IF(circ_int,eq_c1/2,0)))/INDEX(lk_legs,6))&lt;(((2*IF(circ_int,0,eq_c2/2))+(PI()*(s_0+5*s_r+IF(circ_int,eq_c1/2,0))/2))+2*IF(circ_int,0,eq_c1/2)),IF(circ_int,0,eq_c2/2)+(s_0+5*s_r+IF(circ_int,eq_c1/2,0)),IF(((38+0.5)*(4*IF(circ_int,0,eq_c1/2)+4*IF(circ_int,0,eq_c2/2)+2*PI()*(s_0+5*s_r+IF(circ_int,eq_c1/2,0)))/INDEX(lk_legs,6))&lt;((((2*IF(circ_int,0,eq_c2/2))+(PI()*(s_0+5*s_r+IF(circ_int,eq_c1/2,0))/2))+2*IF(circ_int,0,eq_c1/2))+(PI()*(s_0+5*s_r+IF(circ_int,eq_c1/2,0))/2)),IF(circ_int,0,eq_c2/2)+(s_0+5*s_r+IF(circ_int,eq_c1/2,0))*SIN(PI()/2+(((38+0.5)*(4*IF(circ_int,0,eq_c1/2)+4*IF(circ_int,0,eq_c2/2)+2*PI()*(s_0+5*s_r+IF(circ_int,eq_c1/2,0)))/INDEX(lk_legs,6))-(((2*IF(circ_int,0,eq_c2/2))+(PI()*(s_0+5*s_r+IF(circ_int,eq_c1/2,0))/2))+2*IF(circ_int,0,eq_c1/2)))/(s_0+5*s_r+IF(circ_int,eq_c1/2,0))),IF(((38+0.5)*(4*IF(circ_int,0,eq_c1/2)+4*IF(circ_int,0,eq_c2/2)+2*PI()*(s_0+5*s_r+IF(circ_int,eq_c1/2,0)))/INDEX(lk_legs,6))&lt;(((((2*IF(circ_int,0,eq_c2/2))+(PI()*(s_0+5*s_r+IF(circ_int,eq_c1/2,0))/2))+2*IF(circ_int,0,eq_c1/2))+(PI()*(s_0+5*s_r+IF(circ_int,eq_c1/2,0))/2))+2*IF(circ_int,0,eq_c2/2)),IF(circ_int,0,eq_c2/2)-(((38+0.5)*(4*IF(circ_int,0,eq_c1/2)+4*IF(circ_int,0,eq_c2/2)+2*PI()*(s_0+5*s_r+IF(circ_int,eq_c1/2,0)))/INDEX(lk_legs,6))-((((2*IF(circ_int,0,eq_c2/2))+(PI()*(s_0+5*s_r+IF(circ_int,eq_c1/2,0))/2))+2*IF(circ_int,0,eq_c1/2))+(PI()*(s_0+5*s_r+IF(circ_int,eq_c1/2,0))/2))),IF(((38+0.5)*(4*IF(circ_int,0,eq_c1/2)+4*IF(circ_int,0,eq_c2/2)+2*PI()*(s_0+5*s_r+IF(circ_int,eq_c1/2,0)))/INDEX(lk_legs,6))&lt;((((((2*IF(circ_int,0,eq_c2/2))+(PI()*(s_0+5*s_r+IF(circ_int,eq_c1/2,0))/2))+2*IF(circ_int,0,eq_c1/2))+(PI()*(s_0+5*s_r+IF(circ_int,eq_c1/2,0))/2))+2*IF(circ_int,0,eq_c2/2))+(PI()*(s_0+5*s_r+IF(circ_int,eq_c1/2,0))/2)),-IF(circ_int,0,eq_c2/2)+(s_0+5*s_r+IF(circ_int,eq_c1/2,0))*SIN(PI()+(((38+0.5)*(4*IF(circ_int,0,eq_c1/2)+4*IF(circ_int,0,eq_c2/2)+2*PI()*(s_0+5*s_r+IF(circ_int,eq_c1/2,0)))/INDEX(lk_legs,6))-(((((2*IF(circ_int,0,eq_c2/2))+(PI()*(s_0+5*s_r+IF(circ_int,eq_c1/2,0))/2))+2*IF(circ_int,0,eq_c1/2))+(PI()*(s_0+5*s_r+IF(circ_int,eq_c1/2,0))/2))+2*IF(circ_int,0,eq_c2/2)))/(s_0+5*s_r+IF(circ_int,eq_c1/2,0))),IF(((38+0.5)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(38+0.5)*(4*IF(circ_int,0,eq_c1/2)+4*IF(circ_int,0,eq_c2/2)+2*PI()*(s_0+5*s_r+IF(circ_int,eq_c1/2,0)))/INDEX(lk_legs,6))-(((((((2*IF(circ_int,0,eq_c2/2))+(PI()*(s_0+5*s_r+IF(circ_int,eq_c1/2,0))/2))+2*IF(circ_int,0,eq_c1/2))+(PI()*(s_0+5*s_r+IF(circ_int,eq_c1/2,0))/2))+2*IF(circ_int,0,eq_c2/2))+(PI()*(s_0+5*s_r+IF(circ_int,eq_c1/2,0))/2))+2*IF(circ_int,0,eq_c1/2)))/(s_0+5*s_r+IF(circ_int,eq_c1/2,0)))))))))),NA())</f>
        <v/>
      </c>
      <c r="CG41">
        <f>IF(AND(links_on,7&lt;=n_per),IF(circ_int,(g_ox)+(c_1/2+(s_0+6*s_r))*-0.120537,CHOOSE(INDEX(lk_kind,7),(g_ox-eq_c1/2)+((s_0+6*s_r))*-0.000000,0,eq_a1+eq_c1+(s_0+6*s_r),eq_a1+eq_c1+(s_0+6*s_r))),NA())</f>
        <v/>
      </c>
      <c r="CH41">
        <f>IF(AND(links_on,7&lt;=n_per),IF(circ_int,(g_oy)+(c_1/2+(s_0+6*s_r))*-0.992709,CHOOSE(INDEX(lk_kind,7),(g_oy-eq_c2/2)+((s_0+6*s_r))*-1.000000,g_oy-eq_c2/2-(s_0+6*s_r),0,0)),NA())</f>
        <v/>
      </c>
      <c r="CJ41">
        <f>IF(AND(AND(links_on,7&lt;=n_per),INDEX(lk_kind,7)=1,38&lt;INDEX(lk_legs,7)),g_ox+IF(((38+0.5)*(4*IF(circ_int,0,eq_c1/2)+4*IF(circ_int,0,eq_c2/2)+2*PI()*(s_0+6*s_r+IF(circ_int,eq_c1/2,0)))/INDEX(lk_legs,7))&lt;(2*IF(circ_int,0,eq_c2/2)),IF(circ_int,0,eq_c1/2)+(s_0+6*s_r+IF(circ_int,eq_c1/2,0)),IF(((38+0.5)*(4*IF(circ_int,0,eq_c1/2)+4*IF(circ_int,0,eq_c2/2)+2*PI()*(s_0+6*s_r+IF(circ_int,eq_c1/2,0)))/INDEX(lk_legs,7))&lt;((2*IF(circ_int,0,eq_c2/2))+(PI()*(s_0+6*s_r+IF(circ_int,eq_c1/2,0))/2)),IF(circ_int,0,eq_c1/2)+(s_0+6*s_r+IF(circ_int,eq_c1/2,0))*COS((((38+0.5)*(4*IF(circ_int,0,eq_c1/2)+4*IF(circ_int,0,eq_c2/2)+2*PI()*(s_0+6*s_r+IF(circ_int,eq_c1/2,0)))/INDEX(lk_legs,7))-(2*IF(circ_int,0,eq_c2/2)))/(s_0+6*s_r+IF(circ_int,eq_c1/2,0))),IF(((38+0.5)*(4*IF(circ_int,0,eq_c1/2)+4*IF(circ_int,0,eq_c2/2)+2*PI()*(s_0+6*s_r+IF(circ_int,eq_c1/2,0)))/INDEX(lk_legs,7))&lt;(((2*IF(circ_int,0,eq_c2/2))+(PI()*(s_0+6*s_r+IF(circ_int,eq_c1/2,0))/2))+2*IF(circ_int,0,eq_c1/2)),IF(circ_int,0,eq_c1/2)-(((38+0.5)*(4*IF(circ_int,0,eq_c1/2)+4*IF(circ_int,0,eq_c2/2)+2*PI()*(s_0+6*s_r+IF(circ_int,eq_c1/2,0)))/INDEX(lk_legs,7))-((2*IF(circ_int,0,eq_c2/2))+(PI()*(s_0+6*s_r+IF(circ_int,eq_c1/2,0))/2))),IF(((38+0.5)*(4*IF(circ_int,0,eq_c1/2)+4*IF(circ_int,0,eq_c2/2)+2*PI()*(s_0+6*s_r+IF(circ_int,eq_c1/2,0)))/INDEX(lk_legs,7))&lt;((((2*IF(circ_int,0,eq_c2/2))+(PI()*(s_0+6*s_r+IF(circ_int,eq_c1/2,0))/2))+2*IF(circ_int,0,eq_c1/2))+(PI()*(s_0+6*s_r+IF(circ_int,eq_c1/2,0))/2)),-IF(circ_int,0,eq_c1/2)+(s_0+6*s_r+IF(circ_int,eq_c1/2,0))*COS(PI()/2+(((38+0.5)*(4*IF(circ_int,0,eq_c1/2)+4*IF(circ_int,0,eq_c2/2)+2*PI()*(s_0+6*s_r+IF(circ_int,eq_c1/2,0)))/INDEX(lk_legs,7))-(((2*IF(circ_int,0,eq_c2/2))+(PI()*(s_0+6*s_r+IF(circ_int,eq_c1/2,0))/2))+2*IF(circ_int,0,eq_c1/2)))/(s_0+6*s_r+IF(circ_int,eq_c1/2,0))),IF(((38+0.5)*(4*IF(circ_int,0,eq_c1/2)+4*IF(circ_int,0,eq_c2/2)+2*PI()*(s_0+6*s_r+IF(circ_int,eq_c1/2,0)))/INDEX(lk_legs,7))&lt;(((((2*IF(circ_int,0,eq_c2/2))+(PI()*(s_0+6*s_r+IF(circ_int,eq_c1/2,0))/2))+2*IF(circ_int,0,eq_c1/2))+(PI()*(s_0+6*s_r+IF(circ_int,eq_c1/2,0))/2))+2*IF(circ_int,0,eq_c2/2)),-IF(circ_int,0,eq_c1/2)-(s_0+6*s_r+IF(circ_int,eq_c1/2,0)),IF(((38+0.5)*(4*IF(circ_int,0,eq_c1/2)+4*IF(circ_int,0,eq_c2/2)+2*PI()*(s_0+6*s_r+IF(circ_int,eq_c1/2,0)))/INDEX(lk_legs,7))&lt;((((((2*IF(circ_int,0,eq_c2/2))+(PI()*(s_0+6*s_r+IF(circ_int,eq_c1/2,0))/2))+2*IF(circ_int,0,eq_c1/2))+(PI()*(s_0+6*s_r+IF(circ_int,eq_c1/2,0))/2))+2*IF(circ_int,0,eq_c2/2))+(PI()*(s_0+6*s_r+IF(circ_int,eq_c1/2,0))/2)),-IF(circ_int,0,eq_c1/2)+(s_0+6*s_r+IF(circ_int,eq_c1/2,0))*COS(PI()+(((38+0.5)*(4*IF(circ_int,0,eq_c1/2)+4*IF(circ_int,0,eq_c2/2)+2*PI()*(s_0+6*s_r+IF(circ_int,eq_c1/2,0)))/INDEX(lk_legs,7))-(((((2*IF(circ_int,0,eq_c2/2))+(PI()*(s_0+6*s_r+IF(circ_int,eq_c1/2,0))/2))+2*IF(circ_int,0,eq_c1/2))+(PI()*(s_0+6*s_r+IF(circ_int,eq_c1/2,0))/2))+2*IF(circ_int,0,eq_c2/2)))/(s_0+6*s_r+IF(circ_int,eq_c1/2,0))),IF(((38+0.5)*(4*IF(circ_int,0,eq_c1/2)+4*IF(circ_int,0,eq_c2/2)+2*PI()*(s_0+6*s_r+IF(circ_int,eq_c1/2,0)))/INDEX(lk_legs,7))&lt;(((((((2*IF(circ_int,0,eq_c2/2))+(PI()*(s_0+6*s_r+IF(circ_int,eq_c1/2,0))/2))+2*IF(circ_int,0,eq_c1/2))+(PI()*(s_0+6*s_r+IF(circ_int,eq_c1/2,0))/2))+2*IF(circ_int,0,eq_c2/2))+(PI()*(s_0+6*s_r+IF(circ_int,eq_c1/2,0))/2))+2*IF(circ_int,0,eq_c1/2)),-IF(circ_int,0,eq_c1/2)+(((38+0.5)*(4*IF(circ_int,0,eq_c1/2)+4*IF(circ_int,0,eq_c2/2)+2*PI()*(s_0+6*s_r+IF(circ_int,eq_c1/2,0)))/INDEX(lk_legs,7))-((((((2*IF(circ_int,0,eq_c2/2))+(PI()*(s_0+6*s_r+IF(circ_int,eq_c1/2,0))/2))+2*IF(circ_int,0,eq_c1/2))+(PI()*(s_0+6*s_r+IF(circ_int,eq_c1/2,0))/2))+2*IF(circ_int,0,eq_c2/2))+(PI()*(s_0+6*s_r+IF(circ_int,eq_c1/2,0))/2))),IF(circ_int,0,eq_c1/2)+(s_0+6*s_r+IF(circ_int,eq_c1/2,0))*COS(3*PI()/2+(((38+0.5)*(4*IF(circ_int,0,eq_c1/2)+4*IF(circ_int,0,eq_c2/2)+2*PI()*(s_0+6*s_r+IF(circ_int,eq_c1/2,0)))/INDEX(lk_legs,7))-(((((((2*IF(circ_int,0,eq_c2/2))+(PI()*(s_0+6*s_r+IF(circ_int,eq_c1/2,0))/2))+2*IF(circ_int,0,eq_c1/2))+(PI()*(s_0+6*s_r+IF(circ_int,eq_c1/2,0))/2))+2*IF(circ_int,0,eq_c2/2))+(PI()*(s_0+6*s_r+IF(circ_int,eq_c1/2,0))/2))+2*IF(circ_int,0,eq_c1/2)))/(s_0+6*s_r+IF(circ_int,eq_c1/2,0)))))))))),NA())</f>
        <v/>
      </c>
      <c r="CK41">
        <f>IF(AND(AND(links_on,7&lt;=n_per),INDEX(lk_kind,7)=1,38&lt;INDEX(lk_legs,7)),g_oy+IF(((38+0.5)*(4*IF(circ_int,0,eq_c1/2)+4*IF(circ_int,0,eq_c2/2)+2*PI()*(s_0+6*s_r+IF(circ_int,eq_c1/2,0)))/INDEX(lk_legs,7))&lt;(2*IF(circ_int,0,eq_c2/2)),-IF(circ_int,0,eq_c2/2)+((38+0.5)*(4*IF(circ_int,0,eq_c1/2)+4*IF(circ_int,0,eq_c2/2)+2*PI()*(s_0+6*s_r+IF(circ_int,eq_c1/2,0)))/INDEX(lk_legs,7)),IF(((38+0.5)*(4*IF(circ_int,0,eq_c1/2)+4*IF(circ_int,0,eq_c2/2)+2*PI()*(s_0+6*s_r+IF(circ_int,eq_c1/2,0)))/INDEX(lk_legs,7))&lt;((2*IF(circ_int,0,eq_c2/2))+(PI()*(s_0+6*s_r+IF(circ_int,eq_c1/2,0))/2)),IF(circ_int,0,eq_c2/2)+(s_0+6*s_r+IF(circ_int,eq_c1/2,0))*SIN((((38+0.5)*(4*IF(circ_int,0,eq_c1/2)+4*IF(circ_int,0,eq_c2/2)+2*PI()*(s_0+6*s_r+IF(circ_int,eq_c1/2,0)))/INDEX(lk_legs,7))-(2*IF(circ_int,0,eq_c2/2)))/(s_0+6*s_r+IF(circ_int,eq_c1/2,0))),IF(((38+0.5)*(4*IF(circ_int,0,eq_c1/2)+4*IF(circ_int,0,eq_c2/2)+2*PI()*(s_0+6*s_r+IF(circ_int,eq_c1/2,0)))/INDEX(lk_legs,7))&lt;(((2*IF(circ_int,0,eq_c2/2))+(PI()*(s_0+6*s_r+IF(circ_int,eq_c1/2,0))/2))+2*IF(circ_int,0,eq_c1/2)),IF(circ_int,0,eq_c2/2)+(s_0+6*s_r+IF(circ_int,eq_c1/2,0)),IF(((38+0.5)*(4*IF(circ_int,0,eq_c1/2)+4*IF(circ_int,0,eq_c2/2)+2*PI()*(s_0+6*s_r+IF(circ_int,eq_c1/2,0)))/INDEX(lk_legs,7))&lt;((((2*IF(circ_int,0,eq_c2/2))+(PI()*(s_0+6*s_r+IF(circ_int,eq_c1/2,0))/2))+2*IF(circ_int,0,eq_c1/2))+(PI()*(s_0+6*s_r+IF(circ_int,eq_c1/2,0))/2)),IF(circ_int,0,eq_c2/2)+(s_0+6*s_r+IF(circ_int,eq_c1/2,0))*SIN(PI()/2+(((38+0.5)*(4*IF(circ_int,0,eq_c1/2)+4*IF(circ_int,0,eq_c2/2)+2*PI()*(s_0+6*s_r+IF(circ_int,eq_c1/2,0)))/INDEX(lk_legs,7))-(((2*IF(circ_int,0,eq_c2/2))+(PI()*(s_0+6*s_r+IF(circ_int,eq_c1/2,0))/2))+2*IF(circ_int,0,eq_c1/2)))/(s_0+6*s_r+IF(circ_int,eq_c1/2,0))),IF(((38+0.5)*(4*IF(circ_int,0,eq_c1/2)+4*IF(circ_int,0,eq_c2/2)+2*PI()*(s_0+6*s_r+IF(circ_int,eq_c1/2,0)))/INDEX(lk_legs,7))&lt;(((((2*IF(circ_int,0,eq_c2/2))+(PI()*(s_0+6*s_r+IF(circ_int,eq_c1/2,0))/2))+2*IF(circ_int,0,eq_c1/2))+(PI()*(s_0+6*s_r+IF(circ_int,eq_c1/2,0))/2))+2*IF(circ_int,0,eq_c2/2)),IF(circ_int,0,eq_c2/2)-(((38+0.5)*(4*IF(circ_int,0,eq_c1/2)+4*IF(circ_int,0,eq_c2/2)+2*PI()*(s_0+6*s_r+IF(circ_int,eq_c1/2,0)))/INDEX(lk_legs,7))-((((2*IF(circ_int,0,eq_c2/2))+(PI()*(s_0+6*s_r+IF(circ_int,eq_c1/2,0))/2))+2*IF(circ_int,0,eq_c1/2))+(PI()*(s_0+6*s_r+IF(circ_int,eq_c1/2,0))/2))),IF(((38+0.5)*(4*IF(circ_int,0,eq_c1/2)+4*IF(circ_int,0,eq_c2/2)+2*PI()*(s_0+6*s_r+IF(circ_int,eq_c1/2,0)))/INDEX(lk_legs,7))&lt;((((((2*IF(circ_int,0,eq_c2/2))+(PI()*(s_0+6*s_r+IF(circ_int,eq_c1/2,0))/2))+2*IF(circ_int,0,eq_c1/2))+(PI()*(s_0+6*s_r+IF(circ_int,eq_c1/2,0))/2))+2*IF(circ_int,0,eq_c2/2))+(PI()*(s_0+6*s_r+IF(circ_int,eq_c1/2,0))/2)),-IF(circ_int,0,eq_c2/2)+(s_0+6*s_r+IF(circ_int,eq_c1/2,0))*SIN(PI()+(((38+0.5)*(4*IF(circ_int,0,eq_c1/2)+4*IF(circ_int,0,eq_c2/2)+2*PI()*(s_0+6*s_r+IF(circ_int,eq_c1/2,0)))/INDEX(lk_legs,7))-(((((2*IF(circ_int,0,eq_c2/2))+(PI()*(s_0+6*s_r+IF(circ_int,eq_c1/2,0))/2))+2*IF(circ_int,0,eq_c1/2))+(PI()*(s_0+6*s_r+IF(circ_int,eq_c1/2,0))/2))+2*IF(circ_int,0,eq_c2/2)))/(s_0+6*s_r+IF(circ_int,eq_c1/2,0))),IF(((38+0.5)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(38+0.5)*(4*IF(circ_int,0,eq_c1/2)+4*IF(circ_int,0,eq_c2/2)+2*PI()*(s_0+6*s_r+IF(circ_int,eq_c1/2,0)))/INDEX(lk_legs,7))-(((((((2*IF(circ_int,0,eq_c2/2))+(PI()*(s_0+6*s_r+IF(circ_int,eq_c1/2,0))/2))+2*IF(circ_int,0,eq_c1/2))+(PI()*(s_0+6*s_r+IF(circ_int,eq_c1/2,0))/2))+2*IF(circ_int,0,eq_c2/2))+(PI()*(s_0+6*s_r+IF(circ_int,eq_c1/2,0))/2))+2*IF(circ_int,0,eq_c1/2)))/(s_0+6*s_r+IF(circ_int,eq_c1/2,0)))))))))),NA())</f>
        <v/>
      </c>
      <c r="CM41">
        <f>IF(AND(links_on,8&lt;=n_per),IF(circ_int,(g_ox)+(c_1/2+(s_0+7*s_r))*-0.120537,CHOOSE(INDEX(lk_kind,8),(g_ox-eq_c1/2)+((s_0+7*s_r))*-0.000000,0,eq_a1+eq_c1+(s_0+7*s_r),eq_a1+eq_c1+(s_0+7*s_r))),NA())</f>
        <v/>
      </c>
      <c r="CN41">
        <f>IF(AND(links_on,8&lt;=n_per),IF(circ_int,(g_oy)+(c_1/2+(s_0+7*s_r))*-0.992709,CHOOSE(INDEX(lk_kind,8),(g_oy-eq_c2/2)+((s_0+7*s_r))*-1.000000,g_oy-eq_c2/2-(s_0+7*s_r),0,0)),NA())</f>
        <v/>
      </c>
      <c r="CP41">
        <f>IF(AND(AND(links_on,8&lt;=n_per),INDEX(lk_kind,8)=1,38&lt;INDEX(lk_legs,8)),g_ox+IF(((38+0.5)*(4*IF(circ_int,0,eq_c1/2)+4*IF(circ_int,0,eq_c2/2)+2*PI()*(s_0+7*s_r+IF(circ_int,eq_c1/2,0)))/INDEX(lk_legs,8))&lt;(2*IF(circ_int,0,eq_c2/2)),IF(circ_int,0,eq_c1/2)+(s_0+7*s_r+IF(circ_int,eq_c1/2,0)),IF(((38+0.5)*(4*IF(circ_int,0,eq_c1/2)+4*IF(circ_int,0,eq_c2/2)+2*PI()*(s_0+7*s_r+IF(circ_int,eq_c1/2,0)))/INDEX(lk_legs,8))&lt;((2*IF(circ_int,0,eq_c2/2))+(PI()*(s_0+7*s_r+IF(circ_int,eq_c1/2,0))/2)),IF(circ_int,0,eq_c1/2)+(s_0+7*s_r+IF(circ_int,eq_c1/2,0))*COS((((38+0.5)*(4*IF(circ_int,0,eq_c1/2)+4*IF(circ_int,0,eq_c2/2)+2*PI()*(s_0+7*s_r+IF(circ_int,eq_c1/2,0)))/INDEX(lk_legs,8))-(2*IF(circ_int,0,eq_c2/2)))/(s_0+7*s_r+IF(circ_int,eq_c1/2,0))),IF(((38+0.5)*(4*IF(circ_int,0,eq_c1/2)+4*IF(circ_int,0,eq_c2/2)+2*PI()*(s_0+7*s_r+IF(circ_int,eq_c1/2,0)))/INDEX(lk_legs,8))&lt;(((2*IF(circ_int,0,eq_c2/2))+(PI()*(s_0+7*s_r+IF(circ_int,eq_c1/2,0))/2))+2*IF(circ_int,0,eq_c1/2)),IF(circ_int,0,eq_c1/2)-(((38+0.5)*(4*IF(circ_int,0,eq_c1/2)+4*IF(circ_int,0,eq_c2/2)+2*PI()*(s_0+7*s_r+IF(circ_int,eq_c1/2,0)))/INDEX(lk_legs,8))-((2*IF(circ_int,0,eq_c2/2))+(PI()*(s_0+7*s_r+IF(circ_int,eq_c1/2,0))/2))),IF(((38+0.5)*(4*IF(circ_int,0,eq_c1/2)+4*IF(circ_int,0,eq_c2/2)+2*PI()*(s_0+7*s_r+IF(circ_int,eq_c1/2,0)))/INDEX(lk_legs,8))&lt;((((2*IF(circ_int,0,eq_c2/2))+(PI()*(s_0+7*s_r+IF(circ_int,eq_c1/2,0))/2))+2*IF(circ_int,0,eq_c1/2))+(PI()*(s_0+7*s_r+IF(circ_int,eq_c1/2,0))/2)),-IF(circ_int,0,eq_c1/2)+(s_0+7*s_r+IF(circ_int,eq_c1/2,0))*COS(PI()/2+(((38+0.5)*(4*IF(circ_int,0,eq_c1/2)+4*IF(circ_int,0,eq_c2/2)+2*PI()*(s_0+7*s_r+IF(circ_int,eq_c1/2,0)))/INDEX(lk_legs,8))-(((2*IF(circ_int,0,eq_c2/2))+(PI()*(s_0+7*s_r+IF(circ_int,eq_c1/2,0))/2))+2*IF(circ_int,0,eq_c1/2)))/(s_0+7*s_r+IF(circ_int,eq_c1/2,0))),IF(((38+0.5)*(4*IF(circ_int,0,eq_c1/2)+4*IF(circ_int,0,eq_c2/2)+2*PI()*(s_0+7*s_r+IF(circ_int,eq_c1/2,0)))/INDEX(lk_legs,8))&lt;(((((2*IF(circ_int,0,eq_c2/2))+(PI()*(s_0+7*s_r+IF(circ_int,eq_c1/2,0))/2))+2*IF(circ_int,0,eq_c1/2))+(PI()*(s_0+7*s_r+IF(circ_int,eq_c1/2,0))/2))+2*IF(circ_int,0,eq_c2/2)),-IF(circ_int,0,eq_c1/2)-(s_0+7*s_r+IF(circ_int,eq_c1/2,0)),IF(((38+0.5)*(4*IF(circ_int,0,eq_c1/2)+4*IF(circ_int,0,eq_c2/2)+2*PI()*(s_0+7*s_r+IF(circ_int,eq_c1/2,0)))/INDEX(lk_legs,8))&lt;((((((2*IF(circ_int,0,eq_c2/2))+(PI()*(s_0+7*s_r+IF(circ_int,eq_c1/2,0))/2))+2*IF(circ_int,0,eq_c1/2))+(PI()*(s_0+7*s_r+IF(circ_int,eq_c1/2,0))/2))+2*IF(circ_int,0,eq_c2/2))+(PI()*(s_0+7*s_r+IF(circ_int,eq_c1/2,0))/2)),-IF(circ_int,0,eq_c1/2)+(s_0+7*s_r+IF(circ_int,eq_c1/2,0))*COS(PI()+(((38+0.5)*(4*IF(circ_int,0,eq_c1/2)+4*IF(circ_int,0,eq_c2/2)+2*PI()*(s_0+7*s_r+IF(circ_int,eq_c1/2,0)))/INDEX(lk_legs,8))-(((((2*IF(circ_int,0,eq_c2/2))+(PI()*(s_0+7*s_r+IF(circ_int,eq_c1/2,0))/2))+2*IF(circ_int,0,eq_c1/2))+(PI()*(s_0+7*s_r+IF(circ_int,eq_c1/2,0))/2))+2*IF(circ_int,0,eq_c2/2)))/(s_0+7*s_r+IF(circ_int,eq_c1/2,0))),IF(((38+0.5)*(4*IF(circ_int,0,eq_c1/2)+4*IF(circ_int,0,eq_c2/2)+2*PI()*(s_0+7*s_r+IF(circ_int,eq_c1/2,0)))/INDEX(lk_legs,8))&lt;(((((((2*IF(circ_int,0,eq_c2/2))+(PI()*(s_0+7*s_r+IF(circ_int,eq_c1/2,0))/2))+2*IF(circ_int,0,eq_c1/2))+(PI()*(s_0+7*s_r+IF(circ_int,eq_c1/2,0))/2))+2*IF(circ_int,0,eq_c2/2))+(PI()*(s_0+7*s_r+IF(circ_int,eq_c1/2,0))/2))+2*IF(circ_int,0,eq_c1/2)),-IF(circ_int,0,eq_c1/2)+(((38+0.5)*(4*IF(circ_int,0,eq_c1/2)+4*IF(circ_int,0,eq_c2/2)+2*PI()*(s_0+7*s_r+IF(circ_int,eq_c1/2,0)))/INDEX(lk_legs,8))-((((((2*IF(circ_int,0,eq_c2/2))+(PI()*(s_0+7*s_r+IF(circ_int,eq_c1/2,0))/2))+2*IF(circ_int,0,eq_c1/2))+(PI()*(s_0+7*s_r+IF(circ_int,eq_c1/2,0))/2))+2*IF(circ_int,0,eq_c2/2))+(PI()*(s_0+7*s_r+IF(circ_int,eq_c1/2,0))/2))),IF(circ_int,0,eq_c1/2)+(s_0+7*s_r+IF(circ_int,eq_c1/2,0))*COS(3*PI()/2+(((38+0.5)*(4*IF(circ_int,0,eq_c1/2)+4*IF(circ_int,0,eq_c2/2)+2*PI()*(s_0+7*s_r+IF(circ_int,eq_c1/2,0)))/INDEX(lk_legs,8))-(((((((2*IF(circ_int,0,eq_c2/2))+(PI()*(s_0+7*s_r+IF(circ_int,eq_c1/2,0))/2))+2*IF(circ_int,0,eq_c1/2))+(PI()*(s_0+7*s_r+IF(circ_int,eq_c1/2,0))/2))+2*IF(circ_int,0,eq_c2/2))+(PI()*(s_0+7*s_r+IF(circ_int,eq_c1/2,0))/2))+2*IF(circ_int,0,eq_c1/2)))/(s_0+7*s_r+IF(circ_int,eq_c1/2,0)))))))))),NA())</f>
        <v/>
      </c>
      <c r="CQ41">
        <f>IF(AND(AND(links_on,8&lt;=n_per),INDEX(lk_kind,8)=1,38&lt;INDEX(lk_legs,8)),g_oy+IF(((38+0.5)*(4*IF(circ_int,0,eq_c1/2)+4*IF(circ_int,0,eq_c2/2)+2*PI()*(s_0+7*s_r+IF(circ_int,eq_c1/2,0)))/INDEX(lk_legs,8))&lt;(2*IF(circ_int,0,eq_c2/2)),-IF(circ_int,0,eq_c2/2)+((38+0.5)*(4*IF(circ_int,0,eq_c1/2)+4*IF(circ_int,0,eq_c2/2)+2*PI()*(s_0+7*s_r+IF(circ_int,eq_c1/2,0)))/INDEX(lk_legs,8)),IF(((38+0.5)*(4*IF(circ_int,0,eq_c1/2)+4*IF(circ_int,0,eq_c2/2)+2*PI()*(s_0+7*s_r+IF(circ_int,eq_c1/2,0)))/INDEX(lk_legs,8))&lt;((2*IF(circ_int,0,eq_c2/2))+(PI()*(s_0+7*s_r+IF(circ_int,eq_c1/2,0))/2)),IF(circ_int,0,eq_c2/2)+(s_0+7*s_r+IF(circ_int,eq_c1/2,0))*SIN((((38+0.5)*(4*IF(circ_int,0,eq_c1/2)+4*IF(circ_int,0,eq_c2/2)+2*PI()*(s_0+7*s_r+IF(circ_int,eq_c1/2,0)))/INDEX(lk_legs,8))-(2*IF(circ_int,0,eq_c2/2)))/(s_0+7*s_r+IF(circ_int,eq_c1/2,0))),IF(((38+0.5)*(4*IF(circ_int,0,eq_c1/2)+4*IF(circ_int,0,eq_c2/2)+2*PI()*(s_0+7*s_r+IF(circ_int,eq_c1/2,0)))/INDEX(lk_legs,8))&lt;(((2*IF(circ_int,0,eq_c2/2))+(PI()*(s_0+7*s_r+IF(circ_int,eq_c1/2,0))/2))+2*IF(circ_int,0,eq_c1/2)),IF(circ_int,0,eq_c2/2)+(s_0+7*s_r+IF(circ_int,eq_c1/2,0)),IF(((38+0.5)*(4*IF(circ_int,0,eq_c1/2)+4*IF(circ_int,0,eq_c2/2)+2*PI()*(s_0+7*s_r+IF(circ_int,eq_c1/2,0)))/INDEX(lk_legs,8))&lt;((((2*IF(circ_int,0,eq_c2/2))+(PI()*(s_0+7*s_r+IF(circ_int,eq_c1/2,0))/2))+2*IF(circ_int,0,eq_c1/2))+(PI()*(s_0+7*s_r+IF(circ_int,eq_c1/2,0))/2)),IF(circ_int,0,eq_c2/2)+(s_0+7*s_r+IF(circ_int,eq_c1/2,0))*SIN(PI()/2+(((38+0.5)*(4*IF(circ_int,0,eq_c1/2)+4*IF(circ_int,0,eq_c2/2)+2*PI()*(s_0+7*s_r+IF(circ_int,eq_c1/2,0)))/INDEX(lk_legs,8))-(((2*IF(circ_int,0,eq_c2/2))+(PI()*(s_0+7*s_r+IF(circ_int,eq_c1/2,0))/2))+2*IF(circ_int,0,eq_c1/2)))/(s_0+7*s_r+IF(circ_int,eq_c1/2,0))),IF(((38+0.5)*(4*IF(circ_int,0,eq_c1/2)+4*IF(circ_int,0,eq_c2/2)+2*PI()*(s_0+7*s_r+IF(circ_int,eq_c1/2,0)))/INDEX(lk_legs,8))&lt;(((((2*IF(circ_int,0,eq_c2/2))+(PI()*(s_0+7*s_r+IF(circ_int,eq_c1/2,0))/2))+2*IF(circ_int,0,eq_c1/2))+(PI()*(s_0+7*s_r+IF(circ_int,eq_c1/2,0))/2))+2*IF(circ_int,0,eq_c2/2)),IF(circ_int,0,eq_c2/2)-(((38+0.5)*(4*IF(circ_int,0,eq_c1/2)+4*IF(circ_int,0,eq_c2/2)+2*PI()*(s_0+7*s_r+IF(circ_int,eq_c1/2,0)))/INDEX(lk_legs,8))-((((2*IF(circ_int,0,eq_c2/2))+(PI()*(s_0+7*s_r+IF(circ_int,eq_c1/2,0))/2))+2*IF(circ_int,0,eq_c1/2))+(PI()*(s_0+7*s_r+IF(circ_int,eq_c1/2,0))/2))),IF(((38+0.5)*(4*IF(circ_int,0,eq_c1/2)+4*IF(circ_int,0,eq_c2/2)+2*PI()*(s_0+7*s_r+IF(circ_int,eq_c1/2,0)))/INDEX(lk_legs,8))&lt;((((((2*IF(circ_int,0,eq_c2/2))+(PI()*(s_0+7*s_r+IF(circ_int,eq_c1/2,0))/2))+2*IF(circ_int,0,eq_c1/2))+(PI()*(s_0+7*s_r+IF(circ_int,eq_c1/2,0))/2))+2*IF(circ_int,0,eq_c2/2))+(PI()*(s_0+7*s_r+IF(circ_int,eq_c1/2,0))/2)),-IF(circ_int,0,eq_c2/2)+(s_0+7*s_r+IF(circ_int,eq_c1/2,0))*SIN(PI()+(((38+0.5)*(4*IF(circ_int,0,eq_c1/2)+4*IF(circ_int,0,eq_c2/2)+2*PI()*(s_0+7*s_r+IF(circ_int,eq_c1/2,0)))/INDEX(lk_legs,8))-(((((2*IF(circ_int,0,eq_c2/2))+(PI()*(s_0+7*s_r+IF(circ_int,eq_c1/2,0))/2))+2*IF(circ_int,0,eq_c1/2))+(PI()*(s_0+7*s_r+IF(circ_int,eq_c1/2,0))/2))+2*IF(circ_int,0,eq_c2/2)))/(s_0+7*s_r+IF(circ_int,eq_c1/2,0))),IF(((38+0.5)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(38+0.5)*(4*IF(circ_int,0,eq_c1/2)+4*IF(circ_int,0,eq_c2/2)+2*PI()*(s_0+7*s_r+IF(circ_int,eq_c1/2,0)))/INDEX(lk_legs,8))-(((((((2*IF(circ_int,0,eq_c2/2))+(PI()*(s_0+7*s_r+IF(circ_int,eq_c1/2,0))/2))+2*IF(circ_int,0,eq_c1/2))+(PI()*(s_0+7*s_r+IF(circ_int,eq_c1/2,0))/2))+2*IF(circ_int,0,eq_c2/2))+(PI()*(s_0+7*s_r+IF(circ_int,eq_c1/2,0))/2))+2*IF(circ_int,0,eq_c1/2)))/(s_0+7*s_r+IF(circ_int,eq_c1/2,0)))))))))),NA())</f>
        <v/>
      </c>
      <c r="CS41">
        <f>IF(AND(links_on,9&lt;=n_per),IF(circ_int,(g_ox)+(c_1/2+(s_0+8*s_r))*-0.120537,CHOOSE(INDEX(lk_kind,9),(g_ox-eq_c1/2)+((s_0+8*s_r))*-0.000000,0,eq_a1+eq_c1+(s_0+8*s_r),eq_a1+eq_c1+(s_0+8*s_r))),NA())</f>
        <v/>
      </c>
      <c r="CT41">
        <f>IF(AND(links_on,9&lt;=n_per),IF(circ_int,(g_oy)+(c_1/2+(s_0+8*s_r))*-0.992709,CHOOSE(INDEX(lk_kind,9),(g_oy-eq_c2/2)+((s_0+8*s_r))*-1.000000,g_oy-eq_c2/2-(s_0+8*s_r),0,0)),NA())</f>
        <v/>
      </c>
      <c r="CV41">
        <f>IF(AND(AND(links_on,9&lt;=n_per),INDEX(lk_kind,9)=1,38&lt;INDEX(lk_legs,9)),g_ox+IF(((38+0.5)*(4*IF(circ_int,0,eq_c1/2)+4*IF(circ_int,0,eq_c2/2)+2*PI()*(s_0+8*s_r+IF(circ_int,eq_c1/2,0)))/INDEX(lk_legs,9))&lt;(2*IF(circ_int,0,eq_c2/2)),IF(circ_int,0,eq_c1/2)+(s_0+8*s_r+IF(circ_int,eq_c1/2,0)),IF(((38+0.5)*(4*IF(circ_int,0,eq_c1/2)+4*IF(circ_int,0,eq_c2/2)+2*PI()*(s_0+8*s_r+IF(circ_int,eq_c1/2,0)))/INDEX(lk_legs,9))&lt;((2*IF(circ_int,0,eq_c2/2))+(PI()*(s_0+8*s_r+IF(circ_int,eq_c1/2,0))/2)),IF(circ_int,0,eq_c1/2)+(s_0+8*s_r+IF(circ_int,eq_c1/2,0))*COS((((38+0.5)*(4*IF(circ_int,0,eq_c1/2)+4*IF(circ_int,0,eq_c2/2)+2*PI()*(s_0+8*s_r+IF(circ_int,eq_c1/2,0)))/INDEX(lk_legs,9))-(2*IF(circ_int,0,eq_c2/2)))/(s_0+8*s_r+IF(circ_int,eq_c1/2,0))),IF(((38+0.5)*(4*IF(circ_int,0,eq_c1/2)+4*IF(circ_int,0,eq_c2/2)+2*PI()*(s_0+8*s_r+IF(circ_int,eq_c1/2,0)))/INDEX(lk_legs,9))&lt;(((2*IF(circ_int,0,eq_c2/2))+(PI()*(s_0+8*s_r+IF(circ_int,eq_c1/2,0))/2))+2*IF(circ_int,0,eq_c1/2)),IF(circ_int,0,eq_c1/2)-(((38+0.5)*(4*IF(circ_int,0,eq_c1/2)+4*IF(circ_int,0,eq_c2/2)+2*PI()*(s_0+8*s_r+IF(circ_int,eq_c1/2,0)))/INDEX(lk_legs,9))-((2*IF(circ_int,0,eq_c2/2))+(PI()*(s_0+8*s_r+IF(circ_int,eq_c1/2,0))/2))),IF(((38+0.5)*(4*IF(circ_int,0,eq_c1/2)+4*IF(circ_int,0,eq_c2/2)+2*PI()*(s_0+8*s_r+IF(circ_int,eq_c1/2,0)))/INDEX(lk_legs,9))&lt;((((2*IF(circ_int,0,eq_c2/2))+(PI()*(s_0+8*s_r+IF(circ_int,eq_c1/2,0))/2))+2*IF(circ_int,0,eq_c1/2))+(PI()*(s_0+8*s_r+IF(circ_int,eq_c1/2,0))/2)),-IF(circ_int,0,eq_c1/2)+(s_0+8*s_r+IF(circ_int,eq_c1/2,0))*COS(PI()/2+(((38+0.5)*(4*IF(circ_int,0,eq_c1/2)+4*IF(circ_int,0,eq_c2/2)+2*PI()*(s_0+8*s_r+IF(circ_int,eq_c1/2,0)))/INDEX(lk_legs,9))-(((2*IF(circ_int,0,eq_c2/2))+(PI()*(s_0+8*s_r+IF(circ_int,eq_c1/2,0))/2))+2*IF(circ_int,0,eq_c1/2)))/(s_0+8*s_r+IF(circ_int,eq_c1/2,0))),IF(((38+0.5)*(4*IF(circ_int,0,eq_c1/2)+4*IF(circ_int,0,eq_c2/2)+2*PI()*(s_0+8*s_r+IF(circ_int,eq_c1/2,0)))/INDEX(lk_legs,9))&lt;(((((2*IF(circ_int,0,eq_c2/2))+(PI()*(s_0+8*s_r+IF(circ_int,eq_c1/2,0))/2))+2*IF(circ_int,0,eq_c1/2))+(PI()*(s_0+8*s_r+IF(circ_int,eq_c1/2,0))/2))+2*IF(circ_int,0,eq_c2/2)),-IF(circ_int,0,eq_c1/2)-(s_0+8*s_r+IF(circ_int,eq_c1/2,0)),IF(((38+0.5)*(4*IF(circ_int,0,eq_c1/2)+4*IF(circ_int,0,eq_c2/2)+2*PI()*(s_0+8*s_r+IF(circ_int,eq_c1/2,0)))/INDEX(lk_legs,9))&lt;((((((2*IF(circ_int,0,eq_c2/2))+(PI()*(s_0+8*s_r+IF(circ_int,eq_c1/2,0))/2))+2*IF(circ_int,0,eq_c1/2))+(PI()*(s_0+8*s_r+IF(circ_int,eq_c1/2,0))/2))+2*IF(circ_int,0,eq_c2/2))+(PI()*(s_0+8*s_r+IF(circ_int,eq_c1/2,0))/2)),-IF(circ_int,0,eq_c1/2)+(s_0+8*s_r+IF(circ_int,eq_c1/2,0))*COS(PI()+(((38+0.5)*(4*IF(circ_int,0,eq_c1/2)+4*IF(circ_int,0,eq_c2/2)+2*PI()*(s_0+8*s_r+IF(circ_int,eq_c1/2,0)))/INDEX(lk_legs,9))-(((((2*IF(circ_int,0,eq_c2/2))+(PI()*(s_0+8*s_r+IF(circ_int,eq_c1/2,0))/2))+2*IF(circ_int,0,eq_c1/2))+(PI()*(s_0+8*s_r+IF(circ_int,eq_c1/2,0))/2))+2*IF(circ_int,0,eq_c2/2)))/(s_0+8*s_r+IF(circ_int,eq_c1/2,0))),IF(((38+0.5)*(4*IF(circ_int,0,eq_c1/2)+4*IF(circ_int,0,eq_c2/2)+2*PI()*(s_0+8*s_r+IF(circ_int,eq_c1/2,0)))/INDEX(lk_legs,9))&lt;(((((((2*IF(circ_int,0,eq_c2/2))+(PI()*(s_0+8*s_r+IF(circ_int,eq_c1/2,0))/2))+2*IF(circ_int,0,eq_c1/2))+(PI()*(s_0+8*s_r+IF(circ_int,eq_c1/2,0))/2))+2*IF(circ_int,0,eq_c2/2))+(PI()*(s_0+8*s_r+IF(circ_int,eq_c1/2,0))/2))+2*IF(circ_int,0,eq_c1/2)),-IF(circ_int,0,eq_c1/2)+(((38+0.5)*(4*IF(circ_int,0,eq_c1/2)+4*IF(circ_int,0,eq_c2/2)+2*PI()*(s_0+8*s_r+IF(circ_int,eq_c1/2,0)))/INDEX(lk_legs,9))-((((((2*IF(circ_int,0,eq_c2/2))+(PI()*(s_0+8*s_r+IF(circ_int,eq_c1/2,0))/2))+2*IF(circ_int,0,eq_c1/2))+(PI()*(s_0+8*s_r+IF(circ_int,eq_c1/2,0))/2))+2*IF(circ_int,0,eq_c2/2))+(PI()*(s_0+8*s_r+IF(circ_int,eq_c1/2,0))/2))),IF(circ_int,0,eq_c1/2)+(s_0+8*s_r+IF(circ_int,eq_c1/2,0))*COS(3*PI()/2+(((38+0.5)*(4*IF(circ_int,0,eq_c1/2)+4*IF(circ_int,0,eq_c2/2)+2*PI()*(s_0+8*s_r+IF(circ_int,eq_c1/2,0)))/INDEX(lk_legs,9))-(((((((2*IF(circ_int,0,eq_c2/2))+(PI()*(s_0+8*s_r+IF(circ_int,eq_c1/2,0))/2))+2*IF(circ_int,0,eq_c1/2))+(PI()*(s_0+8*s_r+IF(circ_int,eq_c1/2,0))/2))+2*IF(circ_int,0,eq_c2/2))+(PI()*(s_0+8*s_r+IF(circ_int,eq_c1/2,0))/2))+2*IF(circ_int,0,eq_c1/2)))/(s_0+8*s_r+IF(circ_int,eq_c1/2,0)))))))))),NA())</f>
        <v/>
      </c>
      <c r="CW41">
        <f>IF(AND(AND(links_on,9&lt;=n_per),INDEX(lk_kind,9)=1,38&lt;INDEX(lk_legs,9)),g_oy+IF(((38+0.5)*(4*IF(circ_int,0,eq_c1/2)+4*IF(circ_int,0,eq_c2/2)+2*PI()*(s_0+8*s_r+IF(circ_int,eq_c1/2,0)))/INDEX(lk_legs,9))&lt;(2*IF(circ_int,0,eq_c2/2)),-IF(circ_int,0,eq_c2/2)+((38+0.5)*(4*IF(circ_int,0,eq_c1/2)+4*IF(circ_int,0,eq_c2/2)+2*PI()*(s_0+8*s_r+IF(circ_int,eq_c1/2,0)))/INDEX(lk_legs,9)),IF(((38+0.5)*(4*IF(circ_int,0,eq_c1/2)+4*IF(circ_int,0,eq_c2/2)+2*PI()*(s_0+8*s_r+IF(circ_int,eq_c1/2,0)))/INDEX(lk_legs,9))&lt;((2*IF(circ_int,0,eq_c2/2))+(PI()*(s_0+8*s_r+IF(circ_int,eq_c1/2,0))/2)),IF(circ_int,0,eq_c2/2)+(s_0+8*s_r+IF(circ_int,eq_c1/2,0))*SIN((((38+0.5)*(4*IF(circ_int,0,eq_c1/2)+4*IF(circ_int,0,eq_c2/2)+2*PI()*(s_0+8*s_r+IF(circ_int,eq_c1/2,0)))/INDEX(lk_legs,9))-(2*IF(circ_int,0,eq_c2/2)))/(s_0+8*s_r+IF(circ_int,eq_c1/2,0))),IF(((38+0.5)*(4*IF(circ_int,0,eq_c1/2)+4*IF(circ_int,0,eq_c2/2)+2*PI()*(s_0+8*s_r+IF(circ_int,eq_c1/2,0)))/INDEX(lk_legs,9))&lt;(((2*IF(circ_int,0,eq_c2/2))+(PI()*(s_0+8*s_r+IF(circ_int,eq_c1/2,0))/2))+2*IF(circ_int,0,eq_c1/2)),IF(circ_int,0,eq_c2/2)+(s_0+8*s_r+IF(circ_int,eq_c1/2,0)),IF(((38+0.5)*(4*IF(circ_int,0,eq_c1/2)+4*IF(circ_int,0,eq_c2/2)+2*PI()*(s_0+8*s_r+IF(circ_int,eq_c1/2,0)))/INDEX(lk_legs,9))&lt;((((2*IF(circ_int,0,eq_c2/2))+(PI()*(s_0+8*s_r+IF(circ_int,eq_c1/2,0))/2))+2*IF(circ_int,0,eq_c1/2))+(PI()*(s_0+8*s_r+IF(circ_int,eq_c1/2,0))/2)),IF(circ_int,0,eq_c2/2)+(s_0+8*s_r+IF(circ_int,eq_c1/2,0))*SIN(PI()/2+(((38+0.5)*(4*IF(circ_int,0,eq_c1/2)+4*IF(circ_int,0,eq_c2/2)+2*PI()*(s_0+8*s_r+IF(circ_int,eq_c1/2,0)))/INDEX(lk_legs,9))-(((2*IF(circ_int,0,eq_c2/2))+(PI()*(s_0+8*s_r+IF(circ_int,eq_c1/2,0))/2))+2*IF(circ_int,0,eq_c1/2)))/(s_0+8*s_r+IF(circ_int,eq_c1/2,0))),IF(((38+0.5)*(4*IF(circ_int,0,eq_c1/2)+4*IF(circ_int,0,eq_c2/2)+2*PI()*(s_0+8*s_r+IF(circ_int,eq_c1/2,0)))/INDEX(lk_legs,9))&lt;(((((2*IF(circ_int,0,eq_c2/2))+(PI()*(s_0+8*s_r+IF(circ_int,eq_c1/2,0))/2))+2*IF(circ_int,0,eq_c1/2))+(PI()*(s_0+8*s_r+IF(circ_int,eq_c1/2,0))/2))+2*IF(circ_int,0,eq_c2/2)),IF(circ_int,0,eq_c2/2)-(((38+0.5)*(4*IF(circ_int,0,eq_c1/2)+4*IF(circ_int,0,eq_c2/2)+2*PI()*(s_0+8*s_r+IF(circ_int,eq_c1/2,0)))/INDEX(lk_legs,9))-((((2*IF(circ_int,0,eq_c2/2))+(PI()*(s_0+8*s_r+IF(circ_int,eq_c1/2,0))/2))+2*IF(circ_int,0,eq_c1/2))+(PI()*(s_0+8*s_r+IF(circ_int,eq_c1/2,0))/2))),IF(((38+0.5)*(4*IF(circ_int,0,eq_c1/2)+4*IF(circ_int,0,eq_c2/2)+2*PI()*(s_0+8*s_r+IF(circ_int,eq_c1/2,0)))/INDEX(lk_legs,9))&lt;((((((2*IF(circ_int,0,eq_c2/2))+(PI()*(s_0+8*s_r+IF(circ_int,eq_c1/2,0))/2))+2*IF(circ_int,0,eq_c1/2))+(PI()*(s_0+8*s_r+IF(circ_int,eq_c1/2,0))/2))+2*IF(circ_int,0,eq_c2/2))+(PI()*(s_0+8*s_r+IF(circ_int,eq_c1/2,0))/2)),-IF(circ_int,0,eq_c2/2)+(s_0+8*s_r+IF(circ_int,eq_c1/2,0))*SIN(PI()+(((38+0.5)*(4*IF(circ_int,0,eq_c1/2)+4*IF(circ_int,0,eq_c2/2)+2*PI()*(s_0+8*s_r+IF(circ_int,eq_c1/2,0)))/INDEX(lk_legs,9))-(((((2*IF(circ_int,0,eq_c2/2))+(PI()*(s_0+8*s_r+IF(circ_int,eq_c1/2,0))/2))+2*IF(circ_int,0,eq_c1/2))+(PI()*(s_0+8*s_r+IF(circ_int,eq_c1/2,0))/2))+2*IF(circ_int,0,eq_c2/2)))/(s_0+8*s_r+IF(circ_int,eq_c1/2,0))),IF(((38+0.5)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(38+0.5)*(4*IF(circ_int,0,eq_c1/2)+4*IF(circ_int,0,eq_c2/2)+2*PI()*(s_0+8*s_r+IF(circ_int,eq_c1/2,0)))/INDEX(lk_legs,9))-(((((((2*IF(circ_int,0,eq_c2/2))+(PI()*(s_0+8*s_r+IF(circ_int,eq_c1/2,0))/2))+2*IF(circ_int,0,eq_c1/2))+(PI()*(s_0+8*s_r+IF(circ_int,eq_c1/2,0))/2))+2*IF(circ_int,0,eq_c2/2))+(PI()*(s_0+8*s_r+IF(circ_int,eq_c1/2,0))/2))+2*IF(circ_int,0,eq_c1/2)))/(s_0+8*s_r+IF(circ_int,eq_c1/2,0)))))))))),NA())</f>
        <v/>
      </c>
      <c r="CY41">
        <f>IF(AND(links_on,10&lt;=n_per),IF(circ_int,(g_ox)+(c_1/2+(s_0+9*s_r))*-0.120537,CHOOSE(INDEX(lk_kind,10),(g_ox-eq_c1/2)+((s_0+9*s_r))*-0.000000,0,eq_a1+eq_c1+(s_0+9*s_r),eq_a1+eq_c1+(s_0+9*s_r))),NA())</f>
        <v/>
      </c>
      <c r="CZ41">
        <f>IF(AND(links_on,10&lt;=n_per),IF(circ_int,(g_oy)+(c_1/2+(s_0+9*s_r))*-0.992709,CHOOSE(INDEX(lk_kind,10),(g_oy-eq_c2/2)+((s_0+9*s_r))*-1.000000,g_oy-eq_c2/2-(s_0+9*s_r),0,0)),NA())</f>
        <v/>
      </c>
      <c r="DB41">
        <f>IF(AND(AND(links_on,10&lt;=n_per),INDEX(lk_kind,10)=1,38&lt;INDEX(lk_legs,10)),g_ox+IF(((38+0.5)*(4*IF(circ_int,0,eq_c1/2)+4*IF(circ_int,0,eq_c2/2)+2*PI()*(s_0+9*s_r+IF(circ_int,eq_c1/2,0)))/INDEX(lk_legs,10))&lt;(2*IF(circ_int,0,eq_c2/2)),IF(circ_int,0,eq_c1/2)+(s_0+9*s_r+IF(circ_int,eq_c1/2,0)),IF(((38+0.5)*(4*IF(circ_int,0,eq_c1/2)+4*IF(circ_int,0,eq_c2/2)+2*PI()*(s_0+9*s_r+IF(circ_int,eq_c1/2,0)))/INDEX(lk_legs,10))&lt;((2*IF(circ_int,0,eq_c2/2))+(PI()*(s_0+9*s_r+IF(circ_int,eq_c1/2,0))/2)),IF(circ_int,0,eq_c1/2)+(s_0+9*s_r+IF(circ_int,eq_c1/2,0))*COS((((38+0.5)*(4*IF(circ_int,0,eq_c1/2)+4*IF(circ_int,0,eq_c2/2)+2*PI()*(s_0+9*s_r+IF(circ_int,eq_c1/2,0)))/INDEX(lk_legs,10))-(2*IF(circ_int,0,eq_c2/2)))/(s_0+9*s_r+IF(circ_int,eq_c1/2,0))),IF(((38+0.5)*(4*IF(circ_int,0,eq_c1/2)+4*IF(circ_int,0,eq_c2/2)+2*PI()*(s_0+9*s_r+IF(circ_int,eq_c1/2,0)))/INDEX(lk_legs,10))&lt;(((2*IF(circ_int,0,eq_c2/2))+(PI()*(s_0+9*s_r+IF(circ_int,eq_c1/2,0))/2))+2*IF(circ_int,0,eq_c1/2)),IF(circ_int,0,eq_c1/2)-(((38+0.5)*(4*IF(circ_int,0,eq_c1/2)+4*IF(circ_int,0,eq_c2/2)+2*PI()*(s_0+9*s_r+IF(circ_int,eq_c1/2,0)))/INDEX(lk_legs,10))-((2*IF(circ_int,0,eq_c2/2))+(PI()*(s_0+9*s_r+IF(circ_int,eq_c1/2,0))/2))),IF(((38+0.5)*(4*IF(circ_int,0,eq_c1/2)+4*IF(circ_int,0,eq_c2/2)+2*PI()*(s_0+9*s_r+IF(circ_int,eq_c1/2,0)))/INDEX(lk_legs,10))&lt;((((2*IF(circ_int,0,eq_c2/2))+(PI()*(s_0+9*s_r+IF(circ_int,eq_c1/2,0))/2))+2*IF(circ_int,0,eq_c1/2))+(PI()*(s_0+9*s_r+IF(circ_int,eq_c1/2,0))/2)),-IF(circ_int,0,eq_c1/2)+(s_0+9*s_r+IF(circ_int,eq_c1/2,0))*COS(PI()/2+(((38+0.5)*(4*IF(circ_int,0,eq_c1/2)+4*IF(circ_int,0,eq_c2/2)+2*PI()*(s_0+9*s_r+IF(circ_int,eq_c1/2,0)))/INDEX(lk_legs,10))-(((2*IF(circ_int,0,eq_c2/2))+(PI()*(s_0+9*s_r+IF(circ_int,eq_c1/2,0))/2))+2*IF(circ_int,0,eq_c1/2)))/(s_0+9*s_r+IF(circ_int,eq_c1/2,0))),IF(((38+0.5)*(4*IF(circ_int,0,eq_c1/2)+4*IF(circ_int,0,eq_c2/2)+2*PI()*(s_0+9*s_r+IF(circ_int,eq_c1/2,0)))/INDEX(lk_legs,10))&lt;(((((2*IF(circ_int,0,eq_c2/2))+(PI()*(s_0+9*s_r+IF(circ_int,eq_c1/2,0))/2))+2*IF(circ_int,0,eq_c1/2))+(PI()*(s_0+9*s_r+IF(circ_int,eq_c1/2,0))/2))+2*IF(circ_int,0,eq_c2/2)),-IF(circ_int,0,eq_c1/2)-(s_0+9*s_r+IF(circ_int,eq_c1/2,0)),IF(((38+0.5)*(4*IF(circ_int,0,eq_c1/2)+4*IF(circ_int,0,eq_c2/2)+2*PI()*(s_0+9*s_r+IF(circ_int,eq_c1/2,0)))/INDEX(lk_legs,10))&lt;((((((2*IF(circ_int,0,eq_c2/2))+(PI()*(s_0+9*s_r+IF(circ_int,eq_c1/2,0))/2))+2*IF(circ_int,0,eq_c1/2))+(PI()*(s_0+9*s_r+IF(circ_int,eq_c1/2,0))/2))+2*IF(circ_int,0,eq_c2/2))+(PI()*(s_0+9*s_r+IF(circ_int,eq_c1/2,0))/2)),-IF(circ_int,0,eq_c1/2)+(s_0+9*s_r+IF(circ_int,eq_c1/2,0))*COS(PI()+(((38+0.5)*(4*IF(circ_int,0,eq_c1/2)+4*IF(circ_int,0,eq_c2/2)+2*PI()*(s_0+9*s_r+IF(circ_int,eq_c1/2,0)))/INDEX(lk_legs,10))-(((((2*IF(circ_int,0,eq_c2/2))+(PI()*(s_0+9*s_r+IF(circ_int,eq_c1/2,0))/2))+2*IF(circ_int,0,eq_c1/2))+(PI()*(s_0+9*s_r+IF(circ_int,eq_c1/2,0))/2))+2*IF(circ_int,0,eq_c2/2)))/(s_0+9*s_r+IF(circ_int,eq_c1/2,0))),IF(((38+0.5)*(4*IF(circ_int,0,eq_c1/2)+4*IF(circ_int,0,eq_c2/2)+2*PI()*(s_0+9*s_r+IF(circ_int,eq_c1/2,0)))/INDEX(lk_legs,10))&lt;(((((((2*IF(circ_int,0,eq_c2/2))+(PI()*(s_0+9*s_r+IF(circ_int,eq_c1/2,0))/2))+2*IF(circ_int,0,eq_c1/2))+(PI()*(s_0+9*s_r+IF(circ_int,eq_c1/2,0))/2))+2*IF(circ_int,0,eq_c2/2))+(PI()*(s_0+9*s_r+IF(circ_int,eq_c1/2,0))/2))+2*IF(circ_int,0,eq_c1/2)),-IF(circ_int,0,eq_c1/2)+(((38+0.5)*(4*IF(circ_int,0,eq_c1/2)+4*IF(circ_int,0,eq_c2/2)+2*PI()*(s_0+9*s_r+IF(circ_int,eq_c1/2,0)))/INDEX(lk_legs,10))-((((((2*IF(circ_int,0,eq_c2/2))+(PI()*(s_0+9*s_r+IF(circ_int,eq_c1/2,0))/2))+2*IF(circ_int,0,eq_c1/2))+(PI()*(s_0+9*s_r+IF(circ_int,eq_c1/2,0))/2))+2*IF(circ_int,0,eq_c2/2))+(PI()*(s_0+9*s_r+IF(circ_int,eq_c1/2,0))/2))),IF(circ_int,0,eq_c1/2)+(s_0+9*s_r+IF(circ_int,eq_c1/2,0))*COS(3*PI()/2+(((38+0.5)*(4*IF(circ_int,0,eq_c1/2)+4*IF(circ_int,0,eq_c2/2)+2*PI()*(s_0+9*s_r+IF(circ_int,eq_c1/2,0)))/INDEX(lk_legs,10))-(((((((2*IF(circ_int,0,eq_c2/2))+(PI()*(s_0+9*s_r+IF(circ_int,eq_c1/2,0))/2))+2*IF(circ_int,0,eq_c1/2))+(PI()*(s_0+9*s_r+IF(circ_int,eq_c1/2,0))/2))+2*IF(circ_int,0,eq_c2/2))+(PI()*(s_0+9*s_r+IF(circ_int,eq_c1/2,0))/2))+2*IF(circ_int,0,eq_c1/2)))/(s_0+9*s_r+IF(circ_int,eq_c1/2,0)))))))))),NA())</f>
        <v/>
      </c>
      <c r="DC41">
        <f>IF(AND(AND(links_on,10&lt;=n_per),INDEX(lk_kind,10)=1,38&lt;INDEX(lk_legs,10)),g_oy+IF(((38+0.5)*(4*IF(circ_int,0,eq_c1/2)+4*IF(circ_int,0,eq_c2/2)+2*PI()*(s_0+9*s_r+IF(circ_int,eq_c1/2,0)))/INDEX(lk_legs,10))&lt;(2*IF(circ_int,0,eq_c2/2)),-IF(circ_int,0,eq_c2/2)+((38+0.5)*(4*IF(circ_int,0,eq_c1/2)+4*IF(circ_int,0,eq_c2/2)+2*PI()*(s_0+9*s_r+IF(circ_int,eq_c1/2,0)))/INDEX(lk_legs,10)),IF(((38+0.5)*(4*IF(circ_int,0,eq_c1/2)+4*IF(circ_int,0,eq_c2/2)+2*PI()*(s_0+9*s_r+IF(circ_int,eq_c1/2,0)))/INDEX(lk_legs,10))&lt;((2*IF(circ_int,0,eq_c2/2))+(PI()*(s_0+9*s_r+IF(circ_int,eq_c1/2,0))/2)),IF(circ_int,0,eq_c2/2)+(s_0+9*s_r+IF(circ_int,eq_c1/2,0))*SIN((((38+0.5)*(4*IF(circ_int,0,eq_c1/2)+4*IF(circ_int,0,eq_c2/2)+2*PI()*(s_0+9*s_r+IF(circ_int,eq_c1/2,0)))/INDEX(lk_legs,10))-(2*IF(circ_int,0,eq_c2/2)))/(s_0+9*s_r+IF(circ_int,eq_c1/2,0))),IF(((38+0.5)*(4*IF(circ_int,0,eq_c1/2)+4*IF(circ_int,0,eq_c2/2)+2*PI()*(s_0+9*s_r+IF(circ_int,eq_c1/2,0)))/INDEX(lk_legs,10))&lt;(((2*IF(circ_int,0,eq_c2/2))+(PI()*(s_0+9*s_r+IF(circ_int,eq_c1/2,0))/2))+2*IF(circ_int,0,eq_c1/2)),IF(circ_int,0,eq_c2/2)+(s_0+9*s_r+IF(circ_int,eq_c1/2,0)),IF(((38+0.5)*(4*IF(circ_int,0,eq_c1/2)+4*IF(circ_int,0,eq_c2/2)+2*PI()*(s_0+9*s_r+IF(circ_int,eq_c1/2,0)))/INDEX(lk_legs,10))&lt;((((2*IF(circ_int,0,eq_c2/2))+(PI()*(s_0+9*s_r+IF(circ_int,eq_c1/2,0))/2))+2*IF(circ_int,0,eq_c1/2))+(PI()*(s_0+9*s_r+IF(circ_int,eq_c1/2,0))/2)),IF(circ_int,0,eq_c2/2)+(s_0+9*s_r+IF(circ_int,eq_c1/2,0))*SIN(PI()/2+(((38+0.5)*(4*IF(circ_int,0,eq_c1/2)+4*IF(circ_int,0,eq_c2/2)+2*PI()*(s_0+9*s_r+IF(circ_int,eq_c1/2,0)))/INDEX(lk_legs,10))-(((2*IF(circ_int,0,eq_c2/2))+(PI()*(s_0+9*s_r+IF(circ_int,eq_c1/2,0))/2))+2*IF(circ_int,0,eq_c1/2)))/(s_0+9*s_r+IF(circ_int,eq_c1/2,0))),IF(((38+0.5)*(4*IF(circ_int,0,eq_c1/2)+4*IF(circ_int,0,eq_c2/2)+2*PI()*(s_0+9*s_r+IF(circ_int,eq_c1/2,0)))/INDEX(lk_legs,10))&lt;(((((2*IF(circ_int,0,eq_c2/2))+(PI()*(s_0+9*s_r+IF(circ_int,eq_c1/2,0))/2))+2*IF(circ_int,0,eq_c1/2))+(PI()*(s_0+9*s_r+IF(circ_int,eq_c1/2,0))/2))+2*IF(circ_int,0,eq_c2/2)),IF(circ_int,0,eq_c2/2)-(((38+0.5)*(4*IF(circ_int,0,eq_c1/2)+4*IF(circ_int,0,eq_c2/2)+2*PI()*(s_0+9*s_r+IF(circ_int,eq_c1/2,0)))/INDEX(lk_legs,10))-((((2*IF(circ_int,0,eq_c2/2))+(PI()*(s_0+9*s_r+IF(circ_int,eq_c1/2,0))/2))+2*IF(circ_int,0,eq_c1/2))+(PI()*(s_0+9*s_r+IF(circ_int,eq_c1/2,0))/2))),IF(((38+0.5)*(4*IF(circ_int,0,eq_c1/2)+4*IF(circ_int,0,eq_c2/2)+2*PI()*(s_0+9*s_r+IF(circ_int,eq_c1/2,0)))/INDEX(lk_legs,10))&lt;((((((2*IF(circ_int,0,eq_c2/2))+(PI()*(s_0+9*s_r+IF(circ_int,eq_c1/2,0))/2))+2*IF(circ_int,0,eq_c1/2))+(PI()*(s_0+9*s_r+IF(circ_int,eq_c1/2,0))/2))+2*IF(circ_int,0,eq_c2/2))+(PI()*(s_0+9*s_r+IF(circ_int,eq_c1/2,0))/2)),-IF(circ_int,0,eq_c2/2)+(s_0+9*s_r+IF(circ_int,eq_c1/2,0))*SIN(PI()+(((38+0.5)*(4*IF(circ_int,0,eq_c1/2)+4*IF(circ_int,0,eq_c2/2)+2*PI()*(s_0+9*s_r+IF(circ_int,eq_c1/2,0)))/INDEX(lk_legs,10))-(((((2*IF(circ_int,0,eq_c2/2))+(PI()*(s_0+9*s_r+IF(circ_int,eq_c1/2,0))/2))+2*IF(circ_int,0,eq_c1/2))+(PI()*(s_0+9*s_r+IF(circ_int,eq_c1/2,0))/2))+2*IF(circ_int,0,eq_c2/2)))/(s_0+9*s_r+IF(circ_int,eq_c1/2,0))),IF(((38+0.5)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(38+0.5)*(4*IF(circ_int,0,eq_c1/2)+4*IF(circ_int,0,eq_c2/2)+2*PI()*(s_0+9*s_r+IF(circ_int,eq_c1/2,0)))/INDEX(lk_legs,10))-(((((((2*IF(circ_int,0,eq_c2/2))+(PI()*(s_0+9*s_r+IF(circ_int,eq_c1/2,0))/2))+2*IF(circ_int,0,eq_c1/2))+(PI()*(s_0+9*s_r+IF(circ_int,eq_c1/2,0))/2))+2*IF(circ_int,0,eq_c2/2))+(PI()*(s_0+9*s_r+IF(circ_int,eq_c1/2,0))/2))+2*IF(circ_int,0,eq_c1/2)))/(s_0+9*s_r+IF(circ_int,eq_c1/2,0)))))))))),NA())</f>
        <v/>
      </c>
      <c r="DE41">
        <f>IF(AND(links_on,11&lt;=n_per),IF(circ_int,(g_ox)+(c_1/2+(s_0+10*s_r))*-0.120537,CHOOSE(INDEX(lk_kind,11),(g_ox-eq_c1/2)+((s_0+10*s_r))*-0.000000,0,eq_a1+eq_c1+(s_0+10*s_r),eq_a1+eq_c1+(s_0+10*s_r))),NA())</f>
        <v/>
      </c>
      <c r="DF41">
        <f>IF(AND(links_on,11&lt;=n_per),IF(circ_int,(g_oy)+(c_1/2+(s_0+10*s_r))*-0.992709,CHOOSE(INDEX(lk_kind,11),(g_oy-eq_c2/2)+((s_0+10*s_r))*-1.000000,g_oy-eq_c2/2-(s_0+10*s_r),0,0)),NA())</f>
        <v/>
      </c>
      <c r="DH41">
        <f>IF(AND(AND(links_on,11&lt;=n_per),INDEX(lk_kind,11)=1,38&lt;INDEX(lk_legs,11)),g_ox+IF(((38+0.5)*(4*IF(circ_int,0,eq_c1/2)+4*IF(circ_int,0,eq_c2/2)+2*PI()*(s_0+10*s_r+IF(circ_int,eq_c1/2,0)))/INDEX(lk_legs,11))&lt;(2*IF(circ_int,0,eq_c2/2)),IF(circ_int,0,eq_c1/2)+(s_0+10*s_r+IF(circ_int,eq_c1/2,0)),IF(((38+0.5)*(4*IF(circ_int,0,eq_c1/2)+4*IF(circ_int,0,eq_c2/2)+2*PI()*(s_0+10*s_r+IF(circ_int,eq_c1/2,0)))/INDEX(lk_legs,11))&lt;((2*IF(circ_int,0,eq_c2/2))+(PI()*(s_0+10*s_r+IF(circ_int,eq_c1/2,0))/2)),IF(circ_int,0,eq_c1/2)+(s_0+10*s_r+IF(circ_int,eq_c1/2,0))*COS((((38+0.5)*(4*IF(circ_int,0,eq_c1/2)+4*IF(circ_int,0,eq_c2/2)+2*PI()*(s_0+10*s_r+IF(circ_int,eq_c1/2,0)))/INDEX(lk_legs,11))-(2*IF(circ_int,0,eq_c2/2)))/(s_0+10*s_r+IF(circ_int,eq_c1/2,0))),IF(((38+0.5)*(4*IF(circ_int,0,eq_c1/2)+4*IF(circ_int,0,eq_c2/2)+2*PI()*(s_0+10*s_r+IF(circ_int,eq_c1/2,0)))/INDEX(lk_legs,11))&lt;(((2*IF(circ_int,0,eq_c2/2))+(PI()*(s_0+10*s_r+IF(circ_int,eq_c1/2,0))/2))+2*IF(circ_int,0,eq_c1/2)),IF(circ_int,0,eq_c1/2)-(((38+0.5)*(4*IF(circ_int,0,eq_c1/2)+4*IF(circ_int,0,eq_c2/2)+2*PI()*(s_0+10*s_r+IF(circ_int,eq_c1/2,0)))/INDEX(lk_legs,11))-((2*IF(circ_int,0,eq_c2/2))+(PI()*(s_0+10*s_r+IF(circ_int,eq_c1/2,0))/2))),IF(((38+0.5)*(4*IF(circ_int,0,eq_c1/2)+4*IF(circ_int,0,eq_c2/2)+2*PI()*(s_0+10*s_r+IF(circ_int,eq_c1/2,0)))/INDEX(lk_legs,11))&lt;((((2*IF(circ_int,0,eq_c2/2))+(PI()*(s_0+10*s_r+IF(circ_int,eq_c1/2,0))/2))+2*IF(circ_int,0,eq_c1/2))+(PI()*(s_0+10*s_r+IF(circ_int,eq_c1/2,0))/2)),-IF(circ_int,0,eq_c1/2)+(s_0+10*s_r+IF(circ_int,eq_c1/2,0))*COS(PI()/2+(((38+0.5)*(4*IF(circ_int,0,eq_c1/2)+4*IF(circ_int,0,eq_c2/2)+2*PI()*(s_0+10*s_r+IF(circ_int,eq_c1/2,0)))/INDEX(lk_legs,11))-(((2*IF(circ_int,0,eq_c2/2))+(PI()*(s_0+10*s_r+IF(circ_int,eq_c1/2,0))/2))+2*IF(circ_int,0,eq_c1/2)))/(s_0+10*s_r+IF(circ_int,eq_c1/2,0))),IF(((38+0.5)*(4*IF(circ_int,0,eq_c1/2)+4*IF(circ_int,0,eq_c2/2)+2*PI()*(s_0+10*s_r+IF(circ_int,eq_c1/2,0)))/INDEX(lk_legs,11))&lt;(((((2*IF(circ_int,0,eq_c2/2))+(PI()*(s_0+10*s_r+IF(circ_int,eq_c1/2,0))/2))+2*IF(circ_int,0,eq_c1/2))+(PI()*(s_0+10*s_r+IF(circ_int,eq_c1/2,0))/2))+2*IF(circ_int,0,eq_c2/2)),-IF(circ_int,0,eq_c1/2)-(s_0+10*s_r+IF(circ_int,eq_c1/2,0)),IF(((38+0.5)*(4*IF(circ_int,0,eq_c1/2)+4*IF(circ_int,0,eq_c2/2)+2*PI()*(s_0+10*s_r+IF(circ_int,eq_c1/2,0)))/INDEX(lk_legs,11))&lt;((((((2*IF(circ_int,0,eq_c2/2))+(PI()*(s_0+10*s_r+IF(circ_int,eq_c1/2,0))/2))+2*IF(circ_int,0,eq_c1/2))+(PI()*(s_0+10*s_r+IF(circ_int,eq_c1/2,0))/2))+2*IF(circ_int,0,eq_c2/2))+(PI()*(s_0+10*s_r+IF(circ_int,eq_c1/2,0))/2)),-IF(circ_int,0,eq_c1/2)+(s_0+10*s_r+IF(circ_int,eq_c1/2,0))*COS(PI()+(((38+0.5)*(4*IF(circ_int,0,eq_c1/2)+4*IF(circ_int,0,eq_c2/2)+2*PI()*(s_0+10*s_r+IF(circ_int,eq_c1/2,0)))/INDEX(lk_legs,11))-(((((2*IF(circ_int,0,eq_c2/2))+(PI()*(s_0+10*s_r+IF(circ_int,eq_c1/2,0))/2))+2*IF(circ_int,0,eq_c1/2))+(PI()*(s_0+10*s_r+IF(circ_int,eq_c1/2,0))/2))+2*IF(circ_int,0,eq_c2/2)))/(s_0+10*s_r+IF(circ_int,eq_c1/2,0))),IF(((38+0.5)*(4*IF(circ_int,0,eq_c1/2)+4*IF(circ_int,0,eq_c2/2)+2*PI()*(s_0+10*s_r+IF(circ_int,eq_c1/2,0)))/INDEX(lk_legs,11))&lt;(((((((2*IF(circ_int,0,eq_c2/2))+(PI()*(s_0+10*s_r+IF(circ_int,eq_c1/2,0))/2))+2*IF(circ_int,0,eq_c1/2))+(PI()*(s_0+10*s_r+IF(circ_int,eq_c1/2,0))/2))+2*IF(circ_int,0,eq_c2/2))+(PI()*(s_0+10*s_r+IF(circ_int,eq_c1/2,0))/2))+2*IF(circ_int,0,eq_c1/2)),-IF(circ_int,0,eq_c1/2)+(((38+0.5)*(4*IF(circ_int,0,eq_c1/2)+4*IF(circ_int,0,eq_c2/2)+2*PI()*(s_0+10*s_r+IF(circ_int,eq_c1/2,0)))/INDEX(lk_legs,11))-((((((2*IF(circ_int,0,eq_c2/2))+(PI()*(s_0+10*s_r+IF(circ_int,eq_c1/2,0))/2))+2*IF(circ_int,0,eq_c1/2))+(PI()*(s_0+10*s_r+IF(circ_int,eq_c1/2,0))/2))+2*IF(circ_int,0,eq_c2/2))+(PI()*(s_0+10*s_r+IF(circ_int,eq_c1/2,0))/2))),IF(circ_int,0,eq_c1/2)+(s_0+10*s_r+IF(circ_int,eq_c1/2,0))*COS(3*PI()/2+(((38+0.5)*(4*IF(circ_int,0,eq_c1/2)+4*IF(circ_int,0,eq_c2/2)+2*PI()*(s_0+10*s_r+IF(circ_int,eq_c1/2,0)))/INDEX(lk_legs,11))-(((((((2*IF(circ_int,0,eq_c2/2))+(PI()*(s_0+10*s_r+IF(circ_int,eq_c1/2,0))/2))+2*IF(circ_int,0,eq_c1/2))+(PI()*(s_0+10*s_r+IF(circ_int,eq_c1/2,0))/2))+2*IF(circ_int,0,eq_c2/2))+(PI()*(s_0+10*s_r+IF(circ_int,eq_c1/2,0))/2))+2*IF(circ_int,0,eq_c1/2)))/(s_0+10*s_r+IF(circ_int,eq_c1/2,0)))))))))),NA())</f>
        <v/>
      </c>
      <c r="DI41">
        <f>IF(AND(AND(links_on,11&lt;=n_per),INDEX(lk_kind,11)=1,38&lt;INDEX(lk_legs,11)),g_oy+IF(((38+0.5)*(4*IF(circ_int,0,eq_c1/2)+4*IF(circ_int,0,eq_c2/2)+2*PI()*(s_0+10*s_r+IF(circ_int,eq_c1/2,0)))/INDEX(lk_legs,11))&lt;(2*IF(circ_int,0,eq_c2/2)),-IF(circ_int,0,eq_c2/2)+((38+0.5)*(4*IF(circ_int,0,eq_c1/2)+4*IF(circ_int,0,eq_c2/2)+2*PI()*(s_0+10*s_r+IF(circ_int,eq_c1/2,0)))/INDEX(lk_legs,11)),IF(((38+0.5)*(4*IF(circ_int,0,eq_c1/2)+4*IF(circ_int,0,eq_c2/2)+2*PI()*(s_0+10*s_r+IF(circ_int,eq_c1/2,0)))/INDEX(lk_legs,11))&lt;((2*IF(circ_int,0,eq_c2/2))+(PI()*(s_0+10*s_r+IF(circ_int,eq_c1/2,0))/2)),IF(circ_int,0,eq_c2/2)+(s_0+10*s_r+IF(circ_int,eq_c1/2,0))*SIN((((38+0.5)*(4*IF(circ_int,0,eq_c1/2)+4*IF(circ_int,0,eq_c2/2)+2*PI()*(s_0+10*s_r+IF(circ_int,eq_c1/2,0)))/INDEX(lk_legs,11))-(2*IF(circ_int,0,eq_c2/2)))/(s_0+10*s_r+IF(circ_int,eq_c1/2,0))),IF(((38+0.5)*(4*IF(circ_int,0,eq_c1/2)+4*IF(circ_int,0,eq_c2/2)+2*PI()*(s_0+10*s_r+IF(circ_int,eq_c1/2,0)))/INDEX(lk_legs,11))&lt;(((2*IF(circ_int,0,eq_c2/2))+(PI()*(s_0+10*s_r+IF(circ_int,eq_c1/2,0))/2))+2*IF(circ_int,0,eq_c1/2)),IF(circ_int,0,eq_c2/2)+(s_0+10*s_r+IF(circ_int,eq_c1/2,0)),IF(((38+0.5)*(4*IF(circ_int,0,eq_c1/2)+4*IF(circ_int,0,eq_c2/2)+2*PI()*(s_0+10*s_r+IF(circ_int,eq_c1/2,0)))/INDEX(lk_legs,11))&lt;((((2*IF(circ_int,0,eq_c2/2))+(PI()*(s_0+10*s_r+IF(circ_int,eq_c1/2,0))/2))+2*IF(circ_int,0,eq_c1/2))+(PI()*(s_0+10*s_r+IF(circ_int,eq_c1/2,0))/2)),IF(circ_int,0,eq_c2/2)+(s_0+10*s_r+IF(circ_int,eq_c1/2,0))*SIN(PI()/2+(((38+0.5)*(4*IF(circ_int,0,eq_c1/2)+4*IF(circ_int,0,eq_c2/2)+2*PI()*(s_0+10*s_r+IF(circ_int,eq_c1/2,0)))/INDEX(lk_legs,11))-(((2*IF(circ_int,0,eq_c2/2))+(PI()*(s_0+10*s_r+IF(circ_int,eq_c1/2,0))/2))+2*IF(circ_int,0,eq_c1/2)))/(s_0+10*s_r+IF(circ_int,eq_c1/2,0))),IF(((38+0.5)*(4*IF(circ_int,0,eq_c1/2)+4*IF(circ_int,0,eq_c2/2)+2*PI()*(s_0+10*s_r+IF(circ_int,eq_c1/2,0)))/INDEX(lk_legs,11))&lt;(((((2*IF(circ_int,0,eq_c2/2))+(PI()*(s_0+10*s_r+IF(circ_int,eq_c1/2,0))/2))+2*IF(circ_int,0,eq_c1/2))+(PI()*(s_0+10*s_r+IF(circ_int,eq_c1/2,0))/2))+2*IF(circ_int,0,eq_c2/2)),IF(circ_int,0,eq_c2/2)-(((38+0.5)*(4*IF(circ_int,0,eq_c1/2)+4*IF(circ_int,0,eq_c2/2)+2*PI()*(s_0+10*s_r+IF(circ_int,eq_c1/2,0)))/INDEX(lk_legs,11))-((((2*IF(circ_int,0,eq_c2/2))+(PI()*(s_0+10*s_r+IF(circ_int,eq_c1/2,0))/2))+2*IF(circ_int,0,eq_c1/2))+(PI()*(s_0+10*s_r+IF(circ_int,eq_c1/2,0))/2))),IF(((38+0.5)*(4*IF(circ_int,0,eq_c1/2)+4*IF(circ_int,0,eq_c2/2)+2*PI()*(s_0+10*s_r+IF(circ_int,eq_c1/2,0)))/INDEX(lk_legs,11))&lt;((((((2*IF(circ_int,0,eq_c2/2))+(PI()*(s_0+10*s_r+IF(circ_int,eq_c1/2,0))/2))+2*IF(circ_int,0,eq_c1/2))+(PI()*(s_0+10*s_r+IF(circ_int,eq_c1/2,0))/2))+2*IF(circ_int,0,eq_c2/2))+(PI()*(s_0+10*s_r+IF(circ_int,eq_c1/2,0))/2)),-IF(circ_int,0,eq_c2/2)+(s_0+10*s_r+IF(circ_int,eq_c1/2,0))*SIN(PI()+(((38+0.5)*(4*IF(circ_int,0,eq_c1/2)+4*IF(circ_int,0,eq_c2/2)+2*PI()*(s_0+10*s_r+IF(circ_int,eq_c1/2,0)))/INDEX(lk_legs,11))-(((((2*IF(circ_int,0,eq_c2/2))+(PI()*(s_0+10*s_r+IF(circ_int,eq_c1/2,0))/2))+2*IF(circ_int,0,eq_c1/2))+(PI()*(s_0+10*s_r+IF(circ_int,eq_c1/2,0))/2))+2*IF(circ_int,0,eq_c2/2)))/(s_0+10*s_r+IF(circ_int,eq_c1/2,0))),IF(((38+0.5)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(38+0.5)*(4*IF(circ_int,0,eq_c1/2)+4*IF(circ_int,0,eq_c2/2)+2*PI()*(s_0+10*s_r+IF(circ_int,eq_c1/2,0)))/INDEX(lk_legs,11))-(((((((2*IF(circ_int,0,eq_c2/2))+(PI()*(s_0+10*s_r+IF(circ_int,eq_c1/2,0))/2))+2*IF(circ_int,0,eq_c1/2))+(PI()*(s_0+10*s_r+IF(circ_int,eq_c1/2,0))/2))+2*IF(circ_int,0,eq_c2/2))+(PI()*(s_0+10*s_r+IF(circ_int,eq_c1/2,0))/2))+2*IF(circ_int,0,eq_c1/2)))/(s_0+10*s_r+IF(circ_int,eq_c1/2,0)))))))))),NA())</f>
        <v/>
      </c>
      <c r="DK41">
        <f>IF(AND(links_on,12&lt;=n_per),IF(circ_int,(g_ox)+(c_1/2+(s_0+11*s_r))*-0.120537,CHOOSE(INDEX(lk_kind,12),(g_ox-eq_c1/2)+((s_0+11*s_r))*-0.000000,0,eq_a1+eq_c1+(s_0+11*s_r),eq_a1+eq_c1+(s_0+11*s_r))),NA())</f>
        <v/>
      </c>
      <c r="DL41">
        <f>IF(AND(links_on,12&lt;=n_per),IF(circ_int,(g_oy)+(c_1/2+(s_0+11*s_r))*-0.992709,CHOOSE(INDEX(lk_kind,12),(g_oy-eq_c2/2)+((s_0+11*s_r))*-1.000000,g_oy-eq_c2/2-(s_0+11*s_r),0,0)),NA())</f>
        <v/>
      </c>
      <c r="DN41">
        <f>IF(AND(AND(links_on,12&lt;=n_per),INDEX(lk_kind,12)=1,38&lt;INDEX(lk_legs,12)),g_ox+IF(((38+0.5)*(4*IF(circ_int,0,eq_c1/2)+4*IF(circ_int,0,eq_c2/2)+2*PI()*(s_0+11*s_r+IF(circ_int,eq_c1/2,0)))/INDEX(lk_legs,12))&lt;(2*IF(circ_int,0,eq_c2/2)),IF(circ_int,0,eq_c1/2)+(s_0+11*s_r+IF(circ_int,eq_c1/2,0)),IF(((38+0.5)*(4*IF(circ_int,0,eq_c1/2)+4*IF(circ_int,0,eq_c2/2)+2*PI()*(s_0+11*s_r+IF(circ_int,eq_c1/2,0)))/INDEX(lk_legs,12))&lt;((2*IF(circ_int,0,eq_c2/2))+(PI()*(s_0+11*s_r+IF(circ_int,eq_c1/2,0))/2)),IF(circ_int,0,eq_c1/2)+(s_0+11*s_r+IF(circ_int,eq_c1/2,0))*COS((((38+0.5)*(4*IF(circ_int,0,eq_c1/2)+4*IF(circ_int,0,eq_c2/2)+2*PI()*(s_0+11*s_r+IF(circ_int,eq_c1/2,0)))/INDEX(lk_legs,12))-(2*IF(circ_int,0,eq_c2/2)))/(s_0+11*s_r+IF(circ_int,eq_c1/2,0))),IF(((38+0.5)*(4*IF(circ_int,0,eq_c1/2)+4*IF(circ_int,0,eq_c2/2)+2*PI()*(s_0+11*s_r+IF(circ_int,eq_c1/2,0)))/INDEX(lk_legs,12))&lt;(((2*IF(circ_int,0,eq_c2/2))+(PI()*(s_0+11*s_r+IF(circ_int,eq_c1/2,0))/2))+2*IF(circ_int,0,eq_c1/2)),IF(circ_int,0,eq_c1/2)-(((38+0.5)*(4*IF(circ_int,0,eq_c1/2)+4*IF(circ_int,0,eq_c2/2)+2*PI()*(s_0+11*s_r+IF(circ_int,eq_c1/2,0)))/INDEX(lk_legs,12))-((2*IF(circ_int,0,eq_c2/2))+(PI()*(s_0+11*s_r+IF(circ_int,eq_c1/2,0))/2))),IF(((38+0.5)*(4*IF(circ_int,0,eq_c1/2)+4*IF(circ_int,0,eq_c2/2)+2*PI()*(s_0+11*s_r+IF(circ_int,eq_c1/2,0)))/INDEX(lk_legs,12))&lt;((((2*IF(circ_int,0,eq_c2/2))+(PI()*(s_0+11*s_r+IF(circ_int,eq_c1/2,0))/2))+2*IF(circ_int,0,eq_c1/2))+(PI()*(s_0+11*s_r+IF(circ_int,eq_c1/2,0))/2)),-IF(circ_int,0,eq_c1/2)+(s_0+11*s_r+IF(circ_int,eq_c1/2,0))*COS(PI()/2+(((38+0.5)*(4*IF(circ_int,0,eq_c1/2)+4*IF(circ_int,0,eq_c2/2)+2*PI()*(s_0+11*s_r+IF(circ_int,eq_c1/2,0)))/INDEX(lk_legs,12))-(((2*IF(circ_int,0,eq_c2/2))+(PI()*(s_0+11*s_r+IF(circ_int,eq_c1/2,0))/2))+2*IF(circ_int,0,eq_c1/2)))/(s_0+11*s_r+IF(circ_int,eq_c1/2,0))),IF(((38+0.5)*(4*IF(circ_int,0,eq_c1/2)+4*IF(circ_int,0,eq_c2/2)+2*PI()*(s_0+11*s_r+IF(circ_int,eq_c1/2,0)))/INDEX(lk_legs,12))&lt;(((((2*IF(circ_int,0,eq_c2/2))+(PI()*(s_0+11*s_r+IF(circ_int,eq_c1/2,0))/2))+2*IF(circ_int,0,eq_c1/2))+(PI()*(s_0+11*s_r+IF(circ_int,eq_c1/2,0))/2))+2*IF(circ_int,0,eq_c2/2)),-IF(circ_int,0,eq_c1/2)-(s_0+11*s_r+IF(circ_int,eq_c1/2,0)),IF(((38+0.5)*(4*IF(circ_int,0,eq_c1/2)+4*IF(circ_int,0,eq_c2/2)+2*PI()*(s_0+11*s_r+IF(circ_int,eq_c1/2,0)))/INDEX(lk_legs,12))&lt;((((((2*IF(circ_int,0,eq_c2/2))+(PI()*(s_0+11*s_r+IF(circ_int,eq_c1/2,0))/2))+2*IF(circ_int,0,eq_c1/2))+(PI()*(s_0+11*s_r+IF(circ_int,eq_c1/2,0))/2))+2*IF(circ_int,0,eq_c2/2))+(PI()*(s_0+11*s_r+IF(circ_int,eq_c1/2,0))/2)),-IF(circ_int,0,eq_c1/2)+(s_0+11*s_r+IF(circ_int,eq_c1/2,0))*COS(PI()+(((38+0.5)*(4*IF(circ_int,0,eq_c1/2)+4*IF(circ_int,0,eq_c2/2)+2*PI()*(s_0+11*s_r+IF(circ_int,eq_c1/2,0)))/INDEX(lk_legs,12))-(((((2*IF(circ_int,0,eq_c2/2))+(PI()*(s_0+11*s_r+IF(circ_int,eq_c1/2,0))/2))+2*IF(circ_int,0,eq_c1/2))+(PI()*(s_0+11*s_r+IF(circ_int,eq_c1/2,0))/2))+2*IF(circ_int,0,eq_c2/2)))/(s_0+11*s_r+IF(circ_int,eq_c1/2,0))),IF(((38+0.5)*(4*IF(circ_int,0,eq_c1/2)+4*IF(circ_int,0,eq_c2/2)+2*PI()*(s_0+11*s_r+IF(circ_int,eq_c1/2,0)))/INDEX(lk_legs,12))&lt;(((((((2*IF(circ_int,0,eq_c2/2))+(PI()*(s_0+11*s_r+IF(circ_int,eq_c1/2,0))/2))+2*IF(circ_int,0,eq_c1/2))+(PI()*(s_0+11*s_r+IF(circ_int,eq_c1/2,0))/2))+2*IF(circ_int,0,eq_c2/2))+(PI()*(s_0+11*s_r+IF(circ_int,eq_c1/2,0))/2))+2*IF(circ_int,0,eq_c1/2)),-IF(circ_int,0,eq_c1/2)+(((38+0.5)*(4*IF(circ_int,0,eq_c1/2)+4*IF(circ_int,0,eq_c2/2)+2*PI()*(s_0+11*s_r+IF(circ_int,eq_c1/2,0)))/INDEX(lk_legs,12))-((((((2*IF(circ_int,0,eq_c2/2))+(PI()*(s_0+11*s_r+IF(circ_int,eq_c1/2,0))/2))+2*IF(circ_int,0,eq_c1/2))+(PI()*(s_0+11*s_r+IF(circ_int,eq_c1/2,0))/2))+2*IF(circ_int,0,eq_c2/2))+(PI()*(s_0+11*s_r+IF(circ_int,eq_c1/2,0))/2))),IF(circ_int,0,eq_c1/2)+(s_0+11*s_r+IF(circ_int,eq_c1/2,0))*COS(3*PI()/2+(((38+0.5)*(4*IF(circ_int,0,eq_c1/2)+4*IF(circ_int,0,eq_c2/2)+2*PI()*(s_0+11*s_r+IF(circ_int,eq_c1/2,0)))/INDEX(lk_legs,12))-(((((((2*IF(circ_int,0,eq_c2/2))+(PI()*(s_0+11*s_r+IF(circ_int,eq_c1/2,0))/2))+2*IF(circ_int,0,eq_c1/2))+(PI()*(s_0+11*s_r+IF(circ_int,eq_c1/2,0))/2))+2*IF(circ_int,0,eq_c2/2))+(PI()*(s_0+11*s_r+IF(circ_int,eq_c1/2,0))/2))+2*IF(circ_int,0,eq_c1/2)))/(s_0+11*s_r+IF(circ_int,eq_c1/2,0)))))))))),NA())</f>
        <v/>
      </c>
      <c r="DO41">
        <f>IF(AND(AND(links_on,12&lt;=n_per),INDEX(lk_kind,12)=1,38&lt;INDEX(lk_legs,12)),g_oy+IF(((38+0.5)*(4*IF(circ_int,0,eq_c1/2)+4*IF(circ_int,0,eq_c2/2)+2*PI()*(s_0+11*s_r+IF(circ_int,eq_c1/2,0)))/INDEX(lk_legs,12))&lt;(2*IF(circ_int,0,eq_c2/2)),-IF(circ_int,0,eq_c2/2)+((38+0.5)*(4*IF(circ_int,0,eq_c1/2)+4*IF(circ_int,0,eq_c2/2)+2*PI()*(s_0+11*s_r+IF(circ_int,eq_c1/2,0)))/INDEX(lk_legs,12)),IF(((38+0.5)*(4*IF(circ_int,0,eq_c1/2)+4*IF(circ_int,0,eq_c2/2)+2*PI()*(s_0+11*s_r+IF(circ_int,eq_c1/2,0)))/INDEX(lk_legs,12))&lt;((2*IF(circ_int,0,eq_c2/2))+(PI()*(s_0+11*s_r+IF(circ_int,eq_c1/2,0))/2)),IF(circ_int,0,eq_c2/2)+(s_0+11*s_r+IF(circ_int,eq_c1/2,0))*SIN((((38+0.5)*(4*IF(circ_int,0,eq_c1/2)+4*IF(circ_int,0,eq_c2/2)+2*PI()*(s_0+11*s_r+IF(circ_int,eq_c1/2,0)))/INDEX(lk_legs,12))-(2*IF(circ_int,0,eq_c2/2)))/(s_0+11*s_r+IF(circ_int,eq_c1/2,0))),IF(((38+0.5)*(4*IF(circ_int,0,eq_c1/2)+4*IF(circ_int,0,eq_c2/2)+2*PI()*(s_0+11*s_r+IF(circ_int,eq_c1/2,0)))/INDEX(lk_legs,12))&lt;(((2*IF(circ_int,0,eq_c2/2))+(PI()*(s_0+11*s_r+IF(circ_int,eq_c1/2,0))/2))+2*IF(circ_int,0,eq_c1/2)),IF(circ_int,0,eq_c2/2)+(s_0+11*s_r+IF(circ_int,eq_c1/2,0)),IF(((38+0.5)*(4*IF(circ_int,0,eq_c1/2)+4*IF(circ_int,0,eq_c2/2)+2*PI()*(s_0+11*s_r+IF(circ_int,eq_c1/2,0)))/INDEX(lk_legs,12))&lt;((((2*IF(circ_int,0,eq_c2/2))+(PI()*(s_0+11*s_r+IF(circ_int,eq_c1/2,0))/2))+2*IF(circ_int,0,eq_c1/2))+(PI()*(s_0+11*s_r+IF(circ_int,eq_c1/2,0))/2)),IF(circ_int,0,eq_c2/2)+(s_0+11*s_r+IF(circ_int,eq_c1/2,0))*SIN(PI()/2+(((38+0.5)*(4*IF(circ_int,0,eq_c1/2)+4*IF(circ_int,0,eq_c2/2)+2*PI()*(s_0+11*s_r+IF(circ_int,eq_c1/2,0)))/INDEX(lk_legs,12))-(((2*IF(circ_int,0,eq_c2/2))+(PI()*(s_0+11*s_r+IF(circ_int,eq_c1/2,0))/2))+2*IF(circ_int,0,eq_c1/2)))/(s_0+11*s_r+IF(circ_int,eq_c1/2,0))),IF(((38+0.5)*(4*IF(circ_int,0,eq_c1/2)+4*IF(circ_int,0,eq_c2/2)+2*PI()*(s_0+11*s_r+IF(circ_int,eq_c1/2,0)))/INDEX(lk_legs,12))&lt;(((((2*IF(circ_int,0,eq_c2/2))+(PI()*(s_0+11*s_r+IF(circ_int,eq_c1/2,0))/2))+2*IF(circ_int,0,eq_c1/2))+(PI()*(s_0+11*s_r+IF(circ_int,eq_c1/2,0))/2))+2*IF(circ_int,0,eq_c2/2)),IF(circ_int,0,eq_c2/2)-(((38+0.5)*(4*IF(circ_int,0,eq_c1/2)+4*IF(circ_int,0,eq_c2/2)+2*PI()*(s_0+11*s_r+IF(circ_int,eq_c1/2,0)))/INDEX(lk_legs,12))-((((2*IF(circ_int,0,eq_c2/2))+(PI()*(s_0+11*s_r+IF(circ_int,eq_c1/2,0))/2))+2*IF(circ_int,0,eq_c1/2))+(PI()*(s_0+11*s_r+IF(circ_int,eq_c1/2,0))/2))),IF(((38+0.5)*(4*IF(circ_int,0,eq_c1/2)+4*IF(circ_int,0,eq_c2/2)+2*PI()*(s_0+11*s_r+IF(circ_int,eq_c1/2,0)))/INDEX(lk_legs,12))&lt;((((((2*IF(circ_int,0,eq_c2/2))+(PI()*(s_0+11*s_r+IF(circ_int,eq_c1/2,0))/2))+2*IF(circ_int,0,eq_c1/2))+(PI()*(s_0+11*s_r+IF(circ_int,eq_c1/2,0))/2))+2*IF(circ_int,0,eq_c2/2))+(PI()*(s_0+11*s_r+IF(circ_int,eq_c1/2,0))/2)),-IF(circ_int,0,eq_c2/2)+(s_0+11*s_r+IF(circ_int,eq_c1/2,0))*SIN(PI()+(((38+0.5)*(4*IF(circ_int,0,eq_c1/2)+4*IF(circ_int,0,eq_c2/2)+2*PI()*(s_0+11*s_r+IF(circ_int,eq_c1/2,0)))/INDEX(lk_legs,12))-(((((2*IF(circ_int,0,eq_c2/2))+(PI()*(s_0+11*s_r+IF(circ_int,eq_c1/2,0))/2))+2*IF(circ_int,0,eq_c1/2))+(PI()*(s_0+11*s_r+IF(circ_int,eq_c1/2,0))/2))+2*IF(circ_int,0,eq_c2/2)))/(s_0+11*s_r+IF(circ_int,eq_c1/2,0))),IF(((38+0.5)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(38+0.5)*(4*IF(circ_int,0,eq_c1/2)+4*IF(circ_int,0,eq_c2/2)+2*PI()*(s_0+11*s_r+IF(circ_int,eq_c1/2,0)))/INDEX(lk_legs,12))-(((((((2*IF(circ_int,0,eq_c2/2))+(PI()*(s_0+11*s_r+IF(circ_int,eq_c1/2,0))/2))+2*IF(circ_int,0,eq_c1/2))+(PI()*(s_0+11*s_r+IF(circ_int,eq_c1/2,0))/2))+2*IF(circ_int,0,eq_c2/2))+(PI()*(s_0+11*s_r+IF(circ_int,eq_c1/2,0))/2))+2*IF(circ_int,0,eq_c1/2)))/(s_0+11*s_r+IF(circ_int,eq_c1/2,0)))))))))),NA())</f>
        <v/>
      </c>
    </row>
    <row r="42">
      <c r="A42">
        <f>IF(shape="Circular",(g_ox)+(c_1/2+0)*-0.000000,CHOOSE(1,(g_ox+eq_c1/2)+(0)*-0.000000,0,eq_a1+eq_c1+0,eq_a1+eq_c1+0))</f>
        <v/>
      </c>
      <c r="B42">
        <f>IF(shape="Circular",(g_oy)+(c_1/2+0)*-1.000000,CHOOSE(1,(g_oy-eq_c2/2)+(0)*-1.000000,g_oy-eq_c2/2-0,0,0))</f>
        <v/>
      </c>
      <c r="D42">
        <f>IF(circ_int,(g_ox)+(c_1/2+2*d_eff)*-0.000000,CHOOSE(geo_idx,(g_ox+eq_c1/2)+(2*d_eff)*-0.000000,0,eq_a1+eq_c1+2*d_eff,eq_a1+eq_c1+2*d_eff))</f>
        <v/>
      </c>
      <c r="E42">
        <f>IF(circ_int,(g_oy)+(c_1/2+2*d_eff)*-1.000000,CHOOSE(geo_idx,(g_oy-eq_c2/2)+(2*d_eff)*-1.000000,g_oy-eq_c2/2-2*d_eff,0,0))</f>
        <v/>
      </c>
      <c r="G42">
        <f>IF(AND(inputs_ok,punch_ok,A_sw&gt;0),IF(circ_int,(g_ox)+(c_1/2+r_out)*-0.000000,CHOOSE(kind_out,(g_ox+eq_c1/2)+(r_out)*-0.000000,0,eq_a1+eq_c1+r_out,eq_a1+eq_c1+r_out)),NA())</f>
        <v/>
      </c>
      <c r="H42">
        <f>IF(AND(inputs_ok,punch_ok,A_sw&gt;0),IF(circ_int,(g_oy)+(c_1/2+r_out)*-1.000000,CHOOSE(kind_out,(g_oy-eq_c2/2)+(r_out)*-1.000000,g_oy-eq_c2/2-r_out,0,0)),NA())</f>
        <v/>
      </c>
      <c r="AW42">
        <f>IF(AND(links_on,1&lt;=n_per),IF(circ_int,(g_ox)+(c_1/2+(s_0+0*s_r))*-0.000000,CHOOSE(INDEX(lk_kind,1),(g_ox+eq_c1/2)+((s_0+0*s_r))*-0.000000,0,eq_a1+eq_c1+(s_0+0*s_r),eq_a1+eq_c1+(s_0+0*s_r))),NA())</f>
        <v/>
      </c>
      <c r="AX42">
        <f>IF(AND(links_on,1&lt;=n_per),IF(circ_int,(g_oy)+(c_1/2+(s_0+0*s_r))*-1.000000,CHOOSE(INDEX(lk_kind,1),(g_oy-eq_c2/2)+((s_0+0*s_r))*-1.000000,g_oy-eq_c2/2-(s_0+0*s_r),0,0)),NA())</f>
        <v/>
      </c>
      <c r="AZ42">
        <f>IF(AND(AND(links_on,1&lt;=n_per),INDEX(lk_kind,1)=1,39&lt;INDEX(lk_legs,1)),g_ox+IF(((39+0.5)*(4*IF(circ_int,0,eq_c1/2)+4*IF(circ_int,0,eq_c2/2)+2*PI()*(s_0+0*s_r+IF(circ_int,eq_c1/2,0)))/INDEX(lk_legs,1))&lt;(2*IF(circ_int,0,eq_c2/2)),IF(circ_int,0,eq_c1/2)+(s_0+0*s_r+IF(circ_int,eq_c1/2,0)),IF(((39+0.5)*(4*IF(circ_int,0,eq_c1/2)+4*IF(circ_int,0,eq_c2/2)+2*PI()*(s_0+0*s_r+IF(circ_int,eq_c1/2,0)))/INDEX(lk_legs,1))&lt;((2*IF(circ_int,0,eq_c2/2))+(PI()*(s_0+0*s_r+IF(circ_int,eq_c1/2,0))/2)),IF(circ_int,0,eq_c1/2)+(s_0+0*s_r+IF(circ_int,eq_c1/2,0))*COS((((39+0.5)*(4*IF(circ_int,0,eq_c1/2)+4*IF(circ_int,0,eq_c2/2)+2*PI()*(s_0+0*s_r+IF(circ_int,eq_c1/2,0)))/INDEX(lk_legs,1))-(2*IF(circ_int,0,eq_c2/2)))/(s_0+0*s_r+IF(circ_int,eq_c1/2,0))),IF(((39+0.5)*(4*IF(circ_int,0,eq_c1/2)+4*IF(circ_int,0,eq_c2/2)+2*PI()*(s_0+0*s_r+IF(circ_int,eq_c1/2,0)))/INDEX(lk_legs,1))&lt;(((2*IF(circ_int,0,eq_c2/2))+(PI()*(s_0+0*s_r+IF(circ_int,eq_c1/2,0))/2))+2*IF(circ_int,0,eq_c1/2)),IF(circ_int,0,eq_c1/2)-(((39+0.5)*(4*IF(circ_int,0,eq_c1/2)+4*IF(circ_int,0,eq_c2/2)+2*PI()*(s_0+0*s_r+IF(circ_int,eq_c1/2,0)))/INDEX(lk_legs,1))-((2*IF(circ_int,0,eq_c2/2))+(PI()*(s_0+0*s_r+IF(circ_int,eq_c1/2,0))/2))),IF(((39+0.5)*(4*IF(circ_int,0,eq_c1/2)+4*IF(circ_int,0,eq_c2/2)+2*PI()*(s_0+0*s_r+IF(circ_int,eq_c1/2,0)))/INDEX(lk_legs,1))&lt;((((2*IF(circ_int,0,eq_c2/2))+(PI()*(s_0+0*s_r+IF(circ_int,eq_c1/2,0))/2))+2*IF(circ_int,0,eq_c1/2))+(PI()*(s_0+0*s_r+IF(circ_int,eq_c1/2,0))/2)),-IF(circ_int,0,eq_c1/2)+(s_0+0*s_r+IF(circ_int,eq_c1/2,0))*COS(PI()/2+(((39+0.5)*(4*IF(circ_int,0,eq_c1/2)+4*IF(circ_int,0,eq_c2/2)+2*PI()*(s_0+0*s_r+IF(circ_int,eq_c1/2,0)))/INDEX(lk_legs,1))-(((2*IF(circ_int,0,eq_c2/2))+(PI()*(s_0+0*s_r+IF(circ_int,eq_c1/2,0))/2))+2*IF(circ_int,0,eq_c1/2)))/(s_0+0*s_r+IF(circ_int,eq_c1/2,0))),IF(((39+0.5)*(4*IF(circ_int,0,eq_c1/2)+4*IF(circ_int,0,eq_c2/2)+2*PI()*(s_0+0*s_r+IF(circ_int,eq_c1/2,0)))/INDEX(lk_legs,1))&lt;(((((2*IF(circ_int,0,eq_c2/2))+(PI()*(s_0+0*s_r+IF(circ_int,eq_c1/2,0))/2))+2*IF(circ_int,0,eq_c1/2))+(PI()*(s_0+0*s_r+IF(circ_int,eq_c1/2,0))/2))+2*IF(circ_int,0,eq_c2/2)),-IF(circ_int,0,eq_c1/2)-(s_0+0*s_r+IF(circ_int,eq_c1/2,0)),IF(((39+0.5)*(4*IF(circ_int,0,eq_c1/2)+4*IF(circ_int,0,eq_c2/2)+2*PI()*(s_0+0*s_r+IF(circ_int,eq_c1/2,0)))/INDEX(lk_legs,1))&lt;((((((2*IF(circ_int,0,eq_c2/2))+(PI()*(s_0+0*s_r+IF(circ_int,eq_c1/2,0))/2))+2*IF(circ_int,0,eq_c1/2))+(PI()*(s_0+0*s_r+IF(circ_int,eq_c1/2,0))/2))+2*IF(circ_int,0,eq_c2/2))+(PI()*(s_0+0*s_r+IF(circ_int,eq_c1/2,0))/2)),-IF(circ_int,0,eq_c1/2)+(s_0+0*s_r+IF(circ_int,eq_c1/2,0))*COS(PI()+(((39+0.5)*(4*IF(circ_int,0,eq_c1/2)+4*IF(circ_int,0,eq_c2/2)+2*PI()*(s_0+0*s_r+IF(circ_int,eq_c1/2,0)))/INDEX(lk_legs,1))-(((((2*IF(circ_int,0,eq_c2/2))+(PI()*(s_0+0*s_r+IF(circ_int,eq_c1/2,0))/2))+2*IF(circ_int,0,eq_c1/2))+(PI()*(s_0+0*s_r+IF(circ_int,eq_c1/2,0))/2))+2*IF(circ_int,0,eq_c2/2)))/(s_0+0*s_r+IF(circ_int,eq_c1/2,0))),IF(((39+0.5)*(4*IF(circ_int,0,eq_c1/2)+4*IF(circ_int,0,eq_c2/2)+2*PI()*(s_0+0*s_r+IF(circ_int,eq_c1/2,0)))/INDEX(lk_legs,1))&lt;(((((((2*IF(circ_int,0,eq_c2/2))+(PI()*(s_0+0*s_r+IF(circ_int,eq_c1/2,0))/2))+2*IF(circ_int,0,eq_c1/2))+(PI()*(s_0+0*s_r+IF(circ_int,eq_c1/2,0))/2))+2*IF(circ_int,0,eq_c2/2))+(PI()*(s_0+0*s_r+IF(circ_int,eq_c1/2,0))/2))+2*IF(circ_int,0,eq_c1/2)),-IF(circ_int,0,eq_c1/2)+(((39+0.5)*(4*IF(circ_int,0,eq_c1/2)+4*IF(circ_int,0,eq_c2/2)+2*PI()*(s_0+0*s_r+IF(circ_int,eq_c1/2,0)))/INDEX(lk_legs,1))-((((((2*IF(circ_int,0,eq_c2/2))+(PI()*(s_0+0*s_r+IF(circ_int,eq_c1/2,0))/2))+2*IF(circ_int,0,eq_c1/2))+(PI()*(s_0+0*s_r+IF(circ_int,eq_c1/2,0))/2))+2*IF(circ_int,0,eq_c2/2))+(PI()*(s_0+0*s_r+IF(circ_int,eq_c1/2,0))/2))),IF(circ_int,0,eq_c1/2)+(s_0+0*s_r+IF(circ_int,eq_c1/2,0))*COS(3*PI()/2+(((39+0.5)*(4*IF(circ_int,0,eq_c1/2)+4*IF(circ_int,0,eq_c2/2)+2*PI()*(s_0+0*s_r+IF(circ_int,eq_c1/2,0)))/INDEX(lk_legs,1))-(((((((2*IF(circ_int,0,eq_c2/2))+(PI()*(s_0+0*s_r+IF(circ_int,eq_c1/2,0))/2))+2*IF(circ_int,0,eq_c1/2))+(PI()*(s_0+0*s_r+IF(circ_int,eq_c1/2,0))/2))+2*IF(circ_int,0,eq_c2/2))+(PI()*(s_0+0*s_r+IF(circ_int,eq_c1/2,0))/2))+2*IF(circ_int,0,eq_c1/2)))/(s_0+0*s_r+IF(circ_int,eq_c1/2,0)))))))))),NA())</f>
        <v/>
      </c>
      <c r="BA42">
        <f>IF(AND(AND(links_on,1&lt;=n_per),INDEX(lk_kind,1)=1,39&lt;INDEX(lk_legs,1)),g_oy+IF(((39+0.5)*(4*IF(circ_int,0,eq_c1/2)+4*IF(circ_int,0,eq_c2/2)+2*PI()*(s_0+0*s_r+IF(circ_int,eq_c1/2,0)))/INDEX(lk_legs,1))&lt;(2*IF(circ_int,0,eq_c2/2)),-IF(circ_int,0,eq_c2/2)+((39+0.5)*(4*IF(circ_int,0,eq_c1/2)+4*IF(circ_int,0,eq_c2/2)+2*PI()*(s_0+0*s_r+IF(circ_int,eq_c1/2,0)))/INDEX(lk_legs,1)),IF(((39+0.5)*(4*IF(circ_int,0,eq_c1/2)+4*IF(circ_int,0,eq_c2/2)+2*PI()*(s_0+0*s_r+IF(circ_int,eq_c1/2,0)))/INDEX(lk_legs,1))&lt;((2*IF(circ_int,0,eq_c2/2))+(PI()*(s_0+0*s_r+IF(circ_int,eq_c1/2,0))/2)),IF(circ_int,0,eq_c2/2)+(s_0+0*s_r+IF(circ_int,eq_c1/2,0))*SIN((((39+0.5)*(4*IF(circ_int,0,eq_c1/2)+4*IF(circ_int,0,eq_c2/2)+2*PI()*(s_0+0*s_r+IF(circ_int,eq_c1/2,0)))/INDEX(lk_legs,1))-(2*IF(circ_int,0,eq_c2/2)))/(s_0+0*s_r+IF(circ_int,eq_c1/2,0))),IF(((39+0.5)*(4*IF(circ_int,0,eq_c1/2)+4*IF(circ_int,0,eq_c2/2)+2*PI()*(s_0+0*s_r+IF(circ_int,eq_c1/2,0)))/INDEX(lk_legs,1))&lt;(((2*IF(circ_int,0,eq_c2/2))+(PI()*(s_0+0*s_r+IF(circ_int,eq_c1/2,0))/2))+2*IF(circ_int,0,eq_c1/2)),IF(circ_int,0,eq_c2/2)+(s_0+0*s_r+IF(circ_int,eq_c1/2,0)),IF(((39+0.5)*(4*IF(circ_int,0,eq_c1/2)+4*IF(circ_int,0,eq_c2/2)+2*PI()*(s_0+0*s_r+IF(circ_int,eq_c1/2,0)))/INDEX(lk_legs,1))&lt;((((2*IF(circ_int,0,eq_c2/2))+(PI()*(s_0+0*s_r+IF(circ_int,eq_c1/2,0))/2))+2*IF(circ_int,0,eq_c1/2))+(PI()*(s_0+0*s_r+IF(circ_int,eq_c1/2,0))/2)),IF(circ_int,0,eq_c2/2)+(s_0+0*s_r+IF(circ_int,eq_c1/2,0))*SIN(PI()/2+(((39+0.5)*(4*IF(circ_int,0,eq_c1/2)+4*IF(circ_int,0,eq_c2/2)+2*PI()*(s_0+0*s_r+IF(circ_int,eq_c1/2,0)))/INDEX(lk_legs,1))-(((2*IF(circ_int,0,eq_c2/2))+(PI()*(s_0+0*s_r+IF(circ_int,eq_c1/2,0))/2))+2*IF(circ_int,0,eq_c1/2)))/(s_0+0*s_r+IF(circ_int,eq_c1/2,0))),IF(((39+0.5)*(4*IF(circ_int,0,eq_c1/2)+4*IF(circ_int,0,eq_c2/2)+2*PI()*(s_0+0*s_r+IF(circ_int,eq_c1/2,0)))/INDEX(lk_legs,1))&lt;(((((2*IF(circ_int,0,eq_c2/2))+(PI()*(s_0+0*s_r+IF(circ_int,eq_c1/2,0))/2))+2*IF(circ_int,0,eq_c1/2))+(PI()*(s_0+0*s_r+IF(circ_int,eq_c1/2,0))/2))+2*IF(circ_int,0,eq_c2/2)),IF(circ_int,0,eq_c2/2)-(((39+0.5)*(4*IF(circ_int,0,eq_c1/2)+4*IF(circ_int,0,eq_c2/2)+2*PI()*(s_0+0*s_r+IF(circ_int,eq_c1/2,0)))/INDEX(lk_legs,1))-((((2*IF(circ_int,0,eq_c2/2))+(PI()*(s_0+0*s_r+IF(circ_int,eq_c1/2,0))/2))+2*IF(circ_int,0,eq_c1/2))+(PI()*(s_0+0*s_r+IF(circ_int,eq_c1/2,0))/2))),IF(((39+0.5)*(4*IF(circ_int,0,eq_c1/2)+4*IF(circ_int,0,eq_c2/2)+2*PI()*(s_0+0*s_r+IF(circ_int,eq_c1/2,0)))/INDEX(lk_legs,1))&lt;((((((2*IF(circ_int,0,eq_c2/2))+(PI()*(s_0+0*s_r+IF(circ_int,eq_c1/2,0))/2))+2*IF(circ_int,0,eq_c1/2))+(PI()*(s_0+0*s_r+IF(circ_int,eq_c1/2,0))/2))+2*IF(circ_int,0,eq_c2/2))+(PI()*(s_0+0*s_r+IF(circ_int,eq_c1/2,0))/2)),-IF(circ_int,0,eq_c2/2)+(s_0+0*s_r+IF(circ_int,eq_c1/2,0))*SIN(PI()+(((39+0.5)*(4*IF(circ_int,0,eq_c1/2)+4*IF(circ_int,0,eq_c2/2)+2*PI()*(s_0+0*s_r+IF(circ_int,eq_c1/2,0)))/INDEX(lk_legs,1))-(((((2*IF(circ_int,0,eq_c2/2))+(PI()*(s_0+0*s_r+IF(circ_int,eq_c1/2,0))/2))+2*IF(circ_int,0,eq_c1/2))+(PI()*(s_0+0*s_r+IF(circ_int,eq_c1/2,0))/2))+2*IF(circ_int,0,eq_c2/2)))/(s_0+0*s_r+IF(circ_int,eq_c1/2,0))),IF(((39+0.5)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(39+0.5)*(4*IF(circ_int,0,eq_c1/2)+4*IF(circ_int,0,eq_c2/2)+2*PI()*(s_0+0*s_r+IF(circ_int,eq_c1/2,0)))/INDEX(lk_legs,1))-(((((((2*IF(circ_int,0,eq_c2/2))+(PI()*(s_0+0*s_r+IF(circ_int,eq_c1/2,0))/2))+2*IF(circ_int,0,eq_c1/2))+(PI()*(s_0+0*s_r+IF(circ_int,eq_c1/2,0))/2))+2*IF(circ_int,0,eq_c2/2))+(PI()*(s_0+0*s_r+IF(circ_int,eq_c1/2,0))/2))+2*IF(circ_int,0,eq_c1/2)))/(s_0+0*s_r+IF(circ_int,eq_c1/2,0)))))))))),NA())</f>
        <v/>
      </c>
      <c r="BC42">
        <f>IF(AND(links_on,2&lt;=n_per),IF(circ_int,(g_ox)+(c_1/2+(s_0+1*s_r))*-0.000000,CHOOSE(INDEX(lk_kind,2),(g_ox+eq_c1/2)+((s_0+1*s_r))*-0.000000,0,eq_a1+eq_c1+(s_0+1*s_r),eq_a1+eq_c1+(s_0+1*s_r))),NA())</f>
        <v/>
      </c>
      <c r="BD42">
        <f>IF(AND(links_on,2&lt;=n_per),IF(circ_int,(g_oy)+(c_1/2+(s_0+1*s_r))*-1.000000,CHOOSE(INDEX(lk_kind,2),(g_oy-eq_c2/2)+((s_0+1*s_r))*-1.000000,g_oy-eq_c2/2-(s_0+1*s_r),0,0)),NA())</f>
        <v/>
      </c>
      <c r="BF42">
        <f>IF(AND(AND(links_on,2&lt;=n_per),INDEX(lk_kind,2)=1,39&lt;INDEX(lk_legs,2)),g_ox+IF(((39+0.5)*(4*IF(circ_int,0,eq_c1/2)+4*IF(circ_int,0,eq_c2/2)+2*PI()*(s_0+1*s_r+IF(circ_int,eq_c1/2,0)))/INDEX(lk_legs,2))&lt;(2*IF(circ_int,0,eq_c2/2)),IF(circ_int,0,eq_c1/2)+(s_0+1*s_r+IF(circ_int,eq_c1/2,0)),IF(((39+0.5)*(4*IF(circ_int,0,eq_c1/2)+4*IF(circ_int,0,eq_c2/2)+2*PI()*(s_0+1*s_r+IF(circ_int,eq_c1/2,0)))/INDEX(lk_legs,2))&lt;((2*IF(circ_int,0,eq_c2/2))+(PI()*(s_0+1*s_r+IF(circ_int,eq_c1/2,0))/2)),IF(circ_int,0,eq_c1/2)+(s_0+1*s_r+IF(circ_int,eq_c1/2,0))*COS((((39+0.5)*(4*IF(circ_int,0,eq_c1/2)+4*IF(circ_int,0,eq_c2/2)+2*PI()*(s_0+1*s_r+IF(circ_int,eq_c1/2,0)))/INDEX(lk_legs,2))-(2*IF(circ_int,0,eq_c2/2)))/(s_0+1*s_r+IF(circ_int,eq_c1/2,0))),IF(((39+0.5)*(4*IF(circ_int,0,eq_c1/2)+4*IF(circ_int,0,eq_c2/2)+2*PI()*(s_0+1*s_r+IF(circ_int,eq_c1/2,0)))/INDEX(lk_legs,2))&lt;(((2*IF(circ_int,0,eq_c2/2))+(PI()*(s_0+1*s_r+IF(circ_int,eq_c1/2,0))/2))+2*IF(circ_int,0,eq_c1/2)),IF(circ_int,0,eq_c1/2)-(((39+0.5)*(4*IF(circ_int,0,eq_c1/2)+4*IF(circ_int,0,eq_c2/2)+2*PI()*(s_0+1*s_r+IF(circ_int,eq_c1/2,0)))/INDEX(lk_legs,2))-((2*IF(circ_int,0,eq_c2/2))+(PI()*(s_0+1*s_r+IF(circ_int,eq_c1/2,0))/2))),IF(((39+0.5)*(4*IF(circ_int,0,eq_c1/2)+4*IF(circ_int,0,eq_c2/2)+2*PI()*(s_0+1*s_r+IF(circ_int,eq_c1/2,0)))/INDEX(lk_legs,2))&lt;((((2*IF(circ_int,0,eq_c2/2))+(PI()*(s_0+1*s_r+IF(circ_int,eq_c1/2,0))/2))+2*IF(circ_int,0,eq_c1/2))+(PI()*(s_0+1*s_r+IF(circ_int,eq_c1/2,0))/2)),-IF(circ_int,0,eq_c1/2)+(s_0+1*s_r+IF(circ_int,eq_c1/2,0))*COS(PI()/2+(((39+0.5)*(4*IF(circ_int,0,eq_c1/2)+4*IF(circ_int,0,eq_c2/2)+2*PI()*(s_0+1*s_r+IF(circ_int,eq_c1/2,0)))/INDEX(lk_legs,2))-(((2*IF(circ_int,0,eq_c2/2))+(PI()*(s_0+1*s_r+IF(circ_int,eq_c1/2,0))/2))+2*IF(circ_int,0,eq_c1/2)))/(s_0+1*s_r+IF(circ_int,eq_c1/2,0))),IF(((39+0.5)*(4*IF(circ_int,0,eq_c1/2)+4*IF(circ_int,0,eq_c2/2)+2*PI()*(s_0+1*s_r+IF(circ_int,eq_c1/2,0)))/INDEX(lk_legs,2))&lt;(((((2*IF(circ_int,0,eq_c2/2))+(PI()*(s_0+1*s_r+IF(circ_int,eq_c1/2,0))/2))+2*IF(circ_int,0,eq_c1/2))+(PI()*(s_0+1*s_r+IF(circ_int,eq_c1/2,0))/2))+2*IF(circ_int,0,eq_c2/2)),-IF(circ_int,0,eq_c1/2)-(s_0+1*s_r+IF(circ_int,eq_c1/2,0)),IF(((39+0.5)*(4*IF(circ_int,0,eq_c1/2)+4*IF(circ_int,0,eq_c2/2)+2*PI()*(s_0+1*s_r+IF(circ_int,eq_c1/2,0)))/INDEX(lk_legs,2))&lt;((((((2*IF(circ_int,0,eq_c2/2))+(PI()*(s_0+1*s_r+IF(circ_int,eq_c1/2,0))/2))+2*IF(circ_int,0,eq_c1/2))+(PI()*(s_0+1*s_r+IF(circ_int,eq_c1/2,0))/2))+2*IF(circ_int,0,eq_c2/2))+(PI()*(s_0+1*s_r+IF(circ_int,eq_c1/2,0))/2)),-IF(circ_int,0,eq_c1/2)+(s_0+1*s_r+IF(circ_int,eq_c1/2,0))*COS(PI()+(((39+0.5)*(4*IF(circ_int,0,eq_c1/2)+4*IF(circ_int,0,eq_c2/2)+2*PI()*(s_0+1*s_r+IF(circ_int,eq_c1/2,0)))/INDEX(lk_legs,2))-(((((2*IF(circ_int,0,eq_c2/2))+(PI()*(s_0+1*s_r+IF(circ_int,eq_c1/2,0))/2))+2*IF(circ_int,0,eq_c1/2))+(PI()*(s_0+1*s_r+IF(circ_int,eq_c1/2,0))/2))+2*IF(circ_int,0,eq_c2/2)))/(s_0+1*s_r+IF(circ_int,eq_c1/2,0))),IF(((39+0.5)*(4*IF(circ_int,0,eq_c1/2)+4*IF(circ_int,0,eq_c2/2)+2*PI()*(s_0+1*s_r+IF(circ_int,eq_c1/2,0)))/INDEX(lk_legs,2))&lt;(((((((2*IF(circ_int,0,eq_c2/2))+(PI()*(s_0+1*s_r+IF(circ_int,eq_c1/2,0))/2))+2*IF(circ_int,0,eq_c1/2))+(PI()*(s_0+1*s_r+IF(circ_int,eq_c1/2,0))/2))+2*IF(circ_int,0,eq_c2/2))+(PI()*(s_0+1*s_r+IF(circ_int,eq_c1/2,0))/2))+2*IF(circ_int,0,eq_c1/2)),-IF(circ_int,0,eq_c1/2)+(((39+0.5)*(4*IF(circ_int,0,eq_c1/2)+4*IF(circ_int,0,eq_c2/2)+2*PI()*(s_0+1*s_r+IF(circ_int,eq_c1/2,0)))/INDEX(lk_legs,2))-((((((2*IF(circ_int,0,eq_c2/2))+(PI()*(s_0+1*s_r+IF(circ_int,eq_c1/2,0))/2))+2*IF(circ_int,0,eq_c1/2))+(PI()*(s_0+1*s_r+IF(circ_int,eq_c1/2,0))/2))+2*IF(circ_int,0,eq_c2/2))+(PI()*(s_0+1*s_r+IF(circ_int,eq_c1/2,0))/2))),IF(circ_int,0,eq_c1/2)+(s_0+1*s_r+IF(circ_int,eq_c1/2,0))*COS(3*PI()/2+(((39+0.5)*(4*IF(circ_int,0,eq_c1/2)+4*IF(circ_int,0,eq_c2/2)+2*PI()*(s_0+1*s_r+IF(circ_int,eq_c1/2,0)))/INDEX(lk_legs,2))-(((((((2*IF(circ_int,0,eq_c2/2))+(PI()*(s_0+1*s_r+IF(circ_int,eq_c1/2,0))/2))+2*IF(circ_int,0,eq_c1/2))+(PI()*(s_0+1*s_r+IF(circ_int,eq_c1/2,0))/2))+2*IF(circ_int,0,eq_c2/2))+(PI()*(s_0+1*s_r+IF(circ_int,eq_c1/2,0))/2))+2*IF(circ_int,0,eq_c1/2)))/(s_0+1*s_r+IF(circ_int,eq_c1/2,0)))))))))),NA())</f>
        <v/>
      </c>
      <c r="BG42">
        <f>IF(AND(AND(links_on,2&lt;=n_per),INDEX(lk_kind,2)=1,39&lt;INDEX(lk_legs,2)),g_oy+IF(((39+0.5)*(4*IF(circ_int,0,eq_c1/2)+4*IF(circ_int,0,eq_c2/2)+2*PI()*(s_0+1*s_r+IF(circ_int,eq_c1/2,0)))/INDEX(lk_legs,2))&lt;(2*IF(circ_int,0,eq_c2/2)),-IF(circ_int,0,eq_c2/2)+((39+0.5)*(4*IF(circ_int,0,eq_c1/2)+4*IF(circ_int,0,eq_c2/2)+2*PI()*(s_0+1*s_r+IF(circ_int,eq_c1/2,0)))/INDEX(lk_legs,2)),IF(((39+0.5)*(4*IF(circ_int,0,eq_c1/2)+4*IF(circ_int,0,eq_c2/2)+2*PI()*(s_0+1*s_r+IF(circ_int,eq_c1/2,0)))/INDEX(lk_legs,2))&lt;((2*IF(circ_int,0,eq_c2/2))+(PI()*(s_0+1*s_r+IF(circ_int,eq_c1/2,0))/2)),IF(circ_int,0,eq_c2/2)+(s_0+1*s_r+IF(circ_int,eq_c1/2,0))*SIN((((39+0.5)*(4*IF(circ_int,0,eq_c1/2)+4*IF(circ_int,0,eq_c2/2)+2*PI()*(s_0+1*s_r+IF(circ_int,eq_c1/2,0)))/INDEX(lk_legs,2))-(2*IF(circ_int,0,eq_c2/2)))/(s_0+1*s_r+IF(circ_int,eq_c1/2,0))),IF(((39+0.5)*(4*IF(circ_int,0,eq_c1/2)+4*IF(circ_int,0,eq_c2/2)+2*PI()*(s_0+1*s_r+IF(circ_int,eq_c1/2,0)))/INDEX(lk_legs,2))&lt;(((2*IF(circ_int,0,eq_c2/2))+(PI()*(s_0+1*s_r+IF(circ_int,eq_c1/2,0))/2))+2*IF(circ_int,0,eq_c1/2)),IF(circ_int,0,eq_c2/2)+(s_0+1*s_r+IF(circ_int,eq_c1/2,0)),IF(((39+0.5)*(4*IF(circ_int,0,eq_c1/2)+4*IF(circ_int,0,eq_c2/2)+2*PI()*(s_0+1*s_r+IF(circ_int,eq_c1/2,0)))/INDEX(lk_legs,2))&lt;((((2*IF(circ_int,0,eq_c2/2))+(PI()*(s_0+1*s_r+IF(circ_int,eq_c1/2,0))/2))+2*IF(circ_int,0,eq_c1/2))+(PI()*(s_0+1*s_r+IF(circ_int,eq_c1/2,0))/2)),IF(circ_int,0,eq_c2/2)+(s_0+1*s_r+IF(circ_int,eq_c1/2,0))*SIN(PI()/2+(((39+0.5)*(4*IF(circ_int,0,eq_c1/2)+4*IF(circ_int,0,eq_c2/2)+2*PI()*(s_0+1*s_r+IF(circ_int,eq_c1/2,0)))/INDEX(lk_legs,2))-(((2*IF(circ_int,0,eq_c2/2))+(PI()*(s_0+1*s_r+IF(circ_int,eq_c1/2,0))/2))+2*IF(circ_int,0,eq_c1/2)))/(s_0+1*s_r+IF(circ_int,eq_c1/2,0))),IF(((39+0.5)*(4*IF(circ_int,0,eq_c1/2)+4*IF(circ_int,0,eq_c2/2)+2*PI()*(s_0+1*s_r+IF(circ_int,eq_c1/2,0)))/INDEX(lk_legs,2))&lt;(((((2*IF(circ_int,0,eq_c2/2))+(PI()*(s_0+1*s_r+IF(circ_int,eq_c1/2,0))/2))+2*IF(circ_int,0,eq_c1/2))+(PI()*(s_0+1*s_r+IF(circ_int,eq_c1/2,0))/2))+2*IF(circ_int,0,eq_c2/2)),IF(circ_int,0,eq_c2/2)-(((39+0.5)*(4*IF(circ_int,0,eq_c1/2)+4*IF(circ_int,0,eq_c2/2)+2*PI()*(s_0+1*s_r+IF(circ_int,eq_c1/2,0)))/INDEX(lk_legs,2))-((((2*IF(circ_int,0,eq_c2/2))+(PI()*(s_0+1*s_r+IF(circ_int,eq_c1/2,0))/2))+2*IF(circ_int,0,eq_c1/2))+(PI()*(s_0+1*s_r+IF(circ_int,eq_c1/2,0))/2))),IF(((39+0.5)*(4*IF(circ_int,0,eq_c1/2)+4*IF(circ_int,0,eq_c2/2)+2*PI()*(s_0+1*s_r+IF(circ_int,eq_c1/2,0)))/INDEX(lk_legs,2))&lt;((((((2*IF(circ_int,0,eq_c2/2))+(PI()*(s_0+1*s_r+IF(circ_int,eq_c1/2,0))/2))+2*IF(circ_int,0,eq_c1/2))+(PI()*(s_0+1*s_r+IF(circ_int,eq_c1/2,0))/2))+2*IF(circ_int,0,eq_c2/2))+(PI()*(s_0+1*s_r+IF(circ_int,eq_c1/2,0))/2)),-IF(circ_int,0,eq_c2/2)+(s_0+1*s_r+IF(circ_int,eq_c1/2,0))*SIN(PI()+(((39+0.5)*(4*IF(circ_int,0,eq_c1/2)+4*IF(circ_int,0,eq_c2/2)+2*PI()*(s_0+1*s_r+IF(circ_int,eq_c1/2,0)))/INDEX(lk_legs,2))-(((((2*IF(circ_int,0,eq_c2/2))+(PI()*(s_0+1*s_r+IF(circ_int,eq_c1/2,0))/2))+2*IF(circ_int,0,eq_c1/2))+(PI()*(s_0+1*s_r+IF(circ_int,eq_c1/2,0))/2))+2*IF(circ_int,0,eq_c2/2)))/(s_0+1*s_r+IF(circ_int,eq_c1/2,0))),IF(((39+0.5)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(39+0.5)*(4*IF(circ_int,0,eq_c1/2)+4*IF(circ_int,0,eq_c2/2)+2*PI()*(s_0+1*s_r+IF(circ_int,eq_c1/2,0)))/INDEX(lk_legs,2))-(((((((2*IF(circ_int,0,eq_c2/2))+(PI()*(s_0+1*s_r+IF(circ_int,eq_c1/2,0))/2))+2*IF(circ_int,0,eq_c1/2))+(PI()*(s_0+1*s_r+IF(circ_int,eq_c1/2,0))/2))+2*IF(circ_int,0,eq_c2/2))+(PI()*(s_0+1*s_r+IF(circ_int,eq_c1/2,0))/2))+2*IF(circ_int,0,eq_c1/2)))/(s_0+1*s_r+IF(circ_int,eq_c1/2,0)))))))))),NA())</f>
        <v/>
      </c>
      <c r="BI42">
        <f>IF(AND(links_on,3&lt;=n_per),IF(circ_int,(g_ox)+(c_1/2+(s_0+2*s_r))*-0.000000,CHOOSE(INDEX(lk_kind,3),(g_ox+eq_c1/2)+((s_0+2*s_r))*-0.000000,0,eq_a1+eq_c1+(s_0+2*s_r),eq_a1+eq_c1+(s_0+2*s_r))),NA())</f>
        <v/>
      </c>
      <c r="BJ42">
        <f>IF(AND(links_on,3&lt;=n_per),IF(circ_int,(g_oy)+(c_1/2+(s_0+2*s_r))*-1.000000,CHOOSE(INDEX(lk_kind,3),(g_oy-eq_c2/2)+((s_0+2*s_r))*-1.000000,g_oy-eq_c2/2-(s_0+2*s_r),0,0)),NA())</f>
        <v/>
      </c>
      <c r="BL42">
        <f>IF(AND(AND(links_on,3&lt;=n_per),INDEX(lk_kind,3)=1,39&lt;INDEX(lk_legs,3)),g_ox+IF(((39+0.5)*(4*IF(circ_int,0,eq_c1/2)+4*IF(circ_int,0,eq_c2/2)+2*PI()*(s_0+2*s_r+IF(circ_int,eq_c1/2,0)))/INDEX(lk_legs,3))&lt;(2*IF(circ_int,0,eq_c2/2)),IF(circ_int,0,eq_c1/2)+(s_0+2*s_r+IF(circ_int,eq_c1/2,0)),IF(((39+0.5)*(4*IF(circ_int,0,eq_c1/2)+4*IF(circ_int,0,eq_c2/2)+2*PI()*(s_0+2*s_r+IF(circ_int,eq_c1/2,0)))/INDEX(lk_legs,3))&lt;((2*IF(circ_int,0,eq_c2/2))+(PI()*(s_0+2*s_r+IF(circ_int,eq_c1/2,0))/2)),IF(circ_int,0,eq_c1/2)+(s_0+2*s_r+IF(circ_int,eq_c1/2,0))*COS((((39+0.5)*(4*IF(circ_int,0,eq_c1/2)+4*IF(circ_int,0,eq_c2/2)+2*PI()*(s_0+2*s_r+IF(circ_int,eq_c1/2,0)))/INDEX(lk_legs,3))-(2*IF(circ_int,0,eq_c2/2)))/(s_0+2*s_r+IF(circ_int,eq_c1/2,0))),IF(((39+0.5)*(4*IF(circ_int,0,eq_c1/2)+4*IF(circ_int,0,eq_c2/2)+2*PI()*(s_0+2*s_r+IF(circ_int,eq_c1/2,0)))/INDEX(lk_legs,3))&lt;(((2*IF(circ_int,0,eq_c2/2))+(PI()*(s_0+2*s_r+IF(circ_int,eq_c1/2,0))/2))+2*IF(circ_int,0,eq_c1/2)),IF(circ_int,0,eq_c1/2)-(((39+0.5)*(4*IF(circ_int,0,eq_c1/2)+4*IF(circ_int,0,eq_c2/2)+2*PI()*(s_0+2*s_r+IF(circ_int,eq_c1/2,0)))/INDEX(lk_legs,3))-((2*IF(circ_int,0,eq_c2/2))+(PI()*(s_0+2*s_r+IF(circ_int,eq_c1/2,0))/2))),IF(((39+0.5)*(4*IF(circ_int,0,eq_c1/2)+4*IF(circ_int,0,eq_c2/2)+2*PI()*(s_0+2*s_r+IF(circ_int,eq_c1/2,0)))/INDEX(lk_legs,3))&lt;((((2*IF(circ_int,0,eq_c2/2))+(PI()*(s_0+2*s_r+IF(circ_int,eq_c1/2,0))/2))+2*IF(circ_int,0,eq_c1/2))+(PI()*(s_0+2*s_r+IF(circ_int,eq_c1/2,0))/2)),-IF(circ_int,0,eq_c1/2)+(s_0+2*s_r+IF(circ_int,eq_c1/2,0))*COS(PI()/2+(((39+0.5)*(4*IF(circ_int,0,eq_c1/2)+4*IF(circ_int,0,eq_c2/2)+2*PI()*(s_0+2*s_r+IF(circ_int,eq_c1/2,0)))/INDEX(lk_legs,3))-(((2*IF(circ_int,0,eq_c2/2))+(PI()*(s_0+2*s_r+IF(circ_int,eq_c1/2,0))/2))+2*IF(circ_int,0,eq_c1/2)))/(s_0+2*s_r+IF(circ_int,eq_c1/2,0))),IF(((39+0.5)*(4*IF(circ_int,0,eq_c1/2)+4*IF(circ_int,0,eq_c2/2)+2*PI()*(s_0+2*s_r+IF(circ_int,eq_c1/2,0)))/INDEX(lk_legs,3))&lt;(((((2*IF(circ_int,0,eq_c2/2))+(PI()*(s_0+2*s_r+IF(circ_int,eq_c1/2,0))/2))+2*IF(circ_int,0,eq_c1/2))+(PI()*(s_0+2*s_r+IF(circ_int,eq_c1/2,0))/2))+2*IF(circ_int,0,eq_c2/2)),-IF(circ_int,0,eq_c1/2)-(s_0+2*s_r+IF(circ_int,eq_c1/2,0)),IF(((39+0.5)*(4*IF(circ_int,0,eq_c1/2)+4*IF(circ_int,0,eq_c2/2)+2*PI()*(s_0+2*s_r+IF(circ_int,eq_c1/2,0)))/INDEX(lk_legs,3))&lt;((((((2*IF(circ_int,0,eq_c2/2))+(PI()*(s_0+2*s_r+IF(circ_int,eq_c1/2,0))/2))+2*IF(circ_int,0,eq_c1/2))+(PI()*(s_0+2*s_r+IF(circ_int,eq_c1/2,0))/2))+2*IF(circ_int,0,eq_c2/2))+(PI()*(s_0+2*s_r+IF(circ_int,eq_c1/2,0))/2)),-IF(circ_int,0,eq_c1/2)+(s_0+2*s_r+IF(circ_int,eq_c1/2,0))*COS(PI()+(((39+0.5)*(4*IF(circ_int,0,eq_c1/2)+4*IF(circ_int,0,eq_c2/2)+2*PI()*(s_0+2*s_r+IF(circ_int,eq_c1/2,0)))/INDEX(lk_legs,3))-(((((2*IF(circ_int,0,eq_c2/2))+(PI()*(s_0+2*s_r+IF(circ_int,eq_c1/2,0))/2))+2*IF(circ_int,0,eq_c1/2))+(PI()*(s_0+2*s_r+IF(circ_int,eq_c1/2,0))/2))+2*IF(circ_int,0,eq_c2/2)))/(s_0+2*s_r+IF(circ_int,eq_c1/2,0))),IF(((39+0.5)*(4*IF(circ_int,0,eq_c1/2)+4*IF(circ_int,0,eq_c2/2)+2*PI()*(s_0+2*s_r+IF(circ_int,eq_c1/2,0)))/INDEX(lk_legs,3))&lt;(((((((2*IF(circ_int,0,eq_c2/2))+(PI()*(s_0+2*s_r+IF(circ_int,eq_c1/2,0))/2))+2*IF(circ_int,0,eq_c1/2))+(PI()*(s_0+2*s_r+IF(circ_int,eq_c1/2,0))/2))+2*IF(circ_int,0,eq_c2/2))+(PI()*(s_0+2*s_r+IF(circ_int,eq_c1/2,0))/2))+2*IF(circ_int,0,eq_c1/2)),-IF(circ_int,0,eq_c1/2)+(((39+0.5)*(4*IF(circ_int,0,eq_c1/2)+4*IF(circ_int,0,eq_c2/2)+2*PI()*(s_0+2*s_r+IF(circ_int,eq_c1/2,0)))/INDEX(lk_legs,3))-((((((2*IF(circ_int,0,eq_c2/2))+(PI()*(s_0+2*s_r+IF(circ_int,eq_c1/2,0))/2))+2*IF(circ_int,0,eq_c1/2))+(PI()*(s_0+2*s_r+IF(circ_int,eq_c1/2,0))/2))+2*IF(circ_int,0,eq_c2/2))+(PI()*(s_0+2*s_r+IF(circ_int,eq_c1/2,0))/2))),IF(circ_int,0,eq_c1/2)+(s_0+2*s_r+IF(circ_int,eq_c1/2,0))*COS(3*PI()/2+(((39+0.5)*(4*IF(circ_int,0,eq_c1/2)+4*IF(circ_int,0,eq_c2/2)+2*PI()*(s_0+2*s_r+IF(circ_int,eq_c1/2,0)))/INDEX(lk_legs,3))-(((((((2*IF(circ_int,0,eq_c2/2))+(PI()*(s_0+2*s_r+IF(circ_int,eq_c1/2,0))/2))+2*IF(circ_int,0,eq_c1/2))+(PI()*(s_0+2*s_r+IF(circ_int,eq_c1/2,0))/2))+2*IF(circ_int,0,eq_c2/2))+(PI()*(s_0+2*s_r+IF(circ_int,eq_c1/2,0))/2))+2*IF(circ_int,0,eq_c1/2)))/(s_0+2*s_r+IF(circ_int,eq_c1/2,0)))))))))),NA())</f>
        <v/>
      </c>
      <c r="BM42">
        <f>IF(AND(AND(links_on,3&lt;=n_per),INDEX(lk_kind,3)=1,39&lt;INDEX(lk_legs,3)),g_oy+IF(((39+0.5)*(4*IF(circ_int,0,eq_c1/2)+4*IF(circ_int,0,eq_c2/2)+2*PI()*(s_0+2*s_r+IF(circ_int,eq_c1/2,0)))/INDEX(lk_legs,3))&lt;(2*IF(circ_int,0,eq_c2/2)),-IF(circ_int,0,eq_c2/2)+((39+0.5)*(4*IF(circ_int,0,eq_c1/2)+4*IF(circ_int,0,eq_c2/2)+2*PI()*(s_0+2*s_r+IF(circ_int,eq_c1/2,0)))/INDEX(lk_legs,3)),IF(((39+0.5)*(4*IF(circ_int,0,eq_c1/2)+4*IF(circ_int,0,eq_c2/2)+2*PI()*(s_0+2*s_r+IF(circ_int,eq_c1/2,0)))/INDEX(lk_legs,3))&lt;((2*IF(circ_int,0,eq_c2/2))+(PI()*(s_0+2*s_r+IF(circ_int,eq_c1/2,0))/2)),IF(circ_int,0,eq_c2/2)+(s_0+2*s_r+IF(circ_int,eq_c1/2,0))*SIN((((39+0.5)*(4*IF(circ_int,0,eq_c1/2)+4*IF(circ_int,0,eq_c2/2)+2*PI()*(s_0+2*s_r+IF(circ_int,eq_c1/2,0)))/INDEX(lk_legs,3))-(2*IF(circ_int,0,eq_c2/2)))/(s_0+2*s_r+IF(circ_int,eq_c1/2,0))),IF(((39+0.5)*(4*IF(circ_int,0,eq_c1/2)+4*IF(circ_int,0,eq_c2/2)+2*PI()*(s_0+2*s_r+IF(circ_int,eq_c1/2,0)))/INDEX(lk_legs,3))&lt;(((2*IF(circ_int,0,eq_c2/2))+(PI()*(s_0+2*s_r+IF(circ_int,eq_c1/2,0))/2))+2*IF(circ_int,0,eq_c1/2)),IF(circ_int,0,eq_c2/2)+(s_0+2*s_r+IF(circ_int,eq_c1/2,0)),IF(((39+0.5)*(4*IF(circ_int,0,eq_c1/2)+4*IF(circ_int,0,eq_c2/2)+2*PI()*(s_0+2*s_r+IF(circ_int,eq_c1/2,0)))/INDEX(lk_legs,3))&lt;((((2*IF(circ_int,0,eq_c2/2))+(PI()*(s_0+2*s_r+IF(circ_int,eq_c1/2,0))/2))+2*IF(circ_int,0,eq_c1/2))+(PI()*(s_0+2*s_r+IF(circ_int,eq_c1/2,0))/2)),IF(circ_int,0,eq_c2/2)+(s_0+2*s_r+IF(circ_int,eq_c1/2,0))*SIN(PI()/2+(((39+0.5)*(4*IF(circ_int,0,eq_c1/2)+4*IF(circ_int,0,eq_c2/2)+2*PI()*(s_0+2*s_r+IF(circ_int,eq_c1/2,0)))/INDEX(lk_legs,3))-(((2*IF(circ_int,0,eq_c2/2))+(PI()*(s_0+2*s_r+IF(circ_int,eq_c1/2,0))/2))+2*IF(circ_int,0,eq_c1/2)))/(s_0+2*s_r+IF(circ_int,eq_c1/2,0))),IF(((39+0.5)*(4*IF(circ_int,0,eq_c1/2)+4*IF(circ_int,0,eq_c2/2)+2*PI()*(s_0+2*s_r+IF(circ_int,eq_c1/2,0)))/INDEX(lk_legs,3))&lt;(((((2*IF(circ_int,0,eq_c2/2))+(PI()*(s_0+2*s_r+IF(circ_int,eq_c1/2,0))/2))+2*IF(circ_int,0,eq_c1/2))+(PI()*(s_0+2*s_r+IF(circ_int,eq_c1/2,0))/2))+2*IF(circ_int,0,eq_c2/2)),IF(circ_int,0,eq_c2/2)-(((39+0.5)*(4*IF(circ_int,0,eq_c1/2)+4*IF(circ_int,0,eq_c2/2)+2*PI()*(s_0+2*s_r+IF(circ_int,eq_c1/2,0)))/INDEX(lk_legs,3))-((((2*IF(circ_int,0,eq_c2/2))+(PI()*(s_0+2*s_r+IF(circ_int,eq_c1/2,0))/2))+2*IF(circ_int,0,eq_c1/2))+(PI()*(s_0+2*s_r+IF(circ_int,eq_c1/2,0))/2))),IF(((39+0.5)*(4*IF(circ_int,0,eq_c1/2)+4*IF(circ_int,0,eq_c2/2)+2*PI()*(s_0+2*s_r+IF(circ_int,eq_c1/2,0)))/INDEX(lk_legs,3))&lt;((((((2*IF(circ_int,0,eq_c2/2))+(PI()*(s_0+2*s_r+IF(circ_int,eq_c1/2,0))/2))+2*IF(circ_int,0,eq_c1/2))+(PI()*(s_0+2*s_r+IF(circ_int,eq_c1/2,0))/2))+2*IF(circ_int,0,eq_c2/2))+(PI()*(s_0+2*s_r+IF(circ_int,eq_c1/2,0))/2)),-IF(circ_int,0,eq_c2/2)+(s_0+2*s_r+IF(circ_int,eq_c1/2,0))*SIN(PI()+(((39+0.5)*(4*IF(circ_int,0,eq_c1/2)+4*IF(circ_int,0,eq_c2/2)+2*PI()*(s_0+2*s_r+IF(circ_int,eq_c1/2,0)))/INDEX(lk_legs,3))-(((((2*IF(circ_int,0,eq_c2/2))+(PI()*(s_0+2*s_r+IF(circ_int,eq_c1/2,0))/2))+2*IF(circ_int,0,eq_c1/2))+(PI()*(s_0+2*s_r+IF(circ_int,eq_c1/2,0))/2))+2*IF(circ_int,0,eq_c2/2)))/(s_0+2*s_r+IF(circ_int,eq_c1/2,0))),IF(((39+0.5)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(39+0.5)*(4*IF(circ_int,0,eq_c1/2)+4*IF(circ_int,0,eq_c2/2)+2*PI()*(s_0+2*s_r+IF(circ_int,eq_c1/2,0)))/INDEX(lk_legs,3))-(((((((2*IF(circ_int,0,eq_c2/2))+(PI()*(s_0+2*s_r+IF(circ_int,eq_c1/2,0))/2))+2*IF(circ_int,0,eq_c1/2))+(PI()*(s_0+2*s_r+IF(circ_int,eq_c1/2,0))/2))+2*IF(circ_int,0,eq_c2/2))+(PI()*(s_0+2*s_r+IF(circ_int,eq_c1/2,0))/2))+2*IF(circ_int,0,eq_c1/2)))/(s_0+2*s_r+IF(circ_int,eq_c1/2,0)))))))))),NA())</f>
        <v/>
      </c>
      <c r="BO42">
        <f>IF(AND(links_on,4&lt;=n_per),IF(circ_int,(g_ox)+(c_1/2+(s_0+3*s_r))*-0.000000,CHOOSE(INDEX(lk_kind,4),(g_ox+eq_c1/2)+((s_0+3*s_r))*-0.000000,0,eq_a1+eq_c1+(s_0+3*s_r),eq_a1+eq_c1+(s_0+3*s_r))),NA())</f>
        <v/>
      </c>
      <c r="BP42">
        <f>IF(AND(links_on,4&lt;=n_per),IF(circ_int,(g_oy)+(c_1/2+(s_0+3*s_r))*-1.000000,CHOOSE(INDEX(lk_kind,4),(g_oy-eq_c2/2)+((s_0+3*s_r))*-1.000000,g_oy-eq_c2/2-(s_0+3*s_r),0,0)),NA())</f>
        <v/>
      </c>
      <c r="BR42">
        <f>IF(AND(AND(links_on,4&lt;=n_per),INDEX(lk_kind,4)=1,39&lt;INDEX(lk_legs,4)),g_ox+IF(((39+0.5)*(4*IF(circ_int,0,eq_c1/2)+4*IF(circ_int,0,eq_c2/2)+2*PI()*(s_0+3*s_r+IF(circ_int,eq_c1/2,0)))/INDEX(lk_legs,4))&lt;(2*IF(circ_int,0,eq_c2/2)),IF(circ_int,0,eq_c1/2)+(s_0+3*s_r+IF(circ_int,eq_c1/2,0)),IF(((39+0.5)*(4*IF(circ_int,0,eq_c1/2)+4*IF(circ_int,0,eq_c2/2)+2*PI()*(s_0+3*s_r+IF(circ_int,eq_c1/2,0)))/INDEX(lk_legs,4))&lt;((2*IF(circ_int,0,eq_c2/2))+(PI()*(s_0+3*s_r+IF(circ_int,eq_c1/2,0))/2)),IF(circ_int,0,eq_c1/2)+(s_0+3*s_r+IF(circ_int,eq_c1/2,0))*COS((((39+0.5)*(4*IF(circ_int,0,eq_c1/2)+4*IF(circ_int,0,eq_c2/2)+2*PI()*(s_0+3*s_r+IF(circ_int,eq_c1/2,0)))/INDEX(lk_legs,4))-(2*IF(circ_int,0,eq_c2/2)))/(s_0+3*s_r+IF(circ_int,eq_c1/2,0))),IF(((39+0.5)*(4*IF(circ_int,0,eq_c1/2)+4*IF(circ_int,0,eq_c2/2)+2*PI()*(s_0+3*s_r+IF(circ_int,eq_c1/2,0)))/INDEX(lk_legs,4))&lt;(((2*IF(circ_int,0,eq_c2/2))+(PI()*(s_0+3*s_r+IF(circ_int,eq_c1/2,0))/2))+2*IF(circ_int,0,eq_c1/2)),IF(circ_int,0,eq_c1/2)-(((39+0.5)*(4*IF(circ_int,0,eq_c1/2)+4*IF(circ_int,0,eq_c2/2)+2*PI()*(s_0+3*s_r+IF(circ_int,eq_c1/2,0)))/INDEX(lk_legs,4))-((2*IF(circ_int,0,eq_c2/2))+(PI()*(s_0+3*s_r+IF(circ_int,eq_c1/2,0))/2))),IF(((39+0.5)*(4*IF(circ_int,0,eq_c1/2)+4*IF(circ_int,0,eq_c2/2)+2*PI()*(s_0+3*s_r+IF(circ_int,eq_c1/2,0)))/INDEX(lk_legs,4))&lt;((((2*IF(circ_int,0,eq_c2/2))+(PI()*(s_0+3*s_r+IF(circ_int,eq_c1/2,0))/2))+2*IF(circ_int,0,eq_c1/2))+(PI()*(s_0+3*s_r+IF(circ_int,eq_c1/2,0))/2)),-IF(circ_int,0,eq_c1/2)+(s_0+3*s_r+IF(circ_int,eq_c1/2,0))*COS(PI()/2+(((39+0.5)*(4*IF(circ_int,0,eq_c1/2)+4*IF(circ_int,0,eq_c2/2)+2*PI()*(s_0+3*s_r+IF(circ_int,eq_c1/2,0)))/INDEX(lk_legs,4))-(((2*IF(circ_int,0,eq_c2/2))+(PI()*(s_0+3*s_r+IF(circ_int,eq_c1/2,0))/2))+2*IF(circ_int,0,eq_c1/2)))/(s_0+3*s_r+IF(circ_int,eq_c1/2,0))),IF(((39+0.5)*(4*IF(circ_int,0,eq_c1/2)+4*IF(circ_int,0,eq_c2/2)+2*PI()*(s_0+3*s_r+IF(circ_int,eq_c1/2,0)))/INDEX(lk_legs,4))&lt;(((((2*IF(circ_int,0,eq_c2/2))+(PI()*(s_0+3*s_r+IF(circ_int,eq_c1/2,0))/2))+2*IF(circ_int,0,eq_c1/2))+(PI()*(s_0+3*s_r+IF(circ_int,eq_c1/2,0))/2))+2*IF(circ_int,0,eq_c2/2)),-IF(circ_int,0,eq_c1/2)-(s_0+3*s_r+IF(circ_int,eq_c1/2,0)),IF(((39+0.5)*(4*IF(circ_int,0,eq_c1/2)+4*IF(circ_int,0,eq_c2/2)+2*PI()*(s_0+3*s_r+IF(circ_int,eq_c1/2,0)))/INDEX(lk_legs,4))&lt;((((((2*IF(circ_int,0,eq_c2/2))+(PI()*(s_0+3*s_r+IF(circ_int,eq_c1/2,0))/2))+2*IF(circ_int,0,eq_c1/2))+(PI()*(s_0+3*s_r+IF(circ_int,eq_c1/2,0))/2))+2*IF(circ_int,0,eq_c2/2))+(PI()*(s_0+3*s_r+IF(circ_int,eq_c1/2,0))/2)),-IF(circ_int,0,eq_c1/2)+(s_0+3*s_r+IF(circ_int,eq_c1/2,0))*COS(PI()+(((39+0.5)*(4*IF(circ_int,0,eq_c1/2)+4*IF(circ_int,0,eq_c2/2)+2*PI()*(s_0+3*s_r+IF(circ_int,eq_c1/2,0)))/INDEX(lk_legs,4))-(((((2*IF(circ_int,0,eq_c2/2))+(PI()*(s_0+3*s_r+IF(circ_int,eq_c1/2,0))/2))+2*IF(circ_int,0,eq_c1/2))+(PI()*(s_0+3*s_r+IF(circ_int,eq_c1/2,0))/2))+2*IF(circ_int,0,eq_c2/2)))/(s_0+3*s_r+IF(circ_int,eq_c1/2,0))),IF(((39+0.5)*(4*IF(circ_int,0,eq_c1/2)+4*IF(circ_int,0,eq_c2/2)+2*PI()*(s_0+3*s_r+IF(circ_int,eq_c1/2,0)))/INDEX(lk_legs,4))&lt;(((((((2*IF(circ_int,0,eq_c2/2))+(PI()*(s_0+3*s_r+IF(circ_int,eq_c1/2,0))/2))+2*IF(circ_int,0,eq_c1/2))+(PI()*(s_0+3*s_r+IF(circ_int,eq_c1/2,0))/2))+2*IF(circ_int,0,eq_c2/2))+(PI()*(s_0+3*s_r+IF(circ_int,eq_c1/2,0))/2))+2*IF(circ_int,0,eq_c1/2)),-IF(circ_int,0,eq_c1/2)+(((39+0.5)*(4*IF(circ_int,0,eq_c1/2)+4*IF(circ_int,0,eq_c2/2)+2*PI()*(s_0+3*s_r+IF(circ_int,eq_c1/2,0)))/INDEX(lk_legs,4))-((((((2*IF(circ_int,0,eq_c2/2))+(PI()*(s_0+3*s_r+IF(circ_int,eq_c1/2,0))/2))+2*IF(circ_int,0,eq_c1/2))+(PI()*(s_0+3*s_r+IF(circ_int,eq_c1/2,0))/2))+2*IF(circ_int,0,eq_c2/2))+(PI()*(s_0+3*s_r+IF(circ_int,eq_c1/2,0))/2))),IF(circ_int,0,eq_c1/2)+(s_0+3*s_r+IF(circ_int,eq_c1/2,0))*COS(3*PI()/2+(((39+0.5)*(4*IF(circ_int,0,eq_c1/2)+4*IF(circ_int,0,eq_c2/2)+2*PI()*(s_0+3*s_r+IF(circ_int,eq_c1/2,0)))/INDEX(lk_legs,4))-(((((((2*IF(circ_int,0,eq_c2/2))+(PI()*(s_0+3*s_r+IF(circ_int,eq_c1/2,0))/2))+2*IF(circ_int,0,eq_c1/2))+(PI()*(s_0+3*s_r+IF(circ_int,eq_c1/2,0))/2))+2*IF(circ_int,0,eq_c2/2))+(PI()*(s_0+3*s_r+IF(circ_int,eq_c1/2,0))/2))+2*IF(circ_int,0,eq_c1/2)))/(s_0+3*s_r+IF(circ_int,eq_c1/2,0)))))))))),NA())</f>
        <v/>
      </c>
      <c r="BS42">
        <f>IF(AND(AND(links_on,4&lt;=n_per),INDEX(lk_kind,4)=1,39&lt;INDEX(lk_legs,4)),g_oy+IF(((39+0.5)*(4*IF(circ_int,0,eq_c1/2)+4*IF(circ_int,0,eq_c2/2)+2*PI()*(s_0+3*s_r+IF(circ_int,eq_c1/2,0)))/INDEX(lk_legs,4))&lt;(2*IF(circ_int,0,eq_c2/2)),-IF(circ_int,0,eq_c2/2)+((39+0.5)*(4*IF(circ_int,0,eq_c1/2)+4*IF(circ_int,0,eq_c2/2)+2*PI()*(s_0+3*s_r+IF(circ_int,eq_c1/2,0)))/INDEX(lk_legs,4)),IF(((39+0.5)*(4*IF(circ_int,0,eq_c1/2)+4*IF(circ_int,0,eq_c2/2)+2*PI()*(s_0+3*s_r+IF(circ_int,eq_c1/2,0)))/INDEX(lk_legs,4))&lt;((2*IF(circ_int,0,eq_c2/2))+(PI()*(s_0+3*s_r+IF(circ_int,eq_c1/2,0))/2)),IF(circ_int,0,eq_c2/2)+(s_0+3*s_r+IF(circ_int,eq_c1/2,0))*SIN((((39+0.5)*(4*IF(circ_int,0,eq_c1/2)+4*IF(circ_int,0,eq_c2/2)+2*PI()*(s_0+3*s_r+IF(circ_int,eq_c1/2,0)))/INDEX(lk_legs,4))-(2*IF(circ_int,0,eq_c2/2)))/(s_0+3*s_r+IF(circ_int,eq_c1/2,0))),IF(((39+0.5)*(4*IF(circ_int,0,eq_c1/2)+4*IF(circ_int,0,eq_c2/2)+2*PI()*(s_0+3*s_r+IF(circ_int,eq_c1/2,0)))/INDEX(lk_legs,4))&lt;(((2*IF(circ_int,0,eq_c2/2))+(PI()*(s_0+3*s_r+IF(circ_int,eq_c1/2,0))/2))+2*IF(circ_int,0,eq_c1/2)),IF(circ_int,0,eq_c2/2)+(s_0+3*s_r+IF(circ_int,eq_c1/2,0)),IF(((39+0.5)*(4*IF(circ_int,0,eq_c1/2)+4*IF(circ_int,0,eq_c2/2)+2*PI()*(s_0+3*s_r+IF(circ_int,eq_c1/2,0)))/INDEX(lk_legs,4))&lt;((((2*IF(circ_int,0,eq_c2/2))+(PI()*(s_0+3*s_r+IF(circ_int,eq_c1/2,0))/2))+2*IF(circ_int,0,eq_c1/2))+(PI()*(s_0+3*s_r+IF(circ_int,eq_c1/2,0))/2)),IF(circ_int,0,eq_c2/2)+(s_0+3*s_r+IF(circ_int,eq_c1/2,0))*SIN(PI()/2+(((39+0.5)*(4*IF(circ_int,0,eq_c1/2)+4*IF(circ_int,0,eq_c2/2)+2*PI()*(s_0+3*s_r+IF(circ_int,eq_c1/2,0)))/INDEX(lk_legs,4))-(((2*IF(circ_int,0,eq_c2/2))+(PI()*(s_0+3*s_r+IF(circ_int,eq_c1/2,0))/2))+2*IF(circ_int,0,eq_c1/2)))/(s_0+3*s_r+IF(circ_int,eq_c1/2,0))),IF(((39+0.5)*(4*IF(circ_int,0,eq_c1/2)+4*IF(circ_int,0,eq_c2/2)+2*PI()*(s_0+3*s_r+IF(circ_int,eq_c1/2,0)))/INDEX(lk_legs,4))&lt;(((((2*IF(circ_int,0,eq_c2/2))+(PI()*(s_0+3*s_r+IF(circ_int,eq_c1/2,0))/2))+2*IF(circ_int,0,eq_c1/2))+(PI()*(s_0+3*s_r+IF(circ_int,eq_c1/2,0))/2))+2*IF(circ_int,0,eq_c2/2)),IF(circ_int,0,eq_c2/2)-(((39+0.5)*(4*IF(circ_int,0,eq_c1/2)+4*IF(circ_int,0,eq_c2/2)+2*PI()*(s_0+3*s_r+IF(circ_int,eq_c1/2,0)))/INDEX(lk_legs,4))-((((2*IF(circ_int,0,eq_c2/2))+(PI()*(s_0+3*s_r+IF(circ_int,eq_c1/2,0))/2))+2*IF(circ_int,0,eq_c1/2))+(PI()*(s_0+3*s_r+IF(circ_int,eq_c1/2,0))/2))),IF(((39+0.5)*(4*IF(circ_int,0,eq_c1/2)+4*IF(circ_int,0,eq_c2/2)+2*PI()*(s_0+3*s_r+IF(circ_int,eq_c1/2,0)))/INDEX(lk_legs,4))&lt;((((((2*IF(circ_int,0,eq_c2/2))+(PI()*(s_0+3*s_r+IF(circ_int,eq_c1/2,0))/2))+2*IF(circ_int,0,eq_c1/2))+(PI()*(s_0+3*s_r+IF(circ_int,eq_c1/2,0))/2))+2*IF(circ_int,0,eq_c2/2))+(PI()*(s_0+3*s_r+IF(circ_int,eq_c1/2,0))/2)),-IF(circ_int,0,eq_c2/2)+(s_0+3*s_r+IF(circ_int,eq_c1/2,0))*SIN(PI()+(((39+0.5)*(4*IF(circ_int,0,eq_c1/2)+4*IF(circ_int,0,eq_c2/2)+2*PI()*(s_0+3*s_r+IF(circ_int,eq_c1/2,0)))/INDEX(lk_legs,4))-(((((2*IF(circ_int,0,eq_c2/2))+(PI()*(s_0+3*s_r+IF(circ_int,eq_c1/2,0))/2))+2*IF(circ_int,0,eq_c1/2))+(PI()*(s_0+3*s_r+IF(circ_int,eq_c1/2,0))/2))+2*IF(circ_int,0,eq_c2/2)))/(s_0+3*s_r+IF(circ_int,eq_c1/2,0))),IF(((39+0.5)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(39+0.5)*(4*IF(circ_int,0,eq_c1/2)+4*IF(circ_int,0,eq_c2/2)+2*PI()*(s_0+3*s_r+IF(circ_int,eq_c1/2,0)))/INDEX(lk_legs,4))-(((((((2*IF(circ_int,0,eq_c2/2))+(PI()*(s_0+3*s_r+IF(circ_int,eq_c1/2,0))/2))+2*IF(circ_int,0,eq_c1/2))+(PI()*(s_0+3*s_r+IF(circ_int,eq_c1/2,0))/2))+2*IF(circ_int,0,eq_c2/2))+(PI()*(s_0+3*s_r+IF(circ_int,eq_c1/2,0))/2))+2*IF(circ_int,0,eq_c1/2)))/(s_0+3*s_r+IF(circ_int,eq_c1/2,0)))))))))),NA())</f>
        <v/>
      </c>
      <c r="BU42">
        <f>IF(AND(links_on,5&lt;=n_per),IF(circ_int,(g_ox)+(c_1/2+(s_0+4*s_r))*-0.000000,CHOOSE(INDEX(lk_kind,5),(g_ox+eq_c1/2)+((s_0+4*s_r))*-0.000000,0,eq_a1+eq_c1+(s_0+4*s_r),eq_a1+eq_c1+(s_0+4*s_r))),NA())</f>
        <v/>
      </c>
      <c r="BV42">
        <f>IF(AND(links_on,5&lt;=n_per),IF(circ_int,(g_oy)+(c_1/2+(s_0+4*s_r))*-1.000000,CHOOSE(INDEX(lk_kind,5),(g_oy-eq_c2/2)+((s_0+4*s_r))*-1.000000,g_oy-eq_c2/2-(s_0+4*s_r),0,0)),NA())</f>
        <v/>
      </c>
      <c r="BX42">
        <f>IF(AND(AND(links_on,5&lt;=n_per),INDEX(lk_kind,5)=1,39&lt;INDEX(lk_legs,5)),g_ox+IF(((39+0.5)*(4*IF(circ_int,0,eq_c1/2)+4*IF(circ_int,0,eq_c2/2)+2*PI()*(s_0+4*s_r+IF(circ_int,eq_c1/2,0)))/INDEX(lk_legs,5))&lt;(2*IF(circ_int,0,eq_c2/2)),IF(circ_int,0,eq_c1/2)+(s_0+4*s_r+IF(circ_int,eq_c1/2,0)),IF(((39+0.5)*(4*IF(circ_int,0,eq_c1/2)+4*IF(circ_int,0,eq_c2/2)+2*PI()*(s_0+4*s_r+IF(circ_int,eq_c1/2,0)))/INDEX(lk_legs,5))&lt;((2*IF(circ_int,0,eq_c2/2))+(PI()*(s_0+4*s_r+IF(circ_int,eq_c1/2,0))/2)),IF(circ_int,0,eq_c1/2)+(s_0+4*s_r+IF(circ_int,eq_c1/2,0))*COS((((39+0.5)*(4*IF(circ_int,0,eq_c1/2)+4*IF(circ_int,0,eq_c2/2)+2*PI()*(s_0+4*s_r+IF(circ_int,eq_c1/2,0)))/INDEX(lk_legs,5))-(2*IF(circ_int,0,eq_c2/2)))/(s_0+4*s_r+IF(circ_int,eq_c1/2,0))),IF(((39+0.5)*(4*IF(circ_int,0,eq_c1/2)+4*IF(circ_int,0,eq_c2/2)+2*PI()*(s_0+4*s_r+IF(circ_int,eq_c1/2,0)))/INDEX(lk_legs,5))&lt;(((2*IF(circ_int,0,eq_c2/2))+(PI()*(s_0+4*s_r+IF(circ_int,eq_c1/2,0))/2))+2*IF(circ_int,0,eq_c1/2)),IF(circ_int,0,eq_c1/2)-(((39+0.5)*(4*IF(circ_int,0,eq_c1/2)+4*IF(circ_int,0,eq_c2/2)+2*PI()*(s_0+4*s_r+IF(circ_int,eq_c1/2,0)))/INDEX(lk_legs,5))-((2*IF(circ_int,0,eq_c2/2))+(PI()*(s_0+4*s_r+IF(circ_int,eq_c1/2,0))/2))),IF(((39+0.5)*(4*IF(circ_int,0,eq_c1/2)+4*IF(circ_int,0,eq_c2/2)+2*PI()*(s_0+4*s_r+IF(circ_int,eq_c1/2,0)))/INDEX(lk_legs,5))&lt;((((2*IF(circ_int,0,eq_c2/2))+(PI()*(s_0+4*s_r+IF(circ_int,eq_c1/2,0))/2))+2*IF(circ_int,0,eq_c1/2))+(PI()*(s_0+4*s_r+IF(circ_int,eq_c1/2,0))/2)),-IF(circ_int,0,eq_c1/2)+(s_0+4*s_r+IF(circ_int,eq_c1/2,0))*COS(PI()/2+(((39+0.5)*(4*IF(circ_int,0,eq_c1/2)+4*IF(circ_int,0,eq_c2/2)+2*PI()*(s_0+4*s_r+IF(circ_int,eq_c1/2,0)))/INDEX(lk_legs,5))-(((2*IF(circ_int,0,eq_c2/2))+(PI()*(s_0+4*s_r+IF(circ_int,eq_c1/2,0))/2))+2*IF(circ_int,0,eq_c1/2)))/(s_0+4*s_r+IF(circ_int,eq_c1/2,0))),IF(((39+0.5)*(4*IF(circ_int,0,eq_c1/2)+4*IF(circ_int,0,eq_c2/2)+2*PI()*(s_0+4*s_r+IF(circ_int,eq_c1/2,0)))/INDEX(lk_legs,5))&lt;(((((2*IF(circ_int,0,eq_c2/2))+(PI()*(s_0+4*s_r+IF(circ_int,eq_c1/2,0))/2))+2*IF(circ_int,0,eq_c1/2))+(PI()*(s_0+4*s_r+IF(circ_int,eq_c1/2,0))/2))+2*IF(circ_int,0,eq_c2/2)),-IF(circ_int,0,eq_c1/2)-(s_0+4*s_r+IF(circ_int,eq_c1/2,0)),IF(((39+0.5)*(4*IF(circ_int,0,eq_c1/2)+4*IF(circ_int,0,eq_c2/2)+2*PI()*(s_0+4*s_r+IF(circ_int,eq_c1/2,0)))/INDEX(lk_legs,5))&lt;((((((2*IF(circ_int,0,eq_c2/2))+(PI()*(s_0+4*s_r+IF(circ_int,eq_c1/2,0))/2))+2*IF(circ_int,0,eq_c1/2))+(PI()*(s_0+4*s_r+IF(circ_int,eq_c1/2,0))/2))+2*IF(circ_int,0,eq_c2/2))+(PI()*(s_0+4*s_r+IF(circ_int,eq_c1/2,0))/2)),-IF(circ_int,0,eq_c1/2)+(s_0+4*s_r+IF(circ_int,eq_c1/2,0))*COS(PI()+(((39+0.5)*(4*IF(circ_int,0,eq_c1/2)+4*IF(circ_int,0,eq_c2/2)+2*PI()*(s_0+4*s_r+IF(circ_int,eq_c1/2,0)))/INDEX(lk_legs,5))-(((((2*IF(circ_int,0,eq_c2/2))+(PI()*(s_0+4*s_r+IF(circ_int,eq_c1/2,0))/2))+2*IF(circ_int,0,eq_c1/2))+(PI()*(s_0+4*s_r+IF(circ_int,eq_c1/2,0))/2))+2*IF(circ_int,0,eq_c2/2)))/(s_0+4*s_r+IF(circ_int,eq_c1/2,0))),IF(((39+0.5)*(4*IF(circ_int,0,eq_c1/2)+4*IF(circ_int,0,eq_c2/2)+2*PI()*(s_0+4*s_r+IF(circ_int,eq_c1/2,0)))/INDEX(lk_legs,5))&lt;(((((((2*IF(circ_int,0,eq_c2/2))+(PI()*(s_0+4*s_r+IF(circ_int,eq_c1/2,0))/2))+2*IF(circ_int,0,eq_c1/2))+(PI()*(s_0+4*s_r+IF(circ_int,eq_c1/2,0))/2))+2*IF(circ_int,0,eq_c2/2))+(PI()*(s_0+4*s_r+IF(circ_int,eq_c1/2,0))/2))+2*IF(circ_int,0,eq_c1/2)),-IF(circ_int,0,eq_c1/2)+(((39+0.5)*(4*IF(circ_int,0,eq_c1/2)+4*IF(circ_int,0,eq_c2/2)+2*PI()*(s_0+4*s_r+IF(circ_int,eq_c1/2,0)))/INDEX(lk_legs,5))-((((((2*IF(circ_int,0,eq_c2/2))+(PI()*(s_0+4*s_r+IF(circ_int,eq_c1/2,0))/2))+2*IF(circ_int,0,eq_c1/2))+(PI()*(s_0+4*s_r+IF(circ_int,eq_c1/2,0))/2))+2*IF(circ_int,0,eq_c2/2))+(PI()*(s_0+4*s_r+IF(circ_int,eq_c1/2,0))/2))),IF(circ_int,0,eq_c1/2)+(s_0+4*s_r+IF(circ_int,eq_c1/2,0))*COS(3*PI()/2+(((39+0.5)*(4*IF(circ_int,0,eq_c1/2)+4*IF(circ_int,0,eq_c2/2)+2*PI()*(s_0+4*s_r+IF(circ_int,eq_c1/2,0)))/INDEX(lk_legs,5))-(((((((2*IF(circ_int,0,eq_c2/2))+(PI()*(s_0+4*s_r+IF(circ_int,eq_c1/2,0))/2))+2*IF(circ_int,0,eq_c1/2))+(PI()*(s_0+4*s_r+IF(circ_int,eq_c1/2,0))/2))+2*IF(circ_int,0,eq_c2/2))+(PI()*(s_0+4*s_r+IF(circ_int,eq_c1/2,0))/2))+2*IF(circ_int,0,eq_c1/2)))/(s_0+4*s_r+IF(circ_int,eq_c1/2,0)))))))))),NA())</f>
        <v/>
      </c>
      <c r="BY42">
        <f>IF(AND(AND(links_on,5&lt;=n_per),INDEX(lk_kind,5)=1,39&lt;INDEX(lk_legs,5)),g_oy+IF(((39+0.5)*(4*IF(circ_int,0,eq_c1/2)+4*IF(circ_int,0,eq_c2/2)+2*PI()*(s_0+4*s_r+IF(circ_int,eq_c1/2,0)))/INDEX(lk_legs,5))&lt;(2*IF(circ_int,0,eq_c2/2)),-IF(circ_int,0,eq_c2/2)+((39+0.5)*(4*IF(circ_int,0,eq_c1/2)+4*IF(circ_int,0,eq_c2/2)+2*PI()*(s_0+4*s_r+IF(circ_int,eq_c1/2,0)))/INDEX(lk_legs,5)),IF(((39+0.5)*(4*IF(circ_int,0,eq_c1/2)+4*IF(circ_int,0,eq_c2/2)+2*PI()*(s_0+4*s_r+IF(circ_int,eq_c1/2,0)))/INDEX(lk_legs,5))&lt;((2*IF(circ_int,0,eq_c2/2))+(PI()*(s_0+4*s_r+IF(circ_int,eq_c1/2,0))/2)),IF(circ_int,0,eq_c2/2)+(s_0+4*s_r+IF(circ_int,eq_c1/2,0))*SIN((((39+0.5)*(4*IF(circ_int,0,eq_c1/2)+4*IF(circ_int,0,eq_c2/2)+2*PI()*(s_0+4*s_r+IF(circ_int,eq_c1/2,0)))/INDEX(lk_legs,5))-(2*IF(circ_int,0,eq_c2/2)))/(s_0+4*s_r+IF(circ_int,eq_c1/2,0))),IF(((39+0.5)*(4*IF(circ_int,0,eq_c1/2)+4*IF(circ_int,0,eq_c2/2)+2*PI()*(s_0+4*s_r+IF(circ_int,eq_c1/2,0)))/INDEX(lk_legs,5))&lt;(((2*IF(circ_int,0,eq_c2/2))+(PI()*(s_0+4*s_r+IF(circ_int,eq_c1/2,0))/2))+2*IF(circ_int,0,eq_c1/2)),IF(circ_int,0,eq_c2/2)+(s_0+4*s_r+IF(circ_int,eq_c1/2,0)),IF(((39+0.5)*(4*IF(circ_int,0,eq_c1/2)+4*IF(circ_int,0,eq_c2/2)+2*PI()*(s_0+4*s_r+IF(circ_int,eq_c1/2,0)))/INDEX(lk_legs,5))&lt;((((2*IF(circ_int,0,eq_c2/2))+(PI()*(s_0+4*s_r+IF(circ_int,eq_c1/2,0))/2))+2*IF(circ_int,0,eq_c1/2))+(PI()*(s_0+4*s_r+IF(circ_int,eq_c1/2,0))/2)),IF(circ_int,0,eq_c2/2)+(s_0+4*s_r+IF(circ_int,eq_c1/2,0))*SIN(PI()/2+(((39+0.5)*(4*IF(circ_int,0,eq_c1/2)+4*IF(circ_int,0,eq_c2/2)+2*PI()*(s_0+4*s_r+IF(circ_int,eq_c1/2,0)))/INDEX(lk_legs,5))-(((2*IF(circ_int,0,eq_c2/2))+(PI()*(s_0+4*s_r+IF(circ_int,eq_c1/2,0))/2))+2*IF(circ_int,0,eq_c1/2)))/(s_0+4*s_r+IF(circ_int,eq_c1/2,0))),IF(((39+0.5)*(4*IF(circ_int,0,eq_c1/2)+4*IF(circ_int,0,eq_c2/2)+2*PI()*(s_0+4*s_r+IF(circ_int,eq_c1/2,0)))/INDEX(lk_legs,5))&lt;(((((2*IF(circ_int,0,eq_c2/2))+(PI()*(s_0+4*s_r+IF(circ_int,eq_c1/2,0))/2))+2*IF(circ_int,0,eq_c1/2))+(PI()*(s_0+4*s_r+IF(circ_int,eq_c1/2,0))/2))+2*IF(circ_int,0,eq_c2/2)),IF(circ_int,0,eq_c2/2)-(((39+0.5)*(4*IF(circ_int,0,eq_c1/2)+4*IF(circ_int,0,eq_c2/2)+2*PI()*(s_0+4*s_r+IF(circ_int,eq_c1/2,0)))/INDEX(lk_legs,5))-((((2*IF(circ_int,0,eq_c2/2))+(PI()*(s_0+4*s_r+IF(circ_int,eq_c1/2,0))/2))+2*IF(circ_int,0,eq_c1/2))+(PI()*(s_0+4*s_r+IF(circ_int,eq_c1/2,0))/2))),IF(((39+0.5)*(4*IF(circ_int,0,eq_c1/2)+4*IF(circ_int,0,eq_c2/2)+2*PI()*(s_0+4*s_r+IF(circ_int,eq_c1/2,0)))/INDEX(lk_legs,5))&lt;((((((2*IF(circ_int,0,eq_c2/2))+(PI()*(s_0+4*s_r+IF(circ_int,eq_c1/2,0))/2))+2*IF(circ_int,0,eq_c1/2))+(PI()*(s_0+4*s_r+IF(circ_int,eq_c1/2,0))/2))+2*IF(circ_int,0,eq_c2/2))+(PI()*(s_0+4*s_r+IF(circ_int,eq_c1/2,0))/2)),-IF(circ_int,0,eq_c2/2)+(s_0+4*s_r+IF(circ_int,eq_c1/2,0))*SIN(PI()+(((39+0.5)*(4*IF(circ_int,0,eq_c1/2)+4*IF(circ_int,0,eq_c2/2)+2*PI()*(s_0+4*s_r+IF(circ_int,eq_c1/2,0)))/INDEX(lk_legs,5))-(((((2*IF(circ_int,0,eq_c2/2))+(PI()*(s_0+4*s_r+IF(circ_int,eq_c1/2,0))/2))+2*IF(circ_int,0,eq_c1/2))+(PI()*(s_0+4*s_r+IF(circ_int,eq_c1/2,0))/2))+2*IF(circ_int,0,eq_c2/2)))/(s_0+4*s_r+IF(circ_int,eq_c1/2,0))),IF(((39+0.5)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(39+0.5)*(4*IF(circ_int,0,eq_c1/2)+4*IF(circ_int,0,eq_c2/2)+2*PI()*(s_0+4*s_r+IF(circ_int,eq_c1/2,0)))/INDEX(lk_legs,5))-(((((((2*IF(circ_int,0,eq_c2/2))+(PI()*(s_0+4*s_r+IF(circ_int,eq_c1/2,0))/2))+2*IF(circ_int,0,eq_c1/2))+(PI()*(s_0+4*s_r+IF(circ_int,eq_c1/2,0))/2))+2*IF(circ_int,0,eq_c2/2))+(PI()*(s_0+4*s_r+IF(circ_int,eq_c1/2,0))/2))+2*IF(circ_int,0,eq_c1/2)))/(s_0+4*s_r+IF(circ_int,eq_c1/2,0)))))))))),NA())</f>
        <v/>
      </c>
      <c r="CA42">
        <f>IF(AND(links_on,6&lt;=n_per),IF(circ_int,(g_ox)+(c_1/2+(s_0+5*s_r))*-0.000000,CHOOSE(INDEX(lk_kind,6),(g_ox+eq_c1/2)+((s_0+5*s_r))*-0.000000,0,eq_a1+eq_c1+(s_0+5*s_r),eq_a1+eq_c1+(s_0+5*s_r))),NA())</f>
        <v/>
      </c>
      <c r="CB42">
        <f>IF(AND(links_on,6&lt;=n_per),IF(circ_int,(g_oy)+(c_1/2+(s_0+5*s_r))*-1.000000,CHOOSE(INDEX(lk_kind,6),(g_oy-eq_c2/2)+((s_0+5*s_r))*-1.000000,g_oy-eq_c2/2-(s_0+5*s_r),0,0)),NA())</f>
        <v/>
      </c>
      <c r="CD42">
        <f>IF(AND(AND(links_on,6&lt;=n_per),INDEX(lk_kind,6)=1,39&lt;INDEX(lk_legs,6)),g_ox+IF(((39+0.5)*(4*IF(circ_int,0,eq_c1/2)+4*IF(circ_int,0,eq_c2/2)+2*PI()*(s_0+5*s_r+IF(circ_int,eq_c1/2,0)))/INDEX(lk_legs,6))&lt;(2*IF(circ_int,0,eq_c2/2)),IF(circ_int,0,eq_c1/2)+(s_0+5*s_r+IF(circ_int,eq_c1/2,0)),IF(((39+0.5)*(4*IF(circ_int,0,eq_c1/2)+4*IF(circ_int,0,eq_c2/2)+2*PI()*(s_0+5*s_r+IF(circ_int,eq_c1/2,0)))/INDEX(lk_legs,6))&lt;((2*IF(circ_int,0,eq_c2/2))+(PI()*(s_0+5*s_r+IF(circ_int,eq_c1/2,0))/2)),IF(circ_int,0,eq_c1/2)+(s_0+5*s_r+IF(circ_int,eq_c1/2,0))*COS((((39+0.5)*(4*IF(circ_int,0,eq_c1/2)+4*IF(circ_int,0,eq_c2/2)+2*PI()*(s_0+5*s_r+IF(circ_int,eq_c1/2,0)))/INDEX(lk_legs,6))-(2*IF(circ_int,0,eq_c2/2)))/(s_0+5*s_r+IF(circ_int,eq_c1/2,0))),IF(((39+0.5)*(4*IF(circ_int,0,eq_c1/2)+4*IF(circ_int,0,eq_c2/2)+2*PI()*(s_0+5*s_r+IF(circ_int,eq_c1/2,0)))/INDEX(lk_legs,6))&lt;(((2*IF(circ_int,0,eq_c2/2))+(PI()*(s_0+5*s_r+IF(circ_int,eq_c1/2,0))/2))+2*IF(circ_int,0,eq_c1/2)),IF(circ_int,0,eq_c1/2)-(((39+0.5)*(4*IF(circ_int,0,eq_c1/2)+4*IF(circ_int,0,eq_c2/2)+2*PI()*(s_0+5*s_r+IF(circ_int,eq_c1/2,0)))/INDEX(lk_legs,6))-((2*IF(circ_int,0,eq_c2/2))+(PI()*(s_0+5*s_r+IF(circ_int,eq_c1/2,0))/2))),IF(((39+0.5)*(4*IF(circ_int,0,eq_c1/2)+4*IF(circ_int,0,eq_c2/2)+2*PI()*(s_0+5*s_r+IF(circ_int,eq_c1/2,0)))/INDEX(lk_legs,6))&lt;((((2*IF(circ_int,0,eq_c2/2))+(PI()*(s_0+5*s_r+IF(circ_int,eq_c1/2,0))/2))+2*IF(circ_int,0,eq_c1/2))+(PI()*(s_0+5*s_r+IF(circ_int,eq_c1/2,0))/2)),-IF(circ_int,0,eq_c1/2)+(s_0+5*s_r+IF(circ_int,eq_c1/2,0))*COS(PI()/2+(((39+0.5)*(4*IF(circ_int,0,eq_c1/2)+4*IF(circ_int,0,eq_c2/2)+2*PI()*(s_0+5*s_r+IF(circ_int,eq_c1/2,0)))/INDEX(lk_legs,6))-(((2*IF(circ_int,0,eq_c2/2))+(PI()*(s_0+5*s_r+IF(circ_int,eq_c1/2,0))/2))+2*IF(circ_int,0,eq_c1/2)))/(s_0+5*s_r+IF(circ_int,eq_c1/2,0))),IF(((39+0.5)*(4*IF(circ_int,0,eq_c1/2)+4*IF(circ_int,0,eq_c2/2)+2*PI()*(s_0+5*s_r+IF(circ_int,eq_c1/2,0)))/INDEX(lk_legs,6))&lt;(((((2*IF(circ_int,0,eq_c2/2))+(PI()*(s_0+5*s_r+IF(circ_int,eq_c1/2,0))/2))+2*IF(circ_int,0,eq_c1/2))+(PI()*(s_0+5*s_r+IF(circ_int,eq_c1/2,0))/2))+2*IF(circ_int,0,eq_c2/2)),-IF(circ_int,0,eq_c1/2)-(s_0+5*s_r+IF(circ_int,eq_c1/2,0)),IF(((39+0.5)*(4*IF(circ_int,0,eq_c1/2)+4*IF(circ_int,0,eq_c2/2)+2*PI()*(s_0+5*s_r+IF(circ_int,eq_c1/2,0)))/INDEX(lk_legs,6))&lt;((((((2*IF(circ_int,0,eq_c2/2))+(PI()*(s_0+5*s_r+IF(circ_int,eq_c1/2,0))/2))+2*IF(circ_int,0,eq_c1/2))+(PI()*(s_0+5*s_r+IF(circ_int,eq_c1/2,0))/2))+2*IF(circ_int,0,eq_c2/2))+(PI()*(s_0+5*s_r+IF(circ_int,eq_c1/2,0))/2)),-IF(circ_int,0,eq_c1/2)+(s_0+5*s_r+IF(circ_int,eq_c1/2,0))*COS(PI()+(((39+0.5)*(4*IF(circ_int,0,eq_c1/2)+4*IF(circ_int,0,eq_c2/2)+2*PI()*(s_0+5*s_r+IF(circ_int,eq_c1/2,0)))/INDEX(lk_legs,6))-(((((2*IF(circ_int,0,eq_c2/2))+(PI()*(s_0+5*s_r+IF(circ_int,eq_c1/2,0))/2))+2*IF(circ_int,0,eq_c1/2))+(PI()*(s_0+5*s_r+IF(circ_int,eq_c1/2,0))/2))+2*IF(circ_int,0,eq_c2/2)))/(s_0+5*s_r+IF(circ_int,eq_c1/2,0))),IF(((39+0.5)*(4*IF(circ_int,0,eq_c1/2)+4*IF(circ_int,0,eq_c2/2)+2*PI()*(s_0+5*s_r+IF(circ_int,eq_c1/2,0)))/INDEX(lk_legs,6))&lt;(((((((2*IF(circ_int,0,eq_c2/2))+(PI()*(s_0+5*s_r+IF(circ_int,eq_c1/2,0))/2))+2*IF(circ_int,0,eq_c1/2))+(PI()*(s_0+5*s_r+IF(circ_int,eq_c1/2,0))/2))+2*IF(circ_int,0,eq_c2/2))+(PI()*(s_0+5*s_r+IF(circ_int,eq_c1/2,0))/2))+2*IF(circ_int,0,eq_c1/2)),-IF(circ_int,0,eq_c1/2)+(((39+0.5)*(4*IF(circ_int,0,eq_c1/2)+4*IF(circ_int,0,eq_c2/2)+2*PI()*(s_0+5*s_r+IF(circ_int,eq_c1/2,0)))/INDEX(lk_legs,6))-((((((2*IF(circ_int,0,eq_c2/2))+(PI()*(s_0+5*s_r+IF(circ_int,eq_c1/2,0))/2))+2*IF(circ_int,0,eq_c1/2))+(PI()*(s_0+5*s_r+IF(circ_int,eq_c1/2,0))/2))+2*IF(circ_int,0,eq_c2/2))+(PI()*(s_0+5*s_r+IF(circ_int,eq_c1/2,0))/2))),IF(circ_int,0,eq_c1/2)+(s_0+5*s_r+IF(circ_int,eq_c1/2,0))*COS(3*PI()/2+(((39+0.5)*(4*IF(circ_int,0,eq_c1/2)+4*IF(circ_int,0,eq_c2/2)+2*PI()*(s_0+5*s_r+IF(circ_int,eq_c1/2,0)))/INDEX(lk_legs,6))-(((((((2*IF(circ_int,0,eq_c2/2))+(PI()*(s_0+5*s_r+IF(circ_int,eq_c1/2,0))/2))+2*IF(circ_int,0,eq_c1/2))+(PI()*(s_0+5*s_r+IF(circ_int,eq_c1/2,0))/2))+2*IF(circ_int,0,eq_c2/2))+(PI()*(s_0+5*s_r+IF(circ_int,eq_c1/2,0))/2))+2*IF(circ_int,0,eq_c1/2)))/(s_0+5*s_r+IF(circ_int,eq_c1/2,0)))))))))),NA())</f>
        <v/>
      </c>
      <c r="CE42">
        <f>IF(AND(AND(links_on,6&lt;=n_per),INDEX(lk_kind,6)=1,39&lt;INDEX(lk_legs,6)),g_oy+IF(((39+0.5)*(4*IF(circ_int,0,eq_c1/2)+4*IF(circ_int,0,eq_c2/2)+2*PI()*(s_0+5*s_r+IF(circ_int,eq_c1/2,0)))/INDEX(lk_legs,6))&lt;(2*IF(circ_int,0,eq_c2/2)),-IF(circ_int,0,eq_c2/2)+((39+0.5)*(4*IF(circ_int,0,eq_c1/2)+4*IF(circ_int,0,eq_c2/2)+2*PI()*(s_0+5*s_r+IF(circ_int,eq_c1/2,0)))/INDEX(lk_legs,6)),IF(((39+0.5)*(4*IF(circ_int,0,eq_c1/2)+4*IF(circ_int,0,eq_c2/2)+2*PI()*(s_0+5*s_r+IF(circ_int,eq_c1/2,0)))/INDEX(lk_legs,6))&lt;((2*IF(circ_int,0,eq_c2/2))+(PI()*(s_0+5*s_r+IF(circ_int,eq_c1/2,0))/2)),IF(circ_int,0,eq_c2/2)+(s_0+5*s_r+IF(circ_int,eq_c1/2,0))*SIN((((39+0.5)*(4*IF(circ_int,0,eq_c1/2)+4*IF(circ_int,0,eq_c2/2)+2*PI()*(s_0+5*s_r+IF(circ_int,eq_c1/2,0)))/INDEX(lk_legs,6))-(2*IF(circ_int,0,eq_c2/2)))/(s_0+5*s_r+IF(circ_int,eq_c1/2,0))),IF(((39+0.5)*(4*IF(circ_int,0,eq_c1/2)+4*IF(circ_int,0,eq_c2/2)+2*PI()*(s_0+5*s_r+IF(circ_int,eq_c1/2,0)))/INDEX(lk_legs,6))&lt;(((2*IF(circ_int,0,eq_c2/2))+(PI()*(s_0+5*s_r+IF(circ_int,eq_c1/2,0))/2))+2*IF(circ_int,0,eq_c1/2)),IF(circ_int,0,eq_c2/2)+(s_0+5*s_r+IF(circ_int,eq_c1/2,0)),IF(((39+0.5)*(4*IF(circ_int,0,eq_c1/2)+4*IF(circ_int,0,eq_c2/2)+2*PI()*(s_0+5*s_r+IF(circ_int,eq_c1/2,0)))/INDEX(lk_legs,6))&lt;((((2*IF(circ_int,0,eq_c2/2))+(PI()*(s_0+5*s_r+IF(circ_int,eq_c1/2,0))/2))+2*IF(circ_int,0,eq_c1/2))+(PI()*(s_0+5*s_r+IF(circ_int,eq_c1/2,0))/2)),IF(circ_int,0,eq_c2/2)+(s_0+5*s_r+IF(circ_int,eq_c1/2,0))*SIN(PI()/2+(((39+0.5)*(4*IF(circ_int,0,eq_c1/2)+4*IF(circ_int,0,eq_c2/2)+2*PI()*(s_0+5*s_r+IF(circ_int,eq_c1/2,0)))/INDEX(lk_legs,6))-(((2*IF(circ_int,0,eq_c2/2))+(PI()*(s_0+5*s_r+IF(circ_int,eq_c1/2,0))/2))+2*IF(circ_int,0,eq_c1/2)))/(s_0+5*s_r+IF(circ_int,eq_c1/2,0))),IF(((39+0.5)*(4*IF(circ_int,0,eq_c1/2)+4*IF(circ_int,0,eq_c2/2)+2*PI()*(s_0+5*s_r+IF(circ_int,eq_c1/2,0)))/INDEX(lk_legs,6))&lt;(((((2*IF(circ_int,0,eq_c2/2))+(PI()*(s_0+5*s_r+IF(circ_int,eq_c1/2,0))/2))+2*IF(circ_int,0,eq_c1/2))+(PI()*(s_0+5*s_r+IF(circ_int,eq_c1/2,0))/2))+2*IF(circ_int,0,eq_c2/2)),IF(circ_int,0,eq_c2/2)-(((39+0.5)*(4*IF(circ_int,0,eq_c1/2)+4*IF(circ_int,0,eq_c2/2)+2*PI()*(s_0+5*s_r+IF(circ_int,eq_c1/2,0)))/INDEX(lk_legs,6))-((((2*IF(circ_int,0,eq_c2/2))+(PI()*(s_0+5*s_r+IF(circ_int,eq_c1/2,0))/2))+2*IF(circ_int,0,eq_c1/2))+(PI()*(s_0+5*s_r+IF(circ_int,eq_c1/2,0))/2))),IF(((39+0.5)*(4*IF(circ_int,0,eq_c1/2)+4*IF(circ_int,0,eq_c2/2)+2*PI()*(s_0+5*s_r+IF(circ_int,eq_c1/2,0)))/INDEX(lk_legs,6))&lt;((((((2*IF(circ_int,0,eq_c2/2))+(PI()*(s_0+5*s_r+IF(circ_int,eq_c1/2,0))/2))+2*IF(circ_int,0,eq_c1/2))+(PI()*(s_0+5*s_r+IF(circ_int,eq_c1/2,0))/2))+2*IF(circ_int,0,eq_c2/2))+(PI()*(s_0+5*s_r+IF(circ_int,eq_c1/2,0))/2)),-IF(circ_int,0,eq_c2/2)+(s_0+5*s_r+IF(circ_int,eq_c1/2,0))*SIN(PI()+(((39+0.5)*(4*IF(circ_int,0,eq_c1/2)+4*IF(circ_int,0,eq_c2/2)+2*PI()*(s_0+5*s_r+IF(circ_int,eq_c1/2,0)))/INDEX(lk_legs,6))-(((((2*IF(circ_int,0,eq_c2/2))+(PI()*(s_0+5*s_r+IF(circ_int,eq_c1/2,0))/2))+2*IF(circ_int,0,eq_c1/2))+(PI()*(s_0+5*s_r+IF(circ_int,eq_c1/2,0))/2))+2*IF(circ_int,0,eq_c2/2)))/(s_0+5*s_r+IF(circ_int,eq_c1/2,0))),IF(((39+0.5)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(39+0.5)*(4*IF(circ_int,0,eq_c1/2)+4*IF(circ_int,0,eq_c2/2)+2*PI()*(s_0+5*s_r+IF(circ_int,eq_c1/2,0)))/INDEX(lk_legs,6))-(((((((2*IF(circ_int,0,eq_c2/2))+(PI()*(s_0+5*s_r+IF(circ_int,eq_c1/2,0))/2))+2*IF(circ_int,0,eq_c1/2))+(PI()*(s_0+5*s_r+IF(circ_int,eq_c1/2,0))/2))+2*IF(circ_int,0,eq_c2/2))+(PI()*(s_0+5*s_r+IF(circ_int,eq_c1/2,0))/2))+2*IF(circ_int,0,eq_c1/2)))/(s_0+5*s_r+IF(circ_int,eq_c1/2,0)))))))))),NA())</f>
        <v/>
      </c>
      <c r="CG42">
        <f>IF(AND(links_on,7&lt;=n_per),IF(circ_int,(g_ox)+(c_1/2+(s_0+6*s_r))*-0.000000,CHOOSE(INDEX(lk_kind,7),(g_ox+eq_c1/2)+((s_0+6*s_r))*-0.000000,0,eq_a1+eq_c1+(s_0+6*s_r),eq_a1+eq_c1+(s_0+6*s_r))),NA())</f>
        <v/>
      </c>
      <c r="CH42">
        <f>IF(AND(links_on,7&lt;=n_per),IF(circ_int,(g_oy)+(c_1/2+(s_0+6*s_r))*-1.000000,CHOOSE(INDEX(lk_kind,7),(g_oy-eq_c2/2)+((s_0+6*s_r))*-1.000000,g_oy-eq_c2/2-(s_0+6*s_r),0,0)),NA())</f>
        <v/>
      </c>
      <c r="CJ42">
        <f>IF(AND(AND(links_on,7&lt;=n_per),INDEX(lk_kind,7)=1,39&lt;INDEX(lk_legs,7)),g_ox+IF(((39+0.5)*(4*IF(circ_int,0,eq_c1/2)+4*IF(circ_int,0,eq_c2/2)+2*PI()*(s_0+6*s_r+IF(circ_int,eq_c1/2,0)))/INDEX(lk_legs,7))&lt;(2*IF(circ_int,0,eq_c2/2)),IF(circ_int,0,eq_c1/2)+(s_0+6*s_r+IF(circ_int,eq_c1/2,0)),IF(((39+0.5)*(4*IF(circ_int,0,eq_c1/2)+4*IF(circ_int,0,eq_c2/2)+2*PI()*(s_0+6*s_r+IF(circ_int,eq_c1/2,0)))/INDEX(lk_legs,7))&lt;((2*IF(circ_int,0,eq_c2/2))+(PI()*(s_0+6*s_r+IF(circ_int,eq_c1/2,0))/2)),IF(circ_int,0,eq_c1/2)+(s_0+6*s_r+IF(circ_int,eq_c1/2,0))*COS((((39+0.5)*(4*IF(circ_int,0,eq_c1/2)+4*IF(circ_int,0,eq_c2/2)+2*PI()*(s_0+6*s_r+IF(circ_int,eq_c1/2,0)))/INDEX(lk_legs,7))-(2*IF(circ_int,0,eq_c2/2)))/(s_0+6*s_r+IF(circ_int,eq_c1/2,0))),IF(((39+0.5)*(4*IF(circ_int,0,eq_c1/2)+4*IF(circ_int,0,eq_c2/2)+2*PI()*(s_0+6*s_r+IF(circ_int,eq_c1/2,0)))/INDEX(lk_legs,7))&lt;(((2*IF(circ_int,0,eq_c2/2))+(PI()*(s_0+6*s_r+IF(circ_int,eq_c1/2,0))/2))+2*IF(circ_int,0,eq_c1/2)),IF(circ_int,0,eq_c1/2)-(((39+0.5)*(4*IF(circ_int,0,eq_c1/2)+4*IF(circ_int,0,eq_c2/2)+2*PI()*(s_0+6*s_r+IF(circ_int,eq_c1/2,0)))/INDEX(lk_legs,7))-((2*IF(circ_int,0,eq_c2/2))+(PI()*(s_0+6*s_r+IF(circ_int,eq_c1/2,0))/2))),IF(((39+0.5)*(4*IF(circ_int,0,eq_c1/2)+4*IF(circ_int,0,eq_c2/2)+2*PI()*(s_0+6*s_r+IF(circ_int,eq_c1/2,0)))/INDEX(lk_legs,7))&lt;((((2*IF(circ_int,0,eq_c2/2))+(PI()*(s_0+6*s_r+IF(circ_int,eq_c1/2,0))/2))+2*IF(circ_int,0,eq_c1/2))+(PI()*(s_0+6*s_r+IF(circ_int,eq_c1/2,0))/2)),-IF(circ_int,0,eq_c1/2)+(s_0+6*s_r+IF(circ_int,eq_c1/2,0))*COS(PI()/2+(((39+0.5)*(4*IF(circ_int,0,eq_c1/2)+4*IF(circ_int,0,eq_c2/2)+2*PI()*(s_0+6*s_r+IF(circ_int,eq_c1/2,0)))/INDEX(lk_legs,7))-(((2*IF(circ_int,0,eq_c2/2))+(PI()*(s_0+6*s_r+IF(circ_int,eq_c1/2,0))/2))+2*IF(circ_int,0,eq_c1/2)))/(s_0+6*s_r+IF(circ_int,eq_c1/2,0))),IF(((39+0.5)*(4*IF(circ_int,0,eq_c1/2)+4*IF(circ_int,0,eq_c2/2)+2*PI()*(s_0+6*s_r+IF(circ_int,eq_c1/2,0)))/INDEX(lk_legs,7))&lt;(((((2*IF(circ_int,0,eq_c2/2))+(PI()*(s_0+6*s_r+IF(circ_int,eq_c1/2,0))/2))+2*IF(circ_int,0,eq_c1/2))+(PI()*(s_0+6*s_r+IF(circ_int,eq_c1/2,0))/2))+2*IF(circ_int,0,eq_c2/2)),-IF(circ_int,0,eq_c1/2)-(s_0+6*s_r+IF(circ_int,eq_c1/2,0)),IF(((39+0.5)*(4*IF(circ_int,0,eq_c1/2)+4*IF(circ_int,0,eq_c2/2)+2*PI()*(s_0+6*s_r+IF(circ_int,eq_c1/2,0)))/INDEX(lk_legs,7))&lt;((((((2*IF(circ_int,0,eq_c2/2))+(PI()*(s_0+6*s_r+IF(circ_int,eq_c1/2,0))/2))+2*IF(circ_int,0,eq_c1/2))+(PI()*(s_0+6*s_r+IF(circ_int,eq_c1/2,0))/2))+2*IF(circ_int,0,eq_c2/2))+(PI()*(s_0+6*s_r+IF(circ_int,eq_c1/2,0))/2)),-IF(circ_int,0,eq_c1/2)+(s_0+6*s_r+IF(circ_int,eq_c1/2,0))*COS(PI()+(((39+0.5)*(4*IF(circ_int,0,eq_c1/2)+4*IF(circ_int,0,eq_c2/2)+2*PI()*(s_0+6*s_r+IF(circ_int,eq_c1/2,0)))/INDEX(lk_legs,7))-(((((2*IF(circ_int,0,eq_c2/2))+(PI()*(s_0+6*s_r+IF(circ_int,eq_c1/2,0))/2))+2*IF(circ_int,0,eq_c1/2))+(PI()*(s_0+6*s_r+IF(circ_int,eq_c1/2,0))/2))+2*IF(circ_int,0,eq_c2/2)))/(s_0+6*s_r+IF(circ_int,eq_c1/2,0))),IF(((39+0.5)*(4*IF(circ_int,0,eq_c1/2)+4*IF(circ_int,0,eq_c2/2)+2*PI()*(s_0+6*s_r+IF(circ_int,eq_c1/2,0)))/INDEX(lk_legs,7))&lt;(((((((2*IF(circ_int,0,eq_c2/2))+(PI()*(s_0+6*s_r+IF(circ_int,eq_c1/2,0))/2))+2*IF(circ_int,0,eq_c1/2))+(PI()*(s_0+6*s_r+IF(circ_int,eq_c1/2,0))/2))+2*IF(circ_int,0,eq_c2/2))+(PI()*(s_0+6*s_r+IF(circ_int,eq_c1/2,0))/2))+2*IF(circ_int,0,eq_c1/2)),-IF(circ_int,0,eq_c1/2)+(((39+0.5)*(4*IF(circ_int,0,eq_c1/2)+4*IF(circ_int,0,eq_c2/2)+2*PI()*(s_0+6*s_r+IF(circ_int,eq_c1/2,0)))/INDEX(lk_legs,7))-((((((2*IF(circ_int,0,eq_c2/2))+(PI()*(s_0+6*s_r+IF(circ_int,eq_c1/2,0))/2))+2*IF(circ_int,0,eq_c1/2))+(PI()*(s_0+6*s_r+IF(circ_int,eq_c1/2,0))/2))+2*IF(circ_int,0,eq_c2/2))+(PI()*(s_0+6*s_r+IF(circ_int,eq_c1/2,0))/2))),IF(circ_int,0,eq_c1/2)+(s_0+6*s_r+IF(circ_int,eq_c1/2,0))*COS(3*PI()/2+(((39+0.5)*(4*IF(circ_int,0,eq_c1/2)+4*IF(circ_int,0,eq_c2/2)+2*PI()*(s_0+6*s_r+IF(circ_int,eq_c1/2,0)))/INDEX(lk_legs,7))-(((((((2*IF(circ_int,0,eq_c2/2))+(PI()*(s_0+6*s_r+IF(circ_int,eq_c1/2,0))/2))+2*IF(circ_int,0,eq_c1/2))+(PI()*(s_0+6*s_r+IF(circ_int,eq_c1/2,0))/2))+2*IF(circ_int,0,eq_c2/2))+(PI()*(s_0+6*s_r+IF(circ_int,eq_c1/2,0))/2))+2*IF(circ_int,0,eq_c1/2)))/(s_0+6*s_r+IF(circ_int,eq_c1/2,0)))))))))),NA())</f>
        <v/>
      </c>
      <c r="CK42">
        <f>IF(AND(AND(links_on,7&lt;=n_per),INDEX(lk_kind,7)=1,39&lt;INDEX(lk_legs,7)),g_oy+IF(((39+0.5)*(4*IF(circ_int,0,eq_c1/2)+4*IF(circ_int,0,eq_c2/2)+2*PI()*(s_0+6*s_r+IF(circ_int,eq_c1/2,0)))/INDEX(lk_legs,7))&lt;(2*IF(circ_int,0,eq_c2/2)),-IF(circ_int,0,eq_c2/2)+((39+0.5)*(4*IF(circ_int,0,eq_c1/2)+4*IF(circ_int,0,eq_c2/2)+2*PI()*(s_0+6*s_r+IF(circ_int,eq_c1/2,0)))/INDEX(lk_legs,7)),IF(((39+0.5)*(4*IF(circ_int,0,eq_c1/2)+4*IF(circ_int,0,eq_c2/2)+2*PI()*(s_0+6*s_r+IF(circ_int,eq_c1/2,0)))/INDEX(lk_legs,7))&lt;((2*IF(circ_int,0,eq_c2/2))+(PI()*(s_0+6*s_r+IF(circ_int,eq_c1/2,0))/2)),IF(circ_int,0,eq_c2/2)+(s_0+6*s_r+IF(circ_int,eq_c1/2,0))*SIN((((39+0.5)*(4*IF(circ_int,0,eq_c1/2)+4*IF(circ_int,0,eq_c2/2)+2*PI()*(s_0+6*s_r+IF(circ_int,eq_c1/2,0)))/INDEX(lk_legs,7))-(2*IF(circ_int,0,eq_c2/2)))/(s_0+6*s_r+IF(circ_int,eq_c1/2,0))),IF(((39+0.5)*(4*IF(circ_int,0,eq_c1/2)+4*IF(circ_int,0,eq_c2/2)+2*PI()*(s_0+6*s_r+IF(circ_int,eq_c1/2,0)))/INDEX(lk_legs,7))&lt;(((2*IF(circ_int,0,eq_c2/2))+(PI()*(s_0+6*s_r+IF(circ_int,eq_c1/2,0))/2))+2*IF(circ_int,0,eq_c1/2)),IF(circ_int,0,eq_c2/2)+(s_0+6*s_r+IF(circ_int,eq_c1/2,0)),IF(((39+0.5)*(4*IF(circ_int,0,eq_c1/2)+4*IF(circ_int,0,eq_c2/2)+2*PI()*(s_0+6*s_r+IF(circ_int,eq_c1/2,0)))/INDEX(lk_legs,7))&lt;((((2*IF(circ_int,0,eq_c2/2))+(PI()*(s_0+6*s_r+IF(circ_int,eq_c1/2,0))/2))+2*IF(circ_int,0,eq_c1/2))+(PI()*(s_0+6*s_r+IF(circ_int,eq_c1/2,0))/2)),IF(circ_int,0,eq_c2/2)+(s_0+6*s_r+IF(circ_int,eq_c1/2,0))*SIN(PI()/2+(((39+0.5)*(4*IF(circ_int,0,eq_c1/2)+4*IF(circ_int,0,eq_c2/2)+2*PI()*(s_0+6*s_r+IF(circ_int,eq_c1/2,0)))/INDEX(lk_legs,7))-(((2*IF(circ_int,0,eq_c2/2))+(PI()*(s_0+6*s_r+IF(circ_int,eq_c1/2,0))/2))+2*IF(circ_int,0,eq_c1/2)))/(s_0+6*s_r+IF(circ_int,eq_c1/2,0))),IF(((39+0.5)*(4*IF(circ_int,0,eq_c1/2)+4*IF(circ_int,0,eq_c2/2)+2*PI()*(s_0+6*s_r+IF(circ_int,eq_c1/2,0)))/INDEX(lk_legs,7))&lt;(((((2*IF(circ_int,0,eq_c2/2))+(PI()*(s_0+6*s_r+IF(circ_int,eq_c1/2,0))/2))+2*IF(circ_int,0,eq_c1/2))+(PI()*(s_0+6*s_r+IF(circ_int,eq_c1/2,0))/2))+2*IF(circ_int,0,eq_c2/2)),IF(circ_int,0,eq_c2/2)-(((39+0.5)*(4*IF(circ_int,0,eq_c1/2)+4*IF(circ_int,0,eq_c2/2)+2*PI()*(s_0+6*s_r+IF(circ_int,eq_c1/2,0)))/INDEX(lk_legs,7))-((((2*IF(circ_int,0,eq_c2/2))+(PI()*(s_0+6*s_r+IF(circ_int,eq_c1/2,0))/2))+2*IF(circ_int,0,eq_c1/2))+(PI()*(s_0+6*s_r+IF(circ_int,eq_c1/2,0))/2))),IF(((39+0.5)*(4*IF(circ_int,0,eq_c1/2)+4*IF(circ_int,0,eq_c2/2)+2*PI()*(s_0+6*s_r+IF(circ_int,eq_c1/2,0)))/INDEX(lk_legs,7))&lt;((((((2*IF(circ_int,0,eq_c2/2))+(PI()*(s_0+6*s_r+IF(circ_int,eq_c1/2,0))/2))+2*IF(circ_int,0,eq_c1/2))+(PI()*(s_0+6*s_r+IF(circ_int,eq_c1/2,0))/2))+2*IF(circ_int,0,eq_c2/2))+(PI()*(s_0+6*s_r+IF(circ_int,eq_c1/2,0))/2)),-IF(circ_int,0,eq_c2/2)+(s_0+6*s_r+IF(circ_int,eq_c1/2,0))*SIN(PI()+(((39+0.5)*(4*IF(circ_int,0,eq_c1/2)+4*IF(circ_int,0,eq_c2/2)+2*PI()*(s_0+6*s_r+IF(circ_int,eq_c1/2,0)))/INDEX(lk_legs,7))-(((((2*IF(circ_int,0,eq_c2/2))+(PI()*(s_0+6*s_r+IF(circ_int,eq_c1/2,0))/2))+2*IF(circ_int,0,eq_c1/2))+(PI()*(s_0+6*s_r+IF(circ_int,eq_c1/2,0))/2))+2*IF(circ_int,0,eq_c2/2)))/(s_0+6*s_r+IF(circ_int,eq_c1/2,0))),IF(((39+0.5)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(39+0.5)*(4*IF(circ_int,0,eq_c1/2)+4*IF(circ_int,0,eq_c2/2)+2*PI()*(s_0+6*s_r+IF(circ_int,eq_c1/2,0)))/INDEX(lk_legs,7))-(((((((2*IF(circ_int,0,eq_c2/2))+(PI()*(s_0+6*s_r+IF(circ_int,eq_c1/2,0))/2))+2*IF(circ_int,0,eq_c1/2))+(PI()*(s_0+6*s_r+IF(circ_int,eq_c1/2,0))/2))+2*IF(circ_int,0,eq_c2/2))+(PI()*(s_0+6*s_r+IF(circ_int,eq_c1/2,0))/2))+2*IF(circ_int,0,eq_c1/2)))/(s_0+6*s_r+IF(circ_int,eq_c1/2,0)))))))))),NA())</f>
        <v/>
      </c>
      <c r="CM42">
        <f>IF(AND(links_on,8&lt;=n_per),IF(circ_int,(g_ox)+(c_1/2+(s_0+7*s_r))*-0.000000,CHOOSE(INDEX(lk_kind,8),(g_ox+eq_c1/2)+((s_0+7*s_r))*-0.000000,0,eq_a1+eq_c1+(s_0+7*s_r),eq_a1+eq_c1+(s_0+7*s_r))),NA())</f>
        <v/>
      </c>
      <c r="CN42">
        <f>IF(AND(links_on,8&lt;=n_per),IF(circ_int,(g_oy)+(c_1/2+(s_0+7*s_r))*-1.000000,CHOOSE(INDEX(lk_kind,8),(g_oy-eq_c2/2)+((s_0+7*s_r))*-1.000000,g_oy-eq_c2/2-(s_0+7*s_r),0,0)),NA())</f>
        <v/>
      </c>
      <c r="CP42">
        <f>IF(AND(AND(links_on,8&lt;=n_per),INDEX(lk_kind,8)=1,39&lt;INDEX(lk_legs,8)),g_ox+IF(((39+0.5)*(4*IF(circ_int,0,eq_c1/2)+4*IF(circ_int,0,eq_c2/2)+2*PI()*(s_0+7*s_r+IF(circ_int,eq_c1/2,0)))/INDEX(lk_legs,8))&lt;(2*IF(circ_int,0,eq_c2/2)),IF(circ_int,0,eq_c1/2)+(s_0+7*s_r+IF(circ_int,eq_c1/2,0)),IF(((39+0.5)*(4*IF(circ_int,0,eq_c1/2)+4*IF(circ_int,0,eq_c2/2)+2*PI()*(s_0+7*s_r+IF(circ_int,eq_c1/2,0)))/INDEX(lk_legs,8))&lt;((2*IF(circ_int,0,eq_c2/2))+(PI()*(s_0+7*s_r+IF(circ_int,eq_c1/2,0))/2)),IF(circ_int,0,eq_c1/2)+(s_0+7*s_r+IF(circ_int,eq_c1/2,0))*COS((((39+0.5)*(4*IF(circ_int,0,eq_c1/2)+4*IF(circ_int,0,eq_c2/2)+2*PI()*(s_0+7*s_r+IF(circ_int,eq_c1/2,0)))/INDEX(lk_legs,8))-(2*IF(circ_int,0,eq_c2/2)))/(s_0+7*s_r+IF(circ_int,eq_c1/2,0))),IF(((39+0.5)*(4*IF(circ_int,0,eq_c1/2)+4*IF(circ_int,0,eq_c2/2)+2*PI()*(s_0+7*s_r+IF(circ_int,eq_c1/2,0)))/INDEX(lk_legs,8))&lt;(((2*IF(circ_int,0,eq_c2/2))+(PI()*(s_0+7*s_r+IF(circ_int,eq_c1/2,0))/2))+2*IF(circ_int,0,eq_c1/2)),IF(circ_int,0,eq_c1/2)-(((39+0.5)*(4*IF(circ_int,0,eq_c1/2)+4*IF(circ_int,0,eq_c2/2)+2*PI()*(s_0+7*s_r+IF(circ_int,eq_c1/2,0)))/INDEX(lk_legs,8))-((2*IF(circ_int,0,eq_c2/2))+(PI()*(s_0+7*s_r+IF(circ_int,eq_c1/2,0))/2))),IF(((39+0.5)*(4*IF(circ_int,0,eq_c1/2)+4*IF(circ_int,0,eq_c2/2)+2*PI()*(s_0+7*s_r+IF(circ_int,eq_c1/2,0)))/INDEX(lk_legs,8))&lt;((((2*IF(circ_int,0,eq_c2/2))+(PI()*(s_0+7*s_r+IF(circ_int,eq_c1/2,0))/2))+2*IF(circ_int,0,eq_c1/2))+(PI()*(s_0+7*s_r+IF(circ_int,eq_c1/2,0))/2)),-IF(circ_int,0,eq_c1/2)+(s_0+7*s_r+IF(circ_int,eq_c1/2,0))*COS(PI()/2+(((39+0.5)*(4*IF(circ_int,0,eq_c1/2)+4*IF(circ_int,0,eq_c2/2)+2*PI()*(s_0+7*s_r+IF(circ_int,eq_c1/2,0)))/INDEX(lk_legs,8))-(((2*IF(circ_int,0,eq_c2/2))+(PI()*(s_0+7*s_r+IF(circ_int,eq_c1/2,0))/2))+2*IF(circ_int,0,eq_c1/2)))/(s_0+7*s_r+IF(circ_int,eq_c1/2,0))),IF(((39+0.5)*(4*IF(circ_int,0,eq_c1/2)+4*IF(circ_int,0,eq_c2/2)+2*PI()*(s_0+7*s_r+IF(circ_int,eq_c1/2,0)))/INDEX(lk_legs,8))&lt;(((((2*IF(circ_int,0,eq_c2/2))+(PI()*(s_0+7*s_r+IF(circ_int,eq_c1/2,0))/2))+2*IF(circ_int,0,eq_c1/2))+(PI()*(s_0+7*s_r+IF(circ_int,eq_c1/2,0))/2))+2*IF(circ_int,0,eq_c2/2)),-IF(circ_int,0,eq_c1/2)-(s_0+7*s_r+IF(circ_int,eq_c1/2,0)),IF(((39+0.5)*(4*IF(circ_int,0,eq_c1/2)+4*IF(circ_int,0,eq_c2/2)+2*PI()*(s_0+7*s_r+IF(circ_int,eq_c1/2,0)))/INDEX(lk_legs,8))&lt;((((((2*IF(circ_int,0,eq_c2/2))+(PI()*(s_0+7*s_r+IF(circ_int,eq_c1/2,0))/2))+2*IF(circ_int,0,eq_c1/2))+(PI()*(s_0+7*s_r+IF(circ_int,eq_c1/2,0))/2))+2*IF(circ_int,0,eq_c2/2))+(PI()*(s_0+7*s_r+IF(circ_int,eq_c1/2,0))/2)),-IF(circ_int,0,eq_c1/2)+(s_0+7*s_r+IF(circ_int,eq_c1/2,0))*COS(PI()+(((39+0.5)*(4*IF(circ_int,0,eq_c1/2)+4*IF(circ_int,0,eq_c2/2)+2*PI()*(s_0+7*s_r+IF(circ_int,eq_c1/2,0)))/INDEX(lk_legs,8))-(((((2*IF(circ_int,0,eq_c2/2))+(PI()*(s_0+7*s_r+IF(circ_int,eq_c1/2,0))/2))+2*IF(circ_int,0,eq_c1/2))+(PI()*(s_0+7*s_r+IF(circ_int,eq_c1/2,0))/2))+2*IF(circ_int,0,eq_c2/2)))/(s_0+7*s_r+IF(circ_int,eq_c1/2,0))),IF(((39+0.5)*(4*IF(circ_int,0,eq_c1/2)+4*IF(circ_int,0,eq_c2/2)+2*PI()*(s_0+7*s_r+IF(circ_int,eq_c1/2,0)))/INDEX(lk_legs,8))&lt;(((((((2*IF(circ_int,0,eq_c2/2))+(PI()*(s_0+7*s_r+IF(circ_int,eq_c1/2,0))/2))+2*IF(circ_int,0,eq_c1/2))+(PI()*(s_0+7*s_r+IF(circ_int,eq_c1/2,0))/2))+2*IF(circ_int,0,eq_c2/2))+(PI()*(s_0+7*s_r+IF(circ_int,eq_c1/2,0))/2))+2*IF(circ_int,0,eq_c1/2)),-IF(circ_int,0,eq_c1/2)+(((39+0.5)*(4*IF(circ_int,0,eq_c1/2)+4*IF(circ_int,0,eq_c2/2)+2*PI()*(s_0+7*s_r+IF(circ_int,eq_c1/2,0)))/INDEX(lk_legs,8))-((((((2*IF(circ_int,0,eq_c2/2))+(PI()*(s_0+7*s_r+IF(circ_int,eq_c1/2,0))/2))+2*IF(circ_int,0,eq_c1/2))+(PI()*(s_0+7*s_r+IF(circ_int,eq_c1/2,0))/2))+2*IF(circ_int,0,eq_c2/2))+(PI()*(s_0+7*s_r+IF(circ_int,eq_c1/2,0))/2))),IF(circ_int,0,eq_c1/2)+(s_0+7*s_r+IF(circ_int,eq_c1/2,0))*COS(3*PI()/2+(((39+0.5)*(4*IF(circ_int,0,eq_c1/2)+4*IF(circ_int,0,eq_c2/2)+2*PI()*(s_0+7*s_r+IF(circ_int,eq_c1/2,0)))/INDEX(lk_legs,8))-(((((((2*IF(circ_int,0,eq_c2/2))+(PI()*(s_0+7*s_r+IF(circ_int,eq_c1/2,0))/2))+2*IF(circ_int,0,eq_c1/2))+(PI()*(s_0+7*s_r+IF(circ_int,eq_c1/2,0))/2))+2*IF(circ_int,0,eq_c2/2))+(PI()*(s_0+7*s_r+IF(circ_int,eq_c1/2,0))/2))+2*IF(circ_int,0,eq_c1/2)))/(s_0+7*s_r+IF(circ_int,eq_c1/2,0)))))))))),NA())</f>
        <v/>
      </c>
      <c r="CQ42">
        <f>IF(AND(AND(links_on,8&lt;=n_per),INDEX(lk_kind,8)=1,39&lt;INDEX(lk_legs,8)),g_oy+IF(((39+0.5)*(4*IF(circ_int,0,eq_c1/2)+4*IF(circ_int,0,eq_c2/2)+2*PI()*(s_0+7*s_r+IF(circ_int,eq_c1/2,0)))/INDEX(lk_legs,8))&lt;(2*IF(circ_int,0,eq_c2/2)),-IF(circ_int,0,eq_c2/2)+((39+0.5)*(4*IF(circ_int,0,eq_c1/2)+4*IF(circ_int,0,eq_c2/2)+2*PI()*(s_0+7*s_r+IF(circ_int,eq_c1/2,0)))/INDEX(lk_legs,8)),IF(((39+0.5)*(4*IF(circ_int,0,eq_c1/2)+4*IF(circ_int,0,eq_c2/2)+2*PI()*(s_0+7*s_r+IF(circ_int,eq_c1/2,0)))/INDEX(lk_legs,8))&lt;((2*IF(circ_int,0,eq_c2/2))+(PI()*(s_0+7*s_r+IF(circ_int,eq_c1/2,0))/2)),IF(circ_int,0,eq_c2/2)+(s_0+7*s_r+IF(circ_int,eq_c1/2,0))*SIN((((39+0.5)*(4*IF(circ_int,0,eq_c1/2)+4*IF(circ_int,0,eq_c2/2)+2*PI()*(s_0+7*s_r+IF(circ_int,eq_c1/2,0)))/INDEX(lk_legs,8))-(2*IF(circ_int,0,eq_c2/2)))/(s_0+7*s_r+IF(circ_int,eq_c1/2,0))),IF(((39+0.5)*(4*IF(circ_int,0,eq_c1/2)+4*IF(circ_int,0,eq_c2/2)+2*PI()*(s_0+7*s_r+IF(circ_int,eq_c1/2,0)))/INDEX(lk_legs,8))&lt;(((2*IF(circ_int,0,eq_c2/2))+(PI()*(s_0+7*s_r+IF(circ_int,eq_c1/2,0))/2))+2*IF(circ_int,0,eq_c1/2)),IF(circ_int,0,eq_c2/2)+(s_0+7*s_r+IF(circ_int,eq_c1/2,0)),IF(((39+0.5)*(4*IF(circ_int,0,eq_c1/2)+4*IF(circ_int,0,eq_c2/2)+2*PI()*(s_0+7*s_r+IF(circ_int,eq_c1/2,0)))/INDEX(lk_legs,8))&lt;((((2*IF(circ_int,0,eq_c2/2))+(PI()*(s_0+7*s_r+IF(circ_int,eq_c1/2,0))/2))+2*IF(circ_int,0,eq_c1/2))+(PI()*(s_0+7*s_r+IF(circ_int,eq_c1/2,0))/2)),IF(circ_int,0,eq_c2/2)+(s_0+7*s_r+IF(circ_int,eq_c1/2,0))*SIN(PI()/2+(((39+0.5)*(4*IF(circ_int,0,eq_c1/2)+4*IF(circ_int,0,eq_c2/2)+2*PI()*(s_0+7*s_r+IF(circ_int,eq_c1/2,0)))/INDEX(lk_legs,8))-(((2*IF(circ_int,0,eq_c2/2))+(PI()*(s_0+7*s_r+IF(circ_int,eq_c1/2,0))/2))+2*IF(circ_int,0,eq_c1/2)))/(s_0+7*s_r+IF(circ_int,eq_c1/2,0))),IF(((39+0.5)*(4*IF(circ_int,0,eq_c1/2)+4*IF(circ_int,0,eq_c2/2)+2*PI()*(s_0+7*s_r+IF(circ_int,eq_c1/2,0)))/INDEX(lk_legs,8))&lt;(((((2*IF(circ_int,0,eq_c2/2))+(PI()*(s_0+7*s_r+IF(circ_int,eq_c1/2,0))/2))+2*IF(circ_int,0,eq_c1/2))+(PI()*(s_0+7*s_r+IF(circ_int,eq_c1/2,0))/2))+2*IF(circ_int,0,eq_c2/2)),IF(circ_int,0,eq_c2/2)-(((39+0.5)*(4*IF(circ_int,0,eq_c1/2)+4*IF(circ_int,0,eq_c2/2)+2*PI()*(s_0+7*s_r+IF(circ_int,eq_c1/2,0)))/INDEX(lk_legs,8))-((((2*IF(circ_int,0,eq_c2/2))+(PI()*(s_0+7*s_r+IF(circ_int,eq_c1/2,0))/2))+2*IF(circ_int,0,eq_c1/2))+(PI()*(s_0+7*s_r+IF(circ_int,eq_c1/2,0))/2))),IF(((39+0.5)*(4*IF(circ_int,0,eq_c1/2)+4*IF(circ_int,0,eq_c2/2)+2*PI()*(s_0+7*s_r+IF(circ_int,eq_c1/2,0)))/INDEX(lk_legs,8))&lt;((((((2*IF(circ_int,0,eq_c2/2))+(PI()*(s_0+7*s_r+IF(circ_int,eq_c1/2,0))/2))+2*IF(circ_int,0,eq_c1/2))+(PI()*(s_0+7*s_r+IF(circ_int,eq_c1/2,0))/2))+2*IF(circ_int,0,eq_c2/2))+(PI()*(s_0+7*s_r+IF(circ_int,eq_c1/2,0))/2)),-IF(circ_int,0,eq_c2/2)+(s_0+7*s_r+IF(circ_int,eq_c1/2,0))*SIN(PI()+(((39+0.5)*(4*IF(circ_int,0,eq_c1/2)+4*IF(circ_int,0,eq_c2/2)+2*PI()*(s_0+7*s_r+IF(circ_int,eq_c1/2,0)))/INDEX(lk_legs,8))-(((((2*IF(circ_int,0,eq_c2/2))+(PI()*(s_0+7*s_r+IF(circ_int,eq_c1/2,0))/2))+2*IF(circ_int,0,eq_c1/2))+(PI()*(s_0+7*s_r+IF(circ_int,eq_c1/2,0))/2))+2*IF(circ_int,0,eq_c2/2)))/(s_0+7*s_r+IF(circ_int,eq_c1/2,0))),IF(((39+0.5)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(39+0.5)*(4*IF(circ_int,0,eq_c1/2)+4*IF(circ_int,0,eq_c2/2)+2*PI()*(s_0+7*s_r+IF(circ_int,eq_c1/2,0)))/INDEX(lk_legs,8))-(((((((2*IF(circ_int,0,eq_c2/2))+(PI()*(s_0+7*s_r+IF(circ_int,eq_c1/2,0))/2))+2*IF(circ_int,0,eq_c1/2))+(PI()*(s_0+7*s_r+IF(circ_int,eq_c1/2,0))/2))+2*IF(circ_int,0,eq_c2/2))+(PI()*(s_0+7*s_r+IF(circ_int,eq_c1/2,0))/2))+2*IF(circ_int,0,eq_c1/2)))/(s_0+7*s_r+IF(circ_int,eq_c1/2,0)))))))))),NA())</f>
        <v/>
      </c>
      <c r="CS42">
        <f>IF(AND(links_on,9&lt;=n_per),IF(circ_int,(g_ox)+(c_1/2+(s_0+8*s_r))*-0.000000,CHOOSE(INDEX(lk_kind,9),(g_ox+eq_c1/2)+((s_0+8*s_r))*-0.000000,0,eq_a1+eq_c1+(s_0+8*s_r),eq_a1+eq_c1+(s_0+8*s_r))),NA())</f>
        <v/>
      </c>
      <c r="CT42">
        <f>IF(AND(links_on,9&lt;=n_per),IF(circ_int,(g_oy)+(c_1/2+(s_0+8*s_r))*-1.000000,CHOOSE(INDEX(lk_kind,9),(g_oy-eq_c2/2)+((s_0+8*s_r))*-1.000000,g_oy-eq_c2/2-(s_0+8*s_r),0,0)),NA())</f>
        <v/>
      </c>
      <c r="CV42">
        <f>IF(AND(AND(links_on,9&lt;=n_per),INDEX(lk_kind,9)=1,39&lt;INDEX(lk_legs,9)),g_ox+IF(((39+0.5)*(4*IF(circ_int,0,eq_c1/2)+4*IF(circ_int,0,eq_c2/2)+2*PI()*(s_0+8*s_r+IF(circ_int,eq_c1/2,0)))/INDEX(lk_legs,9))&lt;(2*IF(circ_int,0,eq_c2/2)),IF(circ_int,0,eq_c1/2)+(s_0+8*s_r+IF(circ_int,eq_c1/2,0)),IF(((39+0.5)*(4*IF(circ_int,0,eq_c1/2)+4*IF(circ_int,0,eq_c2/2)+2*PI()*(s_0+8*s_r+IF(circ_int,eq_c1/2,0)))/INDEX(lk_legs,9))&lt;((2*IF(circ_int,0,eq_c2/2))+(PI()*(s_0+8*s_r+IF(circ_int,eq_c1/2,0))/2)),IF(circ_int,0,eq_c1/2)+(s_0+8*s_r+IF(circ_int,eq_c1/2,0))*COS((((39+0.5)*(4*IF(circ_int,0,eq_c1/2)+4*IF(circ_int,0,eq_c2/2)+2*PI()*(s_0+8*s_r+IF(circ_int,eq_c1/2,0)))/INDEX(lk_legs,9))-(2*IF(circ_int,0,eq_c2/2)))/(s_0+8*s_r+IF(circ_int,eq_c1/2,0))),IF(((39+0.5)*(4*IF(circ_int,0,eq_c1/2)+4*IF(circ_int,0,eq_c2/2)+2*PI()*(s_0+8*s_r+IF(circ_int,eq_c1/2,0)))/INDEX(lk_legs,9))&lt;(((2*IF(circ_int,0,eq_c2/2))+(PI()*(s_0+8*s_r+IF(circ_int,eq_c1/2,0))/2))+2*IF(circ_int,0,eq_c1/2)),IF(circ_int,0,eq_c1/2)-(((39+0.5)*(4*IF(circ_int,0,eq_c1/2)+4*IF(circ_int,0,eq_c2/2)+2*PI()*(s_0+8*s_r+IF(circ_int,eq_c1/2,0)))/INDEX(lk_legs,9))-((2*IF(circ_int,0,eq_c2/2))+(PI()*(s_0+8*s_r+IF(circ_int,eq_c1/2,0))/2))),IF(((39+0.5)*(4*IF(circ_int,0,eq_c1/2)+4*IF(circ_int,0,eq_c2/2)+2*PI()*(s_0+8*s_r+IF(circ_int,eq_c1/2,0)))/INDEX(lk_legs,9))&lt;((((2*IF(circ_int,0,eq_c2/2))+(PI()*(s_0+8*s_r+IF(circ_int,eq_c1/2,0))/2))+2*IF(circ_int,0,eq_c1/2))+(PI()*(s_0+8*s_r+IF(circ_int,eq_c1/2,0))/2)),-IF(circ_int,0,eq_c1/2)+(s_0+8*s_r+IF(circ_int,eq_c1/2,0))*COS(PI()/2+(((39+0.5)*(4*IF(circ_int,0,eq_c1/2)+4*IF(circ_int,0,eq_c2/2)+2*PI()*(s_0+8*s_r+IF(circ_int,eq_c1/2,0)))/INDEX(lk_legs,9))-(((2*IF(circ_int,0,eq_c2/2))+(PI()*(s_0+8*s_r+IF(circ_int,eq_c1/2,0))/2))+2*IF(circ_int,0,eq_c1/2)))/(s_0+8*s_r+IF(circ_int,eq_c1/2,0))),IF(((39+0.5)*(4*IF(circ_int,0,eq_c1/2)+4*IF(circ_int,0,eq_c2/2)+2*PI()*(s_0+8*s_r+IF(circ_int,eq_c1/2,0)))/INDEX(lk_legs,9))&lt;(((((2*IF(circ_int,0,eq_c2/2))+(PI()*(s_0+8*s_r+IF(circ_int,eq_c1/2,0))/2))+2*IF(circ_int,0,eq_c1/2))+(PI()*(s_0+8*s_r+IF(circ_int,eq_c1/2,0))/2))+2*IF(circ_int,0,eq_c2/2)),-IF(circ_int,0,eq_c1/2)-(s_0+8*s_r+IF(circ_int,eq_c1/2,0)),IF(((39+0.5)*(4*IF(circ_int,0,eq_c1/2)+4*IF(circ_int,0,eq_c2/2)+2*PI()*(s_0+8*s_r+IF(circ_int,eq_c1/2,0)))/INDEX(lk_legs,9))&lt;((((((2*IF(circ_int,0,eq_c2/2))+(PI()*(s_0+8*s_r+IF(circ_int,eq_c1/2,0))/2))+2*IF(circ_int,0,eq_c1/2))+(PI()*(s_0+8*s_r+IF(circ_int,eq_c1/2,0))/2))+2*IF(circ_int,0,eq_c2/2))+(PI()*(s_0+8*s_r+IF(circ_int,eq_c1/2,0))/2)),-IF(circ_int,0,eq_c1/2)+(s_0+8*s_r+IF(circ_int,eq_c1/2,0))*COS(PI()+(((39+0.5)*(4*IF(circ_int,0,eq_c1/2)+4*IF(circ_int,0,eq_c2/2)+2*PI()*(s_0+8*s_r+IF(circ_int,eq_c1/2,0)))/INDEX(lk_legs,9))-(((((2*IF(circ_int,0,eq_c2/2))+(PI()*(s_0+8*s_r+IF(circ_int,eq_c1/2,0))/2))+2*IF(circ_int,0,eq_c1/2))+(PI()*(s_0+8*s_r+IF(circ_int,eq_c1/2,0))/2))+2*IF(circ_int,0,eq_c2/2)))/(s_0+8*s_r+IF(circ_int,eq_c1/2,0))),IF(((39+0.5)*(4*IF(circ_int,0,eq_c1/2)+4*IF(circ_int,0,eq_c2/2)+2*PI()*(s_0+8*s_r+IF(circ_int,eq_c1/2,0)))/INDEX(lk_legs,9))&lt;(((((((2*IF(circ_int,0,eq_c2/2))+(PI()*(s_0+8*s_r+IF(circ_int,eq_c1/2,0))/2))+2*IF(circ_int,0,eq_c1/2))+(PI()*(s_0+8*s_r+IF(circ_int,eq_c1/2,0))/2))+2*IF(circ_int,0,eq_c2/2))+(PI()*(s_0+8*s_r+IF(circ_int,eq_c1/2,0))/2))+2*IF(circ_int,0,eq_c1/2)),-IF(circ_int,0,eq_c1/2)+(((39+0.5)*(4*IF(circ_int,0,eq_c1/2)+4*IF(circ_int,0,eq_c2/2)+2*PI()*(s_0+8*s_r+IF(circ_int,eq_c1/2,0)))/INDEX(lk_legs,9))-((((((2*IF(circ_int,0,eq_c2/2))+(PI()*(s_0+8*s_r+IF(circ_int,eq_c1/2,0))/2))+2*IF(circ_int,0,eq_c1/2))+(PI()*(s_0+8*s_r+IF(circ_int,eq_c1/2,0))/2))+2*IF(circ_int,0,eq_c2/2))+(PI()*(s_0+8*s_r+IF(circ_int,eq_c1/2,0))/2))),IF(circ_int,0,eq_c1/2)+(s_0+8*s_r+IF(circ_int,eq_c1/2,0))*COS(3*PI()/2+(((39+0.5)*(4*IF(circ_int,0,eq_c1/2)+4*IF(circ_int,0,eq_c2/2)+2*PI()*(s_0+8*s_r+IF(circ_int,eq_c1/2,0)))/INDEX(lk_legs,9))-(((((((2*IF(circ_int,0,eq_c2/2))+(PI()*(s_0+8*s_r+IF(circ_int,eq_c1/2,0))/2))+2*IF(circ_int,0,eq_c1/2))+(PI()*(s_0+8*s_r+IF(circ_int,eq_c1/2,0))/2))+2*IF(circ_int,0,eq_c2/2))+(PI()*(s_0+8*s_r+IF(circ_int,eq_c1/2,0))/2))+2*IF(circ_int,0,eq_c1/2)))/(s_0+8*s_r+IF(circ_int,eq_c1/2,0)))))))))),NA())</f>
        <v/>
      </c>
      <c r="CW42">
        <f>IF(AND(AND(links_on,9&lt;=n_per),INDEX(lk_kind,9)=1,39&lt;INDEX(lk_legs,9)),g_oy+IF(((39+0.5)*(4*IF(circ_int,0,eq_c1/2)+4*IF(circ_int,0,eq_c2/2)+2*PI()*(s_0+8*s_r+IF(circ_int,eq_c1/2,0)))/INDEX(lk_legs,9))&lt;(2*IF(circ_int,0,eq_c2/2)),-IF(circ_int,0,eq_c2/2)+((39+0.5)*(4*IF(circ_int,0,eq_c1/2)+4*IF(circ_int,0,eq_c2/2)+2*PI()*(s_0+8*s_r+IF(circ_int,eq_c1/2,0)))/INDEX(lk_legs,9)),IF(((39+0.5)*(4*IF(circ_int,0,eq_c1/2)+4*IF(circ_int,0,eq_c2/2)+2*PI()*(s_0+8*s_r+IF(circ_int,eq_c1/2,0)))/INDEX(lk_legs,9))&lt;((2*IF(circ_int,0,eq_c2/2))+(PI()*(s_0+8*s_r+IF(circ_int,eq_c1/2,0))/2)),IF(circ_int,0,eq_c2/2)+(s_0+8*s_r+IF(circ_int,eq_c1/2,0))*SIN((((39+0.5)*(4*IF(circ_int,0,eq_c1/2)+4*IF(circ_int,0,eq_c2/2)+2*PI()*(s_0+8*s_r+IF(circ_int,eq_c1/2,0)))/INDEX(lk_legs,9))-(2*IF(circ_int,0,eq_c2/2)))/(s_0+8*s_r+IF(circ_int,eq_c1/2,0))),IF(((39+0.5)*(4*IF(circ_int,0,eq_c1/2)+4*IF(circ_int,0,eq_c2/2)+2*PI()*(s_0+8*s_r+IF(circ_int,eq_c1/2,0)))/INDEX(lk_legs,9))&lt;(((2*IF(circ_int,0,eq_c2/2))+(PI()*(s_0+8*s_r+IF(circ_int,eq_c1/2,0))/2))+2*IF(circ_int,0,eq_c1/2)),IF(circ_int,0,eq_c2/2)+(s_0+8*s_r+IF(circ_int,eq_c1/2,0)),IF(((39+0.5)*(4*IF(circ_int,0,eq_c1/2)+4*IF(circ_int,0,eq_c2/2)+2*PI()*(s_0+8*s_r+IF(circ_int,eq_c1/2,0)))/INDEX(lk_legs,9))&lt;((((2*IF(circ_int,0,eq_c2/2))+(PI()*(s_0+8*s_r+IF(circ_int,eq_c1/2,0))/2))+2*IF(circ_int,0,eq_c1/2))+(PI()*(s_0+8*s_r+IF(circ_int,eq_c1/2,0))/2)),IF(circ_int,0,eq_c2/2)+(s_0+8*s_r+IF(circ_int,eq_c1/2,0))*SIN(PI()/2+(((39+0.5)*(4*IF(circ_int,0,eq_c1/2)+4*IF(circ_int,0,eq_c2/2)+2*PI()*(s_0+8*s_r+IF(circ_int,eq_c1/2,0)))/INDEX(lk_legs,9))-(((2*IF(circ_int,0,eq_c2/2))+(PI()*(s_0+8*s_r+IF(circ_int,eq_c1/2,0))/2))+2*IF(circ_int,0,eq_c1/2)))/(s_0+8*s_r+IF(circ_int,eq_c1/2,0))),IF(((39+0.5)*(4*IF(circ_int,0,eq_c1/2)+4*IF(circ_int,0,eq_c2/2)+2*PI()*(s_0+8*s_r+IF(circ_int,eq_c1/2,0)))/INDEX(lk_legs,9))&lt;(((((2*IF(circ_int,0,eq_c2/2))+(PI()*(s_0+8*s_r+IF(circ_int,eq_c1/2,0))/2))+2*IF(circ_int,0,eq_c1/2))+(PI()*(s_0+8*s_r+IF(circ_int,eq_c1/2,0))/2))+2*IF(circ_int,0,eq_c2/2)),IF(circ_int,0,eq_c2/2)-(((39+0.5)*(4*IF(circ_int,0,eq_c1/2)+4*IF(circ_int,0,eq_c2/2)+2*PI()*(s_0+8*s_r+IF(circ_int,eq_c1/2,0)))/INDEX(lk_legs,9))-((((2*IF(circ_int,0,eq_c2/2))+(PI()*(s_0+8*s_r+IF(circ_int,eq_c1/2,0))/2))+2*IF(circ_int,0,eq_c1/2))+(PI()*(s_0+8*s_r+IF(circ_int,eq_c1/2,0))/2))),IF(((39+0.5)*(4*IF(circ_int,0,eq_c1/2)+4*IF(circ_int,0,eq_c2/2)+2*PI()*(s_0+8*s_r+IF(circ_int,eq_c1/2,0)))/INDEX(lk_legs,9))&lt;((((((2*IF(circ_int,0,eq_c2/2))+(PI()*(s_0+8*s_r+IF(circ_int,eq_c1/2,0))/2))+2*IF(circ_int,0,eq_c1/2))+(PI()*(s_0+8*s_r+IF(circ_int,eq_c1/2,0))/2))+2*IF(circ_int,0,eq_c2/2))+(PI()*(s_0+8*s_r+IF(circ_int,eq_c1/2,0))/2)),-IF(circ_int,0,eq_c2/2)+(s_0+8*s_r+IF(circ_int,eq_c1/2,0))*SIN(PI()+(((39+0.5)*(4*IF(circ_int,0,eq_c1/2)+4*IF(circ_int,0,eq_c2/2)+2*PI()*(s_0+8*s_r+IF(circ_int,eq_c1/2,0)))/INDEX(lk_legs,9))-(((((2*IF(circ_int,0,eq_c2/2))+(PI()*(s_0+8*s_r+IF(circ_int,eq_c1/2,0))/2))+2*IF(circ_int,0,eq_c1/2))+(PI()*(s_0+8*s_r+IF(circ_int,eq_c1/2,0))/2))+2*IF(circ_int,0,eq_c2/2)))/(s_0+8*s_r+IF(circ_int,eq_c1/2,0))),IF(((39+0.5)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(39+0.5)*(4*IF(circ_int,0,eq_c1/2)+4*IF(circ_int,0,eq_c2/2)+2*PI()*(s_0+8*s_r+IF(circ_int,eq_c1/2,0)))/INDEX(lk_legs,9))-(((((((2*IF(circ_int,0,eq_c2/2))+(PI()*(s_0+8*s_r+IF(circ_int,eq_c1/2,0))/2))+2*IF(circ_int,0,eq_c1/2))+(PI()*(s_0+8*s_r+IF(circ_int,eq_c1/2,0))/2))+2*IF(circ_int,0,eq_c2/2))+(PI()*(s_0+8*s_r+IF(circ_int,eq_c1/2,0))/2))+2*IF(circ_int,0,eq_c1/2)))/(s_0+8*s_r+IF(circ_int,eq_c1/2,0)))))))))),NA())</f>
        <v/>
      </c>
      <c r="CY42">
        <f>IF(AND(links_on,10&lt;=n_per),IF(circ_int,(g_ox)+(c_1/2+(s_0+9*s_r))*-0.000000,CHOOSE(INDEX(lk_kind,10),(g_ox+eq_c1/2)+((s_0+9*s_r))*-0.000000,0,eq_a1+eq_c1+(s_0+9*s_r),eq_a1+eq_c1+(s_0+9*s_r))),NA())</f>
        <v/>
      </c>
      <c r="CZ42">
        <f>IF(AND(links_on,10&lt;=n_per),IF(circ_int,(g_oy)+(c_1/2+(s_0+9*s_r))*-1.000000,CHOOSE(INDEX(lk_kind,10),(g_oy-eq_c2/2)+((s_0+9*s_r))*-1.000000,g_oy-eq_c2/2-(s_0+9*s_r),0,0)),NA())</f>
        <v/>
      </c>
      <c r="DB42">
        <f>IF(AND(AND(links_on,10&lt;=n_per),INDEX(lk_kind,10)=1,39&lt;INDEX(lk_legs,10)),g_ox+IF(((39+0.5)*(4*IF(circ_int,0,eq_c1/2)+4*IF(circ_int,0,eq_c2/2)+2*PI()*(s_0+9*s_r+IF(circ_int,eq_c1/2,0)))/INDEX(lk_legs,10))&lt;(2*IF(circ_int,0,eq_c2/2)),IF(circ_int,0,eq_c1/2)+(s_0+9*s_r+IF(circ_int,eq_c1/2,0)),IF(((39+0.5)*(4*IF(circ_int,0,eq_c1/2)+4*IF(circ_int,0,eq_c2/2)+2*PI()*(s_0+9*s_r+IF(circ_int,eq_c1/2,0)))/INDEX(lk_legs,10))&lt;((2*IF(circ_int,0,eq_c2/2))+(PI()*(s_0+9*s_r+IF(circ_int,eq_c1/2,0))/2)),IF(circ_int,0,eq_c1/2)+(s_0+9*s_r+IF(circ_int,eq_c1/2,0))*COS((((39+0.5)*(4*IF(circ_int,0,eq_c1/2)+4*IF(circ_int,0,eq_c2/2)+2*PI()*(s_0+9*s_r+IF(circ_int,eq_c1/2,0)))/INDEX(lk_legs,10))-(2*IF(circ_int,0,eq_c2/2)))/(s_0+9*s_r+IF(circ_int,eq_c1/2,0))),IF(((39+0.5)*(4*IF(circ_int,0,eq_c1/2)+4*IF(circ_int,0,eq_c2/2)+2*PI()*(s_0+9*s_r+IF(circ_int,eq_c1/2,0)))/INDEX(lk_legs,10))&lt;(((2*IF(circ_int,0,eq_c2/2))+(PI()*(s_0+9*s_r+IF(circ_int,eq_c1/2,0))/2))+2*IF(circ_int,0,eq_c1/2)),IF(circ_int,0,eq_c1/2)-(((39+0.5)*(4*IF(circ_int,0,eq_c1/2)+4*IF(circ_int,0,eq_c2/2)+2*PI()*(s_0+9*s_r+IF(circ_int,eq_c1/2,0)))/INDEX(lk_legs,10))-((2*IF(circ_int,0,eq_c2/2))+(PI()*(s_0+9*s_r+IF(circ_int,eq_c1/2,0))/2))),IF(((39+0.5)*(4*IF(circ_int,0,eq_c1/2)+4*IF(circ_int,0,eq_c2/2)+2*PI()*(s_0+9*s_r+IF(circ_int,eq_c1/2,0)))/INDEX(lk_legs,10))&lt;((((2*IF(circ_int,0,eq_c2/2))+(PI()*(s_0+9*s_r+IF(circ_int,eq_c1/2,0))/2))+2*IF(circ_int,0,eq_c1/2))+(PI()*(s_0+9*s_r+IF(circ_int,eq_c1/2,0))/2)),-IF(circ_int,0,eq_c1/2)+(s_0+9*s_r+IF(circ_int,eq_c1/2,0))*COS(PI()/2+(((39+0.5)*(4*IF(circ_int,0,eq_c1/2)+4*IF(circ_int,0,eq_c2/2)+2*PI()*(s_0+9*s_r+IF(circ_int,eq_c1/2,0)))/INDEX(lk_legs,10))-(((2*IF(circ_int,0,eq_c2/2))+(PI()*(s_0+9*s_r+IF(circ_int,eq_c1/2,0))/2))+2*IF(circ_int,0,eq_c1/2)))/(s_0+9*s_r+IF(circ_int,eq_c1/2,0))),IF(((39+0.5)*(4*IF(circ_int,0,eq_c1/2)+4*IF(circ_int,0,eq_c2/2)+2*PI()*(s_0+9*s_r+IF(circ_int,eq_c1/2,0)))/INDEX(lk_legs,10))&lt;(((((2*IF(circ_int,0,eq_c2/2))+(PI()*(s_0+9*s_r+IF(circ_int,eq_c1/2,0))/2))+2*IF(circ_int,0,eq_c1/2))+(PI()*(s_0+9*s_r+IF(circ_int,eq_c1/2,0))/2))+2*IF(circ_int,0,eq_c2/2)),-IF(circ_int,0,eq_c1/2)-(s_0+9*s_r+IF(circ_int,eq_c1/2,0)),IF(((39+0.5)*(4*IF(circ_int,0,eq_c1/2)+4*IF(circ_int,0,eq_c2/2)+2*PI()*(s_0+9*s_r+IF(circ_int,eq_c1/2,0)))/INDEX(lk_legs,10))&lt;((((((2*IF(circ_int,0,eq_c2/2))+(PI()*(s_0+9*s_r+IF(circ_int,eq_c1/2,0))/2))+2*IF(circ_int,0,eq_c1/2))+(PI()*(s_0+9*s_r+IF(circ_int,eq_c1/2,0))/2))+2*IF(circ_int,0,eq_c2/2))+(PI()*(s_0+9*s_r+IF(circ_int,eq_c1/2,0))/2)),-IF(circ_int,0,eq_c1/2)+(s_0+9*s_r+IF(circ_int,eq_c1/2,0))*COS(PI()+(((39+0.5)*(4*IF(circ_int,0,eq_c1/2)+4*IF(circ_int,0,eq_c2/2)+2*PI()*(s_0+9*s_r+IF(circ_int,eq_c1/2,0)))/INDEX(lk_legs,10))-(((((2*IF(circ_int,0,eq_c2/2))+(PI()*(s_0+9*s_r+IF(circ_int,eq_c1/2,0))/2))+2*IF(circ_int,0,eq_c1/2))+(PI()*(s_0+9*s_r+IF(circ_int,eq_c1/2,0))/2))+2*IF(circ_int,0,eq_c2/2)))/(s_0+9*s_r+IF(circ_int,eq_c1/2,0))),IF(((39+0.5)*(4*IF(circ_int,0,eq_c1/2)+4*IF(circ_int,0,eq_c2/2)+2*PI()*(s_0+9*s_r+IF(circ_int,eq_c1/2,0)))/INDEX(lk_legs,10))&lt;(((((((2*IF(circ_int,0,eq_c2/2))+(PI()*(s_0+9*s_r+IF(circ_int,eq_c1/2,0))/2))+2*IF(circ_int,0,eq_c1/2))+(PI()*(s_0+9*s_r+IF(circ_int,eq_c1/2,0))/2))+2*IF(circ_int,0,eq_c2/2))+(PI()*(s_0+9*s_r+IF(circ_int,eq_c1/2,0))/2))+2*IF(circ_int,0,eq_c1/2)),-IF(circ_int,0,eq_c1/2)+(((39+0.5)*(4*IF(circ_int,0,eq_c1/2)+4*IF(circ_int,0,eq_c2/2)+2*PI()*(s_0+9*s_r+IF(circ_int,eq_c1/2,0)))/INDEX(lk_legs,10))-((((((2*IF(circ_int,0,eq_c2/2))+(PI()*(s_0+9*s_r+IF(circ_int,eq_c1/2,0))/2))+2*IF(circ_int,0,eq_c1/2))+(PI()*(s_0+9*s_r+IF(circ_int,eq_c1/2,0))/2))+2*IF(circ_int,0,eq_c2/2))+(PI()*(s_0+9*s_r+IF(circ_int,eq_c1/2,0))/2))),IF(circ_int,0,eq_c1/2)+(s_0+9*s_r+IF(circ_int,eq_c1/2,0))*COS(3*PI()/2+(((39+0.5)*(4*IF(circ_int,0,eq_c1/2)+4*IF(circ_int,0,eq_c2/2)+2*PI()*(s_0+9*s_r+IF(circ_int,eq_c1/2,0)))/INDEX(lk_legs,10))-(((((((2*IF(circ_int,0,eq_c2/2))+(PI()*(s_0+9*s_r+IF(circ_int,eq_c1/2,0))/2))+2*IF(circ_int,0,eq_c1/2))+(PI()*(s_0+9*s_r+IF(circ_int,eq_c1/2,0))/2))+2*IF(circ_int,0,eq_c2/2))+(PI()*(s_0+9*s_r+IF(circ_int,eq_c1/2,0))/2))+2*IF(circ_int,0,eq_c1/2)))/(s_0+9*s_r+IF(circ_int,eq_c1/2,0)))))))))),NA())</f>
        <v/>
      </c>
      <c r="DC42">
        <f>IF(AND(AND(links_on,10&lt;=n_per),INDEX(lk_kind,10)=1,39&lt;INDEX(lk_legs,10)),g_oy+IF(((39+0.5)*(4*IF(circ_int,0,eq_c1/2)+4*IF(circ_int,0,eq_c2/2)+2*PI()*(s_0+9*s_r+IF(circ_int,eq_c1/2,0)))/INDEX(lk_legs,10))&lt;(2*IF(circ_int,0,eq_c2/2)),-IF(circ_int,0,eq_c2/2)+((39+0.5)*(4*IF(circ_int,0,eq_c1/2)+4*IF(circ_int,0,eq_c2/2)+2*PI()*(s_0+9*s_r+IF(circ_int,eq_c1/2,0)))/INDEX(lk_legs,10)),IF(((39+0.5)*(4*IF(circ_int,0,eq_c1/2)+4*IF(circ_int,0,eq_c2/2)+2*PI()*(s_0+9*s_r+IF(circ_int,eq_c1/2,0)))/INDEX(lk_legs,10))&lt;((2*IF(circ_int,0,eq_c2/2))+(PI()*(s_0+9*s_r+IF(circ_int,eq_c1/2,0))/2)),IF(circ_int,0,eq_c2/2)+(s_0+9*s_r+IF(circ_int,eq_c1/2,0))*SIN((((39+0.5)*(4*IF(circ_int,0,eq_c1/2)+4*IF(circ_int,0,eq_c2/2)+2*PI()*(s_0+9*s_r+IF(circ_int,eq_c1/2,0)))/INDEX(lk_legs,10))-(2*IF(circ_int,0,eq_c2/2)))/(s_0+9*s_r+IF(circ_int,eq_c1/2,0))),IF(((39+0.5)*(4*IF(circ_int,0,eq_c1/2)+4*IF(circ_int,0,eq_c2/2)+2*PI()*(s_0+9*s_r+IF(circ_int,eq_c1/2,0)))/INDEX(lk_legs,10))&lt;(((2*IF(circ_int,0,eq_c2/2))+(PI()*(s_0+9*s_r+IF(circ_int,eq_c1/2,0))/2))+2*IF(circ_int,0,eq_c1/2)),IF(circ_int,0,eq_c2/2)+(s_0+9*s_r+IF(circ_int,eq_c1/2,0)),IF(((39+0.5)*(4*IF(circ_int,0,eq_c1/2)+4*IF(circ_int,0,eq_c2/2)+2*PI()*(s_0+9*s_r+IF(circ_int,eq_c1/2,0)))/INDEX(lk_legs,10))&lt;((((2*IF(circ_int,0,eq_c2/2))+(PI()*(s_0+9*s_r+IF(circ_int,eq_c1/2,0))/2))+2*IF(circ_int,0,eq_c1/2))+(PI()*(s_0+9*s_r+IF(circ_int,eq_c1/2,0))/2)),IF(circ_int,0,eq_c2/2)+(s_0+9*s_r+IF(circ_int,eq_c1/2,0))*SIN(PI()/2+(((39+0.5)*(4*IF(circ_int,0,eq_c1/2)+4*IF(circ_int,0,eq_c2/2)+2*PI()*(s_0+9*s_r+IF(circ_int,eq_c1/2,0)))/INDEX(lk_legs,10))-(((2*IF(circ_int,0,eq_c2/2))+(PI()*(s_0+9*s_r+IF(circ_int,eq_c1/2,0))/2))+2*IF(circ_int,0,eq_c1/2)))/(s_0+9*s_r+IF(circ_int,eq_c1/2,0))),IF(((39+0.5)*(4*IF(circ_int,0,eq_c1/2)+4*IF(circ_int,0,eq_c2/2)+2*PI()*(s_0+9*s_r+IF(circ_int,eq_c1/2,0)))/INDEX(lk_legs,10))&lt;(((((2*IF(circ_int,0,eq_c2/2))+(PI()*(s_0+9*s_r+IF(circ_int,eq_c1/2,0))/2))+2*IF(circ_int,0,eq_c1/2))+(PI()*(s_0+9*s_r+IF(circ_int,eq_c1/2,0))/2))+2*IF(circ_int,0,eq_c2/2)),IF(circ_int,0,eq_c2/2)-(((39+0.5)*(4*IF(circ_int,0,eq_c1/2)+4*IF(circ_int,0,eq_c2/2)+2*PI()*(s_0+9*s_r+IF(circ_int,eq_c1/2,0)))/INDEX(lk_legs,10))-((((2*IF(circ_int,0,eq_c2/2))+(PI()*(s_0+9*s_r+IF(circ_int,eq_c1/2,0))/2))+2*IF(circ_int,0,eq_c1/2))+(PI()*(s_0+9*s_r+IF(circ_int,eq_c1/2,0))/2))),IF(((39+0.5)*(4*IF(circ_int,0,eq_c1/2)+4*IF(circ_int,0,eq_c2/2)+2*PI()*(s_0+9*s_r+IF(circ_int,eq_c1/2,0)))/INDEX(lk_legs,10))&lt;((((((2*IF(circ_int,0,eq_c2/2))+(PI()*(s_0+9*s_r+IF(circ_int,eq_c1/2,0))/2))+2*IF(circ_int,0,eq_c1/2))+(PI()*(s_0+9*s_r+IF(circ_int,eq_c1/2,0))/2))+2*IF(circ_int,0,eq_c2/2))+(PI()*(s_0+9*s_r+IF(circ_int,eq_c1/2,0))/2)),-IF(circ_int,0,eq_c2/2)+(s_0+9*s_r+IF(circ_int,eq_c1/2,0))*SIN(PI()+(((39+0.5)*(4*IF(circ_int,0,eq_c1/2)+4*IF(circ_int,0,eq_c2/2)+2*PI()*(s_0+9*s_r+IF(circ_int,eq_c1/2,0)))/INDEX(lk_legs,10))-(((((2*IF(circ_int,0,eq_c2/2))+(PI()*(s_0+9*s_r+IF(circ_int,eq_c1/2,0))/2))+2*IF(circ_int,0,eq_c1/2))+(PI()*(s_0+9*s_r+IF(circ_int,eq_c1/2,0))/2))+2*IF(circ_int,0,eq_c2/2)))/(s_0+9*s_r+IF(circ_int,eq_c1/2,0))),IF(((39+0.5)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(39+0.5)*(4*IF(circ_int,0,eq_c1/2)+4*IF(circ_int,0,eq_c2/2)+2*PI()*(s_0+9*s_r+IF(circ_int,eq_c1/2,0)))/INDEX(lk_legs,10))-(((((((2*IF(circ_int,0,eq_c2/2))+(PI()*(s_0+9*s_r+IF(circ_int,eq_c1/2,0))/2))+2*IF(circ_int,0,eq_c1/2))+(PI()*(s_0+9*s_r+IF(circ_int,eq_c1/2,0))/2))+2*IF(circ_int,0,eq_c2/2))+(PI()*(s_0+9*s_r+IF(circ_int,eq_c1/2,0))/2))+2*IF(circ_int,0,eq_c1/2)))/(s_0+9*s_r+IF(circ_int,eq_c1/2,0)))))))))),NA())</f>
        <v/>
      </c>
      <c r="DE42">
        <f>IF(AND(links_on,11&lt;=n_per),IF(circ_int,(g_ox)+(c_1/2+(s_0+10*s_r))*-0.000000,CHOOSE(INDEX(lk_kind,11),(g_ox+eq_c1/2)+((s_0+10*s_r))*-0.000000,0,eq_a1+eq_c1+(s_0+10*s_r),eq_a1+eq_c1+(s_0+10*s_r))),NA())</f>
        <v/>
      </c>
      <c r="DF42">
        <f>IF(AND(links_on,11&lt;=n_per),IF(circ_int,(g_oy)+(c_1/2+(s_0+10*s_r))*-1.000000,CHOOSE(INDEX(lk_kind,11),(g_oy-eq_c2/2)+((s_0+10*s_r))*-1.000000,g_oy-eq_c2/2-(s_0+10*s_r),0,0)),NA())</f>
        <v/>
      </c>
      <c r="DH42">
        <f>IF(AND(AND(links_on,11&lt;=n_per),INDEX(lk_kind,11)=1,39&lt;INDEX(lk_legs,11)),g_ox+IF(((39+0.5)*(4*IF(circ_int,0,eq_c1/2)+4*IF(circ_int,0,eq_c2/2)+2*PI()*(s_0+10*s_r+IF(circ_int,eq_c1/2,0)))/INDEX(lk_legs,11))&lt;(2*IF(circ_int,0,eq_c2/2)),IF(circ_int,0,eq_c1/2)+(s_0+10*s_r+IF(circ_int,eq_c1/2,0)),IF(((39+0.5)*(4*IF(circ_int,0,eq_c1/2)+4*IF(circ_int,0,eq_c2/2)+2*PI()*(s_0+10*s_r+IF(circ_int,eq_c1/2,0)))/INDEX(lk_legs,11))&lt;((2*IF(circ_int,0,eq_c2/2))+(PI()*(s_0+10*s_r+IF(circ_int,eq_c1/2,0))/2)),IF(circ_int,0,eq_c1/2)+(s_0+10*s_r+IF(circ_int,eq_c1/2,0))*COS((((39+0.5)*(4*IF(circ_int,0,eq_c1/2)+4*IF(circ_int,0,eq_c2/2)+2*PI()*(s_0+10*s_r+IF(circ_int,eq_c1/2,0)))/INDEX(lk_legs,11))-(2*IF(circ_int,0,eq_c2/2)))/(s_0+10*s_r+IF(circ_int,eq_c1/2,0))),IF(((39+0.5)*(4*IF(circ_int,0,eq_c1/2)+4*IF(circ_int,0,eq_c2/2)+2*PI()*(s_0+10*s_r+IF(circ_int,eq_c1/2,0)))/INDEX(lk_legs,11))&lt;(((2*IF(circ_int,0,eq_c2/2))+(PI()*(s_0+10*s_r+IF(circ_int,eq_c1/2,0))/2))+2*IF(circ_int,0,eq_c1/2)),IF(circ_int,0,eq_c1/2)-(((39+0.5)*(4*IF(circ_int,0,eq_c1/2)+4*IF(circ_int,0,eq_c2/2)+2*PI()*(s_0+10*s_r+IF(circ_int,eq_c1/2,0)))/INDEX(lk_legs,11))-((2*IF(circ_int,0,eq_c2/2))+(PI()*(s_0+10*s_r+IF(circ_int,eq_c1/2,0))/2))),IF(((39+0.5)*(4*IF(circ_int,0,eq_c1/2)+4*IF(circ_int,0,eq_c2/2)+2*PI()*(s_0+10*s_r+IF(circ_int,eq_c1/2,0)))/INDEX(lk_legs,11))&lt;((((2*IF(circ_int,0,eq_c2/2))+(PI()*(s_0+10*s_r+IF(circ_int,eq_c1/2,0))/2))+2*IF(circ_int,0,eq_c1/2))+(PI()*(s_0+10*s_r+IF(circ_int,eq_c1/2,0))/2)),-IF(circ_int,0,eq_c1/2)+(s_0+10*s_r+IF(circ_int,eq_c1/2,0))*COS(PI()/2+(((39+0.5)*(4*IF(circ_int,0,eq_c1/2)+4*IF(circ_int,0,eq_c2/2)+2*PI()*(s_0+10*s_r+IF(circ_int,eq_c1/2,0)))/INDEX(lk_legs,11))-(((2*IF(circ_int,0,eq_c2/2))+(PI()*(s_0+10*s_r+IF(circ_int,eq_c1/2,0))/2))+2*IF(circ_int,0,eq_c1/2)))/(s_0+10*s_r+IF(circ_int,eq_c1/2,0))),IF(((39+0.5)*(4*IF(circ_int,0,eq_c1/2)+4*IF(circ_int,0,eq_c2/2)+2*PI()*(s_0+10*s_r+IF(circ_int,eq_c1/2,0)))/INDEX(lk_legs,11))&lt;(((((2*IF(circ_int,0,eq_c2/2))+(PI()*(s_0+10*s_r+IF(circ_int,eq_c1/2,0))/2))+2*IF(circ_int,0,eq_c1/2))+(PI()*(s_0+10*s_r+IF(circ_int,eq_c1/2,0))/2))+2*IF(circ_int,0,eq_c2/2)),-IF(circ_int,0,eq_c1/2)-(s_0+10*s_r+IF(circ_int,eq_c1/2,0)),IF(((39+0.5)*(4*IF(circ_int,0,eq_c1/2)+4*IF(circ_int,0,eq_c2/2)+2*PI()*(s_0+10*s_r+IF(circ_int,eq_c1/2,0)))/INDEX(lk_legs,11))&lt;((((((2*IF(circ_int,0,eq_c2/2))+(PI()*(s_0+10*s_r+IF(circ_int,eq_c1/2,0))/2))+2*IF(circ_int,0,eq_c1/2))+(PI()*(s_0+10*s_r+IF(circ_int,eq_c1/2,0))/2))+2*IF(circ_int,0,eq_c2/2))+(PI()*(s_0+10*s_r+IF(circ_int,eq_c1/2,0))/2)),-IF(circ_int,0,eq_c1/2)+(s_0+10*s_r+IF(circ_int,eq_c1/2,0))*COS(PI()+(((39+0.5)*(4*IF(circ_int,0,eq_c1/2)+4*IF(circ_int,0,eq_c2/2)+2*PI()*(s_0+10*s_r+IF(circ_int,eq_c1/2,0)))/INDEX(lk_legs,11))-(((((2*IF(circ_int,0,eq_c2/2))+(PI()*(s_0+10*s_r+IF(circ_int,eq_c1/2,0))/2))+2*IF(circ_int,0,eq_c1/2))+(PI()*(s_0+10*s_r+IF(circ_int,eq_c1/2,0))/2))+2*IF(circ_int,0,eq_c2/2)))/(s_0+10*s_r+IF(circ_int,eq_c1/2,0))),IF(((39+0.5)*(4*IF(circ_int,0,eq_c1/2)+4*IF(circ_int,0,eq_c2/2)+2*PI()*(s_0+10*s_r+IF(circ_int,eq_c1/2,0)))/INDEX(lk_legs,11))&lt;(((((((2*IF(circ_int,0,eq_c2/2))+(PI()*(s_0+10*s_r+IF(circ_int,eq_c1/2,0))/2))+2*IF(circ_int,0,eq_c1/2))+(PI()*(s_0+10*s_r+IF(circ_int,eq_c1/2,0))/2))+2*IF(circ_int,0,eq_c2/2))+(PI()*(s_0+10*s_r+IF(circ_int,eq_c1/2,0))/2))+2*IF(circ_int,0,eq_c1/2)),-IF(circ_int,0,eq_c1/2)+(((39+0.5)*(4*IF(circ_int,0,eq_c1/2)+4*IF(circ_int,0,eq_c2/2)+2*PI()*(s_0+10*s_r+IF(circ_int,eq_c1/2,0)))/INDEX(lk_legs,11))-((((((2*IF(circ_int,0,eq_c2/2))+(PI()*(s_0+10*s_r+IF(circ_int,eq_c1/2,0))/2))+2*IF(circ_int,0,eq_c1/2))+(PI()*(s_0+10*s_r+IF(circ_int,eq_c1/2,0))/2))+2*IF(circ_int,0,eq_c2/2))+(PI()*(s_0+10*s_r+IF(circ_int,eq_c1/2,0))/2))),IF(circ_int,0,eq_c1/2)+(s_0+10*s_r+IF(circ_int,eq_c1/2,0))*COS(3*PI()/2+(((39+0.5)*(4*IF(circ_int,0,eq_c1/2)+4*IF(circ_int,0,eq_c2/2)+2*PI()*(s_0+10*s_r+IF(circ_int,eq_c1/2,0)))/INDEX(lk_legs,11))-(((((((2*IF(circ_int,0,eq_c2/2))+(PI()*(s_0+10*s_r+IF(circ_int,eq_c1/2,0))/2))+2*IF(circ_int,0,eq_c1/2))+(PI()*(s_0+10*s_r+IF(circ_int,eq_c1/2,0))/2))+2*IF(circ_int,0,eq_c2/2))+(PI()*(s_0+10*s_r+IF(circ_int,eq_c1/2,0))/2))+2*IF(circ_int,0,eq_c1/2)))/(s_0+10*s_r+IF(circ_int,eq_c1/2,0)))))))))),NA())</f>
        <v/>
      </c>
      <c r="DI42">
        <f>IF(AND(AND(links_on,11&lt;=n_per),INDEX(lk_kind,11)=1,39&lt;INDEX(lk_legs,11)),g_oy+IF(((39+0.5)*(4*IF(circ_int,0,eq_c1/2)+4*IF(circ_int,0,eq_c2/2)+2*PI()*(s_0+10*s_r+IF(circ_int,eq_c1/2,0)))/INDEX(lk_legs,11))&lt;(2*IF(circ_int,0,eq_c2/2)),-IF(circ_int,0,eq_c2/2)+((39+0.5)*(4*IF(circ_int,0,eq_c1/2)+4*IF(circ_int,0,eq_c2/2)+2*PI()*(s_0+10*s_r+IF(circ_int,eq_c1/2,0)))/INDEX(lk_legs,11)),IF(((39+0.5)*(4*IF(circ_int,0,eq_c1/2)+4*IF(circ_int,0,eq_c2/2)+2*PI()*(s_0+10*s_r+IF(circ_int,eq_c1/2,0)))/INDEX(lk_legs,11))&lt;((2*IF(circ_int,0,eq_c2/2))+(PI()*(s_0+10*s_r+IF(circ_int,eq_c1/2,0))/2)),IF(circ_int,0,eq_c2/2)+(s_0+10*s_r+IF(circ_int,eq_c1/2,0))*SIN((((39+0.5)*(4*IF(circ_int,0,eq_c1/2)+4*IF(circ_int,0,eq_c2/2)+2*PI()*(s_0+10*s_r+IF(circ_int,eq_c1/2,0)))/INDEX(lk_legs,11))-(2*IF(circ_int,0,eq_c2/2)))/(s_0+10*s_r+IF(circ_int,eq_c1/2,0))),IF(((39+0.5)*(4*IF(circ_int,0,eq_c1/2)+4*IF(circ_int,0,eq_c2/2)+2*PI()*(s_0+10*s_r+IF(circ_int,eq_c1/2,0)))/INDEX(lk_legs,11))&lt;(((2*IF(circ_int,0,eq_c2/2))+(PI()*(s_0+10*s_r+IF(circ_int,eq_c1/2,0))/2))+2*IF(circ_int,0,eq_c1/2)),IF(circ_int,0,eq_c2/2)+(s_0+10*s_r+IF(circ_int,eq_c1/2,0)),IF(((39+0.5)*(4*IF(circ_int,0,eq_c1/2)+4*IF(circ_int,0,eq_c2/2)+2*PI()*(s_0+10*s_r+IF(circ_int,eq_c1/2,0)))/INDEX(lk_legs,11))&lt;((((2*IF(circ_int,0,eq_c2/2))+(PI()*(s_0+10*s_r+IF(circ_int,eq_c1/2,0))/2))+2*IF(circ_int,0,eq_c1/2))+(PI()*(s_0+10*s_r+IF(circ_int,eq_c1/2,0))/2)),IF(circ_int,0,eq_c2/2)+(s_0+10*s_r+IF(circ_int,eq_c1/2,0))*SIN(PI()/2+(((39+0.5)*(4*IF(circ_int,0,eq_c1/2)+4*IF(circ_int,0,eq_c2/2)+2*PI()*(s_0+10*s_r+IF(circ_int,eq_c1/2,0)))/INDEX(lk_legs,11))-(((2*IF(circ_int,0,eq_c2/2))+(PI()*(s_0+10*s_r+IF(circ_int,eq_c1/2,0))/2))+2*IF(circ_int,0,eq_c1/2)))/(s_0+10*s_r+IF(circ_int,eq_c1/2,0))),IF(((39+0.5)*(4*IF(circ_int,0,eq_c1/2)+4*IF(circ_int,0,eq_c2/2)+2*PI()*(s_0+10*s_r+IF(circ_int,eq_c1/2,0)))/INDEX(lk_legs,11))&lt;(((((2*IF(circ_int,0,eq_c2/2))+(PI()*(s_0+10*s_r+IF(circ_int,eq_c1/2,0))/2))+2*IF(circ_int,0,eq_c1/2))+(PI()*(s_0+10*s_r+IF(circ_int,eq_c1/2,0))/2))+2*IF(circ_int,0,eq_c2/2)),IF(circ_int,0,eq_c2/2)-(((39+0.5)*(4*IF(circ_int,0,eq_c1/2)+4*IF(circ_int,0,eq_c2/2)+2*PI()*(s_0+10*s_r+IF(circ_int,eq_c1/2,0)))/INDEX(lk_legs,11))-((((2*IF(circ_int,0,eq_c2/2))+(PI()*(s_0+10*s_r+IF(circ_int,eq_c1/2,0))/2))+2*IF(circ_int,0,eq_c1/2))+(PI()*(s_0+10*s_r+IF(circ_int,eq_c1/2,0))/2))),IF(((39+0.5)*(4*IF(circ_int,0,eq_c1/2)+4*IF(circ_int,0,eq_c2/2)+2*PI()*(s_0+10*s_r+IF(circ_int,eq_c1/2,0)))/INDEX(lk_legs,11))&lt;((((((2*IF(circ_int,0,eq_c2/2))+(PI()*(s_0+10*s_r+IF(circ_int,eq_c1/2,0))/2))+2*IF(circ_int,0,eq_c1/2))+(PI()*(s_0+10*s_r+IF(circ_int,eq_c1/2,0))/2))+2*IF(circ_int,0,eq_c2/2))+(PI()*(s_0+10*s_r+IF(circ_int,eq_c1/2,0))/2)),-IF(circ_int,0,eq_c2/2)+(s_0+10*s_r+IF(circ_int,eq_c1/2,0))*SIN(PI()+(((39+0.5)*(4*IF(circ_int,0,eq_c1/2)+4*IF(circ_int,0,eq_c2/2)+2*PI()*(s_0+10*s_r+IF(circ_int,eq_c1/2,0)))/INDEX(lk_legs,11))-(((((2*IF(circ_int,0,eq_c2/2))+(PI()*(s_0+10*s_r+IF(circ_int,eq_c1/2,0))/2))+2*IF(circ_int,0,eq_c1/2))+(PI()*(s_0+10*s_r+IF(circ_int,eq_c1/2,0))/2))+2*IF(circ_int,0,eq_c2/2)))/(s_0+10*s_r+IF(circ_int,eq_c1/2,0))),IF(((39+0.5)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(39+0.5)*(4*IF(circ_int,0,eq_c1/2)+4*IF(circ_int,0,eq_c2/2)+2*PI()*(s_0+10*s_r+IF(circ_int,eq_c1/2,0)))/INDEX(lk_legs,11))-(((((((2*IF(circ_int,0,eq_c2/2))+(PI()*(s_0+10*s_r+IF(circ_int,eq_c1/2,0))/2))+2*IF(circ_int,0,eq_c1/2))+(PI()*(s_0+10*s_r+IF(circ_int,eq_c1/2,0))/2))+2*IF(circ_int,0,eq_c2/2))+(PI()*(s_0+10*s_r+IF(circ_int,eq_c1/2,0))/2))+2*IF(circ_int,0,eq_c1/2)))/(s_0+10*s_r+IF(circ_int,eq_c1/2,0)))))))))),NA())</f>
        <v/>
      </c>
      <c r="DK42">
        <f>IF(AND(links_on,12&lt;=n_per),IF(circ_int,(g_ox)+(c_1/2+(s_0+11*s_r))*-0.000000,CHOOSE(INDEX(lk_kind,12),(g_ox+eq_c1/2)+((s_0+11*s_r))*-0.000000,0,eq_a1+eq_c1+(s_0+11*s_r),eq_a1+eq_c1+(s_0+11*s_r))),NA())</f>
        <v/>
      </c>
      <c r="DL42">
        <f>IF(AND(links_on,12&lt;=n_per),IF(circ_int,(g_oy)+(c_1/2+(s_0+11*s_r))*-1.000000,CHOOSE(INDEX(lk_kind,12),(g_oy-eq_c2/2)+((s_0+11*s_r))*-1.000000,g_oy-eq_c2/2-(s_0+11*s_r),0,0)),NA())</f>
        <v/>
      </c>
      <c r="DN42">
        <f>IF(AND(AND(links_on,12&lt;=n_per),INDEX(lk_kind,12)=1,39&lt;INDEX(lk_legs,12)),g_ox+IF(((39+0.5)*(4*IF(circ_int,0,eq_c1/2)+4*IF(circ_int,0,eq_c2/2)+2*PI()*(s_0+11*s_r+IF(circ_int,eq_c1/2,0)))/INDEX(lk_legs,12))&lt;(2*IF(circ_int,0,eq_c2/2)),IF(circ_int,0,eq_c1/2)+(s_0+11*s_r+IF(circ_int,eq_c1/2,0)),IF(((39+0.5)*(4*IF(circ_int,0,eq_c1/2)+4*IF(circ_int,0,eq_c2/2)+2*PI()*(s_0+11*s_r+IF(circ_int,eq_c1/2,0)))/INDEX(lk_legs,12))&lt;((2*IF(circ_int,0,eq_c2/2))+(PI()*(s_0+11*s_r+IF(circ_int,eq_c1/2,0))/2)),IF(circ_int,0,eq_c1/2)+(s_0+11*s_r+IF(circ_int,eq_c1/2,0))*COS((((39+0.5)*(4*IF(circ_int,0,eq_c1/2)+4*IF(circ_int,0,eq_c2/2)+2*PI()*(s_0+11*s_r+IF(circ_int,eq_c1/2,0)))/INDEX(lk_legs,12))-(2*IF(circ_int,0,eq_c2/2)))/(s_0+11*s_r+IF(circ_int,eq_c1/2,0))),IF(((39+0.5)*(4*IF(circ_int,0,eq_c1/2)+4*IF(circ_int,0,eq_c2/2)+2*PI()*(s_0+11*s_r+IF(circ_int,eq_c1/2,0)))/INDEX(lk_legs,12))&lt;(((2*IF(circ_int,0,eq_c2/2))+(PI()*(s_0+11*s_r+IF(circ_int,eq_c1/2,0))/2))+2*IF(circ_int,0,eq_c1/2)),IF(circ_int,0,eq_c1/2)-(((39+0.5)*(4*IF(circ_int,0,eq_c1/2)+4*IF(circ_int,0,eq_c2/2)+2*PI()*(s_0+11*s_r+IF(circ_int,eq_c1/2,0)))/INDEX(lk_legs,12))-((2*IF(circ_int,0,eq_c2/2))+(PI()*(s_0+11*s_r+IF(circ_int,eq_c1/2,0))/2))),IF(((39+0.5)*(4*IF(circ_int,0,eq_c1/2)+4*IF(circ_int,0,eq_c2/2)+2*PI()*(s_0+11*s_r+IF(circ_int,eq_c1/2,0)))/INDEX(lk_legs,12))&lt;((((2*IF(circ_int,0,eq_c2/2))+(PI()*(s_0+11*s_r+IF(circ_int,eq_c1/2,0))/2))+2*IF(circ_int,0,eq_c1/2))+(PI()*(s_0+11*s_r+IF(circ_int,eq_c1/2,0))/2)),-IF(circ_int,0,eq_c1/2)+(s_0+11*s_r+IF(circ_int,eq_c1/2,0))*COS(PI()/2+(((39+0.5)*(4*IF(circ_int,0,eq_c1/2)+4*IF(circ_int,0,eq_c2/2)+2*PI()*(s_0+11*s_r+IF(circ_int,eq_c1/2,0)))/INDEX(lk_legs,12))-(((2*IF(circ_int,0,eq_c2/2))+(PI()*(s_0+11*s_r+IF(circ_int,eq_c1/2,0))/2))+2*IF(circ_int,0,eq_c1/2)))/(s_0+11*s_r+IF(circ_int,eq_c1/2,0))),IF(((39+0.5)*(4*IF(circ_int,0,eq_c1/2)+4*IF(circ_int,0,eq_c2/2)+2*PI()*(s_0+11*s_r+IF(circ_int,eq_c1/2,0)))/INDEX(lk_legs,12))&lt;(((((2*IF(circ_int,0,eq_c2/2))+(PI()*(s_0+11*s_r+IF(circ_int,eq_c1/2,0))/2))+2*IF(circ_int,0,eq_c1/2))+(PI()*(s_0+11*s_r+IF(circ_int,eq_c1/2,0))/2))+2*IF(circ_int,0,eq_c2/2)),-IF(circ_int,0,eq_c1/2)-(s_0+11*s_r+IF(circ_int,eq_c1/2,0)),IF(((39+0.5)*(4*IF(circ_int,0,eq_c1/2)+4*IF(circ_int,0,eq_c2/2)+2*PI()*(s_0+11*s_r+IF(circ_int,eq_c1/2,0)))/INDEX(lk_legs,12))&lt;((((((2*IF(circ_int,0,eq_c2/2))+(PI()*(s_0+11*s_r+IF(circ_int,eq_c1/2,0))/2))+2*IF(circ_int,0,eq_c1/2))+(PI()*(s_0+11*s_r+IF(circ_int,eq_c1/2,0))/2))+2*IF(circ_int,0,eq_c2/2))+(PI()*(s_0+11*s_r+IF(circ_int,eq_c1/2,0))/2)),-IF(circ_int,0,eq_c1/2)+(s_0+11*s_r+IF(circ_int,eq_c1/2,0))*COS(PI()+(((39+0.5)*(4*IF(circ_int,0,eq_c1/2)+4*IF(circ_int,0,eq_c2/2)+2*PI()*(s_0+11*s_r+IF(circ_int,eq_c1/2,0)))/INDEX(lk_legs,12))-(((((2*IF(circ_int,0,eq_c2/2))+(PI()*(s_0+11*s_r+IF(circ_int,eq_c1/2,0))/2))+2*IF(circ_int,0,eq_c1/2))+(PI()*(s_0+11*s_r+IF(circ_int,eq_c1/2,0))/2))+2*IF(circ_int,0,eq_c2/2)))/(s_0+11*s_r+IF(circ_int,eq_c1/2,0))),IF(((39+0.5)*(4*IF(circ_int,0,eq_c1/2)+4*IF(circ_int,0,eq_c2/2)+2*PI()*(s_0+11*s_r+IF(circ_int,eq_c1/2,0)))/INDEX(lk_legs,12))&lt;(((((((2*IF(circ_int,0,eq_c2/2))+(PI()*(s_0+11*s_r+IF(circ_int,eq_c1/2,0))/2))+2*IF(circ_int,0,eq_c1/2))+(PI()*(s_0+11*s_r+IF(circ_int,eq_c1/2,0))/2))+2*IF(circ_int,0,eq_c2/2))+(PI()*(s_0+11*s_r+IF(circ_int,eq_c1/2,0))/2))+2*IF(circ_int,0,eq_c1/2)),-IF(circ_int,0,eq_c1/2)+(((39+0.5)*(4*IF(circ_int,0,eq_c1/2)+4*IF(circ_int,0,eq_c2/2)+2*PI()*(s_0+11*s_r+IF(circ_int,eq_c1/2,0)))/INDEX(lk_legs,12))-((((((2*IF(circ_int,0,eq_c2/2))+(PI()*(s_0+11*s_r+IF(circ_int,eq_c1/2,0))/2))+2*IF(circ_int,0,eq_c1/2))+(PI()*(s_0+11*s_r+IF(circ_int,eq_c1/2,0))/2))+2*IF(circ_int,0,eq_c2/2))+(PI()*(s_0+11*s_r+IF(circ_int,eq_c1/2,0))/2))),IF(circ_int,0,eq_c1/2)+(s_0+11*s_r+IF(circ_int,eq_c1/2,0))*COS(3*PI()/2+(((39+0.5)*(4*IF(circ_int,0,eq_c1/2)+4*IF(circ_int,0,eq_c2/2)+2*PI()*(s_0+11*s_r+IF(circ_int,eq_c1/2,0)))/INDEX(lk_legs,12))-(((((((2*IF(circ_int,0,eq_c2/2))+(PI()*(s_0+11*s_r+IF(circ_int,eq_c1/2,0))/2))+2*IF(circ_int,0,eq_c1/2))+(PI()*(s_0+11*s_r+IF(circ_int,eq_c1/2,0))/2))+2*IF(circ_int,0,eq_c2/2))+(PI()*(s_0+11*s_r+IF(circ_int,eq_c1/2,0))/2))+2*IF(circ_int,0,eq_c1/2)))/(s_0+11*s_r+IF(circ_int,eq_c1/2,0)))))))))),NA())</f>
        <v/>
      </c>
      <c r="DO42">
        <f>IF(AND(AND(links_on,12&lt;=n_per),INDEX(lk_kind,12)=1,39&lt;INDEX(lk_legs,12)),g_oy+IF(((39+0.5)*(4*IF(circ_int,0,eq_c1/2)+4*IF(circ_int,0,eq_c2/2)+2*PI()*(s_0+11*s_r+IF(circ_int,eq_c1/2,0)))/INDEX(lk_legs,12))&lt;(2*IF(circ_int,0,eq_c2/2)),-IF(circ_int,0,eq_c2/2)+((39+0.5)*(4*IF(circ_int,0,eq_c1/2)+4*IF(circ_int,0,eq_c2/2)+2*PI()*(s_0+11*s_r+IF(circ_int,eq_c1/2,0)))/INDEX(lk_legs,12)),IF(((39+0.5)*(4*IF(circ_int,0,eq_c1/2)+4*IF(circ_int,0,eq_c2/2)+2*PI()*(s_0+11*s_r+IF(circ_int,eq_c1/2,0)))/INDEX(lk_legs,12))&lt;((2*IF(circ_int,0,eq_c2/2))+(PI()*(s_0+11*s_r+IF(circ_int,eq_c1/2,0))/2)),IF(circ_int,0,eq_c2/2)+(s_0+11*s_r+IF(circ_int,eq_c1/2,0))*SIN((((39+0.5)*(4*IF(circ_int,0,eq_c1/2)+4*IF(circ_int,0,eq_c2/2)+2*PI()*(s_0+11*s_r+IF(circ_int,eq_c1/2,0)))/INDEX(lk_legs,12))-(2*IF(circ_int,0,eq_c2/2)))/(s_0+11*s_r+IF(circ_int,eq_c1/2,0))),IF(((39+0.5)*(4*IF(circ_int,0,eq_c1/2)+4*IF(circ_int,0,eq_c2/2)+2*PI()*(s_0+11*s_r+IF(circ_int,eq_c1/2,0)))/INDEX(lk_legs,12))&lt;(((2*IF(circ_int,0,eq_c2/2))+(PI()*(s_0+11*s_r+IF(circ_int,eq_c1/2,0))/2))+2*IF(circ_int,0,eq_c1/2)),IF(circ_int,0,eq_c2/2)+(s_0+11*s_r+IF(circ_int,eq_c1/2,0)),IF(((39+0.5)*(4*IF(circ_int,0,eq_c1/2)+4*IF(circ_int,0,eq_c2/2)+2*PI()*(s_0+11*s_r+IF(circ_int,eq_c1/2,0)))/INDEX(lk_legs,12))&lt;((((2*IF(circ_int,0,eq_c2/2))+(PI()*(s_0+11*s_r+IF(circ_int,eq_c1/2,0))/2))+2*IF(circ_int,0,eq_c1/2))+(PI()*(s_0+11*s_r+IF(circ_int,eq_c1/2,0))/2)),IF(circ_int,0,eq_c2/2)+(s_0+11*s_r+IF(circ_int,eq_c1/2,0))*SIN(PI()/2+(((39+0.5)*(4*IF(circ_int,0,eq_c1/2)+4*IF(circ_int,0,eq_c2/2)+2*PI()*(s_0+11*s_r+IF(circ_int,eq_c1/2,0)))/INDEX(lk_legs,12))-(((2*IF(circ_int,0,eq_c2/2))+(PI()*(s_0+11*s_r+IF(circ_int,eq_c1/2,0))/2))+2*IF(circ_int,0,eq_c1/2)))/(s_0+11*s_r+IF(circ_int,eq_c1/2,0))),IF(((39+0.5)*(4*IF(circ_int,0,eq_c1/2)+4*IF(circ_int,0,eq_c2/2)+2*PI()*(s_0+11*s_r+IF(circ_int,eq_c1/2,0)))/INDEX(lk_legs,12))&lt;(((((2*IF(circ_int,0,eq_c2/2))+(PI()*(s_0+11*s_r+IF(circ_int,eq_c1/2,0))/2))+2*IF(circ_int,0,eq_c1/2))+(PI()*(s_0+11*s_r+IF(circ_int,eq_c1/2,0))/2))+2*IF(circ_int,0,eq_c2/2)),IF(circ_int,0,eq_c2/2)-(((39+0.5)*(4*IF(circ_int,0,eq_c1/2)+4*IF(circ_int,0,eq_c2/2)+2*PI()*(s_0+11*s_r+IF(circ_int,eq_c1/2,0)))/INDEX(lk_legs,12))-((((2*IF(circ_int,0,eq_c2/2))+(PI()*(s_0+11*s_r+IF(circ_int,eq_c1/2,0))/2))+2*IF(circ_int,0,eq_c1/2))+(PI()*(s_0+11*s_r+IF(circ_int,eq_c1/2,0))/2))),IF(((39+0.5)*(4*IF(circ_int,0,eq_c1/2)+4*IF(circ_int,0,eq_c2/2)+2*PI()*(s_0+11*s_r+IF(circ_int,eq_c1/2,0)))/INDEX(lk_legs,12))&lt;((((((2*IF(circ_int,0,eq_c2/2))+(PI()*(s_0+11*s_r+IF(circ_int,eq_c1/2,0))/2))+2*IF(circ_int,0,eq_c1/2))+(PI()*(s_0+11*s_r+IF(circ_int,eq_c1/2,0))/2))+2*IF(circ_int,0,eq_c2/2))+(PI()*(s_0+11*s_r+IF(circ_int,eq_c1/2,0))/2)),-IF(circ_int,0,eq_c2/2)+(s_0+11*s_r+IF(circ_int,eq_c1/2,0))*SIN(PI()+(((39+0.5)*(4*IF(circ_int,0,eq_c1/2)+4*IF(circ_int,0,eq_c2/2)+2*PI()*(s_0+11*s_r+IF(circ_int,eq_c1/2,0)))/INDEX(lk_legs,12))-(((((2*IF(circ_int,0,eq_c2/2))+(PI()*(s_0+11*s_r+IF(circ_int,eq_c1/2,0))/2))+2*IF(circ_int,0,eq_c1/2))+(PI()*(s_0+11*s_r+IF(circ_int,eq_c1/2,0))/2))+2*IF(circ_int,0,eq_c2/2)))/(s_0+11*s_r+IF(circ_int,eq_c1/2,0))),IF(((39+0.5)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(39+0.5)*(4*IF(circ_int,0,eq_c1/2)+4*IF(circ_int,0,eq_c2/2)+2*PI()*(s_0+11*s_r+IF(circ_int,eq_c1/2,0)))/INDEX(lk_legs,12))-(((((((2*IF(circ_int,0,eq_c2/2))+(PI()*(s_0+11*s_r+IF(circ_int,eq_c1/2,0))/2))+2*IF(circ_int,0,eq_c1/2))+(PI()*(s_0+11*s_r+IF(circ_int,eq_c1/2,0))/2))+2*IF(circ_int,0,eq_c2/2))+(PI()*(s_0+11*s_r+IF(circ_int,eq_c1/2,0))/2))+2*IF(circ_int,0,eq_c1/2)))/(s_0+11*s_r+IF(circ_int,eq_c1/2,0)))))))))),NA())</f>
        <v/>
      </c>
    </row>
    <row r="43">
      <c r="A43">
        <f>IF(shape="Circular",(g_ox)+(c_1/2+0)*0.120537,CHOOSE(1,(g_ox+eq_c1/2)+(0)*0.130526,0,eq_a1+eq_c1+0,eq_a1+eq_c1+0))</f>
        <v/>
      </c>
      <c r="B43">
        <f>IF(shape="Circular",(g_oy)+(c_1/2+0)*-0.992709,CHOOSE(1,(g_oy-eq_c2/2)+(0)*-0.991445,g_oy-eq_c2/2-0,0,0))</f>
        <v/>
      </c>
      <c r="D43">
        <f>IF(circ_int,(g_ox)+(c_1/2+2*d_eff)*0.120537,CHOOSE(geo_idx,(g_ox+eq_c1/2)+(2*d_eff)*0.130526,0,eq_a1+eq_c1+2*d_eff,eq_a1+eq_c1+2*d_eff))</f>
        <v/>
      </c>
      <c r="E43">
        <f>IF(circ_int,(g_oy)+(c_1/2+2*d_eff)*-0.992709,CHOOSE(geo_idx,(g_oy-eq_c2/2)+(2*d_eff)*-0.991445,g_oy-eq_c2/2-2*d_eff,0,0))</f>
        <v/>
      </c>
      <c r="G43">
        <f>IF(AND(inputs_ok,punch_ok,A_sw&gt;0),IF(circ_int,(g_ox)+(c_1/2+r_out)*0.120537,CHOOSE(kind_out,(g_ox+eq_c1/2)+(r_out)*0.130526,0,eq_a1+eq_c1+r_out,eq_a1+eq_c1+r_out)),NA())</f>
        <v/>
      </c>
      <c r="H43">
        <f>IF(AND(inputs_ok,punch_ok,A_sw&gt;0),IF(circ_int,(g_oy)+(c_1/2+r_out)*-0.992709,CHOOSE(kind_out,(g_oy-eq_c2/2)+(r_out)*-0.991445,g_oy-eq_c2/2-r_out,0,0)),NA())</f>
        <v/>
      </c>
      <c r="AW43">
        <f>IF(AND(links_on,1&lt;=n_per),IF(circ_int,(g_ox)+(c_1/2+(s_0+0*s_r))*0.120537,CHOOSE(INDEX(lk_kind,1),(g_ox+eq_c1/2)+((s_0+0*s_r))*0.130526,0,eq_a1+eq_c1+(s_0+0*s_r),eq_a1+eq_c1+(s_0+0*s_r))),NA())</f>
        <v/>
      </c>
      <c r="AX43">
        <f>IF(AND(links_on,1&lt;=n_per),IF(circ_int,(g_oy)+(c_1/2+(s_0+0*s_r))*-0.992709,CHOOSE(INDEX(lk_kind,1),(g_oy-eq_c2/2)+((s_0+0*s_r))*-0.991445,g_oy-eq_c2/2-(s_0+0*s_r),0,0)),NA())</f>
        <v/>
      </c>
      <c r="AZ43">
        <f>IF(AND(AND(links_on,1&lt;=n_per),INDEX(lk_kind,1)=1,40&lt;INDEX(lk_legs,1)),g_ox+IF(((40+0.5)*(4*IF(circ_int,0,eq_c1/2)+4*IF(circ_int,0,eq_c2/2)+2*PI()*(s_0+0*s_r+IF(circ_int,eq_c1/2,0)))/INDEX(lk_legs,1))&lt;(2*IF(circ_int,0,eq_c2/2)),IF(circ_int,0,eq_c1/2)+(s_0+0*s_r+IF(circ_int,eq_c1/2,0)),IF(((40+0.5)*(4*IF(circ_int,0,eq_c1/2)+4*IF(circ_int,0,eq_c2/2)+2*PI()*(s_0+0*s_r+IF(circ_int,eq_c1/2,0)))/INDEX(lk_legs,1))&lt;((2*IF(circ_int,0,eq_c2/2))+(PI()*(s_0+0*s_r+IF(circ_int,eq_c1/2,0))/2)),IF(circ_int,0,eq_c1/2)+(s_0+0*s_r+IF(circ_int,eq_c1/2,0))*COS((((40+0.5)*(4*IF(circ_int,0,eq_c1/2)+4*IF(circ_int,0,eq_c2/2)+2*PI()*(s_0+0*s_r+IF(circ_int,eq_c1/2,0)))/INDEX(lk_legs,1))-(2*IF(circ_int,0,eq_c2/2)))/(s_0+0*s_r+IF(circ_int,eq_c1/2,0))),IF(((40+0.5)*(4*IF(circ_int,0,eq_c1/2)+4*IF(circ_int,0,eq_c2/2)+2*PI()*(s_0+0*s_r+IF(circ_int,eq_c1/2,0)))/INDEX(lk_legs,1))&lt;(((2*IF(circ_int,0,eq_c2/2))+(PI()*(s_0+0*s_r+IF(circ_int,eq_c1/2,0))/2))+2*IF(circ_int,0,eq_c1/2)),IF(circ_int,0,eq_c1/2)-(((40+0.5)*(4*IF(circ_int,0,eq_c1/2)+4*IF(circ_int,0,eq_c2/2)+2*PI()*(s_0+0*s_r+IF(circ_int,eq_c1/2,0)))/INDEX(lk_legs,1))-((2*IF(circ_int,0,eq_c2/2))+(PI()*(s_0+0*s_r+IF(circ_int,eq_c1/2,0))/2))),IF(((40+0.5)*(4*IF(circ_int,0,eq_c1/2)+4*IF(circ_int,0,eq_c2/2)+2*PI()*(s_0+0*s_r+IF(circ_int,eq_c1/2,0)))/INDEX(lk_legs,1))&lt;((((2*IF(circ_int,0,eq_c2/2))+(PI()*(s_0+0*s_r+IF(circ_int,eq_c1/2,0))/2))+2*IF(circ_int,0,eq_c1/2))+(PI()*(s_0+0*s_r+IF(circ_int,eq_c1/2,0))/2)),-IF(circ_int,0,eq_c1/2)+(s_0+0*s_r+IF(circ_int,eq_c1/2,0))*COS(PI()/2+(((40+0.5)*(4*IF(circ_int,0,eq_c1/2)+4*IF(circ_int,0,eq_c2/2)+2*PI()*(s_0+0*s_r+IF(circ_int,eq_c1/2,0)))/INDEX(lk_legs,1))-(((2*IF(circ_int,0,eq_c2/2))+(PI()*(s_0+0*s_r+IF(circ_int,eq_c1/2,0))/2))+2*IF(circ_int,0,eq_c1/2)))/(s_0+0*s_r+IF(circ_int,eq_c1/2,0))),IF(((40+0.5)*(4*IF(circ_int,0,eq_c1/2)+4*IF(circ_int,0,eq_c2/2)+2*PI()*(s_0+0*s_r+IF(circ_int,eq_c1/2,0)))/INDEX(lk_legs,1))&lt;(((((2*IF(circ_int,0,eq_c2/2))+(PI()*(s_0+0*s_r+IF(circ_int,eq_c1/2,0))/2))+2*IF(circ_int,0,eq_c1/2))+(PI()*(s_0+0*s_r+IF(circ_int,eq_c1/2,0))/2))+2*IF(circ_int,0,eq_c2/2)),-IF(circ_int,0,eq_c1/2)-(s_0+0*s_r+IF(circ_int,eq_c1/2,0)),IF(((40+0.5)*(4*IF(circ_int,0,eq_c1/2)+4*IF(circ_int,0,eq_c2/2)+2*PI()*(s_0+0*s_r+IF(circ_int,eq_c1/2,0)))/INDEX(lk_legs,1))&lt;((((((2*IF(circ_int,0,eq_c2/2))+(PI()*(s_0+0*s_r+IF(circ_int,eq_c1/2,0))/2))+2*IF(circ_int,0,eq_c1/2))+(PI()*(s_0+0*s_r+IF(circ_int,eq_c1/2,0))/2))+2*IF(circ_int,0,eq_c2/2))+(PI()*(s_0+0*s_r+IF(circ_int,eq_c1/2,0))/2)),-IF(circ_int,0,eq_c1/2)+(s_0+0*s_r+IF(circ_int,eq_c1/2,0))*COS(PI()+(((40+0.5)*(4*IF(circ_int,0,eq_c1/2)+4*IF(circ_int,0,eq_c2/2)+2*PI()*(s_0+0*s_r+IF(circ_int,eq_c1/2,0)))/INDEX(lk_legs,1))-(((((2*IF(circ_int,0,eq_c2/2))+(PI()*(s_0+0*s_r+IF(circ_int,eq_c1/2,0))/2))+2*IF(circ_int,0,eq_c1/2))+(PI()*(s_0+0*s_r+IF(circ_int,eq_c1/2,0))/2))+2*IF(circ_int,0,eq_c2/2)))/(s_0+0*s_r+IF(circ_int,eq_c1/2,0))),IF(((40+0.5)*(4*IF(circ_int,0,eq_c1/2)+4*IF(circ_int,0,eq_c2/2)+2*PI()*(s_0+0*s_r+IF(circ_int,eq_c1/2,0)))/INDEX(lk_legs,1))&lt;(((((((2*IF(circ_int,0,eq_c2/2))+(PI()*(s_0+0*s_r+IF(circ_int,eq_c1/2,0))/2))+2*IF(circ_int,0,eq_c1/2))+(PI()*(s_0+0*s_r+IF(circ_int,eq_c1/2,0))/2))+2*IF(circ_int,0,eq_c2/2))+(PI()*(s_0+0*s_r+IF(circ_int,eq_c1/2,0))/2))+2*IF(circ_int,0,eq_c1/2)),-IF(circ_int,0,eq_c1/2)+(((40+0.5)*(4*IF(circ_int,0,eq_c1/2)+4*IF(circ_int,0,eq_c2/2)+2*PI()*(s_0+0*s_r+IF(circ_int,eq_c1/2,0)))/INDEX(lk_legs,1))-((((((2*IF(circ_int,0,eq_c2/2))+(PI()*(s_0+0*s_r+IF(circ_int,eq_c1/2,0))/2))+2*IF(circ_int,0,eq_c1/2))+(PI()*(s_0+0*s_r+IF(circ_int,eq_c1/2,0))/2))+2*IF(circ_int,0,eq_c2/2))+(PI()*(s_0+0*s_r+IF(circ_int,eq_c1/2,0))/2))),IF(circ_int,0,eq_c1/2)+(s_0+0*s_r+IF(circ_int,eq_c1/2,0))*COS(3*PI()/2+(((40+0.5)*(4*IF(circ_int,0,eq_c1/2)+4*IF(circ_int,0,eq_c2/2)+2*PI()*(s_0+0*s_r+IF(circ_int,eq_c1/2,0)))/INDEX(lk_legs,1))-(((((((2*IF(circ_int,0,eq_c2/2))+(PI()*(s_0+0*s_r+IF(circ_int,eq_c1/2,0))/2))+2*IF(circ_int,0,eq_c1/2))+(PI()*(s_0+0*s_r+IF(circ_int,eq_c1/2,0))/2))+2*IF(circ_int,0,eq_c2/2))+(PI()*(s_0+0*s_r+IF(circ_int,eq_c1/2,0))/2))+2*IF(circ_int,0,eq_c1/2)))/(s_0+0*s_r+IF(circ_int,eq_c1/2,0)))))))))),NA())</f>
        <v/>
      </c>
      <c r="BA43">
        <f>IF(AND(AND(links_on,1&lt;=n_per),INDEX(lk_kind,1)=1,40&lt;INDEX(lk_legs,1)),g_oy+IF(((40+0.5)*(4*IF(circ_int,0,eq_c1/2)+4*IF(circ_int,0,eq_c2/2)+2*PI()*(s_0+0*s_r+IF(circ_int,eq_c1/2,0)))/INDEX(lk_legs,1))&lt;(2*IF(circ_int,0,eq_c2/2)),-IF(circ_int,0,eq_c2/2)+((40+0.5)*(4*IF(circ_int,0,eq_c1/2)+4*IF(circ_int,0,eq_c2/2)+2*PI()*(s_0+0*s_r+IF(circ_int,eq_c1/2,0)))/INDEX(lk_legs,1)),IF(((40+0.5)*(4*IF(circ_int,0,eq_c1/2)+4*IF(circ_int,0,eq_c2/2)+2*PI()*(s_0+0*s_r+IF(circ_int,eq_c1/2,0)))/INDEX(lk_legs,1))&lt;((2*IF(circ_int,0,eq_c2/2))+(PI()*(s_0+0*s_r+IF(circ_int,eq_c1/2,0))/2)),IF(circ_int,0,eq_c2/2)+(s_0+0*s_r+IF(circ_int,eq_c1/2,0))*SIN((((40+0.5)*(4*IF(circ_int,0,eq_c1/2)+4*IF(circ_int,0,eq_c2/2)+2*PI()*(s_0+0*s_r+IF(circ_int,eq_c1/2,0)))/INDEX(lk_legs,1))-(2*IF(circ_int,0,eq_c2/2)))/(s_0+0*s_r+IF(circ_int,eq_c1/2,0))),IF(((40+0.5)*(4*IF(circ_int,0,eq_c1/2)+4*IF(circ_int,0,eq_c2/2)+2*PI()*(s_0+0*s_r+IF(circ_int,eq_c1/2,0)))/INDEX(lk_legs,1))&lt;(((2*IF(circ_int,0,eq_c2/2))+(PI()*(s_0+0*s_r+IF(circ_int,eq_c1/2,0))/2))+2*IF(circ_int,0,eq_c1/2)),IF(circ_int,0,eq_c2/2)+(s_0+0*s_r+IF(circ_int,eq_c1/2,0)),IF(((40+0.5)*(4*IF(circ_int,0,eq_c1/2)+4*IF(circ_int,0,eq_c2/2)+2*PI()*(s_0+0*s_r+IF(circ_int,eq_c1/2,0)))/INDEX(lk_legs,1))&lt;((((2*IF(circ_int,0,eq_c2/2))+(PI()*(s_0+0*s_r+IF(circ_int,eq_c1/2,0))/2))+2*IF(circ_int,0,eq_c1/2))+(PI()*(s_0+0*s_r+IF(circ_int,eq_c1/2,0))/2)),IF(circ_int,0,eq_c2/2)+(s_0+0*s_r+IF(circ_int,eq_c1/2,0))*SIN(PI()/2+(((40+0.5)*(4*IF(circ_int,0,eq_c1/2)+4*IF(circ_int,0,eq_c2/2)+2*PI()*(s_0+0*s_r+IF(circ_int,eq_c1/2,0)))/INDEX(lk_legs,1))-(((2*IF(circ_int,0,eq_c2/2))+(PI()*(s_0+0*s_r+IF(circ_int,eq_c1/2,0))/2))+2*IF(circ_int,0,eq_c1/2)))/(s_0+0*s_r+IF(circ_int,eq_c1/2,0))),IF(((40+0.5)*(4*IF(circ_int,0,eq_c1/2)+4*IF(circ_int,0,eq_c2/2)+2*PI()*(s_0+0*s_r+IF(circ_int,eq_c1/2,0)))/INDEX(lk_legs,1))&lt;(((((2*IF(circ_int,0,eq_c2/2))+(PI()*(s_0+0*s_r+IF(circ_int,eq_c1/2,0))/2))+2*IF(circ_int,0,eq_c1/2))+(PI()*(s_0+0*s_r+IF(circ_int,eq_c1/2,0))/2))+2*IF(circ_int,0,eq_c2/2)),IF(circ_int,0,eq_c2/2)-(((40+0.5)*(4*IF(circ_int,0,eq_c1/2)+4*IF(circ_int,0,eq_c2/2)+2*PI()*(s_0+0*s_r+IF(circ_int,eq_c1/2,0)))/INDEX(lk_legs,1))-((((2*IF(circ_int,0,eq_c2/2))+(PI()*(s_0+0*s_r+IF(circ_int,eq_c1/2,0))/2))+2*IF(circ_int,0,eq_c1/2))+(PI()*(s_0+0*s_r+IF(circ_int,eq_c1/2,0))/2))),IF(((40+0.5)*(4*IF(circ_int,0,eq_c1/2)+4*IF(circ_int,0,eq_c2/2)+2*PI()*(s_0+0*s_r+IF(circ_int,eq_c1/2,0)))/INDEX(lk_legs,1))&lt;((((((2*IF(circ_int,0,eq_c2/2))+(PI()*(s_0+0*s_r+IF(circ_int,eq_c1/2,0))/2))+2*IF(circ_int,0,eq_c1/2))+(PI()*(s_0+0*s_r+IF(circ_int,eq_c1/2,0))/2))+2*IF(circ_int,0,eq_c2/2))+(PI()*(s_0+0*s_r+IF(circ_int,eq_c1/2,0))/2)),-IF(circ_int,0,eq_c2/2)+(s_0+0*s_r+IF(circ_int,eq_c1/2,0))*SIN(PI()+(((40+0.5)*(4*IF(circ_int,0,eq_c1/2)+4*IF(circ_int,0,eq_c2/2)+2*PI()*(s_0+0*s_r+IF(circ_int,eq_c1/2,0)))/INDEX(lk_legs,1))-(((((2*IF(circ_int,0,eq_c2/2))+(PI()*(s_0+0*s_r+IF(circ_int,eq_c1/2,0))/2))+2*IF(circ_int,0,eq_c1/2))+(PI()*(s_0+0*s_r+IF(circ_int,eq_c1/2,0))/2))+2*IF(circ_int,0,eq_c2/2)))/(s_0+0*s_r+IF(circ_int,eq_c1/2,0))),IF(((40+0.5)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(40+0.5)*(4*IF(circ_int,0,eq_c1/2)+4*IF(circ_int,0,eq_c2/2)+2*PI()*(s_0+0*s_r+IF(circ_int,eq_c1/2,0)))/INDEX(lk_legs,1))-(((((((2*IF(circ_int,0,eq_c2/2))+(PI()*(s_0+0*s_r+IF(circ_int,eq_c1/2,0))/2))+2*IF(circ_int,0,eq_c1/2))+(PI()*(s_0+0*s_r+IF(circ_int,eq_c1/2,0))/2))+2*IF(circ_int,0,eq_c2/2))+(PI()*(s_0+0*s_r+IF(circ_int,eq_c1/2,0))/2))+2*IF(circ_int,0,eq_c1/2)))/(s_0+0*s_r+IF(circ_int,eq_c1/2,0)))))))))),NA())</f>
        <v/>
      </c>
      <c r="BC43">
        <f>IF(AND(links_on,2&lt;=n_per),IF(circ_int,(g_ox)+(c_1/2+(s_0+1*s_r))*0.120537,CHOOSE(INDEX(lk_kind,2),(g_ox+eq_c1/2)+((s_0+1*s_r))*0.130526,0,eq_a1+eq_c1+(s_0+1*s_r),eq_a1+eq_c1+(s_0+1*s_r))),NA())</f>
        <v/>
      </c>
      <c r="BD43">
        <f>IF(AND(links_on,2&lt;=n_per),IF(circ_int,(g_oy)+(c_1/2+(s_0+1*s_r))*-0.992709,CHOOSE(INDEX(lk_kind,2),(g_oy-eq_c2/2)+((s_0+1*s_r))*-0.991445,g_oy-eq_c2/2-(s_0+1*s_r),0,0)),NA())</f>
        <v/>
      </c>
      <c r="BF43">
        <f>IF(AND(AND(links_on,2&lt;=n_per),INDEX(lk_kind,2)=1,40&lt;INDEX(lk_legs,2)),g_ox+IF(((40+0.5)*(4*IF(circ_int,0,eq_c1/2)+4*IF(circ_int,0,eq_c2/2)+2*PI()*(s_0+1*s_r+IF(circ_int,eq_c1/2,0)))/INDEX(lk_legs,2))&lt;(2*IF(circ_int,0,eq_c2/2)),IF(circ_int,0,eq_c1/2)+(s_0+1*s_r+IF(circ_int,eq_c1/2,0)),IF(((40+0.5)*(4*IF(circ_int,0,eq_c1/2)+4*IF(circ_int,0,eq_c2/2)+2*PI()*(s_0+1*s_r+IF(circ_int,eq_c1/2,0)))/INDEX(lk_legs,2))&lt;((2*IF(circ_int,0,eq_c2/2))+(PI()*(s_0+1*s_r+IF(circ_int,eq_c1/2,0))/2)),IF(circ_int,0,eq_c1/2)+(s_0+1*s_r+IF(circ_int,eq_c1/2,0))*COS((((40+0.5)*(4*IF(circ_int,0,eq_c1/2)+4*IF(circ_int,0,eq_c2/2)+2*PI()*(s_0+1*s_r+IF(circ_int,eq_c1/2,0)))/INDEX(lk_legs,2))-(2*IF(circ_int,0,eq_c2/2)))/(s_0+1*s_r+IF(circ_int,eq_c1/2,0))),IF(((40+0.5)*(4*IF(circ_int,0,eq_c1/2)+4*IF(circ_int,0,eq_c2/2)+2*PI()*(s_0+1*s_r+IF(circ_int,eq_c1/2,0)))/INDEX(lk_legs,2))&lt;(((2*IF(circ_int,0,eq_c2/2))+(PI()*(s_0+1*s_r+IF(circ_int,eq_c1/2,0))/2))+2*IF(circ_int,0,eq_c1/2)),IF(circ_int,0,eq_c1/2)-(((40+0.5)*(4*IF(circ_int,0,eq_c1/2)+4*IF(circ_int,0,eq_c2/2)+2*PI()*(s_0+1*s_r+IF(circ_int,eq_c1/2,0)))/INDEX(lk_legs,2))-((2*IF(circ_int,0,eq_c2/2))+(PI()*(s_0+1*s_r+IF(circ_int,eq_c1/2,0))/2))),IF(((40+0.5)*(4*IF(circ_int,0,eq_c1/2)+4*IF(circ_int,0,eq_c2/2)+2*PI()*(s_0+1*s_r+IF(circ_int,eq_c1/2,0)))/INDEX(lk_legs,2))&lt;((((2*IF(circ_int,0,eq_c2/2))+(PI()*(s_0+1*s_r+IF(circ_int,eq_c1/2,0))/2))+2*IF(circ_int,0,eq_c1/2))+(PI()*(s_0+1*s_r+IF(circ_int,eq_c1/2,0))/2)),-IF(circ_int,0,eq_c1/2)+(s_0+1*s_r+IF(circ_int,eq_c1/2,0))*COS(PI()/2+(((40+0.5)*(4*IF(circ_int,0,eq_c1/2)+4*IF(circ_int,0,eq_c2/2)+2*PI()*(s_0+1*s_r+IF(circ_int,eq_c1/2,0)))/INDEX(lk_legs,2))-(((2*IF(circ_int,0,eq_c2/2))+(PI()*(s_0+1*s_r+IF(circ_int,eq_c1/2,0))/2))+2*IF(circ_int,0,eq_c1/2)))/(s_0+1*s_r+IF(circ_int,eq_c1/2,0))),IF(((40+0.5)*(4*IF(circ_int,0,eq_c1/2)+4*IF(circ_int,0,eq_c2/2)+2*PI()*(s_0+1*s_r+IF(circ_int,eq_c1/2,0)))/INDEX(lk_legs,2))&lt;(((((2*IF(circ_int,0,eq_c2/2))+(PI()*(s_0+1*s_r+IF(circ_int,eq_c1/2,0))/2))+2*IF(circ_int,0,eq_c1/2))+(PI()*(s_0+1*s_r+IF(circ_int,eq_c1/2,0))/2))+2*IF(circ_int,0,eq_c2/2)),-IF(circ_int,0,eq_c1/2)-(s_0+1*s_r+IF(circ_int,eq_c1/2,0)),IF(((40+0.5)*(4*IF(circ_int,0,eq_c1/2)+4*IF(circ_int,0,eq_c2/2)+2*PI()*(s_0+1*s_r+IF(circ_int,eq_c1/2,0)))/INDEX(lk_legs,2))&lt;((((((2*IF(circ_int,0,eq_c2/2))+(PI()*(s_0+1*s_r+IF(circ_int,eq_c1/2,0))/2))+2*IF(circ_int,0,eq_c1/2))+(PI()*(s_0+1*s_r+IF(circ_int,eq_c1/2,0))/2))+2*IF(circ_int,0,eq_c2/2))+(PI()*(s_0+1*s_r+IF(circ_int,eq_c1/2,0))/2)),-IF(circ_int,0,eq_c1/2)+(s_0+1*s_r+IF(circ_int,eq_c1/2,0))*COS(PI()+(((40+0.5)*(4*IF(circ_int,0,eq_c1/2)+4*IF(circ_int,0,eq_c2/2)+2*PI()*(s_0+1*s_r+IF(circ_int,eq_c1/2,0)))/INDEX(lk_legs,2))-(((((2*IF(circ_int,0,eq_c2/2))+(PI()*(s_0+1*s_r+IF(circ_int,eq_c1/2,0))/2))+2*IF(circ_int,0,eq_c1/2))+(PI()*(s_0+1*s_r+IF(circ_int,eq_c1/2,0))/2))+2*IF(circ_int,0,eq_c2/2)))/(s_0+1*s_r+IF(circ_int,eq_c1/2,0))),IF(((40+0.5)*(4*IF(circ_int,0,eq_c1/2)+4*IF(circ_int,0,eq_c2/2)+2*PI()*(s_0+1*s_r+IF(circ_int,eq_c1/2,0)))/INDEX(lk_legs,2))&lt;(((((((2*IF(circ_int,0,eq_c2/2))+(PI()*(s_0+1*s_r+IF(circ_int,eq_c1/2,0))/2))+2*IF(circ_int,0,eq_c1/2))+(PI()*(s_0+1*s_r+IF(circ_int,eq_c1/2,0))/2))+2*IF(circ_int,0,eq_c2/2))+(PI()*(s_0+1*s_r+IF(circ_int,eq_c1/2,0))/2))+2*IF(circ_int,0,eq_c1/2)),-IF(circ_int,0,eq_c1/2)+(((40+0.5)*(4*IF(circ_int,0,eq_c1/2)+4*IF(circ_int,0,eq_c2/2)+2*PI()*(s_0+1*s_r+IF(circ_int,eq_c1/2,0)))/INDEX(lk_legs,2))-((((((2*IF(circ_int,0,eq_c2/2))+(PI()*(s_0+1*s_r+IF(circ_int,eq_c1/2,0))/2))+2*IF(circ_int,0,eq_c1/2))+(PI()*(s_0+1*s_r+IF(circ_int,eq_c1/2,0))/2))+2*IF(circ_int,0,eq_c2/2))+(PI()*(s_0+1*s_r+IF(circ_int,eq_c1/2,0))/2))),IF(circ_int,0,eq_c1/2)+(s_0+1*s_r+IF(circ_int,eq_c1/2,0))*COS(3*PI()/2+(((40+0.5)*(4*IF(circ_int,0,eq_c1/2)+4*IF(circ_int,0,eq_c2/2)+2*PI()*(s_0+1*s_r+IF(circ_int,eq_c1/2,0)))/INDEX(lk_legs,2))-(((((((2*IF(circ_int,0,eq_c2/2))+(PI()*(s_0+1*s_r+IF(circ_int,eq_c1/2,0))/2))+2*IF(circ_int,0,eq_c1/2))+(PI()*(s_0+1*s_r+IF(circ_int,eq_c1/2,0))/2))+2*IF(circ_int,0,eq_c2/2))+(PI()*(s_0+1*s_r+IF(circ_int,eq_c1/2,0))/2))+2*IF(circ_int,0,eq_c1/2)))/(s_0+1*s_r+IF(circ_int,eq_c1/2,0)))))))))),NA())</f>
        <v/>
      </c>
      <c r="BG43">
        <f>IF(AND(AND(links_on,2&lt;=n_per),INDEX(lk_kind,2)=1,40&lt;INDEX(lk_legs,2)),g_oy+IF(((40+0.5)*(4*IF(circ_int,0,eq_c1/2)+4*IF(circ_int,0,eq_c2/2)+2*PI()*(s_0+1*s_r+IF(circ_int,eq_c1/2,0)))/INDEX(lk_legs,2))&lt;(2*IF(circ_int,0,eq_c2/2)),-IF(circ_int,0,eq_c2/2)+((40+0.5)*(4*IF(circ_int,0,eq_c1/2)+4*IF(circ_int,0,eq_c2/2)+2*PI()*(s_0+1*s_r+IF(circ_int,eq_c1/2,0)))/INDEX(lk_legs,2)),IF(((40+0.5)*(4*IF(circ_int,0,eq_c1/2)+4*IF(circ_int,0,eq_c2/2)+2*PI()*(s_0+1*s_r+IF(circ_int,eq_c1/2,0)))/INDEX(lk_legs,2))&lt;((2*IF(circ_int,0,eq_c2/2))+(PI()*(s_0+1*s_r+IF(circ_int,eq_c1/2,0))/2)),IF(circ_int,0,eq_c2/2)+(s_0+1*s_r+IF(circ_int,eq_c1/2,0))*SIN((((40+0.5)*(4*IF(circ_int,0,eq_c1/2)+4*IF(circ_int,0,eq_c2/2)+2*PI()*(s_0+1*s_r+IF(circ_int,eq_c1/2,0)))/INDEX(lk_legs,2))-(2*IF(circ_int,0,eq_c2/2)))/(s_0+1*s_r+IF(circ_int,eq_c1/2,0))),IF(((40+0.5)*(4*IF(circ_int,0,eq_c1/2)+4*IF(circ_int,0,eq_c2/2)+2*PI()*(s_0+1*s_r+IF(circ_int,eq_c1/2,0)))/INDEX(lk_legs,2))&lt;(((2*IF(circ_int,0,eq_c2/2))+(PI()*(s_0+1*s_r+IF(circ_int,eq_c1/2,0))/2))+2*IF(circ_int,0,eq_c1/2)),IF(circ_int,0,eq_c2/2)+(s_0+1*s_r+IF(circ_int,eq_c1/2,0)),IF(((40+0.5)*(4*IF(circ_int,0,eq_c1/2)+4*IF(circ_int,0,eq_c2/2)+2*PI()*(s_0+1*s_r+IF(circ_int,eq_c1/2,0)))/INDEX(lk_legs,2))&lt;((((2*IF(circ_int,0,eq_c2/2))+(PI()*(s_0+1*s_r+IF(circ_int,eq_c1/2,0))/2))+2*IF(circ_int,0,eq_c1/2))+(PI()*(s_0+1*s_r+IF(circ_int,eq_c1/2,0))/2)),IF(circ_int,0,eq_c2/2)+(s_0+1*s_r+IF(circ_int,eq_c1/2,0))*SIN(PI()/2+(((40+0.5)*(4*IF(circ_int,0,eq_c1/2)+4*IF(circ_int,0,eq_c2/2)+2*PI()*(s_0+1*s_r+IF(circ_int,eq_c1/2,0)))/INDEX(lk_legs,2))-(((2*IF(circ_int,0,eq_c2/2))+(PI()*(s_0+1*s_r+IF(circ_int,eq_c1/2,0))/2))+2*IF(circ_int,0,eq_c1/2)))/(s_0+1*s_r+IF(circ_int,eq_c1/2,0))),IF(((40+0.5)*(4*IF(circ_int,0,eq_c1/2)+4*IF(circ_int,0,eq_c2/2)+2*PI()*(s_0+1*s_r+IF(circ_int,eq_c1/2,0)))/INDEX(lk_legs,2))&lt;(((((2*IF(circ_int,0,eq_c2/2))+(PI()*(s_0+1*s_r+IF(circ_int,eq_c1/2,0))/2))+2*IF(circ_int,0,eq_c1/2))+(PI()*(s_0+1*s_r+IF(circ_int,eq_c1/2,0))/2))+2*IF(circ_int,0,eq_c2/2)),IF(circ_int,0,eq_c2/2)-(((40+0.5)*(4*IF(circ_int,0,eq_c1/2)+4*IF(circ_int,0,eq_c2/2)+2*PI()*(s_0+1*s_r+IF(circ_int,eq_c1/2,0)))/INDEX(lk_legs,2))-((((2*IF(circ_int,0,eq_c2/2))+(PI()*(s_0+1*s_r+IF(circ_int,eq_c1/2,0))/2))+2*IF(circ_int,0,eq_c1/2))+(PI()*(s_0+1*s_r+IF(circ_int,eq_c1/2,0))/2))),IF(((40+0.5)*(4*IF(circ_int,0,eq_c1/2)+4*IF(circ_int,0,eq_c2/2)+2*PI()*(s_0+1*s_r+IF(circ_int,eq_c1/2,0)))/INDEX(lk_legs,2))&lt;((((((2*IF(circ_int,0,eq_c2/2))+(PI()*(s_0+1*s_r+IF(circ_int,eq_c1/2,0))/2))+2*IF(circ_int,0,eq_c1/2))+(PI()*(s_0+1*s_r+IF(circ_int,eq_c1/2,0))/2))+2*IF(circ_int,0,eq_c2/2))+(PI()*(s_0+1*s_r+IF(circ_int,eq_c1/2,0))/2)),-IF(circ_int,0,eq_c2/2)+(s_0+1*s_r+IF(circ_int,eq_c1/2,0))*SIN(PI()+(((40+0.5)*(4*IF(circ_int,0,eq_c1/2)+4*IF(circ_int,0,eq_c2/2)+2*PI()*(s_0+1*s_r+IF(circ_int,eq_c1/2,0)))/INDEX(lk_legs,2))-(((((2*IF(circ_int,0,eq_c2/2))+(PI()*(s_0+1*s_r+IF(circ_int,eq_c1/2,0))/2))+2*IF(circ_int,0,eq_c1/2))+(PI()*(s_0+1*s_r+IF(circ_int,eq_c1/2,0))/2))+2*IF(circ_int,0,eq_c2/2)))/(s_0+1*s_r+IF(circ_int,eq_c1/2,0))),IF(((40+0.5)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(40+0.5)*(4*IF(circ_int,0,eq_c1/2)+4*IF(circ_int,0,eq_c2/2)+2*PI()*(s_0+1*s_r+IF(circ_int,eq_c1/2,0)))/INDEX(lk_legs,2))-(((((((2*IF(circ_int,0,eq_c2/2))+(PI()*(s_0+1*s_r+IF(circ_int,eq_c1/2,0))/2))+2*IF(circ_int,0,eq_c1/2))+(PI()*(s_0+1*s_r+IF(circ_int,eq_c1/2,0))/2))+2*IF(circ_int,0,eq_c2/2))+(PI()*(s_0+1*s_r+IF(circ_int,eq_c1/2,0))/2))+2*IF(circ_int,0,eq_c1/2)))/(s_0+1*s_r+IF(circ_int,eq_c1/2,0)))))))))),NA())</f>
        <v/>
      </c>
      <c r="BI43">
        <f>IF(AND(links_on,3&lt;=n_per),IF(circ_int,(g_ox)+(c_1/2+(s_0+2*s_r))*0.120537,CHOOSE(INDEX(lk_kind,3),(g_ox+eq_c1/2)+((s_0+2*s_r))*0.130526,0,eq_a1+eq_c1+(s_0+2*s_r),eq_a1+eq_c1+(s_0+2*s_r))),NA())</f>
        <v/>
      </c>
      <c r="BJ43">
        <f>IF(AND(links_on,3&lt;=n_per),IF(circ_int,(g_oy)+(c_1/2+(s_0+2*s_r))*-0.992709,CHOOSE(INDEX(lk_kind,3),(g_oy-eq_c2/2)+((s_0+2*s_r))*-0.991445,g_oy-eq_c2/2-(s_0+2*s_r),0,0)),NA())</f>
        <v/>
      </c>
      <c r="BL43">
        <f>IF(AND(AND(links_on,3&lt;=n_per),INDEX(lk_kind,3)=1,40&lt;INDEX(lk_legs,3)),g_ox+IF(((40+0.5)*(4*IF(circ_int,0,eq_c1/2)+4*IF(circ_int,0,eq_c2/2)+2*PI()*(s_0+2*s_r+IF(circ_int,eq_c1/2,0)))/INDEX(lk_legs,3))&lt;(2*IF(circ_int,0,eq_c2/2)),IF(circ_int,0,eq_c1/2)+(s_0+2*s_r+IF(circ_int,eq_c1/2,0)),IF(((40+0.5)*(4*IF(circ_int,0,eq_c1/2)+4*IF(circ_int,0,eq_c2/2)+2*PI()*(s_0+2*s_r+IF(circ_int,eq_c1/2,0)))/INDEX(lk_legs,3))&lt;((2*IF(circ_int,0,eq_c2/2))+(PI()*(s_0+2*s_r+IF(circ_int,eq_c1/2,0))/2)),IF(circ_int,0,eq_c1/2)+(s_0+2*s_r+IF(circ_int,eq_c1/2,0))*COS((((40+0.5)*(4*IF(circ_int,0,eq_c1/2)+4*IF(circ_int,0,eq_c2/2)+2*PI()*(s_0+2*s_r+IF(circ_int,eq_c1/2,0)))/INDEX(lk_legs,3))-(2*IF(circ_int,0,eq_c2/2)))/(s_0+2*s_r+IF(circ_int,eq_c1/2,0))),IF(((40+0.5)*(4*IF(circ_int,0,eq_c1/2)+4*IF(circ_int,0,eq_c2/2)+2*PI()*(s_0+2*s_r+IF(circ_int,eq_c1/2,0)))/INDEX(lk_legs,3))&lt;(((2*IF(circ_int,0,eq_c2/2))+(PI()*(s_0+2*s_r+IF(circ_int,eq_c1/2,0))/2))+2*IF(circ_int,0,eq_c1/2)),IF(circ_int,0,eq_c1/2)-(((40+0.5)*(4*IF(circ_int,0,eq_c1/2)+4*IF(circ_int,0,eq_c2/2)+2*PI()*(s_0+2*s_r+IF(circ_int,eq_c1/2,0)))/INDEX(lk_legs,3))-((2*IF(circ_int,0,eq_c2/2))+(PI()*(s_0+2*s_r+IF(circ_int,eq_c1/2,0))/2))),IF(((40+0.5)*(4*IF(circ_int,0,eq_c1/2)+4*IF(circ_int,0,eq_c2/2)+2*PI()*(s_0+2*s_r+IF(circ_int,eq_c1/2,0)))/INDEX(lk_legs,3))&lt;((((2*IF(circ_int,0,eq_c2/2))+(PI()*(s_0+2*s_r+IF(circ_int,eq_c1/2,0))/2))+2*IF(circ_int,0,eq_c1/2))+(PI()*(s_0+2*s_r+IF(circ_int,eq_c1/2,0))/2)),-IF(circ_int,0,eq_c1/2)+(s_0+2*s_r+IF(circ_int,eq_c1/2,0))*COS(PI()/2+(((40+0.5)*(4*IF(circ_int,0,eq_c1/2)+4*IF(circ_int,0,eq_c2/2)+2*PI()*(s_0+2*s_r+IF(circ_int,eq_c1/2,0)))/INDEX(lk_legs,3))-(((2*IF(circ_int,0,eq_c2/2))+(PI()*(s_0+2*s_r+IF(circ_int,eq_c1/2,0))/2))+2*IF(circ_int,0,eq_c1/2)))/(s_0+2*s_r+IF(circ_int,eq_c1/2,0))),IF(((40+0.5)*(4*IF(circ_int,0,eq_c1/2)+4*IF(circ_int,0,eq_c2/2)+2*PI()*(s_0+2*s_r+IF(circ_int,eq_c1/2,0)))/INDEX(lk_legs,3))&lt;(((((2*IF(circ_int,0,eq_c2/2))+(PI()*(s_0+2*s_r+IF(circ_int,eq_c1/2,0))/2))+2*IF(circ_int,0,eq_c1/2))+(PI()*(s_0+2*s_r+IF(circ_int,eq_c1/2,0))/2))+2*IF(circ_int,0,eq_c2/2)),-IF(circ_int,0,eq_c1/2)-(s_0+2*s_r+IF(circ_int,eq_c1/2,0)),IF(((40+0.5)*(4*IF(circ_int,0,eq_c1/2)+4*IF(circ_int,0,eq_c2/2)+2*PI()*(s_0+2*s_r+IF(circ_int,eq_c1/2,0)))/INDEX(lk_legs,3))&lt;((((((2*IF(circ_int,0,eq_c2/2))+(PI()*(s_0+2*s_r+IF(circ_int,eq_c1/2,0))/2))+2*IF(circ_int,0,eq_c1/2))+(PI()*(s_0+2*s_r+IF(circ_int,eq_c1/2,0))/2))+2*IF(circ_int,0,eq_c2/2))+(PI()*(s_0+2*s_r+IF(circ_int,eq_c1/2,0))/2)),-IF(circ_int,0,eq_c1/2)+(s_0+2*s_r+IF(circ_int,eq_c1/2,0))*COS(PI()+(((40+0.5)*(4*IF(circ_int,0,eq_c1/2)+4*IF(circ_int,0,eq_c2/2)+2*PI()*(s_0+2*s_r+IF(circ_int,eq_c1/2,0)))/INDEX(lk_legs,3))-(((((2*IF(circ_int,0,eq_c2/2))+(PI()*(s_0+2*s_r+IF(circ_int,eq_c1/2,0))/2))+2*IF(circ_int,0,eq_c1/2))+(PI()*(s_0+2*s_r+IF(circ_int,eq_c1/2,0))/2))+2*IF(circ_int,0,eq_c2/2)))/(s_0+2*s_r+IF(circ_int,eq_c1/2,0))),IF(((40+0.5)*(4*IF(circ_int,0,eq_c1/2)+4*IF(circ_int,0,eq_c2/2)+2*PI()*(s_0+2*s_r+IF(circ_int,eq_c1/2,0)))/INDEX(lk_legs,3))&lt;(((((((2*IF(circ_int,0,eq_c2/2))+(PI()*(s_0+2*s_r+IF(circ_int,eq_c1/2,0))/2))+2*IF(circ_int,0,eq_c1/2))+(PI()*(s_0+2*s_r+IF(circ_int,eq_c1/2,0))/2))+2*IF(circ_int,0,eq_c2/2))+(PI()*(s_0+2*s_r+IF(circ_int,eq_c1/2,0))/2))+2*IF(circ_int,0,eq_c1/2)),-IF(circ_int,0,eq_c1/2)+(((40+0.5)*(4*IF(circ_int,0,eq_c1/2)+4*IF(circ_int,0,eq_c2/2)+2*PI()*(s_0+2*s_r+IF(circ_int,eq_c1/2,0)))/INDEX(lk_legs,3))-((((((2*IF(circ_int,0,eq_c2/2))+(PI()*(s_0+2*s_r+IF(circ_int,eq_c1/2,0))/2))+2*IF(circ_int,0,eq_c1/2))+(PI()*(s_0+2*s_r+IF(circ_int,eq_c1/2,0))/2))+2*IF(circ_int,0,eq_c2/2))+(PI()*(s_0+2*s_r+IF(circ_int,eq_c1/2,0))/2))),IF(circ_int,0,eq_c1/2)+(s_0+2*s_r+IF(circ_int,eq_c1/2,0))*COS(3*PI()/2+(((40+0.5)*(4*IF(circ_int,0,eq_c1/2)+4*IF(circ_int,0,eq_c2/2)+2*PI()*(s_0+2*s_r+IF(circ_int,eq_c1/2,0)))/INDEX(lk_legs,3))-(((((((2*IF(circ_int,0,eq_c2/2))+(PI()*(s_0+2*s_r+IF(circ_int,eq_c1/2,0))/2))+2*IF(circ_int,0,eq_c1/2))+(PI()*(s_0+2*s_r+IF(circ_int,eq_c1/2,0))/2))+2*IF(circ_int,0,eq_c2/2))+(PI()*(s_0+2*s_r+IF(circ_int,eq_c1/2,0))/2))+2*IF(circ_int,0,eq_c1/2)))/(s_0+2*s_r+IF(circ_int,eq_c1/2,0)))))))))),NA())</f>
        <v/>
      </c>
      <c r="BM43">
        <f>IF(AND(AND(links_on,3&lt;=n_per),INDEX(lk_kind,3)=1,40&lt;INDEX(lk_legs,3)),g_oy+IF(((40+0.5)*(4*IF(circ_int,0,eq_c1/2)+4*IF(circ_int,0,eq_c2/2)+2*PI()*(s_0+2*s_r+IF(circ_int,eq_c1/2,0)))/INDEX(lk_legs,3))&lt;(2*IF(circ_int,0,eq_c2/2)),-IF(circ_int,0,eq_c2/2)+((40+0.5)*(4*IF(circ_int,0,eq_c1/2)+4*IF(circ_int,0,eq_c2/2)+2*PI()*(s_0+2*s_r+IF(circ_int,eq_c1/2,0)))/INDEX(lk_legs,3)),IF(((40+0.5)*(4*IF(circ_int,0,eq_c1/2)+4*IF(circ_int,0,eq_c2/2)+2*PI()*(s_0+2*s_r+IF(circ_int,eq_c1/2,0)))/INDEX(lk_legs,3))&lt;((2*IF(circ_int,0,eq_c2/2))+(PI()*(s_0+2*s_r+IF(circ_int,eq_c1/2,0))/2)),IF(circ_int,0,eq_c2/2)+(s_0+2*s_r+IF(circ_int,eq_c1/2,0))*SIN((((40+0.5)*(4*IF(circ_int,0,eq_c1/2)+4*IF(circ_int,0,eq_c2/2)+2*PI()*(s_0+2*s_r+IF(circ_int,eq_c1/2,0)))/INDEX(lk_legs,3))-(2*IF(circ_int,0,eq_c2/2)))/(s_0+2*s_r+IF(circ_int,eq_c1/2,0))),IF(((40+0.5)*(4*IF(circ_int,0,eq_c1/2)+4*IF(circ_int,0,eq_c2/2)+2*PI()*(s_0+2*s_r+IF(circ_int,eq_c1/2,0)))/INDEX(lk_legs,3))&lt;(((2*IF(circ_int,0,eq_c2/2))+(PI()*(s_0+2*s_r+IF(circ_int,eq_c1/2,0))/2))+2*IF(circ_int,0,eq_c1/2)),IF(circ_int,0,eq_c2/2)+(s_0+2*s_r+IF(circ_int,eq_c1/2,0)),IF(((40+0.5)*(4*IF(circ_int,0,eq_c1/2)+4*IF(circ_int,0,eq_c2/2)+2*PI()*(s_0+2*s_r+IF(circ_int,eq_c1/2,0)))/INDEX(lk_legs,3))&lt;((((2*IF(circ_int,0,eq_c2/2))+(PI()*(s_0+2*s_r+IF(circ_int,eq_c1/2,0))/2))+2*IF(circ_int,0,eq_c1/2))+(PI()*(s_0+2*s_r+IF(circ_int,eq_c1/2,0))/2)),IF(circ_int,0,eq_c2/2)+(s_0+2*s_r+IF(circ_int,eq_c1/2,0))*SIN(PI()/2+(((40+0.5)*(4*IF(circ_int,0,eq_c1/2)+4*IF(circ_int,0,eq_c2/2)+2*PI()*(s_0+2*s_r+IF(circ_int,eq_c1/2,0)))/INDEX(lk_legs,3))-(((2*IF(circ_int,0,eq_c2/2))+(PI()*(s_0+2*s_r+IF(circ_int,eq_c1/2,0))/2))+2*IF(circ_int,0,eq_c1/2)))/(s_0+2*s_r+IF(circ_int,eq_c1/2,0))),IF(((40+0.5)*(4*IF(circ_int,0,eq_c1/2)+4*IF(circ_int,0,eq_c2/2)+2*PI()*(s_0+2*s_r+IF(circ_int,eq_c1/2,0)))/INDEX(lk_legs,3))&lt;(((((2*IF(circ_int,0,eq_c2/2))+(PI()*(s_0+2*s_r+IF(circ_int,eq_c1/2,0))/2))+2*IF(circ_int,0,eq_c1/2))+(PI()*(s_0+2*s_r+IF(circ_int,eq_c1/2,0))/2))+2*IF(circ_int,0,eq_c2/2)),IF(circ_int,0,eq_c2/2)-(((40+0.5)*(4*IF(circ_int,0,eq_c1/2)+4*IF(circ_int,0,eq_c2/2)+2*PI()*(s_0+2*s_r+IF(circ_int,eq_c1/2,0)))/INDEX(lk_legs,3))-((((2*IF(circ_int,0,eq_c2/2))+(PI()*(s_0+2*s_r+IF(circ_int,eq_c1/2,0))/2))+2*IF(circ_int,0,eq_c1/2))+(PI()*(s_0+2*s_r+IF(circ_int,eq_c1/2,0))/2))),IF(((40+0.5)*(4*IF(circ_int,0,eq_c1/2)+4*IF(circ_int,0,eq_c2/2)+2*PI()*(s_0+2*s_r+IF(circ_int,eq_c1/2,0)))/INDEX(lk_legs,3))&lt;((((((2*IF(circ_int,0,eq_c2/2))+(PI()*(s_0+2*s_r+IF(circ_int,eq_c1/2,0))/2))+2*IF(circ_int,0,eq_c1/2))+(PI()*(s_0+2*s_r+IF(circ_int,eq_c1/2,0))/2))+2*IF(circ_int,0,eq_c2/2))+(PI()*(s_0+2*s_r+IF(circ_int,eq_c1/2,0))/2)),-IF(circ_int,0,eq_c2/2)+(s_0+2*s_r+IF(circ_int,eq_c1/2,0))*SIN(PI()+(((40+0.5)*(4*IF(circ_int,0,eq_c1/2)+4*IF(circ_int,0,eq_c2/2)+2*PI()*(s_0+2*s_r+IF(circ_int,eq_c1/2,0)))/INDEX(lk_legs,3))-(((((2*IF(circ_int,0,eq_c2/2))+(PI()*(s_0+2*s_r+IF(circ_int,eq_c1/2,0))/2))+2*IF(circ_int,0,eq_c1/2))+(PI()*(s_0+2*s_r+IF(circ_int,eq_c1/2,0))/2))+2*IF(circ_int,0,eq_c2/2)))/(s_0+2*s_r+IF(circ_int,eq_c1/2,0))),IF(((40+0.5)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(40+0.5)*(4*IF(circ_int,0,eq_c1/2)+4*IF(circ_int,0,eq_c2/2)+2*PI()*(s_0+2*s_r+IF(circ_int,eq_c1/2,0)))/INDEX(lk_legs,3))-(((((((2*IF(circ_int,0,eq_c2/2))+(PI()*(s_0+2*s_r+IF(circ_int,eq_c1/2,0))/2))+2*IF(circ_int,0,eq_c1/2))+(PI()*(s_0+2*s_r+IF(circ_int,eq_c1/2,0))/2))+2*IF(circ_int,0,eq_c2/2))+(PI()*(s_0+2*s_r+IF(circ_int,eq_c1/2,0))/2))+2*IF(circ_int,0,eq_c1/2)))/(s_0+2*s_r+IF(circ_int,eq_c1/2,0)))))))))),NA())</f>
        <v/>
      </c>
      <c r="BO43">
        <f>IF(AND(links_on,4&lt;=n_per),IF(circ_int,(g_ox)+(c_1/2+(s_0+3*s_r))*0.120537,CHOOSE(INDEX(lk_kind,4),(g_ox+eq_c1/2)+((s_0+3*s_r))*0.130526,0,eq_a1+eq_c1+(s_0+3*s_r),eq_a1+eq_c1+(s_0+3*s_r))),NA())</f>
        <v/>
      </c>
      <c r="BP43">
        <f>IF(AND(links_on,4&lt;=n_per),IF(circ_int,(g_oy)+(c_1/2+(s_0+3*s_r))*-0.992709,CHOOSE(INDEX(lk_kind,4),(g_oy-eq_c2/2)+((s_0+3*s_r))*-0.991445,g_oy-eq_c2/2-(s_0+3*s_r),0,0)),NA())</f>
        <v/>
      </c>
      <c r="BR43">
        <f>IF(AND(AND(links_on,4&lt;=n_per),INDEX(lk_kind,4)=1,40&lt;INDEX(lk_legs,4)),g_ox+IF(((40+0.5)*(4*IF(circ_int,0,eq_c1/2)+4*IF(circ_int,0,eq_c2/2)+2*PI()*(s_0+3*s_r+IF(circ_int,eq_c1/2,0)))/INDEX(lk_legs,4))&lt;(2*IF(circ_int,0,eq_c2/2)),IF(circ_int,0,eq_c1/2)+(s_0+3*s_r+IF(circ_int,eq_c1/2,0)),IF(((40+0.5)*(4*IF(circ_int,0,eq_c1/2)+4*IF(circ_int,0,eq_c2/2)+2*PI()*(s_0+3*s_r+IF(circ_int,eq_c1/2,0)))/INDEX(lk_legs,4))&lt;((2*IF(circ_int,0,eq_c2/2))+(PI()*(s_0+3*s_r+IF(circ_int,eq_c1/2,0))/2)),IF(circ_int,0,eq_c1/2)+(s_0+3*s_r+IF(circ_int,eq_c1/2,0))*COS((((40+0.5)*(4*IF(circ_int,0,eq_c1/2)+4*IF(circ_int,0,eq_c2/2)+2*PI()*(s_0+3*s_r+IF(circ_int,eq_c1/2,0)))/INDEX(lk_legs,4))-(2*IF(circ_int,0,eq_c2/2)))/(s_0+3*s_r+IF(circ_int,eq_c1/2,0))),IF(((40+0.5)*(4*IF(circ_int,0,eq_c1/2)+4*IF(circ_int,0,eq_c2/2)+2*PI()*(s_0+3*s_r+IF(circ_int,eq_c1/2,0)))/INDEX(lk_legs,4))&lt;(((2*IF(circ_int,0,eq_c2/2))+(PI()*(s_0+3*s_r+IF(circ_int,eq_c1/2,0))/2))+2*IF(circ_int,0,eq_c1/2)),IF(circ_int,0,eq_c1/2)-(((40+0.5)*(4*IF(circ_int,0,eq_c1/2)+4*IF(circ_int,0,eq_c2/2)+2*PI()*(s_0+3*s_r+IF(circ_int,eq_c1/2,0)))/INDEX(lk_legs,4))-((2*IF(circ_int,0,eq_c2/2))+(PI()*(s_0+3*s_r+IF(circ_int,eq_c1/2,0))/2))),IF(((40+0.5)*(4*IF(circ_int,0,eq_c1/2)+4*IF(circ_int,0,eq_c2/2)+2*PI()*(s_0+3*s_r+IF(circ_int,eq_c1/2,0)))/INDEX(lk_legs,4))&lt;((((2*IF(circ_int,0,eq_c2/2))+(PI()*(s_0+3*s_r+IF(circ_int,eq_c1/2,0))/2))+2*IF(circ_int,0,eq_c1/2))+(PI()*(s_0+3*s_r+IF(circ_int,eq_c1/2,0))/2)),-IF(circ_int,0,eq_c1/2)+(s_0+3*s_r+IF(circ_int,eq_c1/2,0))*COS(PI()/2+(((40+0.5)*(4*IF(circ_int,0,eq_c1/2)+4*IF(circ_int,0,eq_c2/2)+2*PI()*(s_0+3*s_r+IF(circ_int,eq_c1/2,0)))/INDEX(lk_legs,4))-(((2*IF(circ_int,0,eq_c2/2))+(PI()*(s_0+3*s_r+IF(circ_int,eq_c1/2,0))/2))+2*IF(circ_int,0,eq_c1/2)))/(s_0+3*s_r+IF(circ_int,eq_c1/2,0))),IF(((40+0.5)*(4*IF(circ_int,0,eq_c1/2)+4*IF(circ_int,0,eq_c2/2)+2*PI()*(s_0+3*s_r+IF(circ_int,eq_c1/2,0)))/INDEX(lk_legs,4))&lt;(((((2*IF(circ_int,0,eq_c2/2))+(PI()*(s_0+3*s_r+IF(circ_int,eq_c1/2,0))/2))+2*IF(circ_int,0,eq_c1/2))+(PI()*(s_0+3*s_r+IF(circ_int,eq_c1/2,0))/2))+2*IF(circ_int,0,eq_c2/2)),-IF(circ_int,0,eq_c1/2)-(s_0+3*s_r+IF(circ_int,eq_c1/2,0)),IF(((40+0.5)*(4*IF(circ_int,0,eq_c1/2)+4*IF(circ_int,0,eq_c2/2)+2*PI()*(s_0+3*s_r+IF(circ_int,eq_c1/2,0)))/INDEX(lk_legs,4))&lt;((((((2*IF(circ_int,0,eq_c2/2))+(PI()*(s_0+3*s_r+IF(circ_int,eq_c1/2,0))/2))+2*IF(circ_int,0,eq_c1/2))+(PI()*(s_0+3*s_r+IF(circ_int,eq_c1/2,0))/2))+2*IF(circ_int,0,eq_c2/2))+(PI()*(s_0+3*s_r+IF(circ_int,eq_c1/2,0))/2)),-IF(circ_int,0,eq_c1/2)+(s_0+3*s_r+IF(circ_int,eq_c1/2,0))*COS(PI()+(((40+0.5)*(4*IF(circ_int,0,eq_c1/2)+4*IF(circ_int,0,eq_c2/2)+2*PI()*(s_0+3*s_r+IF(circ_int,eq_c1/2,0)))/INDEX(lk_legs,4))-(((((2*IF(circ_int,0,eq_c2/2))+(PI()*(s_0+3*s_r+IF(circ_int,eq_c1/2,0))/2))+2*IF(circ_int,0,eq_c1/2))+(PI()*(s_0+3*s_r+IF(circ_int,eq_c1/2,0))/2))+2*IF(circ_int,0,eq_c2/2)))/(s_0+3*s_r+IF(circ_int,eq_c1/2,0))),IF(((40+0.5)*(4*IF(circ_int,0,eq_c1/2)+4*IF(circ_int,0,eq_c2/2)+2*PI()*(s_0+3*s_r+IF(circ_int,eq_c1/2,0)))/INDEX(lk_legs,4))&lt;(((((((2*IF(circ_int,0,eq_c2/2))+(PI()*(s_0+3*s_r+IF(circ_int,eq_c1/2,0))/2))+2*IF(circ_int,0,eq_c1/2))+(PI()*(s_0+3*s_r+IF(circ_int,eq_c1/2,0))/2))+2*IF(circ_int,0,eq_c2/2))+(PI()*(s_0+3*s_r+IF(circ_int,eq_c1/2,0))/2))+2*IF(circ_int,0,eq_c1/2)),-IF(circ_int,0,eq_c1/2)+(((40+0.5)*(4*IF(circ_int,0,eq_c1/2)+4*IF(circ_int,0,eq_c2/2)+2*PI()*(s_0+3*s_r+IF(circ_int,eq_c1/2,0)))/INDEX(lk_legs,4))-((((((2*IF(circ_int,0,eq_c2/2))+(PI()*(s_0+3*s_r+IF(circ_int,eq_c1/2,0))/2))+2*IF(circ_int,0,eq_c1/2))+(PI()*(s_0+3*s_r+IF(circ_int,eq_c1/2,0))/2))+2*IF(circ_int,0,eq_c2/2))+(PI()*(s_0+3*s_r+IF(circ_int,eq_c1/2,0))/2))),IF(circ_int,0,eq_c1/2)+(s_0+3*s_r+IF(circ_int,eq_c1/2,0))*COS(3*PI()/2+(((40+0.5)*(4*IF(circ_int,0,eq_c1/2)+4*IF(circ_int,0,eq_c2/2)+2*PI()*(s_0+3*s_r+IF(circ_int,eq_c1/2,0)))/INDEX(lk_legs,4))-(((((((2*IF(circ_int,0,eq_c2/2))+(PI()*(s_0+3*s_r+IF(circ_int,eq_c1/2,0))/2))+2*IF(circ_int,0,eq_c1/2))+(PI()*(s_0+3*s_r+IF(circ_int,eq_c1/2,0))/2))+2*IF(circ_int,0,eq_c2/2))+(PI()*(s_0+3*s_r+IF(circ_int,eq_c1/2,0))/2))+2*IF(circ_int,0,eq_c1/2)))/(s_0+3*s_r+IF(circ_int,eq_c1/2,0)))))))))),NA())</f>
        <v/>
      </c>
      <c r="BS43">
        <f>IF(AND(AND(links_on,4&lt;=n_per),INDEX(lk_kind,4)=1,40&lt;INDEX(lk_legs,4)),g_oy+IF(((40+0.5)*(4*IF(circ_int,0,eq_c1/2)+4*IF(circ_int,0,eq_c2/2)+2*PI()*(s_0+3*s_r+IF(circ_int,eq_c1/2,0)))/INDEX(lk_legs,4))&lt;(2*IF(circ_int,0,eq_c2/2)),-IF(circ_int,0,eq_c2/2)+((40+0.5)*(4*IF(circ_int,0,eq_c1/2)+4*IF(circ_int,0,eq_c2/2)+2*PI()*(s_0+3*s_r+IF(circ_int,eq_c1/2,0)))/INDEX(lk_legs,4)),IF(((40+0.5)*(4*IF(circ_int,0,eq_c1/2)+4*IF(circ_int,0,eq_c2/2)+2*PI()*(s_0+3*s_r+IF(circ_int,eq_c1/2,0)))/INDEX(lk_legs,4))&lt;((2*IF(circ_int,0,eq_c2/2))+(PI()*(s_0+3*s_r+IF(circ_int,eq_c1/2,0))/2)),IF(circ_int,0,eq_c2/2)+(s_0+3*s_r+IF(circ_int,eq_c1/2,0))*SIN((((40+0.5)*(4*IF(circ_int,0,eq_c1/2)+4*IF(circ_int,0,eq_c2/2)+2*PI()*(s_0+3*s_r+IF(circ_int,eq_c1/2,0)))/INDEX(lk_legs,4))-(2*IF(circ_int,0,eq_c2/2)))/(s_0+3*s_r+IF(circ_int,eq_c1/2,0))),IF(((40+0.5)*(4*IF(circ_int,0,eq_c1/2)+4*IF(circ_int,0,eq_c2/2)+2*PI()*(s_0+3*s_r+IF(circ_int,eq_c1/2,0)))/INDEX(lk_legs,4))&lt;(((2*IF(circ_int,0,eq_c2/2))+(PI()*(s_0+3*s_r+IF(circ_int,eq_c1/2,0))/2))+2*IF(circ_int,0,eq_c1/2)),IF(circ_int,0,eq_c2/2)+(s_0+3*s_r+IF(circ_int,eq_c1/2,0)),IF(((40+0.5)*(4*IF(circ_int,0,eq_c1/2)+4*IF(circ_int,0,eq_c2/2)+2*PI()*(s_0+3*s_r+IF(circ_int,eq_c1/2,0)))/INDEX(lk_legs,4))&lt;((((2*IF(circ_int,0,eq_c2/2))+(PI()*(s_0+3*s_r+IF(circ_int,eq_c1/2,0))/2))+2*IF(circ_int,0,eq_c1/2))+(PI()*(s_0+3*s_r+IF(circ_int,eq_c1/2,0))/2)),IF(circ_int,0,eq_c2/2)+(s_0+3*s_r+IF(circ_int,eq_c1/2,0))*SIN(PI()/2+(((40+0.5)*(4*IF(circ_int,0,eq_c1/2)+4*IF(circ_int,0,eq_c2/2)+2*PI()*(s_0+3*s_r+IF(circ_int,eq_c1/2,0)))/INDEX(lk_legs,4))-(((2*IF(circ_int,0,eq_c2/2))+(PI()*(s_0+3*s_r+IF(circ_int,eq_c1/2,0))/2))+2*IF(circ_int,0,eq_c1/2)))/(s_0+3*s_r+IF(circ_int,eq_c1/2,0))),IF(((40+0.5)*(4*IF(circ_int,0,eq_c1/2)+4*IF(circ_int,0,eq_c2/2)+2*PI()*(s_0+3*s_r+IF(circ_int,eq_c1/2,0)))/INDEX(lk_legs,4))&lt;(((((2*IF(circ_int,0,eq_c2/2))+(PI()*(s_0+3*s_r+IF(circ_int,eq_c1/2,0))/2))+2*IF(circ_int,0,eq_c1/2))+(PI()*(s_0+3*s_r+IF(circ_int,eq_c1/2,0))/2))+2*IF(circ_int,0,eq_c2/2)),IF(circ_int,0,eq_c2/2)-(((40+0.5)*(4*IF(circ_int,0,eq_c1/2)+4*IF(circ_int,0,eq_c2/2)+2*PI()*(s_0+3*s_r+IF(circ_int,eq_c1/2,0)))/INDEX(lk_legs,4))-((((2*IF(circ_int,0,eq_c2/2))+(PI()*(s_0+3*s_r+IF(circ_int,eq_c1/2,0))/2))+2*IF(circ_int,0,eq_c1/2))+(PI()*(s_0+3*s_r+IF(circ_int,eq_c1/2,0))/2))),IF(((40+0.5)*(4*IF(circ_int,0,eq_c1/2)+4*IF(circ_int,0,eq_c2/2)+2*PI()*(s_0+3*s_r+IF(circ_int,eq_c1/2,0)))/INDEX(lk_legs,4))&lt;((((((2*IF(circ_int,0,eq_c2/2))+(PI()*(s_0+3*s_r+IF(circ_int,eq_c1/2,0))/2))+2*IF(circ_int,0,eq_c1/2))+(PI()*(s_0+3*s_r+IF(circ_int,eq_c1/2,0))/2))+2*IF(circ_int,0,eq_c2/2))+(PI()*(s_0+3*s_r+IF(circ_int,eq_c1/2,0))/2)),-IF(circ_int,0,eq_c2/2)+(s_0+3*s_r+IF(circ_int,eq_c1/2,0))*SIN(PI()+(((40+0.5)*(4*IF(circ_int,0,eq_c1/2)+4*IF(circ_int,0,eq_c2/2)+2*PI()*(s_0+3*s_r+IF(circ_int,eq_c1/2,0)))/INDEX(lk_legs,4))-(((((2*IF(circ_int,0,eq_c2/2))+(PI()*(s_0+3*s_r+IF(circ_int,eq_c1/2,0))/2))+2*IF(circ_int,0,eq_c1/2))+(PI()*(s_0+3*s_r+IF(circ_int,eq_c1/2,0))/2))+2*IF(circ_int,0,eq_c2/2)))/(s_0+3*s_r+IF(circ_int,eq_c1/2,0))),IF(((40+0.5)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(40+0.5)*(4*IF(circ_int,0,eq_c1/2)+4*IF(circ_int,0,eq_c2/2)+2*PI()*(s_0+3*s_r+IF(circ_int,eq_c1/2,0)))/INDEX(lk_legs,4))-(((((((2*IF(circ_int,0,eq_c2/2))+(PI()*(s_0+3*s_r+IF(circ_int,eq_c1/2,0))/2))+2*IF(circ_int,0,eq_c1/2))+(PI()*(s_0+3*s_r+IF(circ_int,eq_c1/2,0))/2))+2*IF(circ_int,0,eq_c2/2))+(PI()*(s_0+3*s_r+IF(circ_int,eq_c1/2,0))/2))+2*IF(circ_int,0,eq_c1/2)))/(s_0+3*s_r+IF(circ_int,eq_c1/2,0)))))))))),NA())</f>
        <v/>
      </c>
      <c r="BU43">
        <f>IF(AND(links_on,5&lt;=n_per),IF(circ_int,(g_ox)+(c_1/2+(s_0+4*s_r))*0.120537,CHOOSE(INDEX(lk_kind,5),(g_ox+eq_c1/2)+((s_0+4*s_r))*0.130526,0,eq_a1+eq_c1+(s_0+4*s_r),eq_a1+eq_c1+(s_0+4*s_r))),NA())</f>
        <v/>
      </c>
      <c r="BV43">
        <f>IF(AND(links_on,5&lt;=n_per),IF(circ_int,(g_oy)+(c_1/2+(s_0+4*s_r))*-0.992709,CHOOSE(INDEX(lk_kind,5),(g_oy-eq_c2/2)+((s_0+4*s_r))*-0.991445,g_oy-eq_c2/2-(s_0+4*s_r),0,0)),NA())</f>
        <v/>
      </c>
      <c r="BX43">
        <f>IF(AND(AND(links_on,5&lt;=n_per),INDEX(lk_kind,5)=1,40&lt;INDEX(lk_legs,5)),g_ox+IF(((40+0.5)*(4*IF(circ_int,0,eq_c1/2)+4*IF(circ_int,0,eq_c2/2)+2*PI()*(s_0+4*s_r+IF(circ_int,eq_c1/2,0)))/INDEX(lk_legs,5))&lt;(2*IF(circ_int,0,eq_c2/2)),IF(circ_int,0,eq_c1/2)+(s_0+4*s_r+IF(circ_int,eq_c1/2,0)),IF(((40+0.5)*(4*IF(circ_int,0,eq_c1/2)+4*IF(circ_int,0,eq_c2/2)+2*PI()*(s_0+4*s_r+IF(circ_int,eq_c1/2,0)))/INDEX(lk_legs,5))&lt;((2*IF(circ_int,0,eq_c2/2))+(PI()*(s_0+4*s_r+IF(circ_int,eq_c1/2,0))/2)),IF(circ_int,0,eq_c1/2)+(s_0+4*s_r+IF(circ_int,eq_c1/2,0))*COS((((40+0.5)*(4*IF(circ_int,0,eq_c1/2)+4*IF(circ_int,0,eq_c2/2)+2*PI()*(s_0+4*s_r+IF(circ_int,eq_c1/2,0)))/INDEX(lk_legs,5))-(2*IF(circ_int,0,eq_c2/2)))/(s_0+4*s_r+IF(circ_int,eq_c1/2,0))),IF(((40+0.5)*(4*IF(circ_int,0,eq_c1/2)+4*IF(circ_int,0,eq_c2/2)+2*PI()*(s_0+4*s_r+IF(circ_int,eq_c1/2,0)))/INDEX(lk_legs,5))&lt;(((2*IF(circ_int,0,eq_c2/2))+(PI()*(s_0+4*s_r+IF(circ_int,eq_c1/2,0))/2))+2*IF(circ_int,0,eq_c1/2)),IF(circ_int,0,eq_c1/2)-(((40+0.5)*(4*IF(circ_int,0,eq_c1/2)+4*IF(circ_int,0,eq_c2/2)+2*PI()*(s_0+4*s_r+IF(circ_int,eq_c1/2,0)))/INDEX(lk_legs,5))-((2*IF(circ_int,0,eq_c2/2))+(PI()*(s_0+4*s_r+IF(circ_int,eq_c1/2,0))/2))),IF(((40+0.5)*(4*IF(circ_int,0,eq_c1/2)+4*IF(circ_int,0,eq_c2/2)+2*PI()*(s_0+4*s_r+IF(circ_int,eq_c1/2,0)))/INDEX(lk_legs,5))&lt;((((2*IF(circ_int,0,eq_c2/2))+(PI()*(s_0+4*s_r+IF(circ_int,eq_c1/2,0))/2))+2*IF(circ_int,0,eq_c1/2))+(PI()*(s_0+4*s_r+IF(circ_int,eq_c1/2,0))/2)),-IF(circ_int,0,eq_c1/2)+(s_0+4*s_r+IF(circ_int,eq_c1/2,0))*COS(PI()/2+(((40+0.5)*(4*IF(circ_int,0,eq_c1/2)+4*IF(circ_int,0,eq_c2/2)+2*PI()*(s_0+4*s_r+IF(circ_int,eq_c1/2,0)))/INDEX(lk_legs,5))-(((2*IF(circ_int,0,eq_c2/2))+(PI()*(s_0+4*s_r+IF(circ_int,eq_c1/2,0))/2))+2*IF(circ_int,0,eq_c1/2)))/(s_0+4*s_r+IF(circ_int,eq_c1/2,0))),IF(((40+0.5)*(4*IF(circ_int,0,eq_c1/2)+4*IF(circ_int,0,eq_c2/2)+2*PI()*(s_0+4*s_r+IF(circ_int,eq_c1/2,0)))/INDEX(lk_legs,5))&lt;(((((2*IF(circ_int,0,eq_c2/2))+(PI()*(s_0+4*s_r+IF(circ_int,eq_c1/2,0))/2))+2*IF(circ_int,0,eq_c1/2))+(PI()*(s_0+4*s_r+IF(circ_int,eq_c1/2,0))/2))+2*IF(circ_int,0,eq_c2/2)),-IF(circ_int,0,eq_c1/2)-(s_0+4*s_r+IF(circ_int,eq_c1/2,0)),IF(((40+0.5)*(4*IF(circ_int,0,eq_c1/2)+4*IF(circ_int,0,eq_c2/2)+2*PI()*(s_0+4*s_r+IF(circ_int,eq_c1/2,0)))/INDEX(lk_legs,5))&lt;((((((2*IF(circ_int,0,eq_c2/2))+(PI()*(s_0+4*s_r+IF(circ_int,eq_c1/2,0))/2))+2*IF(circ_int,0,eq_c1/2))+(PI()*(s_0+4*s_r+IF(circ_int,eq_c1/2,0))/2))+2*IF(circ_int,0,eq_c2/2))+(PI()*(s_0+4*s_r+IF(circ_int,eq_c1/2,0))/2)),-IF(circ_int,0,eq_c1/2)+(s_0+4*s_r+IF(circ_int,eq_c1/2,0))*COS(PI()+(((40+0.5)*(4*IF(circ_int,0,eq_c1/2)+4*IF(circ_int,0,eq_c2/2)+2*PI()*(s_0+4*s_r+IF(circ_int,eq_c1/2,0)))/INDEX(lk_legs,5))-(((((2*IF(circ_int,0,eq_c2/2))+(PI()*(s_0+4*s_r+IF(circ_int,eq_c1/2,0))/2))+2*IF(circ_int,0,eq_c1/2))+(PI()*(s_0+4*s_r+IF(circ_int,eq_c1/2,0))/2))+2*IF(circ_int,0,eq_c2/2)))/(s_0+4*s_r+IF(circ_int,eq_c1/2,0))),IF(((40+0.5)*(4*IF(circ_int,0,eq_c1/2)+4*IF(circ_int,0,eq_c2/2)+2*PI()*(s_0+4*s_r+IF(circ_int,eq_c1/2,0)))/INDEX(lk_legs,5))&lt;(((((((2*IF(circ_int,0,eq_c2/2))+(PI()*(s_0+4*s_r+IF(circ_int,eq_c1/2,0))/2))+2*IF(circ_int,0,eq_c1/2))+(PI()*(s_0+4*s_r+IF(circ_int,eq_c1/2,0))/2))+2*IF(circ_int,0,eq_c2/2))+(PI()*(s_0+4*s_r+IF(circ_int,eq_c1/2,0))/2))+2*IF(circ_int,0,eq_c1/2)),-IF(circ_int,0,eq_c1/2)+(((40+0.5)*(4*IF(circ_int,0,eq_c1/2)+4*IF(circ_int,0,eq_c2/2)+2*PI()*(s_0+4*s_r+IF(circ_int,eq_c1/2,0)))/INDEX(lk_legs,5))-((((((2*IF(circ_int,0,eq_c2/2))+(PI()*(s_0+4*s_r+IF(circ_int,eq_c1/2,0))/2))+2*IF(circ_int,0,eq_c1/2))+(PI()*(s_0+4*s_r+IF(circ_int,eq_c1/2,0))/2))+2*IF(circ_int,0,eq_c2/2))+(PI()*(s_0+4*s_r+IF(circ_int,eq_c1/2,0))/2))),IF(circ_int,0,eq_c1/2)+(s_0+4*s_r+IF(circ_int,eq_c1/2,0))*COS(3*PI()/2+(((40+0.5)*(4*IF(circ_int,0,eq_c1/2)+4*IF(circ_int,0,eq_c2/2)+2*PI()*(s_0+4*s_r+IF(circ_int,eq_c1/2,0)))/INDEX(lk_legs,5))-(((((((2*IF(circ_int,0,eq_c2/2))+(PI()*(s_0+4*s_r+IF(circ_int,eq_c1/2,0))/2))+2*IF(circ_int,0,eq_c1/2))+(PI()*(s_0+4*s_r+IF(circ_int,eq_c1/2,0))/2))+2*IF(circ_int,0,eq_c2/2))+(PI()*(s_0+4*s_r+IF(circ_int,eq_c1/2,0))/2))+2*IF(circ_int,0,eq_c1/2)))/(s_0+4*s_r+IF(circ_int,eq_c1/2,0)))))))))),NA())</f>
        <v/>
      </c>
      <c r="BY43">
        <f>IF(AND(AND(links_on,5&lt;=n_per),INDEX(lk_kind,5)=1,40&lt;INDEX(lk_legs,5)),g_oy+IF(((40+0.5)*(4*IF(circ_int,0,eq_c1/2)+4*IF(circ_int,0,eq_c2/2)+2*PI()*(s_0+4*s_r+IF(circ_int,eq_c1/2,0)))/INDEX(lk_legs,5))&lt;(2*IF(circ_int,0,eq_c2/2)),-IF(circ_int,0,eq_c2/2)+((40+0.5)*(4*IF(circ_int,0,eq_c1/2)+4*IF(circ_int,0,eq_c2/2)+2*PI()*(s_0+4*s_r+IF(circ_int,eq_c1/2,0)))/INDEX(lk_legs,5)),IF(((40+0.5)*(4*IF(circ_int,0,eq_c1/2)+4*IF(circ_int,0,eq_c2/2)+2*PI()*(s_0+4*s_r+IF(circ_int,eq_c1/2,0)))/INDEX(lk_legs,5))&lt;((2*IF(circ_int,0,eq_c2/2))+(PI()*(s_0+4*s_r+IF(circ_int,eq_c1/2,0))/2)),IF(circ_int,0,eq_c2/2)+(s_0+4*s_r+IF(circ_int,eq_c1/2,0))*SIN((((40+0.5)*(4*IF(circ_int,0,eq_c1/2)+4*IF(circ_int,0,eq_c2/2)+2*PI()*(s_0+4*s_r+IF(circ_int,eq_c1/2,0)))/INDEX(lk_legs,5))-(2*IF(circ_int,0,eq_c2/2)))/(s_0+4*s_r+IF(circ_int,eq_c1/2,0))),IF(((40+0.5)*(4*IF(circ_int,0,eq_c1/2)+4*IF(circ_int,0,eq_c2/2)+2*PI()*(s_0+4*s_r+IF(circ_int,eq_c1/2,0)))/INDEX(lk_legs,5))&lt;(((2*IF(circ_int,0,eq_c2/2))+(PI()*(s_0+4*s_r+IF(circ_int,eq_c1/2,0))/2))+2*IF(circ_int,0,eq_c1/2)),IF(circ_int,0,eq_c2/2)+(s_0+4*s_r+IF(circ_int,eq_c1/2,0)),IF(((40+0.5)*(4*IF(circ_int,0,eq_c1/2)+4*IF(circ_int,0,eq_c2/2)+2*PI()*(s_0+4*s_r+IF(circ_int,eq_c1/2,0)))/INDEX(lk_legs,5))&lt;((((2*IF(circ_int,0,eq_c2/2))+(PI()*(s_0+4*s_r+IF(circ_int,eq_c1/2,0))/2))+2*IF(circ_int,0,eq_c1/2))+(PI()*(s_0+4*s_r+IF(circ_int,eq_c1/2,0))/2)),IF(circ_int,0,eq_c2/2)+(s_0+4*s_r+IF(circ_int,eq_c1/2,0))*SIN(PI()/2+(((40+0.5)*(4*IF(circ_int,0,eq_c1/2)+4*IF(circ_int,0,eq_c2/2)+2*PI()*(s_0+4*s_r+IF(circ_int,eq_c1/2,0)))/INDEX(lk_legs,5))-(((2*IF(circ_int,0,eq_c2/2))+(PI()*(s_0+4*s_r+IF(circ_int,eq_c1/2,0))/2))+2*IF(circ_int,0,eq_c1/2)))/(s_0+4*s_r+IF(circ_int,eq_c1/2,0))),IF(((40+0.5)*(4*IF(circ_int,0,eq_c1/2)+4*IF(circ_int,0,eq_c2/2)+2*PI()*(s_0+4*s_r+IF(circ_int,eq_c1/2,0)))/INDEX(lk_legs,5))&lt;(((((2*IF(circ_int,0,eq_c2/2))+(PI()*(s_0+4*s_r+IF(circ_int,eq_c1/2,0))/2))+2*IF(circ_int,0,eq_c1/2))+(PI()*(s_0+4*s_r+IF(circ_int,eq_c1/2,0))/2))+2*IF(circ_int,0,eq_c2/2)),IF(circ_int,0,eq_c2/2)-(((40+0.5)*(4*IF(circ_int,0,eq_c1/2)+4*IF(circ_int,0,eq_c2/2)+2*PI()*(s_0+4*s_r+IF(circ_int,eq_c1/2,0)))/INDEX(lk_legs,5))-((((2*IF(circ_int,0,eq_c2/2))+(PI()*(s_0+4*s_r+IF(circ_int,eq_c1/2,0))/2))+2*IF(circ_int,0,eq_c1/2))+(PI()*(s_0+4*s_r+IF(circ_int,eq_c1/2,0))/2))),IF(((40+0.5)*(4*IF(circ_int,0,eq_c1/2)+4*IF(circ_int,0,eq_c2/2)+2*PI()*(s_0+4*s_r+IF(circ_int,eq_c1/2,0)))/INDEX(lk_legs,5))&lt;((((((2*IF(circ_int,0,eq_c2/2))+(PI()*(s_0+4*s_r+IF(circ_int,eq_c1/2,0))/2))+2*IF(circ_int,0,eq_c1/2))+(PI()*(s_0+4*s_r+IF(circ_int,eq_c1/2,0))/2))+2*IF(circ_int,0,eq_c2/2))+(PI()*(s_0+4*s_r+IF(circ_int,eq_c1/2,0))/2)),-IF(circ_int,0,eq_c2/2)+(s_0+4*s_r+IF(circ_int,eq_c1/2,0))*SIN(PI()+(((40+0.5)*(4*IF(circ_int,0,eq_c1/2)+4*IF(circ_int,0,eq_c2/2)+2*PI()*(s_0+4*s_r+IF(circ_int,eq_c1/2,0)))/INDEX(lk_legs,5))-(((((2*IF(circ_int,0,eq_c2/2))+(PI()*(s_0+4*s_r+IF(circ_int,eq_c1/2,0))/2))+2*IF(circ_int,0,eq_c1/2))+(PI()*(s_0+4*s_r+IF(circ_int,eq_c1/2,0))/2))+2*IF(circ_int,0,eq_c2/2)))/(s_0+4*s_r+IF(circ_int,eq_c1/2,0))),IF(((40+0.5)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(40+0.5)*(4*IF(circ_int,0,eq_c1/2)+4*IF(circ_int,0,eq_c2/2)+2*PI()*(s_0+4*s_r+IF(circ_int,eq_c1/2,0)))/INDEX(lk_legs,5))-(((((((2*IF(circ_int,0,eq_c2/2))+(PI()*(s_0+4*s_r+IF(circ_int,eq_c1/2,0))/2))+2*IF(circ_int,0,eq_c1/2))+(PI()*(s_0+4*s_r+IF(circ_int,eq_c1/2,0))/2))+2*IF(circ_int,0,eq_c2/2))+(PI()*(s_0+4*s_r+IF(circ_int,eq_c1/2,0))/2))+2*IF(circ_int,0,eq_c1/2)))/(s_0+4*s_r+IF(circ_int,eq_c1/2,0)))))))))),NA())</f>
        <v/>
      </c>
      <c r="CA43">
        <f>IF(AND(links_on,6&lt;=n_per),IF(circ_int,(g_ox)+(c_1/2+(s_0+5*s_r))*0.120537,CHOOSE(INDEX(lk_kind,6),(g_ox+eq_c1/2)+((s_0+5*s_r))*0.130526,0,eq_a1+eq_c1+(s_0+5*s_r),eq_a1+eq_c1+(s_0+5*s_r))),NA())</f>
        <v/>
      </c>
      <c r="CB43">
        <f>IF(AND(links_on,6&lt;=n_per),IF(circ_int,(g_oy)+(c_1/2+(s_0+5*s_r))*-0.992709,CHOOSE(INDEX(lk_kind,6),(g_oy-eq_c2/2)+((s_0+5*s_r))*-0.991445,g_oy-eq_c2/2-(s_0+5*s_r),0,0)),NA())</f>
        <v/>
      </c>
      <c r="CD43">
        <f>IF(AND(AND(links_on,6&lt;=n_per),INDEX(lk_kind,6)=1,40&lt;INDEX(lk_legs,6)),g_ox+IF(((40+0.5)*(4*IF(circ_int,0,eq_c1/2)+4*IF(circ_int,0,eq_c2/2)+2*PI()*(s_0+5*s_r+IF(circ_int,eq_c1/2,0)))/INDEX(lk_legs,6))&lt;(2*IF(circ_int,0,eq_c2/2)),IF(circ_int,0,eq_c1/2)+(s_0+5*s_r+IF(circ_int,eq_c1/2,0)),IF(((40+0.5)*(4*IF(circ_int,0,eq_c1/2)+4*IF(circ_int,0,eq_c2/2)+2*PI()*(s_0+5*s_r+IF(circ_int,eq_c1/2,0)))/INDEX(lk_legs,6))&lt;((2*IF(circ_int,0,eq_c2/2))+(PI()*(s_0+5*s_r+IF(circ_int,eq_c1/2,0))/2)),IF(circ_int,0,eq_c1/2)+(s_0+5*s_r+IF(circ_int,eq_c1/2,0))*COS((((40+0.5)*(4*IF(circ_int,0,eq_c1/2)+4*IF(circ_int,0,eq_c2/2)+2*PI()*(s_0+5*s_r+IF(circ_int,eq_c1/2,0)))/INDEX(lk_legs,6))-(2*IF(circ_int,0,eq_c2/2)))/(s_0+5*s_r+IF(circ_int,eq_c1/2,0))),IF(((40+0.5)*(4*IF(circ_int,0,eq_c1/2)+4*IF(circ_int,0,eq_c2/2)+2*PI()*(s_0+5*s_r+IF(circ_int,eq_c1/2,0)))/INDEX(lk_legs,6))&lt;(((2*IF(circ_int,0,eq_c2/2))+(PI()*(s_0+5*s_r+IF(circ_int,eq_c1/2,0))/2))+2*IF(circ_int,0,eq_c1/2)),IF(circ_int,0,eq_c1/2)-(((40+0.5)*(4*IF(circ_int,0,eq_c1/2)+4*IF(circ_int,0,eq_c2/2)+2*PI()*(s_0+5*s_r+IF(circ_int,eq_c1/2,0)))/INDEX(lk_legs,6))-((2*IF(circ_int,0,eq_c2/2))+(PI()*(s_0+5*s_r+IF(circ_int,eq_c1/2,0))/2))),IF(((40+0.5)*(4*IF(circ_int,0,eq_c1/2)+4*IF(circ_int,0,eq_c2/2)+2*PI()*(s_0+5*s_r+IF(circ_int,eq_c1/2,0)))/INDEX(lk_legs,6))&lt;((((2*IF(circ_int,0,eq_c2/2))+(PI()*(s_0+5*s_r+IF(circ_int,eq_c1/2,0))/2))+2*IF(circ_int,0,eq_c1/2))+(PI()*(s_0+5*s_r+IF(circ_int,eq_c1/2,0))/2)),-IF(circ_int,0,eq_c1/2)+(s_0+5*s_r+IF(circ_int,eq_c1/2,0))*COS(PI()/2+(((40+0.5)*(4*IF(circ_int,0,eq_c1/2)+4*IF(circ_int,0,eq_c2/2)+2*PI()*(s_0+5*s_r+IF(circ_int,eq_c1/2,0)))/INDEX(lk_legs,6))-(((2*IF(circ_int,0,eq_c2/2))+(PI()*(s_0+5*s_r+IF(circ_int,eq_c1/2,0))/2))+2*IF(circ_int,0,eq_c1/2)))/(s_0+5*s_r+IF(circ_int,eq_c1/2,0))),IF(((40+0.5)*(4*IF(circ_int,0,eq_c1/2)+4*IF(circ_int,0,eq_c2/2)+2*PI()*(s_0+5*s_r+IF(circ_int,eq_c1/2,0)))/INDEX(lk_legs,6))&lt;(((((2*IF(circ_int,0,eq_c2/2))+(PI()*(s_0+5*s_r+IF(circ_int,eq_c1/2,0))/2))+2*IF(circ_int,0,eq_c1/2))+(PI()*(s_0+5*s_r+IF(circ_int,eq_c1/2,0))/2))+2*IF(circ_int,0,eq_c2/2)),-IF(circ_int,0,eq_c1/2)-(s_0+5*s_r+IF(circ_int,eq_c1/2,0)),IF(((40+0.5)*(4*IF(circ_int,0,eq_c1/2)+4*IF(circ_int,0,eq_c2/2)+2*PI()*(s_0+5*s_r+IF(circ_int,eq_c1/2,0)))/INDEX(lk_legs,6))&lt;((((((2*IF(circ_int,0,eq_c2/2))+(PI()*(s_0+5*s_r+IF(circ_int,eq_c1/2,0))/2))+2*IF(circ_int,0,eq_c1/2))+(PI()*(s_0+5*s_r+IF(circ_int,eq_c1/2,0))/2))+2*IF(circ_int,0,eq_c2/2))+(PI()*(s_0+5*s_r+IF(circ_int,eq_c1/2,0))/2)),-IF(circ_int,0,eq_c1/2)+(s_0+5*s_r+IF(circ_int,eq_c1/2,0))*COS(PI()+(((40+0.5)*(4*IF(circ_int,0,eq_c1/2)+4*IF(circ_int,0,eq_c2/2)+2*PI()*(s_0+5*s_r+IF(circ_int,eq_c1/2,0)))/INDEX(lk_legs,6))-(((((2*IF(circ_int,0,eq_c2/2))+(PI()*(s_0+5*s_r+IF(circ_int,eq_c1/2,0))/2))+2*IF(circ_int,0,eq_c1/2))+(PI()*(s_0+5*s_r+IF(circ_int,eq_c1/2,0))/2))+2*IF(circ_int,0,eq_c2/2)))/(s_0+5*s_r+IF(circ_int,eq_c1/2,0))),IF(((40+0.5)*(4*IF(circ_int,0,eq_c1/2)+4*IF(circ_int,0,eq_c2/2)+2*PI()*(s_0+5*s_r+IF(circ_int,eq_c1/2,0)))/INDEX(lk_legs,6))&lt;(((((((2*IF(circ_int,0,eq_c2/2))+(PI()*(s_0+5*s_r+IF(circ_int,eq_c1/2,0))/2))+2*IF(circ_int,0,eq_c1/2))+(PI()*(s_0+5*s_r+IF(circ_int,eq_c1/2,0))/2))+2*IF(circ_int,0,eq_c2/2))+(PI()*(s_0+5*s_r+IF(circ_int,eq_c1/2,0))/2))+2*IF(circ_int,0,eq_c1/2)),-IF(circ_int,0,eq_c1/2)+(((40+0.5)*(4*IF(circ_int,0,eq_c1/2)+4*IF(circ_int,0,eq_c2/2)+2*PI()*(s_0+5*s_r+IF(circ_int,eq_c1/2,0)))/INDEX(lk_legs,6))-((((((2*IF(circ_int,0,eq_c2/2))+(PI()*(s_0+5*s_r+IF(circ_int,eq_c1/2,0))/2))+2*IF(circ_int,0,eq_c1/2))+(PI()*(s_0+5*s_r+IF(circ_int,eq_c1/2,0))/2))+2*IF(circ_int,0,eq_c2/2))+(PI()*(s_0+5*s_r+IF(circ_int,eq_c1/2,0))/2))),IF(circ_int,0,eq_c1/2)+(s_0+5*s_r+IF(circ_int,eq_c1/2,0))*COS(3*PI()/2+(((40+0.5)*(4*IF(circ_int,0,eq_c1/2)+4*IF(circ_int,0,eq_c2/2)+2*PI()*(s_0+5*s_r+IF(circ_int,eq_c1/2,0)))/INDEX(lk_legs,6))-(((((((2*IF(circ_int,0,eq_c2/2))+(PI()*(s_0+5*s_r+IF(circ_int,eq_c1/2,0))/2))+2*IF(circ_int,0,eq_c1/2))+(PI()*(s_0+5*s_r+IF(circ_int,eq_c1/2,0))/2))+2*IF(circ_int,0,eq_c2/2))+(PI()*(s_0+5*s_r+IF(circ_int,eq_c1/2,0))/2))+2*IF(circ_int,0,eq_c1/2)))/(s_0+5*s_r+IF(circ_int,eq_c1/2,0)))))))))),NA())</f>
        <v/>
      </c>
      <c r="CE43">
        <f>IF(AND(AND(links_on,6&lt;=n_per),INDEX(lk_kind,6)=1,40&lt;INDEX(lk_legs,6)),g_oy+IF(((40+0.5)*(4*IF(circ_int,0,eq_c1/2)+4*IF(circ_int,0,eq_c2/2)+2*PI()*(s_0+5*s_r+IF(circ_int,eq_c1/2,0)))/INDEX(lk_legs,6))&lt;(2*IF(circ_int,0,eq_c2/2)),-IF(circ_int,0,eq_c2/2)+((40+0.5)*(4*IF(circ_int,0,eq_c1/2)+4*IF(circ_int,0,eq_c2/2)+2*PI()*(s_0+5*s_r+IF(circ_int,eq_c1/2,0)))/INDEX(lk_legs,6)),IF(((40+0.5)*(4*IF(circ_int,0,eq_c1/2)+4*IF(circ_int,0,eq_c2/2)+2*PI()*(s_0+5*s_r+IF(circ_int,eq_c1/2,0)))/INDEX(lk_legs,6))&lt;((2*IF(circ_int,0,eq_c2/2))+(PI()*(s_0+5*s_r+IF(circ_int,eq_c1/2,0))/2)),IF(circ_int,0,eq_c2/2)+(s_0+5*s_r+IF(circ_int,eq_c1/2,0))*SIN((((40+0.5)*(4*IF(circ_int,0,eq_c1/2)+4*IF(circ_int,0,eq_c2/2)+2*PI()*(s_0+5*s_r+IF(circ_int,eq_c1/2,0)))/INDEX(lk_legs,6))-(2*IF(circ_int,0,eq_c2/2)))/(s_0+5*s_r+IF(circ_int,eq_c1/2,0))),IF(((40+0.5)*(4*IF(circ_int,0,eq_c1/2)+4*IF(circ_int,0,eq_c2/2)+2*PI()*(s_0+5*s_r+IF(circ_int,eq_c1/2,0)))/INDEX(lk_legs,6))&lt;(((2*IF(circ_int,0,eq_c2/2))+(PI()*(s_0+5*s_r+IF(circ_int,eq_c1/2,0))/2))+2*IF(circ_int,0,eq_c1/2)),IF(circ_int,0,eq_c2/2)+(s_0+5*s_r+IF(circ_int,eq_c1/2,0)),IF(((40+0.5)*(4*IF(circ_int,0,eq_c1/2)+4*IF(circ_int,0,eq_c2/2)+2*PI()*(s_0+5*s_r+IF(circ_int,eq_c1/2,0)))/INDEX(lk_legs,6))&lt;((((2*IF(circ_int,0,eq_c2/2))+(PI()*(s_0+5*s_r+IF(circ_int,eq_c1/2,0))/2))+2*IF(circ_int,0,eq_c1/2))+(PI()*(s_0+5*s_r+IF(circ_int,eq_c1/2,0))/2)),IF(circ_int,0,eq_c2/2)+(s_0+5*s_r+IF(circ_int,eq_c1/2,0))*SIN(PI()/2+(((40+0.5)*(4*IF(circ_int,0,eq_c1/2)+4*IF(circ_int,0,eq_c2/2)+2*PI()*(s_0+5*s_r+IF(circ_int,eq_c1/2,0)))/INDEX(lk_legs,6))-(((2*IF(circ_int,0,eq_c2/2))+(PI()*(s_0+5*s_r+IF(circ_int,eq_c1/2,0))/2))+2*IF(circ_int,0,eq_c1/2)))/(s_0+5*s_r+IF(circ_int,eq_c1/2,0))),IF(((40+0.5)*(4*IF(circ_int,0,eq_c1/2)+4*IF(circ_int,0,eq_c2/2)+2*PI()*(s_0+5*s_r+IF(circ_int,eq_c1/2,0)))/INDEX(lk_legs,6))&lt;(((((2*IF(circ_int,0,eq_c2/2))+(PI()*(s_0+5*s_r+IF(circ_int,eq_c1/2,0))/2))+2*IF(circ_int,0,eq_c1/2))+(PI()*(s_0+5*s_r+IF(circ_int,eq_c1/2,0))/2))+2*IF(circ_int,0,eq_c2/2)),IF(circ_int,0,eq_c2/2)-(((40+0.5)*(4*IF(circ_int,0,eq_c1/2)+4*IF(circ_int,0,eq_c2/2)+2*PI()*(s_0+5*s_r+IF(circ_int,eq_c1/2,0)))/INDEX(lk_legs,6))-((((2*IF(circ_int,0,eq_c2/2))+(PI()*(s_0+5*s_r+IF(circ_int,eq_c1/2,0))/2))+2*IF(circ_int,0,eq_c1/2))+(PI()*(s_0+5*s_r+IF(circ_int,eq_c1/2,0))/2))),IF(((40+0.5)*(4*IF(circ_int,0,eq_c1/2)+4*IF(circ_int,0,eq_c2/2)+2*PI()*(s_0+5*s_r+IF(circ_int,eq_c1/2,0)))/INDEX(lk_legs,6))&lt;((((((2*IF(circ_int,0,eq_c2/2))+(PI()*(s_0+5*s_r+IF(circ_int,eq_c1/2,0))/2))+2*IF(circ_int,0,eq_c1/2))+(PI()*(s_0+5*s_r+IF(circ_int,eq_c1/2,0))/2))+2*IF(circ_int,0,eq_c2/2))+(PI()*(s_0+5*s_r+IF(circ_int,eq_c1/2,0))/2)),-IF(circ_int,0,eq_c2/2)+(s_0+5*s_r+IF(circ_int,eq_c1/2,0))*SIN(PI()+(((40+0.5)*(4*IF(circ_int,0,eq_c1/2)+4*IF(circ_int,0,eq_c2/2)+2*PI()*(s_0+5*s_r+IF(circ_int,eq_c1/2,0)))/INDEX(lk_legs,6))-(((((2*IF(circ_int,0,eq_c2/2))+(PI()*(s_0+5*s_r+IF(circ_int,eq_c1/2,0))/2))+2*IF(circ_int,0,eq_c1/2))+(PI()*(s_0+5*s_r+IF(circ_int,eq_c1/2,0))/2))+2*IF(circ_int,0,eq_c2/2)))/(s_0+5*s_r+IF(circ_int,eq_c1/2,0))),IF(((40+0.5)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(40+0.5)*(4*IF(circ_int,0,eq_c1/2)+4*IF(circ_int,0,eq_c2/2)+2*PI()*(s_0+5*s_r+IF(circ_int,eq_c1/2,0)))/INDEX(lk_legs,6))-(((((((2*IF(circ_int,0,eq_c2/2))+(PI()*(s_0+5*s_r+IF(circ_int,eq_c1/2,0))/2))+2*IF(circ_int,0,eq_c1/2))+(PI()*(s_0+5*s_r+IF(circ_int,eq_c1/2,0))/2))+2*IF(circ_int,0,eq_c2/2))+(PI()*(s_0+5*s_r+IF(circ_int,eq_c1/2,0))/2))+2*IF(circ_int,0,eq_c1/2)))/(s_0+5*s_r+IF(circ_int,eq_c1/2,0)))))))))),NA())</f>
        <v/>
      </c>
      <c r="CG43">
        <f>IF(AND(links_on,7&lt;=n_per),IF(circ_int,(g_ox)+(c_1/2+(s_0+6*s_r))*0.120537,CHOOSE(INDEX(lk_kind,7),(g_ox+eq_c1/2)+((s_0+6*s_r))*0.130526,0,eq_a1+eq_c1+(s_0+6*s_r),eq_a1+eq_c1+(s_0+6*s_r))),NA())</f>
        <v/>
      </c>
      <c r="CH43">
        <f>IF(AND(links_on,7&lt;=n_per),IF(circ_int,(g_oy)+(c_1/2+(s_0+6*s_r))*-0.992709,CHOOSE(INDEX(lk_kind,7),(g_oy-eq_c2/2)+((s_0+6*s_r))*-0.991445,g_oy-eq_c2/2-(s_0+6*s_r),0,0)),NA())</f>
        <v/>
      </c>
      <c r="CJ43">
        <f>IF(AND(AND(links_on,7&lt;=n_per),INDEX(lk_kind,7)=1,40&lt;INDEX(lk_legs,7)),g_ox+IF(((40+0.5)*(4*IF(circ_int,0,eq_c1/2)+4*IF(circ_int,0,eq_c2/2)+2*PI()*(s_0+6*s_r+IF(circ_int,eq_c1/2,0)))/INDEX(lk_legs,7))&lt;(2*IF(circ_int,0,eq_c2/2)),IF(circ_int,0,eq_c1/2)+(s_0+6*s_r+IF(circ_int,eq_c1/2,0)),IF(((40+0.5)*(4*IF(circ_int,0,eq_c1/2)+4*IF(circ_int,0,eq_c2/2)+2*PI()*(s_0+6*s_r+IF(circ_int,eq_c1/2,0)))/INDEX(lk_legs,7))&lt;((2*IF(circ_int,0,eq_c2/2))+(PI()*(s_0+6*s_r+IF(circ_int,eq_c1/2,0))/2)),IF(circ_int,0,eq_c1/2)+(s_0+6*s_r+IF(circ_int,eq_c1/2,0))*COS((((40+0.5)*(4*IF(circ_int,0,eq_c1/2)+4*IF(circ_int,0,eq_c2/2)+2*PI()*(s_0+6*s_r+IF(circ_int,eq_c1/2,0)))/INDEX(lk_legs,7))-(2*IF(circ_int,0,eq_c2/2)))/(s_0+6*s_r+IF(circ_int,eq_c1/2,0))),IF(((40+0.5)*(4*IF(circ_int,0,eq_c1/2)+4*IF(circ_int,0,eq_c2/2)+2*PI()*(s_0+6*s_r+IF(circ_int,eq_c1/2,0)))/INDEX(lk_legs,7))&lt;(((2*IF(circ_int,0,eq_c2/2))+(PI()*(s_0+6*s_r+IF(circ_int,eq_c1/2,0))/2))+2*IF(circ_int,0,eq_c1/2)),IF(circ_int,0,eq_c1/2)-(((40+0.5)*(4*IF(circ_int,0,eq_c1/2)+4*IF(circ_int,0,eq_c2/2)+2*PI()*(s_0+6*s_r+IF(circ_int,eq_c1/2,0)))/INDEX(lk_legs,7))-((2*IF(circ_int,0,eq_c2/2))+(PI()*(s_0+6*s_r+IF(circ_int,eq_c1/2,0))/2))),IF(((40+0.5)*(4*IF(circ_int,0,eq_c1/2)+4*IF(circ_int,0,eq_c2/2)+2*PI()*(s_0+6*s_r+IF(circ_int,eq_c1/2,0)))/INDEX(lk_legs,7))&lt;((((2*IF(circ_int,0,eq_c2/2))+(PI()*(s_0+6*s_r+IF(circ_int,eq_c1/2,0))/2))+2*IF(circ_int,0,eq_c1/2))+(PI()*(s_0+6*s_r+IF(circ_int,eq_c1/2,0))/2)),-IF(circ_int,0,eq_c1/2)+(s_0+6*s_r+IF(circ_int,eq_c1/2,0))*COS(PI()/2+(((40+0.5)*(4*IF(circ_int,0,eq_c1/2)+4*IF(circ_int,0,eq_c2/2)+2*PI()*(s_0+6*s_r+IF(circ_int,eq_c1/2,0)))/INDEX(lk_legs,7))-(((2*IF(circ_int,0,eq_c2/2))+(PI()*(s_0+6*s_r+IF(circ_int,eq_c1/2,0))/2))+2*IF(circ_int,0,eq_c1/2)))/(s_0+6*s_r+IF(circ_int,eq_c1/2,0))),IF(((40+0.5)*(4*IF(circ_int,0,eq_c1/2)+4*IF(circ_int,0,eq_c2/2)+2*PI()*(s_0+6*s_r+IF(circ_int,eq_c1/2,0)))/INDEX(lk_legs,7))&lt;(((((2*IF(circ_int,0,eq_c2/2))+(PI()*(s_0+6*s_r+IF(circ_int,eq_c1/2,0))/2))+2*IF(circ_int,0,eq_c1/2))+(PI()*(s_0+6*s_r+IF(circ_int,eq_c1/2,0))/2))+2*IF(circ_int,0,eq_c2/2)),-IF(circ_int,0,eq_c1/2)-(s_0+6*s_r+IF(circ_int,eq_c1/2,0)),IF(((40+0.5)*(4*IF(circ_int,0,eq_c1/2)+4*IF(circ_int,0,eq_c2/2)+2*PI()*(s_0+6*s_r+IF(circ_int,eq_c1/2,0)))/INDEX(lk_legs,7))&lt;((((((2*IF(circ_int,0,eq_c2/2))+(PI()*(s_0+6*s_r+IF(circ_int,eq_c1/2,0))/2))+2*IF(circ_int,0,eq_c1/2))+(PI()*(s_0+6*s_r+IF(circ_int,eq_c1/2,0))/2))+2*IF(circ_int,0,eq_c2/2))+(PI()*(s_0+6*s_r+IF(circ_int,eq_c1/2,0))/2)),-IF(circ_int,0,eq_c1/2)+(s_0+6*s_r+IF(circ_int,eq_c1/2,0))*COS(PI()+(((40+0.5)*(4*IF(circ_int,0,eq_c1/2)+4*IF(circ_int,0,eq_c2/2)+2*PI()*(s_0+6*s_r+IF(circ_int,eq_c1/2,0)))/INDEX(lk_legs,7))-(((((2*IF(circ_int,0,eq_c2/2))+(PI()*(s_0+6*s_r+IF(circ_int,eq_c1/2,0))/2))+2*IF(circ_int,0,eq_c1/2))+(PI()*(s_0+6*s_r+IF(circ_int,eq_c1/2,0))/2))+2*IF(circ_int,0,eq_c2/2)))/(s_0+6*s_r+IF(circ_int,eq_c1/2,0))),IF(((40+0.5)*(4*IF(circ_int,0,eq_c1/2)+4*IF(circ_int,0,eq_c2/2)+2*PI()*(s_0+6*s_r+IF(circ_int,eq_c1/2,0)))/INDEX(lk_legs,7))&lt;(((((((2*IF(circ_int,0,eq_c2/2))+(PI()*(s_0+6*s_r+IF(circ_int,eq_c1/2,0))/2))+2*IF(circ_int,0,eq_c1/2))+(PI()*(s_0+6*s_r+IF(circ_int,eq_c1/2,0))/2))+2*IF(circ_int,0,eq_c2/2))+(PI()*(s_0+6*s_r+IF(circ_int,eq_c1/2,0))/2))+2*IF(circ_int,0,eq_c1/2)),-IF(circ_int,0,eq_c1/2)+(((40+0.5)*(4*IF(circ_int,0,eq_c1/2)+4*IF(circ_int,0,eq_c2/2)+2*PI()*(s_0+6*s_r+IF(circ_int,eq_c1/2,0)))/INDEX(lk_legs,7))-((((((2*IF(circ_int,0,eq_c2/2))+(PI()*(s_0+6*s_r+IF(circ_int,eq_c1/2,0))/2))+2*IF(circ_int,0,eq_c1/2))+(PI()*(s_0+6*s_r+IF(circ_int,eq_c1/2,0))/2))+2*IF(circ_int,0,eq_c2/2))+(PI()*(s_0+6*s_r+IF(circ_int,eq_c1/2,0))/2))),IF(circ_int,0,eq_c1/2)+(s_0+6*s_r+IF(circ_int,eq_c1/2,0))*COS(3*PI()/2+(((40+0.5)*(4*IF(circ_int,0,eq_c1/2)+4*IF(circ_int,0,eq_c2/2)+2*PI()*(s_0+6*s_r+IF(circ_int,eq_c1/2,0)))/INDEX(lk_legs,7))-(((((((2*IF(circ_int,0,eq_c2/2))+(PI()*(s_0+6*s_r+IF(circ_int,eq_c1/2,0))/2))+2*IF(circ_int,0,eq_c1/2))+(PI()*(s_0+6*s_r+IF(circ_int,eq_c1/2,0))/2))+2*IF(circ_int,0,eq_c2/2))+(PI()*(s_0+6*s_r+IF(circ_int,eq_c1/2,0))/2))+2*IF(circ_int,0,eq_c1/2)))/(s_0+6*s_r+IF(circ_int,eq_c1/2,0)))))))))),NA())</f>
        <v/>
      </c>
      <c r="CK43">
        <f>IF(AND(AND(links_on,7&lt;=n_per),INDEX(lk_kind,7)=1,40&lt;INDEX(lk_legs,7)),g_oy+IF(((40+0.5)*(4*IF(circ_int,0,eq_c1/2)+4*IF(circ_int,0,eq_c2/2)+2*PI()*(s_0+6*s_r+IF(circ_int,eq_c1/2,0)))/INDEX(lk_legs,7))&lt;(2*IF(circ_int,0,eq_c2/2)),-IF(circ_int,0,eq_c2/2)+((40+0.5)*(4*IF(circ_int,0,eq_c1/2)+4*IF(circ_int,0,eq_c2/2)+2*PI()*(s_0+6*s_r+IF(circ_int,eq_c1/2,0)))/INDEX(lk_legs,7)),IF(((40+0.5)*(4*IF(circ_int,0,eq_c1/2)+4*IF(circ_int,0,eq_c2/2)+2*PI()*(s_0+6*s_r+IF(circ_int,eq_c1/2,0)))/INDEX(lk_legs,7))&lt;((2*IF(circ_int,0,eq_c2/2))+(PI()*(s_0+6*s_r+IF(circ_int,eq_c1/2,0))/2)),IF(circ_int,0,eq_c2/2)+(s_0+6*s_r+IF(circ_int,eq_c1/2,0))*SIN((((40+0.5)*(4*IF(circ_int,0,eq_c1/2)+4*IF(circ_int,0,eq_c2/2)+2*PI()*(s_0+6*s_r+IF(circ_int,eq_c1/2,0)))/INDEX(lk_legs,7))-(2*IF(circ_int,0,eq_c2/2)))/(s_0+6*s_r+IF(circ_int,eq_c1/2,0))),IF(((40+0.5)*(4*IF(circ_int,0,eq_c1/2)+4*IF(circ_int,0,eq_c2/2)+2*PI()*(s_0+6*s_r+IF(circ_int,eq_c1/2,0)))/INDEX(lk_legs,7))&lt;(((2*IF(circ_int,0,eq_c2/2))+(PI()*(s_0+6*s_r+IF(circ_int,eq_c1/2,0))/2))+2*IF(circ_int,0,eq_c1/2)),IF(circ_int,0,eq_c2/2)+(s_0+6*s_r+IF(circ_int,eq_c1/2,0)),IF(((40+0.5)*(4*IF(circ_int,0,eq_c1/2)+4*IF(circ_int,0,eq_c2/2)+2*PI()*(s_0+6*s_r+IF(circ_int,eq_c1/2,0)))/INDEX(lk_legs,7))&lt;((((2*IF(circ_int,0,eq_c2/2))+(PI()*(s_0+6*s_r+IF(circ_int,eq_c1/2,0))/2))+2*IF(circ_int,0,eq_c1/2))+(PI()*(s_0+6*s_r+IF(circ_int,eq_c1/2,0))/2)),IF(circ_int,0,eq_c2/2)+(s_0+6*s_r+IF(circ_int,eq_c1/2,0))*SIN(PI()/2+(((40+0.5)*(4*IF(circ_int,0,eq_c1/2)+4*IF(circ_int,0,eq_c2/2)+2*PI()*(s_0+6*s_r+IF(circ_int,eq_c1/2,0)))/INDEX(lk_legs,7))-(((2*IF(circ_int,0,eq_c2/2))+(PI()*(s_0+6*s_r+IF(circ_int,eq_c1/2,0))/2))+2*IF(circ_int,0,eq_c1/2)))/(s_0+6*s_r+IF(circ_int,eq_c1/2,0))),IF(((40+0.5)*(4*IF(circ_int,0,eq_c1/2)+4*IF(circ_int,0,eq_c2/2)+2*PI()*(s_0+6*s_r+IF(circ_int,eq_c1/2,0)))/INDEX(lk_legs,7))&lt;(((((2*IF(circ_int,0,eq_c2/2))+(PI()*(s_0+6*s_r+IF(circ_int,eq_c1/2,0))/2))+2*IF(circ_int,0,eq_c1/2))+(PI()*(s_0+6*s_r+IF(circ_int,eq_c1/2,0))/2))+2*IF(circ_int,0,eq_c2/2)),IF(circ_int,0,eq_c2/2)-(((40+0.5)*(4*IF(circ_int,0,eq_c1/2)+4*IF(circ_int,0,eq_c2/2)+2*PI()*(s_0+6*s_r+IF(circ_int,eq_c1/2,0)))/INDEX(lk_legs,7))-((((2*IF(circ_int,0,eq_c2/2))+(PI()*(s_0+6*s_r+IF(circ_int,eq_c1/2,0))/2))+2*IF(circ_int,0,eq_c1/2))+(PI()*(s_0+6*s_r+IF(circ_int,eq_c1/2,0))/2))),IF(((40+0.5)*(4*IF(circ_int,0,eq_c1/2)+4*IF(circ_int,0,eq_c2/2)+2*PI()*(s_0+6*s_r+IF(circ_int,eq_c1/2,0)))/INDEX(lk_legs,7))&lt;((((((2*IF(circ_int,0,eq_c2/2))+(PI()*(s_0+6*s_r+IF(circ_int,eq_c1/2,0))/2))+2*IF(circ_int,0,eq_c1/2))+(PI()*(s_0+6*s_r+IF(circ_int,eq_c1/2,0))/2))+2*IF(circ_int,0,eq_c2/2))+(PI()*(s_0+6*s_r+IF(circ_int,eq_c1/2,0))/2)),-IF(circ_int,0,eq_c2/2)+(s_0+6*s_r+IF(circ_int,eq_c1/2,0))*SIN(PI()+(((40+0.5)*(4*IF(circ_int,0,eq_c1/2)+4*IF(circ_int,0,eq_c2/2)+2*PI()*(s_0+6*s_r+IF(circ_int,eq_c1/2,0)))/INDEX(lk_legs,7))-(((((2*IF(circ_int,0,eq_c2/2))+(PI()*(s_0+6*s_r+IF(circ_int,eq_c1/2,0))/2))+2*IF(circ_int,0,eq_c1/2))+(PI()*(s_0+6*s_r+IF(circ_int,eq_c1/2,0))/2))+2*IF(circ_int,0,eq_c2/2)))/(s_0+6*s_r+IF(circ_int,eq_c1/2,0))),IF(((40+0.5)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(40+0.5)*(4*IF(circ_int,0,eq_c1/2)+4*IF(circ_int,0,eq_c2/2)+2*PI()*(s_0+6*s_r+IF(circ_int,eq_c1/2,0)))/INDEX(lk_legs,7))-(((((((2*IF(circ_int,0,eq_c2/2))+(PI()*(s_0+6*s_r+IF(circ_int,eq_c1/2,0))/2))+2*IF(circ_int,0,eq_c1/2))+(PI()*(s_0+6*s_r+IF(circ_int,eq_c1/2,0))/2))+2*IF(circ_int,0,eq_c2/2))+(PI()*(s_0+6*s_r+IF(circ_int,eq_c1/2,0))/2))+2*IF(circ_int,0,eq_c1/2)))/(s_0+6*s_r+IF(circ_int,eq_c1/2,0)))))))))),NA())</f>
        <v/>
      </c>
      <c r="CM43">
        <f>IF(AND(links_on,8&lt;=n_per),IF(circ_int,(g_ox)+(c_1/2+(s_0+7*s_r))*0.120537,CHOOSE(INDEX(lk_kind,8),(g_ox+eq_c1/2)+((s_0+7*s_r))*0.130526,0,eq_a1+eq_c1+(s_0+7*s_r),eq_a1+eq_c1+(s_0+7*s_r))),NA())</f>
        <v/>
      </c>
      <c r="CN43">
        <f>IF(AND(links_on,8&lt;=n_per),IF(circ_int,(g_oy)+(c_1/2+(s_0+7*s_r))*-0.992709,CHOOSE(INDEX(lk_kind,8),(g_oy-eq_c2/2)+((s_0+7*s_r))*-0.991445,g_oy-eq_c2/2-(s_0+7*s_r),0,0)),NA())</f>
        <v/>
      </c>
      <c r="CP43">
        <f>IF(AND(AND(links_on,8&lt;=n_per),INDEX(lk_kind,8)=1,40&lt;INDEX(lk_legs,8)),g_ox+IF(((40+0.5)*(4*IF(circ_int,0,eq_c1/2)+4*IF(circ_int,0,eq_c2/2)+2*PI()*(s_0+7*s_r+IF(circ_int,eq_c1/2,0)))/INDEX(lk_legs,8))&lt;(2*IF(circ_int,0,eq_c2/2)),IF(circ_int,0,eq_c1/2)+(s_0+7*s_r+IF(circ_int,eq_c1/2,0)),IF(((40+0.5)*(4*IF(circ_int,0,eq_c1/2)+4*IF(circ_int,0,eq_c2/2)+2*PI()*(s_0+7*s_r+IF(circ_int,eq_c1/2,0)))/INDEX(lk_legs,8))&lt;((2*IF(circ_int,0,eq_c2/2))+(PI()*(s_0+7*s_r+IF(circ_int,eq_c1/2,0))/2)),IF(circ_int,0,eq_c1/2)+(s_0+7*s_r+IF(circ_int,eq_c1/2,0))*COS((((40+0.5)*(4*IF(circ_int,0,eq_c1/2)+4*IF(circ_int,0,eq_c2/2)+2*PI()*(s_0+7*s_r+IF(circ_int,eq_c1/2,0)))/INDEX(lk_legs,8))-(2*IF(circ_int,0,eq_c2/2)))/(s_0+7*s_r+IF(circ_int,eq_c1/2,0))),IF(((40+0.5)*(4*IF(circ_int,0,eq_c1/2)+4*IF(circ_int,0,eq_c2/2)+2*PI()*(s_0+7*s_r+IF(circ_int,eq_c1/2,0)))/INDEX(lk_legs,8))&lt;(((2*IF(circ_int,0,eq_c2/2))+(PI()*(s_0+7*s_r+IF(circ_int,eq_c1/2,0))/2))+2*IF(circ_int,0,eq_c1/2)),IF(circ_int,0,eq_c1/2)-(((40+0.5)*(4*IF(circ_int,0,eq_c1/2)+4*IF(circ_int,0,eq_c2/2)+2*PI()*(s_0+7*s_r+IF(circ_int,eq_c1/2,0)))/INDEX(lk_legs,8))-((2*IF(circ_int,0,eq_c2/2))+(PI()*(s_0+7*s_r+IF(circ_int,eq_c1/2,0))/2))),IF(((40+0.5)*(4*IF(circ_int,0,eq_c1/2)+4*IF(circ_int,0,eq_c2/2)+2*PI()*(s_0+7*s_r+IF(circ_int,eq_c1/2,0)))/INDEX(lk_legs,8))&lt;((((2*IF(circ_int,0,eq_c2/2))+(PI()*(s_0+7*s_r+IF(circ_int,eq_c1/2,0))/2))+2*IF(circ_int,0,eq_c1/2))+(PI()*(s_0+7*s_r+IF(circ_int,eq_c1/2,0))/2)),-IF(circ_int,0,eq_c1/2)+(s_0+7*s_r+IF(circ_int,eq_c1/2,0))*COS(PI()/2+(((40+0.5)*(4*IF(circ_int,0,eq_c1/2)+4*IF(circ_int,0,eq_c2/2)+2*PI()*(s_0+7*s_r+IF(circ_int,eq_c1/2,0)))/INDEX(lk_legs,8))-(((2*IF(circ_int,0,eq_c2/2))+(PI()*(s_0+7*s_r+IF(circ_int,eq_c1/2,0))/2))+2*IF(circ_int,0,eq_c1/2)))/(s_0+7*s_r+IF(circ_int,eq_c1/2,0))),IF(((40+0.5)*(4*IF(circ_int,0,eq_c1/2)+4*IF(circ_int,0,eq_c2/2)+2*PI()*(s_0+7*s_r+IF(circ_int,eq_c1/2,0)))/INDEX(lk_legs,8))&lt;(((((2*IF(circ_int,0,eq_c2/2))+(PI()*(s_0+7*s_r+IF(circ_int,eq_c1/2,0))/2))+2*IF(circ_int,0,eq_c1/2))+(PI()*(s_0+7*s_r+IF(circ_int,eq_c1/2,0))/2))+2*IF(circ_int,0,eq_c2/2)),-IF(circ_int,0,eq_c1/2)-(s_0+7*s_r+IF(circ_int,eq_c1/2,0)),IF(((40+0.5)*(4*IF(circ_int,0,eq_c1/2)+4*IF(circ_int,0,eq_c2/2)+2*PI()*(s_0+7*s_r+IF(circ_int,eq_c1/2,0)))/INDEX(lk_legs,8))&lt;((((((2*IF(circ_int,0,eq_c2/2))+(PI()*(s_0+7*s_r+IF(circ_int,eq_c1/2,0))/2))+2*IF(circ_int,0,eq_c1/2))+(PI()*(s_0+7*s_r+IF(circ_int,eq_c1/2,0))/2))+2*IF(circ_int,0,eq_c2/2))+(PI()*(s_0+7*s_r+IF(circ_int,eq_c1/2,0))/2)),-IF(circ_int,0,eq_c1/2)+(s_0+7*s_r+IF(circ_int,eq_c1/2,0))*COS(PI()+(((40+0.5)*(4*IF(circ_int,0,eq_c1/2)+4*IF(circ_int,0,eq_c2/2)+2*PI()*(s_0+7*s_r+IF(circ_int,eq_c1/2,0)))/INDEX(lk_legs,8))-(((((2*IF(circ_int,0,eq_c2/2))+(PI()*(s_0+7*s_r+IF(circ_int,eq_c1/2,0))/2))+2*IF(circ_int,0,eq_c1/2))+(PI()*(s_0+7*s_r+IF(circ_int,eq_c1/2,0))/2))+2*IF(circ_int,0,eq_c2/2)))/(s_0+7*s_r+IF(circ_int,eq_c1/2,0))),IF(((40+0.5)*(4*IF(circ_int,0,eq_c1/2)+4*IF(circ_int,0,eq_c2/2)+2*PI()*(s_0+7*s_r+IF(circ_int,eq_c1/2,0)))/INDEX(lk_legs,8))&lt;(((((((2*IF(circ_int,0,eq_c2/2))+(PI()*(s_0+7*s_r+IF(circ_int,eq_c1/2,0))/2))+2*IF(circ_int,0,eq_c1/2))+(PI()*(s_0+7*s_r+IF(circ_int,eq_c1/2,0))/2))+2*IF(circ_int,0,eq_c2/2))+(PI()*(s_0+7*s_r+IF(circ_int,eq_c1/2,0))/2))+2*IF(circ_int,0,eq_c1/2)),-IF(circ_int,0,eq_c1/2)+(((40+0.5)*(4*IF(circ_int,0,eq_c1/2)+4*IF(circ_int,0,eq_c2/2)+2*PI()*(s_0+7*s_r+IF(circ_int,eq_c1/2,0)))/INDEX(lk_legs,8))-((((((2*IF(circ_int,0,eq_c2/2))+(PI()*(s_0+7*s_r+IF(circ_int,eq_c1/2,0))/2))+2*IF(circ_int,0,eq_c1/2))+(PI()*(s_0+7*s_r+IF(circ_int,eq_c1/2,0))/2))+2*IF(circ_int,0,eq_c2/2))+(PI()*(s_0+7*s_r+IF(circ_int,eq_c1/2,0))/2))),IF(circ_int,0,eq_c1/2)+(s_0+7*s_r+IF(circ_int,eq_c1/2,0))*COS(3*PI()/2+(((40+0.5)*(4*IF(circ_int,0,eq_c1/2)+4*IF(circ_int,0,eq_c2/2)+2*PI()*(s_0+7*s_r+IF(circ_int,eq_c1/2,0)))/INDEX(lk_legs,8))-(((((((2*IF(circ_int,0,eq_c2/2))+(PI()*(s_0+7*s_r+IF(circ_int,eq_c1/2,0))/2))+2*IF(circ_int,0,eq_c1/2))+(PI()*(s_0+7*s_r+IF(circ_int,eq_c1/2,0))/2))+2*IF(circ_int,0,eq_c2/2))+(PI()*(s_0+7*s_r+IF(circ_int,eq_c1/2,0))/2))+2*IF(circ_int,0,eq_c1/2)))/(s_0+7*s_r+IF(circ_int,eq_c1/2,0)))))))))),NA())</f>
        <v/>
      </c>
      <c r="CQ43">
        <f>IF(AND(AND(links_on,8&lt;=n_per),INDEX(lk_kind,8)=1,40&lt;INDEX(lk_legs,8)),g_oy+IF(((40+0.5)*(4*IF(circ_int,0,eq_c1/2)+4*IF(circ_int,0,eq_c2/2)+2*PI()*(s_0+7*s_r+IF(circ_int,eq_c1/2,0)))/INDEX(lk_legs,8))&lt;(2*IF(circ_int,0,eq_c2/2)),-IF(circ_int,0,eq_c2/2)+((40+0.5)*(4*IF(circ_int,0,eq_c1/2)+4*IF(circ_int,0,eq_c2/2)+2*PI()*(s_0+7*s_r+IF(circ_int,eq_c1/2,0)))/INDEX(lk_legs,8)),IF(((40+0.5)*(4*IF(circ_int,0,eq_c1/2)+4*IF(circ_int,0,eq_c2/2)+2*PI()*(s_0+7*s_r+IF(circ_int,eq_c1/2,0)))/INDEX(lk_legs,8))&lt;((2*IF(circ_int,0,eq_c2/2))+(PI()*(s_0+7*s_r+IF(circ_int,eq_c1/2,0))/2)),IF(circ_int,0,eq_c2/2)+(s_0+7*s_r+IF(circ_int,eq_c1/2,0))*SIN((((40+0.5)*(4*IF(circ_int,0,eq_c1/2)+4*IF(circ_int,0,eq_c2/2)+2*PI()*(s_0+7*s_r+IF(circ_int,eq_c1/2,0)))/INDEX(lk_legs,8))-(2*IF(circ_int,0,eq_c2/2)))/(s_0+7*s_r+IF(circ_int,eq_c1/2,0))),IF(((40+0.5)*(4*IF(circ_int,0,eq_c1/2)+4*IF(circ_int,0,eq_c2/2)+2*PI()*(s_0+7*s_r+IF(circ_int,eq_c1/2,0)))/INDEX(lk_legs,8))&lt;(((2*IF(circ_int,0,eq_c2/2))+(PI()*(s_0+7*s_r+IF(circ_int,eq_c1/2,0))/2))+2*IF(circ_int,0,eq_c1/2)),IF(circ_int,0,eq_c2/2)+(s_0+7*s_r+IF(circ_int,eq_c1/2,0)),IF(((40+0.5)*(4*IF(circ_int,0,eq_c1/2)+4*IF(circ_int,0,eq_c2/2)+2*PI()*(s_0+7*s_r+IF(circ_int,eq_c1/2,0)))/INDEX(lk_legs,8))&lt;((((2*IF(circ_int,0,eq_c2/2))+(PI()*(s_0+7*s_r+IF(circ_int,eq_c1/2,0))/2))+2*IF(circ_int,0,eq_c1/2))+(PI()*(s_0+7*s_r+IF(circ_int,eq_c1/2,0))/2)),IF(circ_int,0,eq_c2/2)+(s_0+7*s_r+IF(circ_int,eq_c1/2,0))*SIN(PI()/2+(((40+0.5)*(4*IF(circ_int,0,eq_c1/2)+4*IF(circ_int,0,eq_c2/2)+2*PI()*(s_0+7*s_r+IF(circ_int,eq_c1/2,0)))/INDEX(lk_legs,8))-(((2*IF(circ_int,0,eq_c2/2))+(PI()*(s_0+7*s_r+IF(circ_int,eq_c1/2,0))/2))+2*IF(circ_int,0,eq_c1/2)))/(s_0+7*s_r+IF(circ_int,eq_c1/2,0))),IF(((40+0.5)*(4*IF(circ_int,0,eq_c1/2)+4*IF(circ_int,0,eq_c2/2)+2*PI()*(s_0+7*s_r+IF(circ_int,eq_c1/2,0)))/INDEX(lk_legs,8))&lt;(((((2*IF(circ_int,0,eq_c2/2))+(PI()*(s_0+7*s_r+IF(circ_int,eq_c1/2,0))/2))+2*IF(circ_int,0,eq_c1/2))+(PI()*(s_0+7*s_r+IF(circ_int,eq_c1/2,0))/2))+2*IF(circ_int,0,eq_c2/2)),IF(circ_int,0,eq_c2/2)-(((40+0.5)*(4*IF(circ_int,0,eq_c1/2)+4*IF(circ_int,0,eq_c2/2)+2*PI()*(s_0+7*s_r+IF(circ_int,eq_c1/2,0)))/INDEX(lk_legs,8))-((((2*IF(circ_int,0,eq_c2/2))+(PI()*(s_0+7*s_r+IF(circ_int,eq_c1/2,0))/2))+2*IF(circ_int,0,eq_c1/2))+(PI()*(s_0+7*s_r+IF(circ_int,eq_c1/2,0))/2))),IF(((40+0.5)*(4*IF(circ_int,0,eq_c1/2)+4*IF(circ_int,0,eq_c2/2)+2*PI()*(s_0+7*s_r+IF(circ_int,eq_c1/2,0)))/INDEX(lk_legs,8))&lt;((((((2*IF(circ_int,0,eq_c2/2))+(PI()*(s_0+7*s_r+IF(circ_int,eq_c1/2,0))/2))+2*IF(circ_int,0,eq_c1/2))+(PI()*(s_0+7*s_r+IF(circ_int,eq_c1/2,0))/2))+2*IF(circ_int,0,eq_c2/2))+(PI()*(s_0+7*s_r+IF(circ_int,eq_c1/2,0))/2)),-IF(circ_int,0,eq_c2/2)+(s_0+7*s_r+IF(circ_int,eq_c1/2,0))*SIN(PI()+(((40+0.5)*(4*IF(circ_int,0,eq_c1/2)+4*IF(circ_int,0,eq_c2/2)+2*PI()*(s_0+7*s_r+IF(circ_int,eq_c1/2,0)))/INDEX(lk_legs,8))-(((((2*IF(circ_int,0,eq_c2/2))+(PI()*(s_0+7*s_r+IF(circ_int,eq_c1/2,0))/2))+2*IF(circ_int,0,eq_c1/2))+(PI()*(s_0+7*s_r+IF(circ_int,eq_c1/2,0))/2))+2*IF(circ_int,0,eq_c2/2)))/(s_0+7*s_r+IF(circ_int,eq_c1/2,0))),IF(((40+0.5)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(40+0.5)*(4*IF(circ_int,0,eq_c1/2)+4*IF(circ_int,0,eq_c2/2)+2*PI()*(s_0+7*s_r+IF(circ_int,eq_c1/2,0)))/INDEX(lk_legs,8))-(((((((2*IF(circ_int,0,eq_c2/2))+(PI()*(s_0+7*s_r+IF(circ_int,eq_c1/2,0))/2))+2*IF(circ_int,0,eq_c1/2))+(PI()*(s_0+7*s_r+IF(circ_int,eq_c1/2,0))/2))+2*IF(circ_int,0,eq_c2/2))+(PI()*(s_0+7*s_r+IF(circ_int,eq_c1/2,0))/2))+2*IF(circ_int,0,eq_c1/2)))/(s_0+7*s_r+IF(circ_int,eq_c1/2,0)))))))))),NA())</f>
        <v/>
      </c>
      <c r="CS43">
        <f>IF(AND(links_on,9&lt;=n_per),IF(circ_int,(g_ox)+(c_1/2+(s_0+8*s_r))*0.120537,CHOOSE(INDEX(lk_kind,9),(g_ox+eq_c1/2)+((s_0+8*s_r))*0.130526,0,eq_a1+eq_c1+(s_0+8*s_r),eq_a1+eq_c1+(s_0+8*s_r))),NA())</f>
        <v/>
      </c>
      <c r="CT43">
        <f>IF(AND(links_on,9&lt;=n_per),IF(circ_int,(g_oy)+(c_1/2+(s_0+8*s_r))*-0.992709,CHOOSE(INDEX(lk_kind,9),(g_oy-eq_c2/2)+((s_0+8*s_r))*-0.991445,g_oy-eq_c2/2-(s_0+8*s_r),0,0)),NA())</f>
        <v/>
      </c>
      <c r="CV43">
        <f>IF(AND(AND(links_on,9&lt;=n_per),INDEX(lk_kind,9)=1,40&lt;INDEX(lk_legs,9)),g_ox+IF(((40+0.5)*(4*IF(circ_int,0,eq_c1/2)+4*IF(circ_int,0,eq_c2/2)+2*PI()*(s_0+8*s_r+IF(circ_int,eq_c1/2,0)))/INDEX(lk_legs,9))&lt;(2*IF(circ_int,0,eq_c2/2)),IF(circ_int,0,eq_c1/2)+(s_0+8*s_r+IF(circ_int,eq_c1/2,0)),IF(((40+0.5)*(4*IF(circ_int,0,eq_c1/2)+4*IF(circ_int,0,eq_c2/2)+2*PI()*(s_0+8*s_r+IF(circ_int,eq_c1/2,0)))/INDEX(lk_legs,9))&lt;((2*IF(circ_int,0,eq_c2/2))+(PI()*(s_0+8*s_r+IF(circ_int,eq_c1/2,0))/2)),IF(circ_int,0,eq_c1/2)+(s_0+8*s_r+IF(circ_int,eq_c1/2,0))*COS((((40+0.5)*(4*IF(circ_int,0,eq_c1/2)+4*IF(circ_int,0,eq_c2/2)+2*PI()*(s_0+8*s_r+IF(circ_int,eq_c1/2,0)))/INDEX(lk_legs,9))-(2*IF(circ_int,0,eq_c2/2)))/(s_0+8*s_r+IF(circ_int,eq_c1/2,0))),IF(((40+0.5)*(4*IF(circ_int,0,eq_c1/2)+4*IF(circ_int,0,eq_c2/2)+2*PI()*(s_0+8*s_r+IF(circ_int,eq_c1/2,0)))/INDEX(lk_legs,9))&lt;(((2*IF(circ_int,0,eq_c2/2))+(PI()*(s_0+8*s_r+IF(circ_int,eq_c1/2,0))/2))+2*IF(circ_int,0,eq_c1/2)),IF(circ_int,0,eq_c1/2)-(((40+0.5)*(4*IF(circ_int,0,eq_c1/2)+4*IF(circ_int,0,eq_c2/2)+2*PI()*(s_0+8*s_r+IF(circ_int,eq_c1/2,0)))/INDEX(lk_legs,9))-((2*IF(circ_int,0,eq_c2/2))+(PI()*(s_0+8*s_r+IF(circ_int,eq_c1/2,0))/2))),IF(((40+0.5)*(4*IF(circ_int,0,eq_c1/2)+4*IF(circ_int,0,eq_c2/2)+2*PI()*(s_0+8*s_r+IF(circ_int,eq_c1/2,0)))/INDEX(lk_legs,9))&lt;((((2*IF(circ_int,0,eq_c2/2))+(PI()*(s_0+8*s_r+IF(circ_int,eq_c1/2,0))/2))+2*IF(circ_int,0,eq_c1/2))+(PI()*(s_0+8*s_r+IF(circ_int,eq_c1/2,0))/2)),-IF(circ_int,0,eq_c1/2)+(s_0+8*s_r+IF(circ_int,eq_c1/2,0))*COS(PI()/2+(((40+0.5)*(4*IF(circ_int,0,eq_c1/2)+4*IF(circ_int,0,eq_c2/2)+2*PI()*(s_0+8*s_r+IF(circ_int,eq_c1/2,0)))/INDEX(lk_legs,9))-(((2*IF(circ_int,0,eq_c2/2))+(PI()*(s_0+8*s_r+IF(circ_int,eq_c1/2,0))/2))+2*IF(circ_int,0,eq_c1/2)))/(s_0+8*s_r+IF(circ_int,eq_c1/2,0))),IF(((40+0.5)*(4*IF(circ_int,0,eq_c1/2)+4*IF(circ_int,0,eq_c2/2)+2*PI()*(s_0+8*s_r+IF(circ_int,eq_c1/2,0)))/INDEX(lk_legs,9))&lt;(((((2*IF(circ_int,0,eq_c2/2))+(PI()*(s_0+8*s_r+IF(circ_int,eq_c1/2,0))/2))+2*IF(circ_int,0,eq_c1/2))+(PI()*(s_0+8*s_r+IF(circ_int,eq_c1/2,0))/2))+2*IF(circ_int,0,eq_c2/2)),-IF(circ_int,0,eq_c1/2)-(s_0+8*s_r+IF(circ_int,eq_c1/2,0)),IF(((40+0.5)*(4*IF(circ_int,0,eq_c1/2)+4*IF(circ_int,0,eq_c2/2)+2*PI()*(s_0+8*s_r+IF(circ_int,eq_c1/2,0)))/INDEX(lk_legs,9))&lt;((((((2*IF(circ_int,0,eq_c2/2))+(PI()*(s_0+8*s_r+IF(circ_int,eq_c1/2,0))/2))+2*IF(circ_int,0,eq_c1/2))+(PI()*(s_0+8*s_r+IF(circ_int,eq_c1/2,0))/2))+2*IF(circ_int,0,eq_c2/2))+(PI()*(s_0+8*s_r+IF(circ_int,eq_c1/2,0))/2)),-IF(circ_int,0,eq_c1/2)+(s_0+8*s_r+IF(circ_int,eq_c1/2,0))*COS(PI()+(((40+0.5)*(4*IF(circ_int,0,eq_c1/2)+4*IF(circ_int,0,eq_c2/2)+2*PI()*(s_0+8*s_r+IF(circ_int,eq_c1/2,0)))/INDEX(lk_legs,9))-(((((2*IF(circ_int,0,eq_c2/2))+(PI()*(s_0+8*s_r+IF(circ_int,eq_c1/2,0))/2))+2*IF(circ_int,0,eq_c1/2))+(PI()*(s_0+8*s_r+IF(circ_int,eq_c1/2,0))/2))+2*IF(circ_int,0,eq_c2/2)))/(s_0+8*s_r+IF(circ_int,eq_c1/2,0))),IF(((40+0.5)*(4*IF(circ_int,0,eq_c1/2)+4*IF(circ_int,0,eq_c2/2)+2*PI()*(s_0+8*s_r+IF(circ_int,eq_c1/2,0)))/INDEX(lk_legs,9))&lt;(((((((2*IF(circ_int,0,eq_c2/2))+(PI()*(s_0+8*s_r+IF(circ_int,eq_c1/2,0))/2))+2*IF(circ_int,0,eq_c1/2))+(PI()*(s_0+8*s_r+IF(circ_int,eq_c1/2,0))/2))+2*IF(circ_int,0,eq_c2/2))+(PI()*(s_0+8*s_r+IF(circ_int,eq_c1/2,0))/2))+2*IF(circ_int,0,eq_c1/2)),-IF(circ_int,0,eq_c1/2)+(((40+0.5)*(4*IF(circ_int,0,eq_c1/2)+4*IF(circ_int,0,eq_c2/2)+2*PI()*(s_0+8*s_r+IF(circ_int,eq_c1/2,0)))/INDEX(lk_legs,9))-((((((2*IF(circ_int,0,eq_c2/2))+(PI()*(s_0+8*s_r+IF(circ_int,eq_c1/2,0))/2))+2*IF(circ_int,0,eq_c1/2))+(PI()*(s_0+8*s_r+IF(circ_int,eq_c1/2,0))/2))+2*IF(circ_int,0,eq_c2/2))+(PI()*(s_0+8*s_r+IF(circ_int,eq_c1/2,0))/2))),IF(circ_int,0,eq_c1/2)+(s_0+8*s_r+IF(circ_int,eq_c1/2,0))*COS(3*PI()/2+(((40+0.5)*(4*IF(circ_int,0,eq_c1/2)+4*IF(circ_int,0,eq_c2/2)+2*PI()*(s_0+8*s_r+IF(circ_int,eq_c1/2,0)))/INDEX(lk_legs,9))-(((((((2*IF(circ_int,0,eq_c2/2))+(PI()*(s_0+8*s_r+IF(circ_int,eq_c1/2,0))/2))+2*IF(circ_int,0,eq_c1/2))+(PI()*(s_0+8*s_r+IF(circ_int,eq_c1/2,0))/2))+2*IF(circ_int,0,eq_c2/2))+(PI()*(s_0+8*s_r+IF(circ_int,eq_c1/2,0))/2))+2*IF(circ_int,0,eq_c1/2)))/(s_0+8*s_r+IF(circ_int,eq_c1/2,0)))))))))),NA())</f>
        <v/>
      </c>
      <c r="CW43">
        <f>IF(AND(AND(links_on,9&lt;=n_per),INDEX(lk_kind,9)=1,40&lt;INDEX(lk_legs,9)),g_oy+IF(((40+0.5)*(4*IF(circ_int,0,eq_c1/2)+4*IF(circ_int,0,eq_c2/2)+2*PI()*(s_0+8*s_r+IF(circ_int,eq_c1/2,0)))/INDEX(lk_legs,9))&lt;(2*IF(circ_int,0,eq_c2/2)),-IF(circ_int,0,eq_c2/2)+((40+0.5)*(4*IF(circ_int,0,eq_c1/2)+4*IF(circ_int,0,eq_c2/2)+2*PI()*(s_0+8*s_r+IF(circ_int,eq_c1/2,0)))/INDEX(lk_legs,9)),IF(((40+0.5)*(4*IF(circ_int,0,eq_c1/2)+4*IF(circ_int,0,eq_c2/2)+2*PI()*(s_0+8*s_r+IF(circ_int,eq_c1/2,0)))/INDEX(lk_legs,9))&lt;((2*IF(circ_int,0,eq_c2/2))+(PI()*(s_0+8*s_r+IF(circ_int,eq_c1/2,0))/2)),IF(circ_int,0,eq_c2/2)+(s_0+8*s_r+IF(circ_int,eq_c1/2,0))*SIN((((40+0.5)*(4*IF(circ_int,0,eq_c1/2)+4*IF(circ_int,0,eq_c2/2)+2*PI()*(s_0+8*s_r+IF(circ_int,eq_c1/2,0)))/INDEX(lk_legs,9))-(2*IF(circ_int,0,eq_c2/2)))/(s_0+8*s_r+IF(circ_int,eq_c1/2,0))),IF(((40+0.5)*(4*IF(circ_int,0,eq_c1/2)+4*IF(circ_int,0,eq_c2/2)+2*PI()*(s_0+8*s_r+IF(circ_int,eq_c1/2,0)))/INDEX(lk_legs,9))&lt;(((2*IF(circ_int,0,eq_c2/2))+(PI()*(s_0+8*s_r+IF(circ_int,eq_c1/2,0))/2))+2*IF(circ_int,0,eq_c1/2)),IF(circ_int,0,eq_c2/2)+(s_0+8*s_r+IF(circ_int,eq_c1/2,0)),IF(((40+0.5)*(4*IF(circ_int,0,eq_c1/2)+4*IF(circ_int,0,eq_c2/2)+2*PI()*(s_0+8*s_r+IF(circ_int,eq_c1/2,0)))/INDEX(lk_legs,9))&lt;((((2*IF(circ_int,0,eq_c2/2))+(PI()*(s_0+8*s_r+IF(circ_int,eq_c1/2,0))/2))+2*IF(circ_int,0,eq_c1/2))+(PI()*(s_0+8*s_r+IF(circ_int,eq_c1/2,0))/2)),IF(circ_int,0,eq_c2/2)+(s_0+8*s_r+IF(circ_int,eq_c1/2,0))*SIN(PI()/2+(((40+0.5)*(4*IF(circ_int,0,eq_c1/2)+4*IF(circ_int,0,eq_c2/2)+2*PI()*(s_0+8*s_r+IF(circ_int,eq_c1/2,0)))/INDEX(lk_legs,9))-(((2*IF(circ_int,0,eq_c2/2))+(PI()*(s_0+8*s_r+IF(circ_int,eq_c1/2,0))/2))+2*IF(circ_int,0,eq_c1/2)))/(s_0+8*s_r+IF(circ_int,eq_c1/2,0))),IF(((40+0.5)*(4*IF(circ_int,0,eq_c1/2)+4*IF(circ_int,0,eq_c2/2)+2*PI()*(s_0+8*s_r+IF(circ_int,eq_c1/2,0)))/INDEX(lk_legs,9))&lt;(((((2*IF(circ_int,0,eq_c2/2))+(PI()*(s_0+8*s_r+IF(circ_int,eq_c1/2,0))/2))+2*IF(circ_int,0,eq_c1/2))+(PI()*(s_0+8*s_r+IF(circ_int,eq_c1/2,0))/2))+2*IF(circ_int,0,eq_c2/2)),IF(circ_int,0,eq_c2/2)-(((40+0.5)*(4*IF(circ_int,0,eq_c1/2)+4*IF(circ_int,0,eq_c2/2)+2*PI()*(s_0+8*s_r+IF(circ_int,eq_c1/2,0)))/INDEX(lk_legs,9))-((((2*IF(circ_int,0,eq_c2/2))+(PI()*(s_0+8*s_r+IF(circ_int,eq_c1/2,0))/2))+2*IF(circ_int,0,eq_c1/2))+(PI()*(s_0+8*s_r+IF(circ_int,eq_c1/2,0))/2))),IF(((40+0.5)*(4*IF(circ_int,0,eq_c1/2)+4*IF(circ_int,0,eq_c2/2)+2*PI()*(s_0+8*s_r+IF(circ_int,eq_c1/2,0)))/INDEX(lk_legs,9))&lt;((((((2*IF(circ_int,0,eq_c2/2))+(PI()*(s_0+8*s_r+IF(circ_int,eq_c1/2,0))/2))+2*IF(circ_int,0,eq_c1/2))+(PI()*(s_0+8*s_r+IF(circ_int,eq_c1/2,0))/2))+2*IF(circ_int,0,eq_c2/2))+(PI()*(s_0+8*s_r+IF(circ_int,eq_c1/2,0))/2)),-IF(circ_int,0,eq_c2/2)+(s_0+8*s_r+IF(circ_int,eq_c1/2,0))*SIN(PI()+(((40+0.5)*(4*IF(circ_int,0,eq_c1/2)+4*IF(circ_int,0,eq_c2/2)+2*PI()*(s_0+8*s_r+IF(circ_int,eq_c1/2,0)))/INDEX(lk_legs,9))-(((((2*IF(circ_int,0,eq_c2/2))+(PI()*(s_0+8*s_r+IF(circ_int,eq_c1/2,0))/2))+2*IF(circ_int,0,eq_c1/2))+(PI()*(s_0+8*s_r+IF(circ_int,eq_c1/2,0))/2))+2*IF(circ_int,0,eq_c2/2)))/(s_0+8*s_r+IF(circ_int,eq_c1/2,0))),IF(((40+0.5)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(40+0.5)*(4*IF(circ_int,0,eq_c1/2)+4*IF(circ_int,0,eq_c2/2)+2*PI()*(s_0+8*s_r+IF(circ_int,eq_c1/2,0)))/INDEX(lk_legs,9))-(((((((2*IF(circ_int,0,eq_c2/2))+(PI()*(s_0+8*s_r+IF(circ_int,eq_c1/2,0))/2))+2*IF(circ_int,0,eq_c1/2))+(PI()*(s_0+8*s_r+IF(circ_int,eq_c1/2,0))/2))+2*IF(circ_int,0,eq_c2/2))+(PI()*(s_0+8*s_r+IF(circ_int,eq_c1/2,0))/2))+2*IF(circ_int,0,eq_c1/2)))/(s_0+8*s_r+IF(circ_int,eq_c1/2,0)))))))))),NA())</f>
        <v/>
      </c>
      <c r="CY43">
        <f>IF(AND(links_on,10&lt;=n_per),IF(circ_int,(g_ox)+(c_1/2+(s_0+9*s_r))*0.120537,CHOOSE(INDEX(lk_kind,10),(g_ox+eq_c1/2)+((s_0+9*s_r))*0.130526,0,eq_a1+eq_c1+(s_0+9*s_r),eq_a1+eq_c1+(s_0+9*s_r))),NA())</f>
        <v/>
      </c>
      <c r="CZ43">
        <f>IF(AND(links_on,10&lt;=n_per),IF(circ_int,(g_oy)+(c_1/2+(s_0+9*s_r))*-0.992709,CHOOSE(INDEX(lk_kind,10),(g_oy-eq_c2/2)+((s_0+9*s_r))*-0.991445,g_oy-eq_c2/2-(s_0+9*s_r),0,0)),NA())</f>
        <v/>
      </c>
      <c r="DB43">
        <f>IF(AND(AND(links_on,10&lt;=n_per),INDEX(lk_kind,10)=1,40&lt;INDEX(lk_legs,10)),g_ox+IF(((40+0.5)*(4*IF(circ_int,0,eq_c1/2)+4*IF(circ_int,0,eq_c2/2)+2*PI()*(s_0+9*s_r+IF(circ_int,eq_c1/2,0)))/INDEX(lk_legs,10))&lt;(2*IF(circ_int,0,eq_c2/2)),IF(circ_int,0,eq_c1/2)+(s_0+9*s_r+IF(circ_int,eq_c1/2,0)),IF(((40+0.5)*(4*IF(circ_int,0,eq_c1/2)+4*IF(circ_int,0,eq_c2/2)+2*PI()*(s_0+9*s_r+IF(circ_int,eq_c1/2,0)))/INDEX(lk_legs,10))&lt;((2*IF(circ_int,0,eq_c2/2))+(PI()*(s_0+9*s_r+IF(circ_int,eq_c1/2,0))/2)),IF(circ_int,0,eq_c1/2)+(s_0+9*s_r+IF(circ_int,eq_c1/2,0))*COS((((40+0.5)*(4*IF(circ_int,0,eq_c1/2)+4*IF(circ_int,0,eq_c2/2)+2*PI()*(s_0+9*s_r+IF(circ_int,eq_c1/2,0)))/INDEX(lk_legs,10))-(2*IF(circ_int,0,eq_c2/2)))/(s_0+9*s_r+IF(circ_int,eq_c1/2,0))),IF(((40+0.5)*(4*IF(circ_int,0,eq_c1/2)+4*IF(circ_int,0,eq_c2/2)+2*PI()*(s_0+9*s_r+IF(circ_int,eq_c1/2,0)))/INDEX(lk_legs,10))&lt;(((2*IF(circ_int,0,eq_c2/2))+(PI()*(s_0+9*s_r+IF(circ_int,eq_c1/2,0))/2))+2*IF(circ_int,0,eq_c1/2)),IF(circ_int,0,eq_c1/2)-(((40+0.5)*(4*IF(circ_int,0,eq_c1/2)+4*IF(circ_int,0,eq_c2/2)+2*PI()*(s_0+9*s_r+IF(circ_int,eq_c1/2,0)))/INDEX(lk_legs,10))-((2*IF(circ_int,0,eq_c2/2))+(PI()*(s_0+9*s_r+IF(circ_int,eq_c1/2,0))/2))),IF(((40+0.5)*(4*IF(circ_int,0,eq_c1/2)+4*IF(circ_int,0,eq_c2/2)+2*PI()*(s_0+9*s_r+IF(circ_int,eq_c1/2,0)))/INDEX(lk_legs,10))&lt;((((2*IF(circ_int,0,eq_c2/2))+(PI()*(s_0+9*s_r+IF(circ_int,eq_c1/2,0))/2))+2*IF(circ_int,0,eq_c1/2))+(PI()*(s_0+9*s_r+IF(circ_int,eq_c1/2,0))/2)),-IF(circ_int,0,eq_c1/2)+(s_0+9*s_r+IF(circ_int,eq_c1/2,0))*COS(PI()/2+(((40+0.5)*(4*IF(circ_int,0,eq_c1/2)+4*IF(circ_int,0,eq_c2/2)+2*PI()*(s_0+9*s_r+IF(circ_int,eq_c1/2,0)))/INDEX(lk_legs,10))-(((2*IF(circ_int,0,eq_c2/2))+(PI()*(s_0+9*s_r+IF(circ_int,eq_c1/2,0))/2))+2*IF(circ_int,0,eq_c1/2)))/(s_0+9*s_r+IF(circ_int,eq_c1/2,0))),IF(((40+0.5)*(4*IF(circ_int,0,eq_c1/2)+4*IF(circ_int,0,eq_c2/2)+2*PI()*(s_0+9*s_r+IF(circ_int,eq_c1/2,0)))/INDEX(lk_legs,10))&lt;(((((2*IF(circ_int,0,eq_c2/2))+(PI()*(s_0+9*s_r+IF(circ_int,eq_c1/2,0))/2))+2*IF(circ_int,0,eq_c1/2))+(PI()*(s_0+9*s_r+IF(circ_int,eq_c1/2,0))/2))+2*IF(circ_int,0,eq_c2/2)),-IF(circ_int,0,eq_c1/2)-(s_0+9*s_r+IF(circ_int,eq_c1/2,0)),IF(((40+0.5)*(4*IF(circ_int,0,eq_c1/2)+4*IF(circ_int,0,eq_c2/2)+2*PI()*(s_0+9*s_r+IF(circ_int,eq_c1/2,0)))/INDEX(lk_legs,10))&lt;((((((2*IF(circ_int,0,eq_c2/2))+(PI()*(s_0+9*s_r+IF(circ_int,eq_c1/2,0))/2))+2*IF(circ_int,0,eq_c1/2))+(PI()*(s_0+9*s_r+IF(circ_int,eq_c1/2,0))/2))+2*IF(circ_int,0,eq_c2/2))+(PI()*(s_0+9*s_r+IF(circ_int,eq_c1/2,0))/2)),-IF(circ_int,0,eq_c1/2)+(s_0+9*s_r+IF(circ_int,eq_c1/2,0))*COS(PI()+(((40+0.5)*(4*IF(circ_int,0,eq_c1/2)+4*IF(circ_int,0,eq_c2/2)+2*PI()*(s_0+9*s_r+IF(circ_int,eq_c1/2,0)))/INDEX(lk_legs,10))-(((((2*IF(circ_int,0,eq_c2/2))+(PI()*(s_0+9*s_r+IF(circ_int,eq_c1/2,0))/2))+2*IF(circ_int,0,eq_c1/2))+(PI()*(s_0+9*s_r+IF(circ_int,eq_c1/2,0))/2))+2*IF(circ_int,0,eq_c2/2)))/(s_0+9*s_r+IF(circ_int,eq_c1/2,0))),IF(((40+0.5)*(4*IF(circ_int,0,eq_c1/2)+4*IF(circ_int,0,eq_c2/2)+2*PI()*(s_0+9*s_r+IF(circ_int,eq_c1/2,0)))/INDEX(lk_legs,10))&lt;(((((((2*IF(circ_int,0,eq_c2/2))+(PI()*(s_0+9*s_r+IF(circ_int,eq_c1/2,0))/2))+2*IF(circ_int,0,eq_c1/2))+(PI()*(s_0+9*s_r+IF(circ_int,eq_c1/2,0))/2))+2*IF(circ_int,0,eq_c2/2))+(PI()*(s_0+9*s_r+IF(circ_int,eq_c1/2,0))/2))+2*IF(circ_int,0,eq_c1/2)),-IF(circ_int,0,eq_c1/2)+(((40+0.5)*(4*IF(circ_int,0,eq_c1/2)+4*IF(circ_int,0,eq_c2/2)+2*PI()*(s_0+9*s_r+IF(circ_int,eq_c1/2,0)))/INDEX(lk_legs,10))-((((((2*IF(circ_int,0,eq_c2/2))+(PI()*(s_0+9*s_r+IF(circ_int,eq_c1/2,0))/2))+2*IF(circ_int,0,eq_c1/2))+(PI()*(s_0+9*s_r+IF(circ_int,eq_c1/2,0))/2))+2*IF(circ_int,0,eq_c2/2))+(PI()*(s_0+9*s_r+IF(circ_int,eq_c1/2,0))/2))),IF(circ_int,0,eq_c1/2)+(s_0+9*s_r+IF(circ_int,eq_c1/2,0))*COS(3*PI()/2+(((40+0.5)*(4*IF(circ_int,0,eq_c1/2)+4*IF(circ_int,0,eq_c2/2)+2*PI()*(s_0+9*s_r+IF(circ_int,eq_c1/2,0)))/INDEX(lk_legs,10))-(((((((2*IF(circ_int,0,eq_c2/2))+(PI()*(s_0+9*s_r+IF(circ_int,eq_c1/2,0))/2))+2*IF(circ_int,0,eq_c1/2))+(PI()*(s_0+9*s_r+IF(circ_int,eq_c1/2,0))/2))+2*IF(circ_int,0,eq_c2/2))+(PI()*(s_0+9*s_r+IF(circ_int,eq_c1/2,0))/2))+2*IF(circ_int,0,eq_c1/2)))/(s_0+9*s_r+IF(circ_int,eq_c1/2,0)))))))))),NA())</f>
        <v/>
      </c>
      <c r="DC43">
        <f>IF(AND(AND(links_on,10&lt;=n_per),INDEX(lk_kind,10)=1,40&lt;INDEX(lk_legs,10)),g_oy+IF(((40+0.5)*(4*IF(circ_int,0,eq_c1/2)+4*IF(circ_int,0,eq_c2/2)+2*PI()*(s_0+9*s_r+IF(circ_int,eq_c1/2,0)))/INDEX(lk_legs,10))&lt;(2*IF(circ_int,0,eq_c2/2)),-IF(circ_int,0,eq_c2/2)+((40+0.5)*(4*IF(circ_int,0,eq_c1/2)+4*IF(circ_int,0,eq_c2/2)+2*PI()*(s_0+9*s_r+IF(circ_int,eq_c1/2,0)))/INDEX(lk_legs,10)),IF(((40+0.5)*(4*IF(circ_int,0,eq_c1/2)+4*IF(circ_int,0,eq_c2/2)+2*PI()*(s_0+9*s_r+IF(circ_int,eq_c1/2,0)))/INDEX(lk_legs,10))&lt;((2*IF(circ_int,0,eq_c2/2))+(PI()*(s_0+9*s_r+IF(circ_int,eq_c1/2,0))/2)),IF(circ_int,0,eq_c2/2)+(s_0+9*s_r+IF(circ_int,eq_c1/2,0))*SIN((((40+0.5)*(4*IF(circ_int,0,eq_c1/2)+4*IF(circ_int,0,eq_c2/2)+2*PI()*(s_0+9*s_r+IF(circ_int,eq_c1/2,0)))/INDEX(lk_legs,10))-(2*IF(circ_int,0,eq_c2/2)))/(s_0+9*s_r+IF(circ_int,eq_c1/2,0))),IF(((40+0.5)*(4*IF(circ_int,0,eq_c1/2)+4*IF(circ_int,0,eq_c2/2)+2*PI()*(s_0+9*s_r+IF(circ_int,eq_c1/2,0)))/INDEX(lk_legs,10))&lt;(((2*IF(circ_int,0,eq_c2/2))+(PI()*(s_0+9*s_r+IF(circ_int,eq_c1/2,0))/2))+2*IF(circ_int,0,eq_c1/2)),IF(circ_int,0,eq_c2/2)+(s_0+9*s_r+IF(circ_int,eq_c1/2,0)),IF(((40+0.5)*(4*IF(circ_int,0,eq_c1/2)+4*IF(circ_int,0,eq_c2/2)+2*PI()*(s_0+9*s_r+IF(circ_int,eq_c1/2,0)))/INDEX(lk_legs,10))&lt;((((2*IF(circ_int,0,eq_c2/2))+(PI()*(s_0+9*s_r+IF(circ_int,eq_c1/2,0))/2))+2*IF(circ_int,0,eq_c1/2))+(PI()*(s_0+9*s_r+IF(circ_int,eq_c1/2,0))/2)),IF(circ_int,0,eq_c2/2)+(s_0+9*s_r+IF(circ_int,eq_c1/2,0))*SIN(PI()/2+(((40+0.5)*(4*IF(circ_int,0,eq_c1/2)+4*IF(circ_int,0,eq_c2/2)+2*PI()*(s_0+9*s_r+IF(circ_int,eq_c1/2,0)))/INDEX(lk_legs,10))-(((2*IF(circ_int,0,eq_c2/2))+(PI()*(s_0+9*s_r+IF(circ_int,eq_c1/2,0))/2))+2*IF(circ_int,0,eq_c1/2)))/(s_0+9*s_r+IF(circ_int,eq_c1/2,0))),IF(((40+0.5)*(4*IF(circ_int,0,eq_c1/2)+4*IF(circ_int,0,eq_c2/2)+2*PI()*(s_0+9*s_r+IF(circ_int,eq_c1/2,0)))/INDEX(lk_legs,10))&lt;(((((2*IF(circ_int,0,eq_c2/2))+(PI()*(s_0+9*s_r+IF(circ_int,eq_c1/2,0))/2))+2*IF(circ_int,0,eq_c1/2))+(PI()*(s_0+9*s_r+IF(circ_int,eq_c1/2,0))/2))+2*IF(circ_int,0,eq_c2/2)),IF(circ_int,0,eq_c2/2)-(((40+0.5)*(4*IF(circ_int,0,eq_c1/2)+4*IF(circ_int,0,eq_c2/2)+2*PI()*(s_0+9*s_r+IF(circ_int,eq_c1/2,0)))/INDEX(lk_legs,10))-((((2*IF(circ_int,0,eq_c2/2))+(PI()*(s_0+9*s_r+IF(circ_int,eq_c1/2,0))/2))+2*IF(circ_int,0,eq_c1/2))+(PI()*(s_0+9*s_r+IF(circ_int,eq_c1/2,0))/2))),IF(((40+0.5)*(4*IF(circ_int,0,eq_c1/2)+4*IF(circ_int,0,eq_c2/2)+2*PI()*(s_0+9*s_r+IF(circ_int,eq_c1/2,0)))/INDEX(lk_legs,10))&lt;((((((2*IF(circ_int,0,eq_c2/2))+(PI()*(s_0+9*s_r+IF(circ_int,eq_c1/2,0))/2))+2*IF(circ_int,0,eq_c1/2))+(PI()*(s_0+9*s_r+IF(circ_int,eq_c1/2,0))/2))+2*IF(circ_int,0,eq_c2/2))+(PI()*(s_0+9*s_r+IF(circ_int,eq_c1/2,0))/2)),-IF(circ_int,0,eq_c2/2)+(s_0+9*s_r+IF(circ_int,eq_c1/2,0))*SIN(PI()+(((40+0.5)*(4*IF(circ_int,0,eq_c1/2)+4*IF(circ_int,0,eq_c2/2)+2*PI()*(s_0+9*s_r+IF(circ_int,eq_c1/2,0)))/INDEX(lk_legs,10))-(((((2*IF(circ_int,0,eq_c2/2))+(PI()*(s_0+9*s_r+IF(circ_int,eq_c1/2,0))/2))+2*IF(circ_int,0,eq_c1/2))+(PI()*(s_0+9*s_r+IF(circ_int,eq_c1/2,0))/2))+2*IF(circ_int,0,eq_c2/2)))/(s_0+9*s_r+IF(circ_int,eq_c1/2,0))),IF(((40+0.5)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(40+0.5)*(4*IF(circ_int,0,eq_c1/2)+4*IF(circ_int,0,eq_c2/2)+2*PI()*(s_0+9*s_r+IF(circ_int,eq_c1/2,0)))/INDEX(lk_legs,10))-(((((((2*IF(circ_int,0,eq_c2/2))+(PI()*(s_0+9*s_r+IF(circ_int,eq_c1/2,0))/2))+2*IF(circ_int,0,eq_c1/2))+(PI()*(s_0+9*s_r+IF(circ_int,eq_c1/2,0))/2))+2*IF(circ_int,0,eq_c2/2))+(PI()*(s_0+9*s_r+IF(circ_int,eq_c1/2,0))/2))+2*IF(circ_int,0,eq_c1/2)))/(s_0+9*s_r+IF(circ_int,eq_c1/2,0)))))))))),NA())</f>
        <v/>
      </c>
      <c r="DE43">
        <f>IF(AND(links_on,11&lt;=n_per),IF(circ_int,(g_ox)+(c_1/2+(s_0+10*s_r))*0.120537,CHOOSE(INDEX(lk_kind,11),(g_ox+eq_c1/2)+((s_0+10*s_r))*0.130526,0,eq_a1+eq_c1+(s_0+10*s_r),eq_a1+eq_c1+(s_0+10*s_r))),NA())</f>
        <v/>
      </c>
      <c r="DF43">
        <f>IF(AND(links_on,11&lt;=n_per),IF(circ_int,(g_oy)+(c_1/2+(s_0+10*s_r))*-0.992709,CHOOSE(INDEX(lk_kind,11),(g_oy-eq_c2/2)+((s_0+10*s_r))*-0.991445,g_oy-eq_c2/2-(s_0+10*s_r),0,0)),NA())</f>
        <v/>
      </c>
      <c r="DH43">
        <f>IF(AND(AND(links_on,11&lt;=n_per),INDEX(lk_kind,11)=1,40&lt;INDEX(lk_legs,11)),g_ox+IF(((40+0.5)*(4*IF(circ_int,0,eq_c1/2)+4*IF(circ_int,0,eq_c2/2)+2*PI()*(s_0+10*s_r+IF(circ_int,eq_c1/2,0)))/INDEX(lk_legs,11))&lt;(2*IF(circ_int,0,eq_c2/2)),IF(circ_int,0,eq_c1/2)+(s_0+10*s_r+IF(circ_int,eq_c1/2,0)),IF(((40+0.5)*(4*IF(circ_int,0,eq_c1/2)+4*IF(circ_int,0,eq_c2/2)+2*PI()*(s_0+10*s_r+IF(circ_int,eq_c1/2,0)))/INDEX(lk_legs,11))&lt;((2*IF(circ_int,0,eq_c2/2))+(PI()*(s_0+10*s_r+IF(circ_int,eq_c1/2,0))/2)),IF(circ_int,0,eq_c1/2)+(s_0+10*s_r+IF(circ_int,eq_c1/2,0))*COS((((40+0.5)*(4*IF(circ_int,0,eq_c1/2)+4*IF(circ_int,0,eq_c2/2)+2*PI()*(s_0+10*s_r+IF(circ_int,eq_c1/2,0)))/INDEX(lk_legs,11))-(2*IF(circ_int,0,eq_c2/2)))/(s_0+10*s_r+IF(circ_int,eq_c1/2,0))),IF(((40+0.5)*(4*IF(circ_int,0,eq_c1/2)+4*IF(circ_int,0,eq_c2/2)+2*PI()*(s_0+10*s_r+IF(circ_int,eq_c1/2,0)))/INDEX(lk_legs,11))&lt;(((2*IF(circ_int,0,eq_c2/2))+(PI()*(s_0+10*s_r+IF(circ_int,eq_c1/2,0))/2))+2*IF(circ_int,0,eq_c1/2)),IF(circ_int,0,eq_c1/2)-(((40+0.5)*(4*IF(circ_int,0,eq_c1/2)+4*IF(circ_int,0,eq_c2/2)+2*PI()*(s_0+10*s_r+IF(circ_int,eq_c1/2,0)))/INDEX(lk_legs,11))-((2*IF(circ_int,0,eq_c2/2))+(PI()*(s_0+10*s_r+IF(circ_int,eq_c1/2,0))/2))),IF(((40+0.5)*(4*IF(circ_int,0,eq_c1/2)+4*IF(circ_int,0,eq_c2/2)+2*PI()*(s_0+10*s_r+IF(circ_int,eq_c1/2,0)))/INDEX(lk_legs,11))&lt;((((2*IF(circ_int,0,eq_c2/2))+(PI()*(s_0+10*s_r+IF(circ_int,eq_c1/2,0))/2))+2*IF(circ_int,0,eq_c1/2))+(PI()*(s_0+10*s_r+IF(circ_int,eq_c1/2,0))/2)),-IF(circ_int,0,eq_c1/2)+(s_0+10*s_r+IF(circ_int,eq_c1/2,0))*COS(PI()/2+(((40+0.5)*(4*IF(circ_int,0,eq_c1/2)+4*IF(circ_int,0,eq_c2/2)+2*PI()*(s_0+10*s_r+IF(circ_int,eq_c1/2,0)))/INDEX(lk_legs,11))-(((2*IF(circ_int,0,eq_c2/2))+(PI()*(s_0+10*s_r+IF(circ_int,eq_c1/2,0))/2))+2*IF(circ_int,0,eq_c1/2)))/(s_0+10*s_r+IF(circ_int,eq_c1/2,0))),IF(((40+0.5)*(4*IF(circ_int,0,eq_c1/2)+4*IF(circ_int,0,eq_c2/2)+2*PI()*(s_0+10*s_r+IF(circ_int,eq_c1/2,0)))/INDEX(lk_legs,11))&lt;(((((2*IF(circ_int,0,eq_c2/2))+(PI()*(s_0+10*s_r+IF(circ_int,eq_c1/2,0))/2))+2*IF(circ_int,0,eq_c1/2))+(PI()*(s_0+10*s_r+IF(circ_int,eq_c1/2,0))/2))+2*IF(circ_int,0,eq_c2/2)),-IF(circ_int,0,eq_c1/2)-(s_0+10*s_r+IF(circ_int,eq_c1/2,0)),IF(((40+0.5)*(4*IF(circ_int,0,eq_c1/2)+4*IF(circ_int,0,eq_c2/2)+2*PI()*(s_0+10*s_r+IF(circ_int,eq_c1/2,0)))/INDEX(lk_legs,11))&lt;((((((2*IF(circ_int,0,eq_c2/2))+(PI()*(s_0+10*s_r+IF(circ_int,eq_c1/2,0))/2))+2*IF(circ_int,0,eq_c1/2))+(PI()*(s_0+10*s_r+IF(circ_int,eq_c1/2,0))/2))+2*IF(circ_int,0,eq_c2/2))+(PI()*(s_0+10*s_r+IF(circ_int,eq_c1/2,0))/2)),-IF(circ_int,0,eq_c1/2)+(s_0+10*s_r+IF(circ_int,eq_c1/2,0))*COS(PI()+(((40+0.5)*(4*IF(circ_int,0,eq_c1/2)+4*IF(circ_int,0,eq_c2/2)+2*PI()*(s_0+10*s_r+IF(circ_int,eq_c1/2,0)))/INDEX(lk_legs,11))-(((((2*IF(circ_int,0,eq_c2/2))+(PI()*(s_0+10*s_r+IF(circ_int,eq_c1/2,0))/2))+2*IF(circ_int,0,eq_c1/2))+(PI()*(s_0+10*s_r+IF(circ_int,eq_c1/2,0))/2))+2*IF(circ_int,0,eq_c2/2)))/(s_0+10*s_r+IF(circ_int,eq_c1/2,0))),IF(((40+0.5)*(4*IF(circ_int,0,eq_c1/2)+4*IF(circ_int,0,eq_c2/2)+2*PI()*(s_0+10*s_r+IF(circ_int,eq_c1/2,0)))/INDEX(lk_legs,11))&lt;(((((((2*IF(circ_int,0,eq_c2/2))+(PI()*(s_0+10*s_r+IF(circ_int,eq_c1/2,0))/2))+2*IF(circ_int,0,eq_c1/2))+(PI()*(s_0+10*s_r+IF(circ_int,eq_c1/2,0))/2))+2*IF(circ_int,0,eq_c2/2))+(PI()*(s_0+10*s_r+IF(circ_int,eq_c1/2,0))/2))+2*IF(circ_int,0,eq_c1/2)),-IF(circ_int,0,eq_c1/2)+(((40+0.5)*(4*IF(circ_int,0,eq_c1/2)+4*IF(circ_int,0,eq_c2/2)+2*PI()*(s_0+10*s_r+IF(circ_int,eq_c1/2,0)))/INDEX(lk_legs,11))-((((((2*IF(circ_int,0,eq_c2/2))+(PI()*(s_0+10*s_r+IF(circ_int,eq_c1/2,0))/2))+2*IF(circ_int,0,eq_c1/2))+(PI()*(s_0+10*s_r+IF(circ_int,eq_c1/2,0))/2))+2*IF(circ_int,0,eq_c2/2))+(PI()*(s_0+10*s_r+IF(circ_int,eq_c1/2,0))/2))),IF(circ_int,0,eq_c1/2)+(s_0+10*s_r+IF(circ_int,eq_c1/2,0))*COS(3*PI()/2+(((40+0.5)*(4*IF(circ_int,0,eq_c1/2)+4*IF(circ_int,0,eq_c2/2)+2*PI()*(s_0+10*s_r+IF(circ_int,eq_c1/2,0)))/INDEX(lk_legs,11))-(((((((2*IF(circ_int,0,eq_c2/2))+(PI()*(s_0+10*s_r+IF(circ_int,eq_c1/2,0))/2))+2*IF(circ_int,0,eq_c1/2))+(PI()*(s_0+10*s_r+IF(circ_int,eq_c1/2,0))/2))+2*IF(circ_int,0,eq_c2/2))+(PI()*(s_0+10*s_r+IF(circ_int,eq_c1/2,0))/2))+2*IF(circ_int,0,eq_c1/2)))/(s_0+10*s_r+IF(circ_int,eq_c1/2,0)))))))))),NA())</f>
        <v/>
      </c>
      <c r="DI43">
        <f>IF(AND(AND(links_on,11&lt;=n_per),INDEX(lk_kind,11)=1,40&lt;INDEX(lk_legs,11)),g_oy+IF(((40+0.5)*(4*IF(circ_int,0,eq_c1/2)+4*IF(circ_int,0,eq_c2/2)+2*PI()*(s_0+10*s_r+IF(circ_int,eq_c1/2,0)))/INDEX(lk_legs,11))&lt;(2*IF(circ_int,0,eq_c2/2)),-IF(circ_int,0,eq_c2/2)+((40+0.5)*(4*IF(circ_int,0,eq_c1/2)+4*IF(circ_int,0,eq_c2/2)+2*PI()*(s_0+10*s_r+IF(circ_int,eq_c1/2,0)))/INDEX(lk_legs,11)),IF(((40+0.5)*(4*IF(circ_int,0,eq_c1/2)+4*IF(circ_int,0,eq_c2/2)+2*PI()*(s_0+10*s_r+IF(circ_int,eq_c1/2,0)))/INDEX(lk_legs,11))&lt;((2*IF(circ_int,0,eq_c2/2))+(PI()*(s_0+10*s_r+IF(circ_int,eq_c1/2,0))/2)),IF(circ_int,0,eq_c2/2)+(s_0+10*s_r+IF(circ_int,eq_c1/2,0))*SIN((((40+0.5)*(4*IF(circ_int,0,eq_c1/2)+4*IF(circ_int,0,eq_c2/2)+2*PI()*(s_0+10*s_r+IF(circ_int,eq_c1/2,0)))/INDEX(lk_legs,11))-(2*IF(circ_int,0,eq_c2/2)))/(s_0+10*s_r+IF(circ_int,eq_c1/2,0))),IF(((40+0.5)*(4*IF(circ_int,0,eq_c1/2)+4*IF(circ_int,0,eq_c2/2)+2*PI()*(s_0+10*s_r+IF(circ_int,eq_c1/2,0)))/INDEX(lk_legs,11))&lt;(((2*IF(circ_int,0,eq_c2/2))+(PI()*(s_0+10*s_r+IF(circ_int,eq_c1/2,0))/2))+2*IF(circ_int,0,eq_c1/2)),IF(circ_int,0,eq_c2/2)+(s_0+10*s_r+IF(circ_int,eq_c1/2,0)),IF(((40+0.5)*(4*IF(circ_int,0,eq_c1/2)+4*IF(circ_int,0,eq_c2/2)+2*PI()*(s_0+10*s_r+IF(circ_int,eq_c1/2,0)))/INDEX(lk_legs,11))&lt;((((2*IF(circ_int,0,eq_c2/2))+(PI()*(s_0+10*s_r+IF(circ_int,eq_c1/2,0))/2))+2*IF(circ_int,0,eq_c1/2))+(PI()*(s_0+10*s_r+IF(circ_int,eq_c1/2,0))/2)),IF(circ_int,0,eq_c2/2)+(s_0+10*s_r+IF(circ_int,eq_c1/2,0))*SIN(PI()/2+(((40+0.5)*(4*IF(circ_int,0,eq_c1/2)+4*IF(circ_int,0,eq_c2/2)+2*PI()*(s_0+10*s_r+IF(circ_int,eq_c1/2,0)))/INDEX(lk_legs,11))-(((2*IF(circ_int,0,eq_c2/2))+(PI()*(s_0+10*s_r+IF(circ_int,eq_c1/2,0))/2))+2*IF(circ_int,0,eq_c1/2)))/(s_0+10*s_r+IF(circ_int,eq_c1/2,0))),IF(((40+0.5)*(4*IF(circ_int,0,eq_c1/2)+4*IF(circ_int,0,eq_c2/2)+2*PI()*(s_0+10*s_r+IF(circ_int,eq_c1/2,0)))/INDEX(lk_legs,11))&lt;(((((2*IF(circ_int,0,eq_c2/2))+(PI()*(s_0+10*s_r+IF(circ_int,eq_c1/2,0))/2))+2*IF(circ_int,0,eq_c1/2))+(PI()*(s_0+10*s_r+IF(circ_int,eq_c1/2,0))/2))+2*IF(circ_int,0,eq_c2/2)),IF(circ_int,0,eq_c2/2)-(((40+0.5)*(4*IF(circ_int,0,eq_c1/2)+4*IF(circ_int,0,eq_c2/2)+2*PI()*(s_0+10*s_r+IF(circ_int,eq_c1/2,0)))/INDEX(lk_legs,11))-((((2*IF(circ_int,0,eq_c2/2))+(PI()*(s_0+10*s_r+IF(circ_int,eq_c1/2,0))/2))+2*IF(circ_int,0,eq_c1/2))+(PI()*(s_0+10*s_r+IF(circ_int,eq_c1/2,0))/2))),IF(((40+0.5)*(4*IF(circ_int,0,eq_c1/2)+4*IF(circ_int,0,eq_c2/2)+2*PI()*(s_0+10*s_r+IF(circ_int,eq_c1/2,0)))/INDEX(lk_legs,11))&lt;((((((2*IF(circ_int,0,eq_c2/2))+(PI()*(s_0+10*s_r+IF(circ_int,eq_c1/2,0))/2))+2*IF(circ_int,0,eq_c1/2))+(PI()*(s_0+10*s_r+IF(circ_int,eq_c1/2,0))/2))+2*IF(circ_int,0,eq_c2/2))+(PI()*(s_0+10*s_r+IF(circ_int,eq_c1/2,0))/2)),-IF(circ_int,0,eq_c2/2)+(s_0+10*s_r+IF(circ_int,eq_c1/2,0))*SIN(PI()+(((40+0.5)*(4*IF(circ_int,0,eq_c1/2)+4*IF(circ_int,0,eq_c2/2)+2*PI()*(s_0+10*s_r+IF(circ_int,eq_c1/2,0)))/INDEX(lk_legs,11))-(((((2*IF(circ_int,0,eq_c2/2))+(PI()*(s_0+10*s_r+IF(circ_int,eq_c1/2,0))/2))+2*IF(circ_int,0,eq_c1/2))+(PI()*(s_0+10*s_r+IF(circ_int,eq_c1/2,0))/2))+2*IF(circ_int,0,eq_c2/2)))/(s_0+10*s_r+IF(circ_int,eq_c1/2,0))),IF(((40+0.5)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(40+0.5)*(4*IF(circ_int,0,eq_c1/2)+4*IF(circ_int,0,eq_c2/2)+2*PI()*(s_0+10*s_r+IF(circ_int,eq_c1/2,0)))/INDEX(lk_legs,11))-(((((((2*IF(circ_int,0,eq_c2/2))+(PI()*(s_0+10*s_r+IF(circ_int,eq_c1/2,0))/2))+2*IF(circ_int,0,eq_c1/2))+(PI()*(s_0+10*s_r+IF(circ_int,eq_c1/2,0))/2))+2*IF(circ_int,0,eq_c2/2))+(PI()*(s_0+10*s_r+IF(circ_int,eq_c1/2,0))/2))+2*IF(circ_int,0,eq_c1/2)))/(s_0+10*s_r+IF(circ_int,eq_c1/2,0)))))))))),NA())</f>
        <v/>
      </c>
      <c r="DK43">
        <f>IF(AND(links_on,12&lt;=n_per),IF(circ_int,(g_ox)+(c_1/2+(s_0+11*s_r))*0.120537,CHOOSE(INDEX(lk_kind,12),(g_ox+eq_c1/2)+((s_0+11*s_r))*0.130526,0,eq_a1+eq_c1+(s_0+11*s_r),eq_a1+eq_c1+(s_0+11*s_r))),NA())</f>
        <v/>
      </c>
      <c r="DL43">
        <f>IF(AND(links_on,12&lt;=n_per),IF(circ_int,(g_oy)+(c_1/2+(s_0+11*s_r))*-0.992709,CHOOSE(INDEX(lk_kind,12),(g_oy-eq_c2/2)+((s_0+11*s_r))*-0.991445,g_oy-eq_c2/2-(s_0+11*s_r),0,0)),NA())</f>
        <v/>
      </c>
      <c r="DN43">
        <f>IF(AND(AND(links_on,12&lt;=n_per),INDEX(lk_kind,12)=1,40&lt;INDEX(lk_legs,12)),g_ox+IF(((40+0.5)*(4*IF(circ_int,0,eq_c1/2)+4*IF(circ_int,0,eq_c2/2)+2*PI()*(s_0+11*s_r+IF(circ_int,eq_c1/2,0)))/INDEX(lk_legs,12))&lt;(2*IF(circ_int,0,eq_c2/2)),IF(circ_int,0,eq_c1/2)+(s_0+11*s_r+IF(circ_int,eq_c1/2,0)),IF(((40+0.5)*(4*IF(circ_int,0,eq_c1/2)+4*IF(circ_int,0,eq_c2/2)+2*PI()*(s_0+11*s_r+IF(circ_int,eq_c1/2,0)))/INDEX(lk_legs,12))&lt;((2*IF(circ_int,0,eq_c2/2))+(PI()*(s_0+11*s_r+IF(circ_int,eq_c1/2,0))/2)),IF(circ_int,0,eq_c1/2)+(s_0+11*s_r+IF(circ_int,eq_c1/2,0))*COS((((40+0.5)*(4*IF(circ_int,0,eq_c1/2)+4*IF(circ_int,0,eq_c2/2)+2*PI()*(s_0+11*s_r+IF(circ_int,eq_c1/2,0)))/INDEX(lk_legs,12))-(2*IF(circ_int,0,eq_c2/2)))/(s_0+11*s_r+IF(circ_int,eq_c1/2,0))),IF(((40+0.5)*(4*IF(circ_int,0,eq_c1/2)+4*IF(circ_int,0,eq_c2/2)+2*PI()*(s_0+11*s_r+IF(circ_int,eq_c1/2,0)))/INDEX(lk_legs,12))&lt;(((2*IF(circ_int,0,eq_c2/2))+(PI()*(s_0+11*s_r+IF(circ_int,eq_c1/2,0))/2))+2*IF(circ_int,0,eq_c1/2)),IF(circ_int,0,eq_c1/2)-(((40+0.5)*(4*IF(circ_int,0,eq_c1/2)+4*IF(circ_int,0,eq_c2/2)+2*PI()*(s_0+11*s_r+IF(circ_int,eq_c1/2,0)))/INDEX(lk_legs,12))-((2*IF(circ_int,0,eq_c2/2))+(PI()*(s_0+11*s_r+IF(circ_int,eq_c1/2,0))/2))),IF(((40+0.5)*(4*IF(circ_int,0,eq_c1/2)+4*IF(circ_int,0,eq_c2/2)+2*PI()*(s_0+11*s_r+IF(circ_int,eq_c1/2,0)))/INDEX(lk_legs,12))&lt;((((2*IF(circ_int,0,eq_c2/2))+(PI()*(s_0+11*s_r+IF(circ_int,eq_c1/2,0))/2))+2*IF(circ_int,0,eq_c1/2))+(PI()*(s_0+11*s_r+IF(circ_int,eq_c1/2,0))/2)),-IF(circ_int,0,eq_c1/2)+(s_0+11*s_r+IF(circ_int,eq_c1/2,0))*COS(PI()/2+(((40+0.5)*(4*IF(circ_int,0,eq_c1/2)+4*IF(circ_int,0,eq_c2/2)+2*PI()*(s_0+11*s_r+IF(circ_int,eq_c1/2,0)))/INDEX(lk_legs,12))-(((2*IF(circ_int,0,eq_c2/2))+(PI()*(s_0+11*s_r+IF(circ_int,eq_c1/2,0))/2))+2*IF(circ_int,0,eq_c1/2)))/(s_0+11*s_r+IF(circ_int,eq_c1/2,0))),IF(((40+0.5)*(4*IF(circ_int,0,eq_c1/2)+4*IF(circ_int,0,eq_c2/2)+2*PI()*(s_0+11*s_r+IF(circ_int,eq_c1/2,0)))/INDEX(lk_legs,12))&lt;(((((2*IF(circ_int,0,eq_c2/2))+(PI()*(s_0+11*s_r+IF(circ_int,eq_c1/2,0))/2))+2*IF(circ_int,0,eq_c1/2))+(PI()*(s_0+11*s_r+IF(circ_int,eq_c1/2,0))/2))+2*IF(circ_int,0,eq_c2/2)),-IF(circ_int,0,eq_c1/2)-(s_0+11*s_r+IF(circ_int,eq_c1/2,0)),IF(((40+0.5)*(4*IF(circ_int,0,eq_c1/2)+4*IF(circ_int,0,eq_c2/2)+2*PI()*(s_0+11*s_r+IF(circ_int,eq_c1/2,0)))/INDEX(lk_legs,12))&lt;((((((2*IF(circ_int,0,eq_c2/2))+(PI()*(s_0+11*s_r+IF(circ_int,eq_c1/2,0))/2))+2*IF(circ_int,0,eq_c1/2))+(PI()*(s_0+11*s_r+IF(circ_int,eq_c1/2,0))/2))+2*IF(circ_int,0,eq_c2/2))+(PI()*(s_0+11*s_r+IF(circ_int,eq_c1/2,0))/2)),-IF(circ_int,0,eq_c1/2)+(s_0+11*s_r+IF(circ_int,eq_c1/2,0))*COS(PI()+(((40+0.5)*(4*IF(circ_int,0,eq_c1/2)+4*IF(circ_int,0,eq_c2/2)+2*PI()*(s_0+11*s_r+IF(circ_int,eq_c1/2,0)))/INDEX(lk_legs,12))-(((((2*IF(circ_int,0,eq_c2/2))+(PI()*(s_0+11*s_r+IF(circ_int,eq_c1/2,0))/2))+2*IF(circ_int,0,eq_c1/2))+(PI()*(s_0+11*s_r+IF(circ_int,eq_c1/2,0))/2))+2*IF(circ_int,0,eq_c2/2)))/(s_0+11*s_r+IF(circ_int,eq_c1/2,0))),IF(((40+0.5)*(4*IF(circ_int,0,eq_c1/2)+4*IF(circ_int,0,eq_c2/2)+2*PI()*(s_0+11*s_r+IF(circ_int,eq_c1/2,0)))/INDEX(lk_legs,12))&lt;(((((((2*IF(circ_int,0,eq_c2/2))+(PI()*(s_0+11*s_r+IF(circ_int,eq_c1/2,0))/2))+2*IF(circ_int,0,eq_c1/2))+(PI()*(s_0+11*s_r+IF(circ_int,eq_c1/2,0))/2))+2*IF(circ_int,0,eq_c2/2))+(PI()*(s_0+11*s_r+IF(circ_int,eq_c1/2,0))/2))+2*IF(circ_int,0,eq_c1/2)),-IF(circ_int,0,eq_c1/2)+(((40+0.5)*(4*IF(circ_int,0,eq_c1/2)+4*IF(circ_int,0,eq_c2/2)+2*PI()*(s_0+11*s_r+IF(circ_int,eq_c1/2,0)))/INDEX(lk_legs,12))-((((((2*IF(circ_int,0,eq_c2/2))+(PI()*(s_0+11*s_r+IF(circ_int,eq_c1/2,0))/2))+2*IF(circ_int,0,eq_c1/2))+(PI()*(s_0+11*s_r+IF(circ_int,eq_c1/2,0))/2))+2*IF(circ_int,0,eq_c2/2))+(PI()*(s_0+11*s_r+IF(circ_int,eq_c1/2,0))/2))),IF(circ_int,0,eq_c1/2)+(s_0+11*s_r+IF(circ_int,eq_c1/2,0))*COS(3*PI()/2+(((40+0.5)*(4*IF(circ_int,0,eq_c1/2)+4*IF(circ_int,0,eq_c2/2)+2*PI()*(s_0+11*s_r+IF(circ_int,eq_c1/2,0)))/INDEX(lk_legs,12))-(((((((2*IF(circ_int,0,eq_c2/2))+(PI()*(s_0+11*s_r+IF(circ_int,eq_c1/2,0))/2))+2*IF(circ_int,0,eq_c1/2))+(PI()*(s_0+11*s_r+IF(circ_int,eq_c1/2,0))/2))+2*IF(circ_int,0,eq_c2/2))+(PI()*(s_0+11*s_r+IF(circ_int,eq_c1/2,0))/2))+2*IF(circ_int,0,eq_c1/2)))/(s_0+11*s_r+IF(circ_int,eq_c1/2,0)))))))))),NA())</f>
        <v/>
      </c>
      <c r="DO43">
        <f>IF(AND(AND(links_on,12&lt;=n_per),INDEX(lk_kind,12)=1,40&lt;INDEX(lk_legs,12)),g_oy+IF(((40+0.5)*(4*IF(circ_int,0,eq_c1/2)+4*IF(circ_int,0,eq_c2/2)+2*PI()*(s_0+11*s_r+IF(circ_int,eq_c1/2,0)))/INDEX(lk_legs,12))&lt;(2*IF(circ_int,0,eq_c2/2)),-IF(circ_int,0,eq_c2/2)+((40+0.5)*(4*IF(circ_int,0,eq_c1/2)+4*IF(circ_int,0,eq_c2/2)+2*PI()*(s_0+11*s_r+IF(circ_int,eq_c1/2,0)))/INDEX(lk_legs,12)),IF(((40+0.5)*(4*IF(circ_int,0,eq_c1/2)+4*IF(circ_int,0,eq_c2/2)+2*PI()*(s_0+11*s_r+IF(circ_int,eq_c1/2,0)))/INDEX(lk_legs,12))&lt;((2*IF(circ_int,0,eq_c2/2))+(PI()*(s_0+11*s_r+IF(circ_int,eq_c1/2,0))/2)),IF(circ_int,0,eq_c2/2)+(s_0+11*s_r+IF(circ_int,eq_c1/2,0))*SIN((((40+0.5)*(4*IF(circ_int,0,eq_c1/2)+4*IF(circ_int,0,eq_c2/2)+2*PI()*(s_0+11*s_r+IF(circ_int,eq_c1/2,0)))/INDEX(lk_legs,12))-(2*IF(circ_int,0,eq_c2/2)))/(s_0+11*s_r+IF(circ_int,eq_c1/2,0))),IF(((40+0.5)*(4*IF(circ_int,0,eq_c1/2)+4*IF(circ_int,0,eq_c2/2)+2*PI()*(s_0+11*s_r+IF(circ_int,eq_c1/2,0)))/INDEX(lk_legs,12))&lt;(((2*IF(circ_int,0,eq_c2/2))+(PI()*(s_0+11*s_r+IF(circ_int,eq_c1/2,0))/2))+2*IF(circ_int,0,eq_c1/2)),IF(circ_int,0,eq_c2/2)+(s_0+11*s_r+IF(circ_int,eq_c1/2,0)),IF(((40+0.5)*(4*IF(circ_int,0,eq_c1/2)+4*IF(circ_int,0,eq_c2/2)+2*PI()*(s_0+11*s_r+IF(circ_int,eq_c1/2,0)))/INDEX(lk_legs,12))&lt;((((2*IF(circ_int,0,eq_c2/2))+(PI()*(s_0+11*s_r+IF(circ_int,eq_c1/2,0))/2))+2*IF(circ_int,0,eq_c1/2))+(PI()*(s_0+11*s_r+IF(circ_int,eq_c1/2,0))/2)),IF(circ_int,0,eq_c2/2)+(s_0+11*s_r+IF(circ_int,eq_c1/2,0))*SIN(PI()/2+(((40+0.5)*(4*IF(circ_int,0,eq_c1/2)+4*IF(circ_int,0,eq_c2/2)+2*PI()*(s_0+11*s_r+IF(circ_int,eq_c1/2,0)))/INDEX(lk_legs,12))-(((2*IF(circ_int,0,eq_c2/2))+(PI()*(s_0+11*s_r+IF(circ_int,eq_c1/2,0))/2))+2*IF(circ_int,0,eq_c1/2)))/(s_0+11*s_r+IF(circ_int,eq_c1/2,0))),IF(((40+0.5)*(4*IF(circ_int,0,eq_c1/2)+4*IF(circ_int,0,eq_c2/2)+2*PI()*(s_0+11*s_r+IF(circ_int,eq_c1/2,0)))/INDEX(lk_legs,12))&lt;(((((2*IF(circ_int,0,eq_c2/2))+(PI()*(s_0+11*s_r+IF(circ_int,eq_c1/2,0))/2))+2*IF(circ_int,0,eq_c1/2))+(PI()*(s_0+11*s_r+IF(circ_int,eq_c1/2,0))/2))+2*IF(circ_int,0,eq_c2/2)),IF(circ_int,0,eq_c2/2)-(((40+0.5)*(4*IF(circ_int,0,eq_c1/2)+4*IF(circ_int,0,eq_c2/2)+2*PI()*(s_0+11*s_r+IF(circ_int,eq_c1/2,0)))/INDEX(lk_legs,12))-((((2*IF(circ_int,0,eq_c2/2))+(PI()*(s_0+11*s_r+IF(circ_int,eq_c1/2,0))/2))+2*IF(circ_int,0,eq_c1/2))+(PI()*(s_0+11*s_r+IF(circ_int,eq_c1/2,0))/2))),IF(((40+0.5)*(4*IF(circ_int,0,eq_c1/2)+4*IF(circ_int,0,eq_c2/2)+2*PI()*(s_0+11*s_r+IF(circ_int,eq_c1/2,0)))/INDEX(lk_legs,12))&lt;((((((2*IF(circ_int,0,eq_c2/2))+(PI()*(s_0+11*s_r+IF(circ_int,eq_c1/2,0))/2))+2*IF(circ_int,0,eq_c1/2))+(PI()*(s_0+11*s_r+IF(circ_int,eq_c1/2,0))/2))+2*IF(circ_int,0,eq_c2/2))+(PI()*(s_0+11*s_r+IF(circ_int,eq_c1/2,0))/2)),-IF(circ_int,0,eq_c2/2)+(s_0+11*s_r+IF(circ_int,eq_c1/2,0))*SIN(PI()+(((40+0.5)*(4*IF(circ_int,0,eq_c1/2)+4*IF(circ_int,0,eq_c2/2)+2*PI()*(s_0+11*s_r+IF(circ_int,eq_c1/2,0)))/INDEX(lk_legs,12))-(((((2*IF(circ_int,0,eq_c2/2))+(PI()*(s_0+11*s_r+IF(circ_int,eq_c1/2,0))/2))+2*IF(circ_int,0,eq_c1/2))+(PI()*(s_0+11*s_r+IF(circ_int,eq_c1/2,0))/2))+2*IF(circ_int,0,eq_c2/2)))/(s_0+11*s_r+IF(circ_int,eq_c1/2,0))),IF(((40+0.5)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(40+0.5)*(4*IF(circ_int,0,eq_c1/2)+4*IF(circ_int,0,eq_c2/2)+2*PI()*(s_0+11*s_r+IF(circ_int,eq_c1/2,0)))/INDEX(lk_legs,12))-(((((((2*IF(circ_int,0,eq_c2/2))+(PI()*(s_0+11*s_r+IF(circ_int,eq_c1/2,0))/2))+2*IF(circ_int,0,eq_c1/2))+(PI()*(s_0+11*s_r+IF(circ_int,eq_c1/2,0))/2))+2*IF(circ_int,0,eq_c2/2))+(PI()*(s_0+11*s_r+IF(circ_int,eq_c1/2,0))/2))+2*IF(circ_int,0,eq_c1/2)))/(s_0+11*s_r+IF(circ_int,eq_c1/2,0)))))))))),NA())</f>
        <v/>
      </c>
    </row>
    <row r="44">
      <c r="A44">
        <f>IF(shape="Circular",(g_ox)+(c_1/2+0)*0.239316,CHOOSE(1,(g_ox+eq_c1/2)+(0)*0.258819,0,eq_a1+eq_c1+0,eq_a1+eq_c1+0))</f>
        <v/>
      </c>
      <c r="B44">
        <f>IF(shape="Circular",(g_oy)+(c_1/2+0)*-0.970942,CHOOSE(1,(g_oy-eq_c2/2)+(0)*-0.965926,g_oy-eq_c2/2-0,0,0))</f>
        <v/>
      </c>
      <c r="D44">
        <f>IF(circ_int,(g_ox)+(c_1/2+2*d_eff)*0.239316,CHOOSE(geo_idx,(g_ox+eq_c1/2)+(2*d_eff)*0.258819,0,eq_a1+eq_c1+2*d_eff,eq_a1+eq_c1+2*d_eff))</f>
        <v/>
      </c>
      <c r="E44">
        <f>IF(circ_int,(g_oy)+(c_1/2+2*d_eff)*-0.970942,CHOOSE(geo_idx,(g_oy-eq_c2/2)+(2*d_eff)*-0.965926,g_oy-eq_c2/2-2*d_eff,0,0))</f>
        <v/>
      </c>
      <c r="G44">
        <f>IF(AND(inputs_ok,punch_ok,A_sw&gt;0),IF(circ_int,(g_ox)+(c_1/2+r_out)*0.239316,CHOOSE(kind_out,(g_ox+eq_c1/2)+(r_out)*0.258819,0,eq_a1+eq_c1+r_out,eq_a1+eq_c1+r_out)),NA())</f>
        <v/>
      </c>
      <c r="H44">
        <f>IF(AND(inputs_ok,punch_ok,A_sw&gt;0),IF(circ_int,(g_oy)+(c_1/2+r_out)*-0.970942,CHOOSE(kind_out,(g_oy-eq_c2/2)+(r_out)*-0.965926,g_oy-eq_c2/2-r_out,0,0)),NA())</f>
        <v/>
      </c>
      <c r="AW44">
        <f>IF(AND(links_on,1&lt;=n_per),IF(circ_int,(g_ox)+(c_1/2+(s_0+0*s_r))*0.239316,CHOOSE(INDEX(lk_kind,1),(g_ox+eq_c1/2)+((s_0+0*s_r))*0.258819,0,eq_a1+eq_c1+(s_0+0*s_r),eq_a1+eq_c1+(s_0+0*s_r))),NA())</f>
        <v/>
      </c>
      <c r="AX44">
        <f>IF(AND(links_on,1&lt;=n_per),IF(circ_int,(g_oy)+(c_1/2+(s_0+0*s_r))*-0.970942,CHOOSE(INDEX(lk_kind,1),(g_oy-eq_c2/2)+((s_0+0*s_r))*-0.965926,g_oy-eq_c2/2-(s_0+0*s_r),0,0)),NA())</f>
        <v/>
      </c>
      <c r="AZ44">
        <f>IF(AND(AND(links_on,1&lt;=n_per),INDEX(lk_kind,1)=1,41&lt;INDEX(lk_legs,1)),g_ox+IF(((41+0.5)*(4*IF(circ_int,0,eq_c1/2)+4*IF(circ_int,0,eq_c2/2)+2*PI()*(s_0+0*s_r+IF(circ_int,eq_c1/2,0)))/INDEX(lk_legs,1))&lt;(2*IF(circ_int,0,eq_c2/2)),IF(circ_int,0,eq_c1/2)+(s_0+0*s_r+IF(circ_int,eq_c1/2,0)),IF(((41+0.5)*(4*IF(circ_int,0,eq_c1/2)+4*IF(circ_int,0,eq_c2/2)+2*PI()*(s_0+0*s_r+IF(circ_int,eq_c1/2,0)))/INDEX(lk_legs,1))&lt;((2*IF(circ_int,0,eq_c2/2))+(PI()*(s_0+0*s_r+IF(circ_int,eq_c1/2,0))/2)),IF(circ_int,0,eq_c1/2)+(s_0+0*s_r+IF(circ_int,eq_c1/2,0))*COS((((41+0.5)*(4*IF(circ_int,0,eq_c1/2)+4*IF(circ_int,0,eq_c2/2)+2*PI()*(s_0+0*s_r+IF(circ_int,eq_c1/2,0)))/INDEX(lk_legs,1))-(2*IF(circ_int,0,eq_c2/2)))/(s_0+0*s_r+IF(circ_int,eq_c1/2,0))),IF(((41+0.5)*(4*IF(circ_int,0,eq_c1/2)+4*IF(circ_int,0,eq_c2/2)+2*PI()*(s_0+0*s_r+IF(circ_int,eq_c1/2,0)))/INDEX(lk_legs,1))&lt;(((2*IF(circ_int,0,eq_c2/2))+(PI()*(s_0+0*s_r+IF(circ_int,eq_c1/2,0))/2))+2*IF(circ_int,0,eq_c1/2)),IF(circ_int,0,eq_c1/2)-(((41+0.5)*(4*IF(circ_int,0,eq_c1/2)+4*IF(circ_int,0,eq_c2/2)+2*PI()*(s_0+0*s_r+IF(circ_int,eq_c1/2,0)))/INDEX(lk_legs,1))-((2*IF(circ_int,0,eq_c2/2))+(PI()*(s_0+0*s_r+IF(circ_int,eq_c1/2,0))/2))),IF(((41+0.5)*(4*IF(circ_int,0,eq_c1/2)+4*IF(circ_int,0,eq_c2/2)+2*PI()*(s_0+0*s_r+IF(circ_int,eq_c1/2,0)))/INDEX(lk_legs,1))&lt;((((2*IF(circ_int,0,eq_c2/2))+(PI()*(s_0+0*s_r+IF(circ_int,eq_c1/2,0))/2))+2*IF(circ_int,0,eq_c1/2))+(PI()*(s_0+0*s_r+IF(circ_int,eq_c1/2,0))/2)),-IF(circ_int,0,eq_c1/2)+(s_0+0*s_r+IF(circ_int,eq_c1/2,0))*COS(PI()/2+(((41+0.5)*(4*IF(circ_int,0,eq_c1/2)+4*IF(circ_int,0,eq_c2/2)+2*PI()*(s_0+0*s_r+IF(circ_int,eq_c1/2,0)))/INDEX(lk_legs,1))-(((2*IF(circ_int,0,eq_c2/2))+(PI()*(s_0+0*s_r+IF(circ_int,eq_c1/2,0))/2))+2*IF(circ_int,0,eq_c1/2)))/(s_0+0*s_r+IF(circ_int,eq_c1/2,0))),IF(((41+0.5)*(4*IF(circ_int,0,eq_c1/2)+4*IF(circ_int,0,eq_c2/2)+2*PI()*(s_0+0*s_r+IF(circ_int,eq_c1/2,0)))/INDEX(lk_legs,1))&lt;(((((2*IF(circ_int,0,eq_c2/2))+(PI()*(s_0+0*s_r+IF(circ_int,eq_c1/2,0))/2))+2*IF(circ_int,0,eq_c1/2))+(PI()*(s_0+0*s_r+IF(circ_int,eq_c1/2,0))/2))+2*IF(circ_int,0,eq_c2/2)),-IF(circ_int,0,eq_c1/2)-(s_0+0*s_r+IF(circ_int,eq_c1/2,0)),IF(((41+0.5)*(4*IF(circ_int,0,eq_c1/2)+4*IF(circ_int,0,eq_c2/2)+2*PI()*(s_0+0*s_r+IF(circ_int,eq_c1/2,0)))/INDEX(lk_legs,1))&lt;((((((2*IF(circ_int,0,eq_c2/2))+(PI()*(s_0+0*s_r+IF(circ_int,eq_c1/2,0))/2))+2*IF(circ_int,0,eq_c1/2))+(PI()*(s_0+0*s_r+IF(circ_int,eq_c1/2,0))/2))+2*IF(circ_int,0,eq_c2/2))+(PI()*(s_0+0*s_r+IF(circ_int,eq_c1/2,0))/2)),-IF(circ_int,0,eq_c1/2)+(s_0+0*s_r+IF(circ_int,eq_c1/2,0))*COS(PI()+(((41+0.5)*(4*IF(circ_int,0,eq_c1/2)+4*IF(circ_int,0,eq_c2/2)+2*PI()*(s_0+0*s_r+IF(circ_int,eq_c1/2,0)))/INDEX(lk_legs,1))-(((((2*IF(circ_int,0,eq_c2/2))+(PI()*(s_0+0*s_r+IF(circ_int,eq_c1/2,0))/2))+2*IF(circ_int,0,eq_c1/2))+(PI()*(s_0+0*s_r+IF(circ_int,eq_c1/2,0))/2))+2*IF(circ_int,0,eq_c2/2)))/(s_0+0*s_r+IF(circ_int,eq_c1/2,0))),IF(((41+0.5)*(4*IF(circ_int,0,eq_c1/2)+4*IF(circ_int,0,eq_c2/2)+2*PI()*(s_0+0*s_r+IF(circ_int,eq_c1/2,0)))/INDEX(lk_legs,1))&lt;(((((((2*IF(circ_int,0,eq_c2/2))+(PI()*(s_0+0*s_r+IF(circ_int,eq_c1/2,0))/2))+2*IF(circ_int,0,eq_c1/2))+(PI()*(s_0+0*s_r+IF(circ_int,eq_c1/2,0))/2))+2*IF(circ_int,0,eq_c2/2))+(PI()*(s_0+0*s_r+IF(circ_int,eq_c1/2,0))/2))+2*IF(circ_int,0,eq_c1/2)),-IF(circ_int,0,eq_c1/2)+(((41+0.5)*(4*IF(circ_int,0,eq_c1/2)+4*IF(circ_int,0,eq_c2/2)+2*PI()*(s_0+0*s_r+IF(circ_int,eq_c1/2,0)))/INDEX(lk_legs,1))-((((((2*IF(circ_int,0,eq_c2/2))+(PI()*(s_0+0*s_r+IF(circ_int,eq_c1/2,0))/2))+2*IF(circ_int,0,eq_c1/2))+(PI()*(s_0+0*s_r+IF(circ_int,eq_c1/2,0))/2))+2*IF(circ_int,0,eq_c2/2))+(PI()*(s_0+0*s_r+IF(circ_int,eq_c1/2,0))/2))),IF(circ_int,0,eq_c1/2)+(s_0+0*s_r+IF(circ_int,eq_c1/2,0))*COS(3*PI()/2+(((41+0.5)*(4*IF(circ_int,0,eq_c1/2)+4*IF(circ_int,0,eq_c2/2)+2*PI()*(s_0+0*s_r+IF(circ_int,eq_c1/2,0)))/INDEX(lk_legs,1))-(((((((2*IF(circ_int,0,eq_c2/2))+(PI()*(s_0+0*s_r+IF(circ_int,eq_c1/2,0))/2))+2*IF(circ_int,0,eq_c1/2))+(PI()*(s_0+0*s_r+IF(circ_int,eq_c1/2,0))/2))+2*IF(circ_int,0,eq_c2/2))+(PI()*(s_0+0*s_r+IF(circ_int,eq_c1/2,0))/2))+2*IF(circ_int,0,eq_c1/2)))/(s_0+0*s_r+IF(circ_int,eq_c1/2,0)))))))))),NA())</f>
        <v/>
      </c>
      <c r="BA44">
        <f>IF(AND(AND(links_on,1&lt;=n_per),INDEX(lk_kind,1)=1,41&lt;INDEX(lk_legs,1)),g_oy+IF(((41+0.5)*(4*IF(circ_int,0,eq_c1/2)+4*IF(circ_int,0,eq_c2/2)+2*PI()*(s_0+0*s_r+IF(circ_int,eq_c1/2,0)))/INDEX(lk_legs,1))&lt;(2*IF(circ_int,0,eq_c2/2)),-IF(circ_int,0,eq_c2/2)+((41+0.5)*(4*IF(circ_int,0,eq_c1/2)+4*IF(circ_int,0,eq_c2/2)+2*PI()*(s_0+0*s_r+IF(circ_int,eq_c1/2,0)))/INDEX(lk_legs,1)),IF(((41+0.5)*(4*IF(circ_int,0,eq_c1/2)+4*IF(circ_int,0,eq_c2/2)+2*PI()*(s_0+0*s_r+IF(circ_int,eq_c1/2,0)))/INDEX(lk_legs,1))&lt;((2*IF(circ_int,0,eq_c2/2))+(PI()*(s_0+0*s_r+IF(circ_int,eq_c1/2,0))/2)),IF(circ_int,0,eq_c2/2)+(s_0+0*s_r+IF(circ_int,eq_c1/2,0))*SIN((((41+0.5)*(4*IF(circ_int,0,eq_c1/2)+4*IF(circ_int,0,eq_c2/2)+2*PI()*(s_0+0*s_r+IF(circ_int,eq_c1/2,0)))/INDEX(lk_legs,1))-(2*IF(circ_int,0,eq_c2/2)))/(s_0+0*s_r+IF(circ_int,eq_c1/2,0))),IF(((41+0.5)*(4*IF(circ_int,0,eq_c1/2)+4*IF(circ_int,0,eq_c2/2)+2*PI()*(s_0+0*s_r+IF(circ_int,eq_c1/2,0)))/INDEX(lk_legs,1))&lt;(((2*IF(circ_int,0,eq_c2/2))+(PI()*(s_0+0*s_r+IF(circ_int,eq_c1/2,0))/2))+2*IF(circ_int,0,eq_c1/2)),IF(circ_int,0,eq_c2/2)+(s_0+0*s_r+IF(circ_int,eq_c1/2,0)),IF(((41+0.5)*(4*IF(circ_int,0,eq_c1/2)+4*IF(circ_int,0,eq_c2/2)+2*PI()*(s_0+0*s_r+IF(circ_int,eq_c1/2,0)))/INDEX(lk_legs,1))&lt;((((2*IF(circ_int,0,eq_c2/2))+(PI()*(s_0+0*s_r+IF(circ_int,eq_c1/2,0))/2))+2*IF(circ_int,0,eq_c1/2))+(PI()*(s_0+0*s_r+IF(circ_int,eq_c1/2,0))/2)),IF(circ_int,0,eq_c2/2)+(s_0+0*s_r+IF(circ_int,eq_c1/2,0))*SIN(PI()/2+(((41+0.5)*(4*IF(circ_int,0,eq_c1/2)+4*IF(circ_int,0,eq_c2/2)+2*PI()*(s_0+0*s_r+IF(circ_int,eq_c1/2,0)))/INDEX(lk_legs,1))-(((2*IF(circ_int,0,eq_c2/2))+(PI()*(s_0+0*s_r+IF(circ_int,eq_c1/2,0))/2))+2*IF(circ_int,0,eq_c1/2)))/(s_0+0*s_r+IF(circ_int,eq_c1/2,0))),IF(((41+0.5)*(4*IF(circ_int,0,eq_c1/2)+4*IF(circ_int,0,eq_c2/2)+2*PI()*(s_0+0*s_r+IF(circ_int,eq_c1/2,0)))/INDEX(lk_legs,1))&lt;(((((2*IF(circ_int,0,eq_c2/2))+(PI()*(s_0+0*s_r+IF(circ_int,eq_c1/2,0))/2))+2*IF(circ_int,0,eq_c1/2))+(PI()*(s_0+0*s_r+IF(circ_int,eq_c1/2,0))/2))+2*IF(circ_int,0,eq_c2/2)),IF(circ_int,0,eq_c2/2)-(((41+0.5)*(4*IF(circ_int,0,eq_c1/2)+4*IF(circ_int,0,eq_c2/2)+2*PI()*(s_0+0*s_r+IF(circ_int,eq_c1/2,0)))/INDEX(lk_legs,1))-((((2*IF(circ_int,0,eq_c2/2))+(PI()*(s_0+0*s_r+IF(circ_int,eq_c1/2,0))/2))+2*IF(circ_int,0,eq_c1/2))+(PI()*(s_0+0*s_r+IF(circ_int,eq_c1/2,0))/2))),IF(((41+0.5)*(4*IF(circ_int,0,eq_c1/2)+4*IF(circ_int,0,eq_c2/2)+2*PI()*(s_0+0*s_r+IF(circ_int,eq_c1/2,0)))/INDEX(lk_legs,1))&lt;((((((2*IF(circ_int,0,eq_c2/2))+(PI()*(s_0+0*s_r+IF(circ_int,eq_c1/2,0))/2))+2*IF(circ_int,0,eq_c1/2))+(PI()*(s_0+0*s_r+IF(circ_int,eq_c1/2,0))/2))+2*IF(circ_int,0,eq_c2/2))+(PI()*(s_0+0*s_r+IF(circ_int,eq_c1/2,0))/2)),-IF(circ_int,0,eq_c2/2)+(s_0+0*s_r+IF(circ_int,eq_c1/2,0))*SIN(PI()+(((41+0.5)*(4*IF(circ_int,0,eq_c1/2)+4*IF(circ_int,0,eq_c2/2)+2*PI()*(s_0+0*s_r+IF(circ_int,eq_c1/2,0)))/INDEX(lk_legs,1))-(((((2*IF(circ_int,0,eq_c2/2))+(PI()*(s_0+0*s_r+IF(circ_int,eq_c1/2,0))/2))+2*IF(circ_int,0,eq_c1/2))+(PI()*(s_0+0*s_r+IF(circ_int,eq_c1/2,0))/2))+2*IF(circ_int,0,eq_c2/2)))/(s_0+0*s_r+IF(circ_int,eq_c1/2,0))),IF(((41+0.5)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(41+0.5)*(4*IF(circ_int,0,eq_c1/2)+4*IF(circ_int,0,eq_c2/2)+2*PI()*(s_0+0*s_r+IF(circ_int,eq_c1/2,0)))/INDEX(lk_legs,1))-(((((((2*IF(circ_int,0,eq_c2/2))+(PI()*(s_0+0*s_r+IF(circ_int,eq_c1/2,0))/2))+2*IF(circ_int,0,eq_c1/2))+(PI()*(s_0+0*s_r+IF(circ_int,eq_c1/2,0))/2))+2*IF(circ_int,0,eq_c2/2))+(PI()*(s_0+0*s_r+IF(circ_int,eq_c1/2,0))/2))+2*IF(circ_int,0,eq_c1/2)))/(s_0+0*s_r+IF(circ_int,eq_c1/2,0)))))))))),NA())</f>
        <v/>
      </c>
      <c r="BC44">
        <f>IF(AND(links_on,2&lt;=n_per),IF(circ_int,(g_ox)+(c_1/2+(s_0+1*s_r))*0.239316,CHOOSE(INDEX(lk_kind,2),(g_ox+eq_c1/2)+((s_0+1*s_r))*0.258819,0,eq_a1+eq_c1+(s_0+1*s_r),eq_a1+eq_c1+(s_0+1*s_r))),NA())</f>
        <v/>
      </c>
      <c r="BD44">
        <f>IF(AND(links_on,2&lt;=n_per),IF(circ_int,(g_oy)+(c_1/2+(s_0+1*s_r))*-0.970942,CHOOSE(INDEX(lk_kind,2),(g_oy-eq_c2/2)+((s_0+1*s_r))*-0.965926,g_oy-eq_c2/2-(s_0+1*s_r),0,0)),NA())</f>
        <v/>
      </c>
      <c r="BF44">
        <f>IF(AND(AND(links_on,2&lt;=n_per),INDEX(lk_kind,2)=1,41&lt;INDEX(lk_legs,2)),g_ox+IF(((41+0.5)*(4*IF(circ_int,0,eq_c1/2)+4*IF(circ_int,0,eq_c2/2)+2*PI()*(s_0+1*s_r+IF(circ_int,eq_c1/2,0)))/INDEX(lk_legs,2))&lt;(2*IF(circ_int,0,eq_c2/2)),IF(circ_int,0,eq_c1/2)+(s_0+1*s_r+IF(circ_int,eq_c1/2,0)),IF(((41+0.5)*(4*IF(circ_int,0,eq_c1/2)+4*IF(circ_int,0,eq_c2/2)+2*PI()*(s_0+1*s_r+IF(circ_int,eq_c1/2,0)))/INDEX(lk_legs,2))&lt;((2*IF(circ_int,0,eq_c2/2))+(PI()*(s_0+1*s_r+IF(circ_int,eq_c1/2,0))/2)),IF(circ_int,0,eq_c1/2)+(s_0+1*s_r+IF(circ_int,eq_c1/2,0))*COS((((41+0.5)*(4*IF(circ_int,0,eq_c1/2)+4*IF(circ_int,0,eq_c2/2)+2*PI()*(s_0+1*s_r+IF(circ_int,eq_c1/2,0)))/INDEX(lk_legs,2))-(2*IF(circ_int,0,eq_c2/2)))/(s_0+1*s_r+IF(circ_int,eq_c1/2,0))),IF(((41+0.5)*(4*IF(circ_int,0,eq_c1/2)+4*IF(circ_int,0,eq_c2/2)+2*PI()*(s_0+1*s_r+IF(circ_int,eq_c1/2,0)))/INDEX(lk_legs,2))&lt;(((2*IF(circ_int,0,eq_c2/2))+(PI()*(s_0+1*s_r+IF(circ_int,eq_c1/2,0))/2))+2*IF(circ_int,0,eq_c1/2)),IF(circ_int,0,eq_c1/2)-(((41+0.5)*(4*IF(circ_int,0,eq_c1/2)+4*IF(circ_int,0,eq_c2/2)+2*PI()*(s_0+1*s_r+IF(circ_int,eq_c1/2,0)))/INDEX(lk_legs,2))-((2*IF(circ_int,0,eq_c2/2))+(PI()*(s_0+1*s_r+IF(circ_int,eq_c1/2,0))/2))),IF(((41+0.5)*(4*IF(circ_int,0,eq_c1/2)+4*IF(circ_int,0,eq_c2/2)+2*PI()*(s_0+1*s_r+IF(circ_int,eq_c1/2,0)))/INDEX(lk_legs,2))&lt;((((2*IF(circ_int,0,eq_c2/2))+(PI()*(s_0+1*s_r+IF(circ_int,eq_c1/2,0))/2))+2*IF(circ_int,0,eq_c1/2))+(PI()*(s_0+1*s_r+IF(circ_int,eq_c1/2,0))/2)),-IF(circ_int,0,eq_c1/2)+(s_0+1*s_r+IF(circ_int,eq_c1/2,0))*COS(PI()/2+(((41+0.5)*(4*IF(circ_int,0,eq_c1/2)+4*IF(circ_int,0,eq_c2/2)+2*PI()*(s_0+1*s_r+IF(circ_int,eq_c1/2,0)))/INDEX(lk_legs,2))-(((2*IF(circ_int,0,eq_c2/2))+(PI()*(s_0+1*s_r+IF(circ_int,eq_c1/2,0))/2))+2*IF(circ_int,0,eq_c1/2)))/(s_0+1*s_r+IF(circ_int,eq_c1/2,0))),IF(((41+0.5)*(4*IF(circ_int,0,eq_c1/2)+4*IF(circ_int,0,eq_c2/2)+2*PI()*(s_0+1*s_r+IF(circ_int,eq_c1/2,0)))/INDEX(lk_legs,2))&lt;(((((2*IF(circ_int,0,eq_c2/2))+(PI()*(s_0+1*s_r+IF(circ_int,eq_c1/2,0))/2))+2*IF(circ_int,0,eq_c1/2))+(PI()*(s_0+1*s_r+IF(circ_int,eq_c1/2,0))/2))+2*IF(circ_int,0,eq_c2/2)),-IF(circ_int,0,eq_c1/2)-(s_0+1*s_r+IF(circ_int,eq_c1/2,0)),IF(((41+0.5)*(4*IF(circ_int,0,eq_c1/2)+4*IF(circ_int,0,eq_c2/2)+2*PI()*(s_0+1*s_r+IF(circ_int,eq_c1/2,0)))/INDEX(lk_legs,2))&lt;((((((2*IF(circ_int,0,eq_c2/2))+(PI()*(s_0+1*s_r+IF(circ_int,eq_c1/2,0))/2))+2*IF(circ_int,0,eq_c1/2))+(PI()*(s_0+1*s_r+IF(circ_int,eq_c1/2,0))/2))+2*IF(circ_int,0,eq_c2/2))+(PI()*(s_0+1*s_r+IF(circ_int,eq_c1/2,0))/2)),-IF(circ_int,0,eq_c1/2)+(s_0+1*s_r+IF(circ_int,eq_c1/2,0))*COS(PI()+(((41+0.5)*(4*IF(circ_int,0,eq_c1/2)+4*IF(circ_int,0,eq_c2/2)+2*PI()*(s_0+1*s_r+IF(circ_int,eq_c1/2,0)))/INDEX(lk_legs,2))-(((((2*IF(circ_int,0,eq_c2/2))+(PI()*(s_0+1*s_r+IF(circ_int,eq_c1/2,0))/2))+2*IF(circ_int,0,eq_c1/2))+(PI()*(s_0+1*s_r+IF(circ_int,eq_c1/2,0))/2))+2*IF(circ_int,0,eq_c2/2)))/(s_0+1*s_r+IF(circ_int,eq_c1/2,0))),IF(((41+0.5)*(4*IF(circ_int,0,eq_c1/2)+4*IF(circ_int,0,eq_c2/2)+2*PI()*(s_0+1*s_r+IF(circ_int,eq_c1/2,0)))/INDEX(lk_legs,2))&lt;(((((((2*IF(circ_int,0,eq_c2/2))+(PI()*(s_0+1*s_r+IF(circ_int,eq_c1/2,0))/2))+2*IF(circ_int,0,eq_c1/2))+(PI()*(s_0+1*s_r+IF(circ_int,eq_c1/2,0))/2))+2*IF(circ_int,0,eq_c2/2))+(PI()*(s_0+1*s_r+IF(circ_int,eq_c1/2,0))/2))+2*IF(circ_int,0,eq_c1/2)),-IF(circ_int,0,eq_c1/2)+(((41+0.5)*(4*IF(circ_int,0,eq_c1/2)+4*IF(circ_int,0,eq_c2/2)+2*PI()*(s_0+1*s_r+IF(circ_int,eq_c1/2,0)))/INDEX(lk_legs,2))-((((((2*IF(circ_int,0,eq_c2/2))+(PI()*(s_0+1*s_r+IF(circ_int,eq_c1/2,0))/2))+2*IF(circ_int,0,eq_c1/2))+(PI()*(s_0+1*s_r+IF(circ_int,eq_c1/2,0))/2))+2*IF(circ_int,0,eq_c2/2))+(PI()*(s_0+1*s_r+IF(circ_int,eq_c1/2,0))/2))),IF(circ_int,0,eq_c1/2)+(s_0+1*s_r+IF(circ_int,eq_c1/2,0))*COS(3*PI()/2+(((41+0.5)*(4*IF(circ_int,0,eq_c1/2)+4*IF(circ_int,0,eq_c2/2)+2*PI()*(s_0+1*s_r+IF(circ_int,eq_c1/2,0)))/INDEX(lk_legs,2))-(((((((2*IF(circ_int,0,eq_c2/2))+(PI()*(s_0+1*s_r+IF(circ_int,eq_c1/2,0))/2))+2*IF(circ_int,0,eq_c1/2))+(PI()*(s_0+1*s_r+IF(circ_int,eq_c1/2,0))/2))+2*IF(circ_int,0,eq_c2/2))+(PI()*(s_0+1*s_r+IF(circ_int,eq_c1/2,0))/2))+2*IF(circ_int,0,eq_c1/2)))/(s_0+1*s_r+IF(circ_int,eq_c1/2,0)))))))))),NA())</f>
        <v/>
      </c>
      <c r="BG44">
        <f>IF(AND(AND(links_on,2&lt;=n_per),INDEX(lk_kind,2)=1,41&lt;INDEX(lk_legs,2)),g_oy+IF(((41+0.5)*(4*IF(circ_int,0,eq_c1/2)+4*IF(circ_int,0,eq_c2/2)+2*PI()*(s_0+1*s_r+IF(circ_int,eq_c1/2,0)))/INDEX(lk_legs,2))&lt;(2*IF(circ_int,0,eq_c2/2)),-IF(circ_int,0,eq_c2/2)+((41+0.5)*(4*IF(circ_int,0,eq_c1/2)+4*IF(circ_int,0,eq_c2/2)+2*PI()*(s_0+1*s_r+IF(circ_int,eq_c1/2,0)))/INDEX(lk_legs,2)),IF(((41+0.5)*(4*IF(circ_int,0,eq_c1/2)+4*IF(circ_int,0,eq_c2/2)+2*PI()*(s_0+1*s_r+IF(circ_int,eq_c1/2,0)))/INDEX(lk_legs,2))&lt;((2*IF(circ_int,0,eq_c2/2))+(PI()*(s_0+1*s_r+IF(circ_int,eq_c1/2,0))/2)),IF(circ_int,0,eq_c2/2)+(s_0+1*s_r+IF(circ_int,eq_c1/2,0))*SIN((((41+0.5)*(4*IF(circ_int,0,eq_c1/2)+4*IF(circ_int,0,eq_c2/2)+2*PI()*(s_0+1*s_r+IF(circ_int,eq_c1/2,0)))/INDEX(lk_legs,2))-(2*IF(circ_int,0,eq_c2/2)))/(s_0+1*s_r+IF(circ_int,eq_c1/2,0))),IF(((41+0.5)*(4*IF(circ_int,0,eq_c1/2)+4*IF(circ_int,0,eq_c2/2)+2*PI()*(s_0+1*s_r+IF(circ_int,eq_c1/2,0)))/INDEX(lk_legs,2))&lt;(((2*IF(circ_int,0,eq_c2/2))+(PI()*(s_0+1*s_r+IF(circ_int,eq_c1/2,0))/2))+2*IF(circ_int,0,eq_c1/2)),IF(circ_int,0,eq_c2/2)+(s_0+1*s_r+IF(circ_int,eq_c1/2,0)),IF(((41+0.5)*(4*IF(circ_int,0,eq_c1/2)+4*IF(circ_int,0,eq_c2/2)+2*PI()*(s_0+1*s_r+IF(circ_int,eq_c1/2,0)))/INDEX(lk_legs,2))&lt;((((2*IF(circ_int,0,eq_c2/2))+(PI()*(s_0+1*s_r+IF(circ_int,eq_c1/2,0))/2))+2*IF(circ_int,0,eq_c1/2))+(PI()*(s_0+1*s_r+IF(circ_int,eq_c1/2,0))/2)),IF(circ_int,0,eq_c2/2)+(s_0+1*s_r+IF(circ_int,eq_c1/2,0))*SIN(PI()/2+(((41+0.5)*(4*IF(circ_int,0,eq_c1/2)+4*IF(circ_int,0,eq_c2/2)+2*PI()*(s_0+1*s_r+IF(circ_int,eq_c1/2,0)))/INDEX(lk_legs,2))-(((2*IF(circ_int,0,eq_c2/2))+(PI()*(s_0+1*s_r+IF(circ_int,eq_c1/2,0))/2))+2*IF(circ_int,0,eq_c1/2)))/(s_0+1*s_r+IF(circ_int,eq_c1/2,0))),IF(((41+0.5)*(4*IF(circ_int,0,eq_c1/2)+4*IF(circ_int,0,eq_c2/2)+2*PI()*(s_0+1*s_r+IF(circ_int,eq_c1/2,0)))/INDEX(lk_legs,2))&lt;(((((2*IF(circ_int,0,eq_c2/2))+(PI()*(s_0+1*s_r+IF(circ_int,eq_c1/2,0))/2))+2*IF(circ_int,0,eq_c1/2))+(PI()*(s_0+1*s_r+IF(circ_int,eq_c1/2,0))/2))+2*IF(circ_int,0,eq_c2/2)),IF(circ_int,0,eq_c2/2)-(((41+0.5)*(4*IF(circ_int,0,eq_c1/2)+4*IF(circ_int,0,eq_c2/2)+2*PI()*(s_0+1*s_r+IF(circ_int,eq_c1/2,0)))/INDEX(lk_legs,2))-((((2*IF(circ_int,0,eq_c2/2))+(PI()*(s_0+1*s_r+IF(circ_int,eq_c1/2,0))/2))+2*IF(circ_int,0,eq_c1/2))+(PI()*(s_0+1*s_r+IF(circ_int,eq_c1/2,0))/2))),IF(((41+0.5)*(4*IF(circ_int,0,eq_c1/2)+4*IF(circ_int,0,eq_c2/2)+2*PI()*(s_0+1*s_r+IF(circ_int,eq_c1/2,0)))/INDEX(lk_legs,2))&lt;((((((2*IF(circ_int,0,eq_c2/2))+(PI()*(s_0+1*s_r+IF(circ_int,eq_c1/2,0))/2))+2*IF(circ_int,0,eq_c1/2))+(PI()*(s_0+1*s_r+IF(circ_int,eq_c1/2,0))/2))+2*IF(circ_int,0,eq_c2/2))+(PI()*(s_0+1*s_r+IF(circ_int,eq_c1/2,0))/2)),-IF(circ_int,0,eq_c2/2)+(s_0+1*s_r+IF(circ_int,eq_c1/2,0))*SIN(PI()+(((41+0.5)*(4*IF(circ_int,0,eq_c1/2)+4*IF(circ_int,0,eq_c2/2)+2*PI()*(s_0+1*s_r+IF(circ_int,eq_c1/2,0)))/INDEX(lk_legs,2))-(((((2*IF(circ_int,0,eq_c2/2))+(PI()*(s_0+1*s_r+IF(circ_int,eq_c1/2,0))/2))+2*IF(circ_int,0,eq_c1/2))+(PI()*(s_0+1*s_r+IF(circ_int,eq_c1/2,0))/2))+2*IF(circ_int,0,eq_c2/2)))/(s_0+1*s_r+IF(circ_int,eq_c1/2,0))),IF(((41+0.5)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(41+0.5)*(4*IF(circ_int,0,eq_c1/2)+4*IF(circ_int,0,eq_c2/2)+2*PI()*(s_0+1*s_r+IF(circ_int,eq_c1/2,0)))/INDEX(lk_legs,2))-(((((((2*IF(circ_int,0,eq_c2/2))+(PI()*(s_0+1*s_r+IF(circ_int,eq_c1/2,0))/2))+2*IF(circ_int,0,eq_c1/2))+(PI()*(s_0+1*s_r+IF(circ_int,eq_c1/2,0))/2))+2*IF(circ_int,0,eq_c2/2))+(PI()*(s_0+1*s_r+IF(circ_int,eq_c1/2,0))/2))+2*IF(circ_int,0,eq_c1/2)))/(s_0+1*s_r+IF(circ_int,eq_c1/2,0)))))))))),NA())</f>
        <v/>
      </c>
      <c r="BI44">
        <f>IF(AND(links_on,3&lt;=n_per),IF(circ_int,(g_ox)+(c_1/2+(s_0+2*s_r))*0.239316,CHOOSE(INDEX(lk_kind,3),(g_ox+eq_c1/2)+((s_0+2*s_r))*0.258819,0,eq_a1+eq_c1+(s_0+2*s_r),eq_a1+eq_c1+(s_0+2*s_r))),NA())</f>
        <v/>
      </c>
      <c r="BJ44">
        <f>IF(AND(links_on,3&lt;=n_per),IF(circ_int,(g_oy)+(c_1/2+(s_0+2*s_r))*-0.970942,CHOOSE(INDEX(lk_kind,3),(g_oy-eq_c2/2)+((s_0+2*s_r))*-0.965926,g_oy-eq_c2/2-(s_0+2*s_r),0,0)),NA())</f>
        <v/>
      </c>
      <c r="BL44">
        <f>IF(AND(AND(links_on,3&lt;=n_per),INDEX(lk_kind,3)=1,41&lt;INDEX(lk_legs,3)),g_ox+IF(((41+0.5)*(4*IF(circ_int,0,eq_c1/2)+4*IF(circ_int,0,eq_c2/2)+2*PI()*(s_0+2*s_r+IF(circ_int,eq_c1/2,0)))/INDEX(lk_legs,3))&lt;(2*IF(circ_int,0,eq_c2/2)),IF(circ_int,0,eq_c1/2)+(s_0+2*s_r+IF(circ_int,eq_c1/2,0)),IF(((41+0.5)*(4*IF(circ_int,0,eq_c1/2)+4*IF(circ_int,0,eq_c2/2)+2*PI()*(s_0+2*s_r+IF(circ_int,eq_c1/2,0)))/INDEX(lk_legs,3))&lt;((2*IF(circ_int,0,eq_c2/2))+(PI()*(s_0+2*s_r+IF(circ_int,eq_c1/2,0))/2)),IF(circ_int,0,eq_c1/2)+(s_0+2*s_r+IF(circ_int,eq_c1/2,0))*COS((((41+0.5)*(4*IF(circ_int,0,eq_c1/2)+4*IF(circ_int,0,eq_c2/2)+2*PI()*(s_0+2*s_r+IF(circ_int,eq_c1/2,0)))/INDEX(lk_legs,3))-(2*IF(circ_int,0,eq_c2/2)))/(s_0+2*s_r+IF(circ_int,eq_c1/2,0))),IF(((41+0.5)*(4*IF(circ_int,0,eq_c1/2)+4*IF(circ_int,0,eq_c2/2)+2*PI()*(s_0+2*s_r+IF(circ_int,eq_c1/2,0)))/INDEX(lk_legs,3))&lt;(((2*IF(circ_int,0,eq_c2/2))+(PI()*(s_0+2*s_r+IF(circ_int,eq_c1/2,0))/2))+2*IF(circ_int,0,eq_c1/2)),IF(circ_int,0,eq_c1/2)-(((41+0.5)*(4*IF(circ_int,0,eq_c1/2)+4*IF(circ_int,0,eq_c2/2)+2*PI()*(s_0+2*s_r+IF(circ_int,eq_c1/2,0)))/INDEX(lk_legs,3))-((2*IF(circ_int,0,eq_c2/2))+(PI()*(s_0+2*s_r+IF(circ_int,eq_c1/2,0))/2))),IF(((41+0.5)*(4*IF(circ_int,0,eq_c1/2)+4*IF(circ_int,0,eq_c2/2)+2*PI()*(s_0+2*s_r+IF(circ_int,eq_c1/2,0)))/INDEX(lk_legs,3))&lt;((((2*IF(circ_int,0,eq_c2/2))+(PI()*(s_0+2*s_r+IF(circ_int,eq_c1/2,0))/2))+2*IF(circ_int,0,eq_c1/2))+(PI()*(s_0+2*s_r+IF(circ_int,eq_c1/2,0))/2)),-IF(circ_int,0,eq_c1/2)+(s_0+2*s_r+IF(circ_int,eq_c1/2,0))*COS(PI()/2+(((41+0.5)*(4*IF(circ_int,0,eq_c1/2)+4*IF(circ_int,0,eq_c2/2)+2*PI()*(s_0+2*s_r+IF(circ_int,eq_c1/2,0)))/INDEX(lk_legs,3))-(((2*IF(circ_int,0,eq_c2/2))+(PI()*(s_0+2*s_r+IF(circ_int,eq_c1/2,0))/2))+2*IF(circ_int,0,eq_c1/2)))/(s_0+2*s_r+IF(circ_int,eq_c1/2,0))),IF(((41+0.5)*(4*IF(circ_int,0,eq_c1/2)+4*IF(circ_int,0,eq_c2/2)+2*PI()*(s_0+2*s_r+IF(circ_int,eq_c1/2,0)))/INDEX(lk_legs,3))&lt;(((((2*IF(circ_int,0,eq_c2/2))+(PI()*(s_0+2*s_r+IF(circ_int,eq_c1/2,0))/2))+2*IF(circ_int,0,eq_c1/2))+(PI()*(s_0+2*s_r+IF(circ_int,eq_c1/2,0))/2))+2*IF(circ_int,0,eq_c2/2)),-IF(circ_int,0,eq_c1/2)-(s_0+2*s_r+IF(circ_int,eq_c1/2,0)),IF(((41+0.5)*(4*IF(circ_int,0,eq_c1/2)+4*IF(circ_int,0,eq_c2/2)+2*PI()*(s_0+2*s_r+IF(circ_int,eq_c1/2,0)))/INDEX(lk_legs,3))&lt;((((((2*IF(circ_int,0,eq_c2/2))+(PI()*(s_0+2*s_r+IF(circ_int,eq_c1/2,0))/2))+2*IF(circ_int,0,eq_c1/2))+(PI()*(s_0+2*s_r+IF(circ_int,eq_c1/2,0))/2))+2*IF(circ_int,0,eq_c2/2))+(PI()*(s_0+2*s_r+IF(circ_int,eq_c1/2,0))/2)),-IF(circ_int,0,eq_c1/2)+(s_0+2*s_r+IF(circ_int,eq_c1/2,0))*COS(PI()+(((41+0.5)*(4*IF(circ_int,0,eq_c1/2)+4*IF(circ_int,0,eq_c2/2)+2*PI()*(s_0+2*s_r+IF(circ_int,eq_c1/2,0)))/INDEX(lk_legs,3))-(((((2*IF(circ_int,0,eq_c2/2))+(PI()*(s_0+2*s_r+IF(circ_int,eq_c1/2,0))/2))+2*IF(circ_int,0,eq_c1/2))+(PI()*(s_0+2*s_r+IF(circ_int,eq_c1/2,0))/2))+2*IF(circ_int,0,eq_c2/2)))/(s_0+2*s_r+IF(circ_int,eq_c1/2,0))),IF(((41+0.5)*(4*IF(circ_int,0,eq_c1/2)+4*IF(circ_int,0,eq_c2/2)+2*PI()*(s_0+2*s_r+IF(circ_int,eq_c1/2,0)))/INDEX(lk_legs,3))&lt;(((((((2*IF(circ_int,0,eq_c2/2))+(PI()*(s_0+2*s_r+IF(circ_int,eq_c1/2,0))/2))+2*IF(circ_int,0,eq_c1/2))+(PI()*(s_0+2*s_r+IF(circ_int,eq_c1/2,0))/2))+2*IF(circ_int,0,eq_c2/2))+(PI()*(s_0+2*s_r+IF(circ_int,eq_c1/2,0))/2))+2*IF(circ_int,0,eq_c1/2)),-IF(circ_int,0,eq_c1/2)+(((41+0.5)*(4*IF(circ_int,0,eq_c1/2)+4*IF(circ_int,0,eq_c2/2)+2*PI()*(s_0+2*s_r+IF(circ_int,eq_c1/2,0)))/INDEX(lk_legs,3))-((((((2*IF(circ_int,0,eq_c2/2))+(PI()*(s_0+2*s_r+IF(circ_int,eq_c1/2,0))/2))+2*IF(circ_int,0,eq_c1/2))+(PI()*(s_0+2*s_r+IF(circ_int,eq_c1/2,0))/2))+2*IF(circ_int,0,eq_c2/2))+(PI()*(s_0+2*s_r+IF(circ_int,eq_c1/2,0))/2))),IF(circ_int,0,eq_c1/2)+(s_0+2*s_r+IF(circ_int,eq_c1/2,0))*COS(3*PI()/2+(((41+0.5)*(4*IF(circ_int,0,eq_c1/2)+4*IF(circ_int,0,eq_c2/2)+2*PI()*(s_0+2*s_r+IF(circ_int,eq_c1/2,0)))/INDEX(lk_legs,3))-(((((((2*IF(circ_int,0,eq_c2/2))+(PI()*(s_0+2*s_r+IF(circ_int,eq_c1/2,0))/2))+2*IF(circ_int,0,eq_c1/2))+(PI()*(s_0+2*s_r+IF(circ_int,eq_c1/2,0))/2))+2*IF(circ_int,0,eq_c2/2))+(PI()*(s_0+2*s_r+IF(circ_int,eq_c1/2,0))/2))+2*IF(circ_int,0,eq_c1/2)))/(s_0+2*s_r+IF(circ_int,eq_c1/2,0)))))))))),NA())</f>
        <v/>
      </c>
      <c r="BM44">
        <f>IF(AND(AND(links_on,3&lt;=n_per),INDEX(lk_kind,3)=1,41&lt;INDEX(lk_legs,3)),g_oy+IF(((41+0.5)*(4*IF(circ_int,0,eq_c1/2)+4*IF(circ_int,0,eq_c2/2)+2*PI()*(s_0+2*s_r+IF(circ_int,eq_c1/2,0)))/INDEX(lk_legs,3))&lt;(2*IF(circ_int,0,eq_c2/2)),-IF(circ_int,0,eq_c2/2)+((41+0.5)*(4*IF(circ_int,0,eq_c1/2)+4*IF(circ_int,0,eq_c2/2)+2*PI()*(s_0+2*s_r+IF(circ_int,eq_c1/2,0)))/INDEX(lk_legs,3)),IF(((41+0.5)*(4*IF(circ_int,0,eq_c1/2)+4*IF(circ_int,0,eq_c2/2)+2*PI()*(s_0+2*s_r+IF(circ_int,eq_c1/2,0)))/INDEX(lk_legs,3))&lt;((2*IF(circ_int,0,eq_c2/2))+(PI()*(s_0+2*s_r+IF(circ_int,eq_c1/2,0))/2)),IF(circ_int,0,eq_c2/2)+(s_0+2*s_r+IF(circ_int,eq_c1/2,0))*SIN((((41+0.5)*(4*IF(circ_int,0,eq_c1/2)+4*IF(circ_int,0,eq_c2/2)+2*PI()*(s_0+2*s_r+IF(circ_int,eq_c1/2,0)))/INDEX(lk_legs,3))-(2*IF(circ_int,0,eq_c2/2)))/(s_0+2*s_r+IF(circ_int,eq_c1/2,0))),IF(((41+0.5)*(4*IF(circ_int,0,eq_c1/2)+4*IF(circ_int,0,eq_c2/2)+2*PI()*(s_0+2*s_r+IF(circ_int,eq_c1/2,0)))/INDEX(lk_legs,3))&lt;(((2*IF(circ_int,0,eq_c2/2))+(PI()*(s_0+2*s_r+IF(circ_int,eq_c1/2,0))/2))+2*IF(circ_int,0,eq_c1/2)),IF(circ_int,0,eq_c2/2)+(s_0+2*s_r+IF(circ_int,eq_c1/2,0)),IF(((41+0.5)*(4*IF(circ_int,0,eq_c1/2)+4*IF(circ_int,0,eq_c2/2)+2*PI()*(s_0+2*s_r+IF(circ_int,eq_c1/2,0)))/INDEX(lk_legs,3))&lt;((((2*IF(circ_int,0,eq_c2/2))+(PI()*(s_0+2*s_r+IF(circ_int,eq_c1/2,0))/2))+2*IF(circ_int,0,eq_c1/2))+(PI()*(s_0+2*s_r+IF(circ_int,eq_c1/2,0))/2)),IF(circ_int,0,eq_c2/2)+(s_0+2*s_r+IF(circ_int,eq_c1/2,0))*SIN(PI()/2+(((41+0.5)*(4*IF(circ_int,0,eq_c1/2)+4*IF(circ_int,0,eq_c2/2)+2*PI()*(s_0+2*s_r+IF(circ_int,eq_c1/2,0)))/INDEX(lk_legs,3))-(((2*IF(circ_int,0,eq_c2/2))+(PI()*(s_0+2*s_r+IF(circ_int,eq_c1/2,0))/2))+2*IF(circ_int,0,eq_c1/2)))/(s_0+2*s_r+IF(circ_int,eq_c1/2,0))),IF(((41+0.5)*(4*IF(circ_int,0,eq_c1/2)+4*IF(circ_int,0,eq_c2/2)+2*PI()*(s_0+2*s_r+IF(circ_int,eq_c1/2,0)))/INDEX(lk_legs,3))&lt;(((((2*IF(circ_int,0,eq_c2/2))+(PI()*(s_0+2*s_r+IF(circ_int,eq_c1/2,0))/2))+2*IF(circ_int,0,eq_c1/2))+(PI()*(s_0+2*s_r+IF(circ_int,eq_c1/2,0))/2))+2*IF(circ_int,0,eq_c2/2)),IF(circ_int,0,eq_c2/2)-(((41+0.5)*(4*IF(circ_int,0,eq_c1/2)+4*IF(circ_int,0,eq_c2/2)+2*PI()*(s_0+2*s_r+IF(circ_int,eq_c1/2,0)))/INDEX(lk_legs,3))-((((2*IF(circ_int,0,eq_c2/2))+(PI()*(s_0+2*s_r+IF(circ_int,eq_c1/2,0))/2))+2*IF(circ_int,0,eq_c1/2))+(PI()*(s_0+2*s_r+IF(circ_int,eq_c1/2,0))/2))),IF(((41+0.5)*(4*IF(circ_int,0,eq_c1/2)+4*IF(circ_int,0,eq_c2/2)+2*PI()*(s_0+2*s_r+IF(circ_int,eq_c1/2,0)))/INDEX(lk_legs,3))&lt;((((((2*IF(circ_int,0,eq_c2/2))+(PI()*(s_0+2*s_r+IF(circ_int,eq_c1/2,0))/2))+2*IF(circ_int,0,eq_c1/2))+(PI()*(s_0+2*s_r+IF(circ_int,eq_c1/2,0))/2))+2*IF(circ_int,0,eq_c2/2))+(PI()*(s_0+2*s_r+IF(circ_int,eq_c1/2,0))/2)),-IF(circ_int,0,eq_c2/2)+(s_0+2*s_r+IF(circ_int,eq_c1/2,0))*SIN(PI()+(((41+0.5)*(4*IF(circ_int,0,eq_c1/2)+4*IF(circ_int,0,eq_c2/2)+2*PI()*(s_0+2*s_r+IF(circ_int,eq_c1/2,0)))/INDEX(lk_legs,3))-(((((2*IF(circ_int,0,eq_c2/2))+(PI()*(s_0+2*s_r+IF(circ_int,eq_c1/2,0))/2))+2*IF(circ_int,0,eq_c1/2))+(PI()*(s_0+2*s_r+IF(circ_int,eq_c1/2,0))/2))+2*IF(circ_int,0,eq_c2/2)))/(s_0+2*s_r+IF(circ_int,eq_c1/2,0))),IF(((41+0.5)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(41+0.5)*(4*IF(circ_int,0,eq_c1/2)+4*IF(circ_int,0,eq_c2/2)+2*PI()*(s_0+2*s_r+IF(circ_int,eq_c1/2,0)))/INDEX(lk_legs,3))-(((((((2*IF(circ_int,0,eq_c2/2))+(PI()*(s_0+2*s_r+IF(circ_int,eq_c1/2,0))/2))+2*IF(circ_int,0,eq_c1/2))+(PI()*(s_0+2*s_r+IF(circ_int,eq_c1/2,0))/2))+2*IF(circ_int,0,eq_c2/2))+(PI()*(s_0+2*s_r+IF(circ_int,eq_c1/2,0))/2))+2*IF(circ_int,0,eq_c1/2)))/(s_0+2*s_r+IF(circ_int,eq_c1/2,0)))))))))),NA())</f>
        <v/>
      </c>
      <c r="BO44">
        <f>IF(AND(links_on,4&lt;=n_per),IF(circ_int,(g_ox)+(c_1/2+(s_0+3*s_r))*0.239316,CHOOSE(INDEX(lk_kind,4),(g_ox+eq_c1/2)+((s_0+3*s_r))*0.258819,0,eq_a1+eq_c1+(s_0+3*s_r),eq_a1+eq_c1+(s_0+3*s_r))),NA())</f>
        <v/>
      </c>
      <c r="BP44">
        <f>IF(AND(links_on,4&lt;=n_per),IF(circ_int,(g_oy)+(c_1/2+(s_0+3*s_r))*-0.970942,CHOOSE(INDEX(lk_kind,4),(g_oy-eq_c2/2)+((s_0+3*s_r))*-0.965926,g_oy-eq_c2/2-(s_0+3*s_r),0,0)),NA())</f>
        <v/>
      </c>
      <c r="BR44">
        <f>IF(AND(AND(links_on,4&lt;=n_per),INDEX(lk_kind,4)=1,41&lt;INDEX(lk_legs,4)),g_ox+IF(((41+0.5)*(4*IF(circ_int,0,eq_c1/2)+4*IF(circ_int,0,eq_c2/2)+2*PI()*(s_0+3*s_r+IF(circ_int,eq_c1/2,0)))/INDEX(lk_legs,4))&lt;(2*IF(circ_int,0,eq_c2/2)),IF(circ_int,0,eq_c1/2)+(s_0+3*s_r+IF(circ_int,eq_c1/2,0)),IF(((41+0.5)*(4*IF(circ_int,0,eq_c1/2)+4*IF(circ_int,0,eq_c2/2)+2*PI()*(s_0+3*s_r+IF(circ_int,eq_c1/2,0)))/INDEX(lk_legs,4))&lt;((2*IF(circ_int,0,eq_c2/2))+(PI()*(s_0+3*s_r+IF(circ_int,eq_c1/2,0))/2)),IF(circ_int,0,eq_c1/2)+(s_0+3*s_r+IF(circ_int,eq_c1/2,0))*COS((((41+0.5)*(4*IF(circ_int,0,eq_c1/2)+4*IF(circ_int,0,eq_c2/2)+2*PI()*(s_0+3*s_r+IF(circ_int,eq_c1/2,0)))/INDEX(lk_legs,4))-(2*IF(circ_int,0,eq_c2/2)))/(s_0+3*s_r+IF(circ_int,eq_c1/2,0))),IF(((41+0.5)*(4*IF(circ_int,0,eq_c1/2)+4*IF(circ_int,0,eq_c2/2)+2*PI()*(s_0+3*s_r+IF(circ_int,eq_c1/2,0)))/INDEX(lk_legs,4))&lt;(((2*IF(circ_int,0,eq_c2/2))+(PI()*(s_0+3*s_r+IF(circ_int,eq_c1/2,0))/2))+2*IF(circ_int,0,eq_c1/2)),IF(circ_int,0,eq_c1/2)-(((41+0.5)*(4*IF(circ_int,0,eq_c1/2)+4*IF(circ_int,0,eq_c2/2)+2*PI()*(s_0+3*s_r+IF(circ_int,eq_c1/2,0)))/INDEX(lk_legs,4))-((2*IF(circ_int,0,eq_c2/2))+(PI()*(s_0+3*s_r+IF(circ_int,eq_c1/2,0))/2))),IF(((41+0.5)*(4*IF(circ_int,0,eq_c1/2)+4*IF(circ_int,0,eq_c2/2)+2*PI()*(s_0+3*s_r+IF(circ_int,eq_c1/2,0)))/INDEX(lk_legs,4))&lt;((((2*IF(circ_int,0,eq_c2/2))+(PI()*(s_0+3*s_r+IF(circ_int,eq_c1/2,0))/2))+2*IF(circ_int,0,eq_c1/2))+(PI()*(s_0+3*s_r+IF(circ_int,eq_c1/2,0))/2)),-IF(circ_int,0,eq_c1/2)+(s_0+3*s_r+IF(circ_int,eq_c1/2,0))*COS(PI()/2+(((41+0.5)*(4*IF(circ_int,0,eq_c1/2)+4*IF(circ_int,0,eq_c2/2)+2*PI()*(s_0+3*s_r+IF(circ_int,eq_c1/2,0)))/INDEX(lk_legs,4))-(((2*IF(circ_int,0,eq_c2/2))+(PI()*(s_0+3*s_r+IF(circ_int,eq_c1/2,0))/2))+2*IF(circ_int,0,eq_c1/2)))/(s_0+3*s_r+IF(circ_int,eq_c1/2,0))),IF(((41+0.5)*(4*IF(circ_int,0,eq_c1/2)+4*IF(circ_int,0,eq_c2/2)+2*PI()*(s_0+3*s_r+IF(circ_int,eq_c1/2,0)))/INDEX(lk_legs,4))&lt;(((((2*IF(circ_int,0,eq_c2/2))+(PI()*(s_0+3*s_r+IF(circ_int,eq_c1/2,0))/2))+2*IF(circ_int,0,eq_c1/2))+(PI()*(s_0+3*s_r+IF(circ_int,eq_c1/2,0))/2))+2*IF(circ_int,0,eq_c2/2)),-IF(circ_int,0,eq_c1/2)-(s_0+3*s_r+IF(circ_int,eq_c1/2,0)),IF(((41+0.5)*(4*IF(circ_int,0,eq_c1/2)+4*IF(circ_int,0,eq_c2/2)+2*PI()*(s_0+3*s_r+IF(circ_int,eq_c1/2,0)))/INDEX(lk_legs,4))&lt;((((((2*IF(circ_int,0,eq_c2/2))+(PI()*(s_0+3*s_r+IF(circ_int,eq_c1/2,0))/2))+2*IF(circ_int,0,eq_c1/2))+(PI()*(s_0+3*s_r+IF(circ_int,eq_c1/2,0))/2))+2*IF(circ_int,0,eq_c2/2))+(PI()*(s_0+3*s_r+IF(circ_int,eq_c1/2,0))/2)),-IF(circ_int,0,eq_c1/2)+(s_0+3*s_r+IF(circ_int,eq_c1/2,0))*COS(PI()+(((41+0.5)*(4*IF(circ_int,0,eq_c1/2)+4*IF(circ_int,0,eq_c2/2)+2*PI()*(s_0+3*s_r+IF(circ_int,eq_c1/2,0)))/INDEX(lk_legs,4))-(((((2*IF(circ_int,0,eq_c2/2))+(PI()*(s_0+3*s_r+IF(circ_int,eq_c1/2,0))/2))+2*IF(circ_int,0,eq_c1/2))+(PI()*(s_0+3*s_r+IF(circ_int,eq_c1/2,0))/2))+2*IF(circ_int,0,eq_c2/2)))/(s_0+3*s_r+IF(circ_int,eq_c1/2,0))),IF(((41+0.5)*(4*IF(circ_int,0,eq_c1/2)+4*IF(circ_int,0,eq_c2/2)+2*PI()*(s_0+3*s_r+IF(circ_int,eq_c1/2,0)))/INDEX(lk_legs,4))&lt;(((((((2*IF(circ_int,0,eq_c2/2))+(PI()*(s_0+3*s_r+IF(circ_int,eq_c1/2,0))/2))+2*IF(circ_int,0,eq_c1/2))+(PI()*(s_0+3*s_r+IF(circ_int,eq_c1/2,0))/2))+2*IF(circ_int,0,eq_c2/2))+(PI()*(s_0+3*s_r+IF(circ_int,eq_c1/2,0))/2))+2*IF(circ_int,0,eq_c1/2)),-IF(circ_int,0,eq_c1/2)+(((41+0.5)*(4*IF(circ_int,0,eq_c1/2)+4*IF(circ_int,0,eq_c2/2)+2*PI()*(s_0+3*s_r+IF(circ_int,eq_c1/2,0)))/INDEX(lk_legs,4))-((((((2*IF(circ_int,0,eq_c2/2))+(PI()*(s_0+3*s_r+IF(circ_int,eq_c1/2,0))/2))+2*IF(circ_int,0,eq_c1/2))+(PI()*(s_0+3*s_r+IF(circ_int,eq_c1/2,0))/2))+2*IF(circ_int,0,eq_c2/2))+(PI()*(s_0+3*s_r+IF(circ_int,eq_c1/2,0))/2))),IF(circ_int,0,eq_c1/2)+(s_0+3*s_r+IF(circ_int,eq_c1/2,0))*COS(3*PI()/2+(((41+0.5)*(4*IF(circ_int,0,eq_c1/2)+4*IF(circ_int,0,eq_c2/2)+2*PI()*(s_0+3*s_r+IF(circ_int,eq_c1/2,0)))/INDEX(lk_legs,4))-(((((((2*IF(circ_int,0,eq_c2/2))+(PI()*(s_0+3*s_r+IF(circ_int,eq_c1/2,0))/2))+2*IF(circ_int,0,eq_c1/2))+(PI()*(s_0+3*s_r+IF(circ_int,eq_c1/2,0))/2))+2*IF(circ_int,0,eq_c2/2))+(PI()*(s_0+3*s_r+IF(circ_int,eq_c1/2,0))/2))+2*IF(circ_int,0,eq_c1/2)))/(s_0+3*s_r+IF(circ_int,eq_c1/2,0)))))))))),NA())</f>
        <v/>
      </c>
      <c r="BS44">
        <f>IF(AND(AND(links_on,4&lt;=n_per),INDEX(lk_kind,4)=1,41&lt;INDEX(lk_legs,4)),g_oy+IF(((41+0.5)*(4*IF(circ_int,0,eq_c1/2)+4*IF(circ_int,0,eq_c2/2)+2*PI()*(s_0+3*s_r+IF(circ_int,eq_c1/2,0)))/INDEX(lk_legs,4))&lt;(2*IF(circ_int,0,eq_c2/2)),-IF(circ_int,0,eq_c2/2)+((41+0.5)*(4*IF(circ_int,0,eq_c1/2)+4*IF(circ_int,0,eq_c2/2)+2*PI()*(s_0+3*s_r+IF(circ_int,eq_c1/2,0)))/INDEX(lk_legs,4)),IF(((41+0.5)*(4*IF(circ_int,0,eq_c1/2)+4*IF(circ_int,0,eq_c2/2)+2*PI()*(s_0+3*s_r+IF(circ_int,eq_c1/2,0)))/INDEX(lk_legs,4))&lt;((2*IF(circ_int,0,eq_c2/2))+(PI()*(s_0+3*s_r+IF(circ_int,eq_c1/2,0))/2)),IF(circ_int,0,eq_c2/2)+(s_0+3*s_r+IF(circ_int,eq_c1/2,0))*SIN((((41+0.5)*(4*IF(circ_int,0,eq_c1/2)+4*IF(circ_int,0,eq_c2/2)+2*PI()*(s_0+3*s_r+IF(circ_int,eq_c1/2,0)))/INDEX(lk_legs,4))-(2*IF(circ_int,0,eq_c2/2)))/(s_0+3*s_r+IF(circ_int,eq_c1/2,0))),IF(((41+0.5)*(4*IF(circ_int,0,eq_c1/2)+4*IF(circ_int,0,eq_c2/2)+2*PI()*(s_0+3*s_r+IF(circ_int,eq_c1/2,0)))/INDEX(lk_legs,4))&lt;(((2*IF(circ_int,0,eq_c2/2))+(PI()*(s_0+3*s_r+IF(circ_int,eq_c1/2,0))/2))+2*IF(circ_int,0,eq_c1/2)),IF(circ_int,0,eq_c2/2)+(s_0+3*s_r+IF(circ_int,eq_c1/2,0)),IF(((41+0.5)*(4*IF(circ_int,0,eq_c1/2)+4*IF(circ_int,0,eq_c2/2)+2*PI()*(s_0+3*s_r+IF(circ_int,eq_c1/2,0)))/INDEX(lk_legs,4))&lt;((((2*IF(circ_int,0,eq_c2/2))+(PI()*(s_0+3*s_r+IF(circ_int,eq_c1/2,0))/2))+2*IF(circ_int,0,eq_c1/2))+(PI()*(s_0+3*s_r+IF(circ_int,eq_c1/2,0))/2)),IF(circ_int,0,eq_c2/2)+(s_0+3*s_r+IF(circ_int,eq_c1/2,0))*SIN(PI()/2+(((41+0.5)*(4*IF(circ_int,0,eq_c1/2)+4*IF(circ_int,0,eq_c2/2)+2*PI()*(s_0+3*s_r+IF(circ_int,eq_c1/2,0)))/INDEX(lk_legs,4))-(((2*IF(circ_int,0,eq_c2/2))+(PI()*(s_0+3*s_r+IF(circ_int,eq_c1/2,0))/2))+2*IF(circ_int,0,eq_c1/2)))/(s_0+3*s_r+IF(circ_int,eq_c1/2,0))),IF(((41+0.5)*(4*IF(circ_int,0,eq_c1/2)+4*IF(circ_int,0,eq_c2/2)+2*PI()*(s_0+3*s_r+IF(circ_int,eq_c1/2,0)))/INDEX(lk_legs,4))&lt;(((((2*IF(circ_int,0,eq_c2/2))+(PI()*(s_0+3*s_r+IF(circ_int,eq_c1/2,0))/2))+2*IF(circ_int,0,eq_c1/2))+(PI()*(s_0+3*s_r+IF(circ_int,eq_c1/2,0))/2))+2*IF(circ_int,0,eq_c2/2)),IF(circ_int,0,eq_c2/2)-(((41+0.5)*(4*IF(circ_int,0,eq_c1/2)+4*IF(circ_int,0,eq_c2/2)+2*PI()*(s_0+3*s_r+IF(circ_int,eq_c1/2,0)))/INDEX(lk_legs,4))-((((2*IF(circ_int,0,eq_c2/2))+(PI()*(s_0+3*s_r+IF(circ_int,eq_c1/2,0))/2))+2*IF(circ_int,0,eq_c1/2))+(PI()*(s_0+3*s_r+IF(circ_int,eq_c1/2,0))/2))),IF(((41+0.5)*(4*IF(circ_int,0,eq_c1/2)+4*IF(circ_int,0,eq_c2/2)+2*PI()*(s_0+3*s_r+IF(circ_int,eq_c1/2,0)))/INDEX(lk_legs,4))&lt;((((((2*IF(circ_int,0,eq_c2/2))+(PI()*(s_0+3*s_r+IF(circ_int,eq_c1/2,0))/2))+2*IF(circ_int,0,eq_c1/2))+(PI()*(s_0+3*s_r+IF(circ_int,eq_c1/2,0))/2))+2*IF(circ_int,0,eq_c2/2))+(PI()*(s_0+3*s_r+IF(circ_int,eq_c1/2,0))/2)),-IF(circ_int,0,eq_c2/2)+(s_0+3*s_r+IF(circ_int,eq_c1/2,0))*SIN(PI()+(((41+0.5)*(4*IF(circ_int,0,eq_c1/2)+4*IF(circ_int,0,eq_c2/2)+2*PI()*(s_0+3*s_r+IF(circ_int,eq_c1/2,0)))/INDEX(lk_legs,4))-(((((2*IF(circ_int,0,eq_c2/2))+(PI()*(s_0+3*s_r+IF(circ_int,eq_c1/2,0))/2))+2*IF(circ_int,0,eq_c1/2))+(PI()*(s_0+3*s_r+IF(circ_int,eq_c1/2,0))/2))+2*IF(circ_int,0,eq_c2/2)))/(s_0+3*s_r+IF(circ_int,eq_c1/2,0))),IF(((41+0.5)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(41+0.5)*(4*IF(circ_int,0,eq_c1/2)+4*IF(circ_int,0,eq_c2/2)+2*PI()*(s_0+3*s_r+IF(circ_int,eq_c1/2,0)))/INDEX(lk_legs,4))-(((((((2*IF(circ_int,0,eq_c2/2))+(PI()*(s_0+3*s_r+IF(circ_int,eq_c1/2,0))/2))+2*IF(circ_int,0,eq_c1/2))+(PI()*(s_0+3*s_r+IF(circ_int,eq_c1/2,0))/2))+2*IF(circ_int,0,eq_c2/2))+(PI()*(s_0+3*s_r+IF(circ_int,eq_c1/2,0))/2))+2*IF(circ_int,0,eq_c1/2)))/(s_0+3*s_r+IF(circ_int,eq_c1/2,0)))))))))),NA())</f>
        <v/>
      </c>
      <c r="BU44">
        <f>IF(AND(links_on,5&lt;=n_per),IF(circ_int,(g_ox)+(c_1/2+(s_0+4*s_r))*0.239316,CHOOSE(INDEX(lk_kind,5),(g_ox+eq_c1/2)+((s_0+4*s_r))*0.258819,0,eq_a1+eq_c1+(s_0+4*s_r),eq_a1+eq_c1+(s_0+4*s_r))),NA())</f>
        <v/>
      </c>
      <c r="BV44">
        <f>IF(AND(links_on,5&lt;=n_per),IF(circ_int,(g_oy)+(c_1/2+(s_0+4*s_r))*-0.970942,CHOOSE(INDEX(lk_kind,5),(g_oy-eq_c2/2)+((s_0+4*s_r))*-0.965926,g_oy-eq_c2/2-(s_0+4*s_r),0,0)),NA())</f>
        <v/>
      </c>
      <c r="BX44">
        <f>IF(AND(AND(links_on,5&lt;=n_per),INDEX(lk_kind,5)=1,41&lt;INDEX(lk_legs,5)),g_ox+IF(((41+0.5)*(4*IF(circ_int,0,eq_c1/2)+4*IF(circ_int,0,eq_c2/2)+2*PI()*(s_0+4*s_r+IF(circ_int,eq_c1/2,0)))/INDEX(lk_legs,5))&lt;(2*IF(circ_int,0,eq_c2/2)),IF(circ_int,0,eq_c1/2)+(s_0+4*s_r+IF(circ_int,eq_c1/2,0)),IF(((41+0.5)*(4*IF(circ_int,0,eq_c1/2)+4*IF(circ_int,0,eq_c2/2)+2*PI()*(s_0+4*s_r+IF(circ_int,eq_c1/2,0)))/INDEX(lk_legs,5))&lt;((2*IF(circ_int,0,eq_c2/2))+(PI()*(s_0+4*s_r+IF(circ_int,eq_c1/2,0))/2)),IF(circ_int,0,eq_c1/2)+(s_0+4*s_r+IF(circ_int,eq_c1/2,0))*COS((((41+0.5)*(4*IF(circ_int,0,eq_c1/2)+4*IF(circ_int,0,eq_c2/2)+2*PI()*(s_0+4*s_r+IF(circ_int,eq_c1/2,0)))/INDEX(lk_legs,5))-(2*IF(circ_int,0,eq_c2/2)))/(s_0+4*s_r+IF(circ_int,eq_c1/2,0))),IF(((41+0.5)*(4*IF(circ_int,0,eq_c1/2)+4*IF(circ_int,0,eq_c2/2)+2*PI()*(s_0+4*s_r+IF(circ_int,eq_c1/2,0)))/INDEX(lk_legs,5))&lt;(((2*IF(circ_int,0,eq_c2/2))+(PI()*(s_0+4*s_r+IF(circ_int,eq_c1/2,0))/2))+2*IF(circ_int,0,eq_c1/2)),IF(circ_int,0,eq_c1/2)-(((41+0.5)*(4*IF(circ_int,0,eq_c1/2)+4*IF(circ_int,0,eq_c2/2)+2*PI()*(s_0+4*s_r+IF(circ_int,eq_c1/2,0)))/INDEX(lk_legs,5))-((2*IF(circ_int,0,eq_c2/2))+(PI()*(s_0+4*s_r+IF(circ_int,eq_c1/2,0))/2))),IF(((41+0.5)*(4*IF(circ_int,0,eq_c1/2)+4*IF(circ_int,0,eq_c2/2)+2*PI()*(s_0+4*s_r+IF(circ_int,eq_c1/2,0)))/INDEX(lk_legs,5))&lt;((((2*IF(circ_int,0,eq_c2/2))+(PI()*(s_0+4*s_r+IF(circ_int,eq_c1/2,0))/2))+2*IF(circ_int,0,eq_c1/2))+(PI()*(s_0+4*s_r+IF(circ_int,eq_c1/2,0))/2)),-IF(circ_int,0,eq_c1/2)+(s_0+4*s_r+IF(circ_int,eq_c1/2,0))*COS(PI()/2+(((41+0.5)*(4*IF(circ_int,0,eq_c1/2)+4*IF(circ_int,0,eq_c2/2)+2*PI()*(s_0+4*s_r+IF(circ_int,eq_c1/2,0)))/INDEX(lk_legs,5))-(((2*IF(circ_int,0,eq_c2/2))+(PI()*(s_0+4*s_r+IF(circ_int,eq_c1/2,0))/2))+2*IF(circ_int,0,eq_c1/2)))/(s_0+4*s_r+IF(circ_int,eq_c1/2,0))),IF(((41+0.5)*(4*IF(circ_int,0,eq_c1/2)+4*IF(circ_int,0,eq_c2/2)+2*PI()*(s_0+4*s_r+IF(circ_int,eq_c1/2,0)))/INDEX(lk_legs,5))&lt;(((((2*IF(circ_int,0,eq_c2/2))+(PI()*(s_0+4*s_r+IF(circ_int,eq_c1/2,0))/2))+2*IF(circ_int,0,eq_c1/2))+(PI()*(s_0+4*s_r+IF(circ_int,eq_c1/2,0))/2))+2*IF(circ_int,0,eq_c2/2)),-IF(circ_int,0,eq_c1/2)-(s_0+4*s_r+IF(circ_int,eq_c1/2,0)),IF(((41+0.5)*(4*IF(circ_int,0,eq_c1/2)+4*IF(circ_int,0,eq_c2/2)+2*PI()*(s_0+4*s_r+IF(circ_int,eq_c1/2,0)))/INDEX(lk_legs,5))&lt;((((((2*IF(circ_int,0,eq_c2/2))+(PI()*(s_0+4*s_r+IF(circ_int,eq_c1/2,0))/2))+2*IF(circ_int,0,eq_c1/2))+(PI()*(s_0+4*s_r+IF(circ_int,eq_c1/2,0))/2))+2*IF(circ_int,0,eq_c2/2))+(PI()*(s_0+4*s_r+IF(circ_int,eq_c1/2,0))/2)),-IF(circ_int,0,eq_c1/2)+(s_0+4*s_r+IF(circ_int,eq_c1/2,0))*COS(PI()+(((41+0.5)*(4*IF(circ_int,0,eq_c1/2)+4*IF(circ_int,0,eq_c2/2)+2*PI()*(s_0+4*s_r+IF(circ_int,eq_c1/2,0)))/INDEX(lk_legs,5))-(((((2*IF(circ_int,0,eq_c2/2))+(PI()*(s_0+4*s_r+IF(circ_int,eq_c1/2,0))/2))+2*IF(circ_int,0,eq_c1/2))+(PI()*(s_0+4*s_r+IF(circ_int,eq_c1/2,0))/2))+2*IF(circ_int,0,eq_c2/2)))/(s_0+4*s_r+IF(circ_int,eq_c1/2,0))),IF(((41+0.5)*(4*IF(circ_int,0,eq_c1/2)+4*IF(circ_int,0,eq_c2/2)+2*PI()*(s_0+4*s_r+IF(circ_int,eq_c1/2,0)))/INDEX(lk_legs,5))&lt;(((((((2*IF(circ_int,0,eq_c2/2))+(PI()*(s_0+4*s_r+IF(circ_int,eq_c1/2,0))/2))+2*IF(circ_int,0,eq_c1/2))+(PI()*(s_0+4*s_r+IF(circ_int,eq_c1/2,0))/2))+2*IF(circ_int,0,eq_c2/2))+(PI()*(s_0+4*s_r+IF(circ_int,eq_c1/2,0))/2))+2*IF(circ_int,0,eq_c1/2)),-IF(circ_int,0,eq_c1/2)+(((41+0.5)*(4*IF(circ_int,0,eq_c1/2)+4*IF(circ_int,0,eq_c2/2)+2*PI()*(s_0+4*s_r+IF(circ_int,eq_c1/2,0)))/INDEX(lk_legs,5))-((((((2*IF(circ_int,0,eq_c2/2))+(PI()*(s_0+4*s_r+IF(circ_int,eq_c1/2,0))/2))+2*IF(circ_int,0,eq_c1/2))+(PI()*(s_0+4*s_r+IF(circ_int,eq_c1/2,0))/2))+2*IF(circ_int,0,eq_c2/2))+(PI()*(s_0+4*s_r+IF(circ_int,eq_c1/2,0))/2))),IF(circ_int,0,eq_c1/2)+(s_0+4*s_r+IF(circ_int,eq_c1/2,0))*COS(3*PI()/2+(((41+0.5)*(4*IF(circ_int,0,eq_c1/2)+4*IF(circ_int,0,eq_c2/2)+2*PI()*(s_0+4*s_r+IF(circ_int,eq_c1/2,0)))/INDEX(lk_legs,5))-(((((((2*IF(circ_int,0,eq_c2/2))+(PI()*(s_0+4*s_r+IF(circ_int,eq_c1/2,0))/2))+2*IF(circ_int,0,eq_c1/2))+(PI()*(s_0+4*s_r+IF(circ_int,eq_c1/2,0))/2))+2*IF(circ_int,0,eq_c2/2))+(PI()*(s_0+4*s_r+IF(circ_int,eq_c1/2,0))/2))+2*IF(circ_int,0,eq_c1/2)))/(s_0+4*s_r+IF(circ_int,eq_c1/2,0)))))))))),NA())</f>
        <v/>
      </c>
      <c r="BY44">
        <f>IF(AND(AND(links_on,5&lt;=n_per),INDEX(lk_kind,5)=1,41&lt;INDEX(lk_legs,5)),g_oy+IF(((41+0.5)*(4*IF(circ_int,0,eq_c1/2)+4*IF(circ_int,0,eq_c2/2)+2*PI()*(s_0+4*s_r+IF(circ_int,eq_c1/2,0)))/INDEX(lk_legs,5))&lt;(2*IF(circ_int,0,eq_c2/2)),-IF(circ_int,0,eq_c2/2)+((41+0.5)*(4*IF(circ_int,0,eq_c1/2)+4*IF(circ_int,0,eq_c2/2)+2*PI()*(s_0+4*s_r+IF(circ_int,eq_c1/2,0)))/INDEX(lk_legs,5)),IF(((41+0.5)*(4*IF(circ_int,0,eq_c1/2)+4*IF(circ_int,0,eq_c2/2)+2*PI()*(s_0+4*s_r+IF(circ_int,eq_c1/2,0)))/INDEX(lk_legs,5))&lt;((2*IF(circ_int,0,eq_c2/2))+(PI()*(s_0+4*s_r+IF(circ_int,eq_c1/2,0))/2)),IF(circ_int,0,eq_c2/2)+(s_0+4*s_r+IF(circ_int,eq_c1/2,0))*SIN((((41+0.5)*(4*IF(circ_int,0,eq_c1/2)+4*IF(circ_int,0,eq_c2/2)+2*PI()*(s_0+4*s_r+IF(circ_int,eq_c1/2,0)))/INDEX(lk_legs,5))-(2*IF(circ_int,0,eq_c2/2)))/(s_0+4*s_r+IF(circ_int,eq_c1/2,0))),IF(((41+0.5)*(4*IF(circ_int,0,eq_c1/2)+4*IF(circ_int,0,eq_c2/2)+2*PI()*(s_0+4*s_r+IF(circ_int,eq_c1/2,0)))/INDEX(lk_legs,5))&lt;(((2*IF(circ_int,0,eq_c2/2))+(PI()*(s_0+4*s_r+IF(circ_int,eq_c1/2,0))/2))+2*IF(circ_int,0,eq_c1/2)),IF(circ_int,0,eq_c2/2)+(s_0+4*s_r+IF(circ_int,eq_c1/2,0)),IF(((41+0.5)*(4*IF(circ_int,0,eq_c1/2)+4*IF(circ_int,0,eq_c2/2)+2*PI()*(s_0+4*s_r+IF(circ_int,eq_c1/2,0)))/INDEX(lk_legs,5))&lt;((((2*IF(circ_int,0,eq_c2/2))+(PI()*(s_0+4*s_r+IF(circ_int,eq_c1/2,0))/2))+2*IF(circ_int,0,eq_c1/2))+(PI()*(s_0+4*s_r+IF(circ_int,eq_c1/2,0))/2)),IF(circ_int,0,eq_c2/2)+(s_0+4*s_r+IF(circ_int,eq_c1/2,0))*SIN(PI()/2+(((41+0.5)*(4*IF(circ_int,0,eq_c1/2)+4*IF(circ_int,0,eq_c2/2)+2*PI()*(s_0+4*s_r+IF(circ_int,eq_c1/2,0)))/INDEX(lk_legs,5))-(((2*IF(circ_int,0,eq_c2/2))+(PI()*(s_0+4*s_r+IF(circ_int,eq_c1/2,0))/2))+2*IF(circ_int,0,eq_c1/2)))/(s_0+4*s_r+IF(circ_int,eq_c1/2,0))),IF(((41+0.5)*(4*IF(circ_int,0,eq_c1/2)+4*IF(circ_int,0,eq_c2/2)+2*PI()*(s_0+4*s_r+IF(circ_int,eq_c1/2,0)))/INDEX(lk_legs,5))&lt;(((((2*IF(circ_int,0,eq_c2/2))+(PI()*(s_0+4*s_r+IF(circ_int,eq_c1/2,0))/2))+2*IF(circ_int,0,eq_c1/2))+(PI()*(s_0+4*s_r+IF(circ_int,eq_c1/2,0))/2))+2*IF(circ_int,0,eq_c2/2)),IF(circ_int,0,eq_c2/2)-(((41+0.5)*(4*IF(circ_int,0,eq_c1/2)+4*IF(circ_int,0,eq_c2/2)+2*PI()*(s_0+4*s_r+IF(circ_int,eq_c1/2,0)))/INDEX(lk_legs,5))-((((2*IF(circ_int,0,eq_c2/2))+(PI()*(s_0+4*s_r+IF(circ_int,eq_c1/2,0))/2))+2*IF(circ_int,0,eq_c1/2))+(PI()*(s_0+4*s_r+IF(circ_int,eq_c1/2,0))/2))),IF(((41+0.5)*(4*IF(circ_int,0,eq_c1/2)+4*IF(circ_int,0,eq_c2/2)+2*PI()*(s_0+4*s_r+IF(circ_int,eq_c1/2,0)))/INDEX(lk_legs,5))&lt;((((((2*IF(circ_int,0,eq_c2/2))+(PI()*(s_0+4*s_r+IF(circ_int,eq_c1/2,0))/2))+2*IF(circ_int,0,eq_c1/2))+(PI()*(s_0+4*s_r+IF(circ_int,eq_c1/2,0))/2))+2*IF(circ_int,0,eq_c2/2))+(PI()*(s_0+4*s_r+IF(circ_int,eq_c1/2,0))/2)),-IF(circ_int,0,eq_c2/2)+(s_0+4*s_r+IF(circ_int,eq_c1/2,0))*SIN(PI()+(((41+0.5)*(4*IF(circ_int,0,eq_c1/2)+4*IF(circ_int,0,eq_c2/2)+2*PI()*(s_0+4*s_r+IF(circ_int,eq_c1/2,0)))/INDEX(lk_legs,5))-(((((2*IF(circ_int,0,eq_c2/2))+(PI()*(s_0+4*s_r+IF(circ_int,eq_c1/2,0))/2))+2*IF(circ_int,0,eq_c1/2))+(PI()*(s_0+4*s_r+IF(circ_int,eq_c1/2,0))/2))+2*IF(circ_int,0,eq_c2/2)))/(s_0+4*s_r+IF(circ_int,eq_c1/2,0))),IF(((41+0.5)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(41+0.5)*(4*IF(circ_int,0,eq_c1/2)+4*IF(circ_int,0,eq_c2/2)+2*PI()*(s_0+4*s_r+IF(circ_int,eq_c1/2,0)))/INDEX(lk_legs,5))-(((((((2*IF(circ_int,0,eq_c2/2))+(PI()*(s_0+4*s_r+IF(circ_int,eq_c1/2,0))/2))+2*IF(circ_int,0,eq_c1/2))+(PI()*(s_0+4*s_r+IF(circ_int,eq_c1/2,0))/2))+2*IF(circ_int,0,eq_c2/2))+(PI()*(s_0+4*s_r+IF(circ_int,eq_c1/2,0))/2))+2*IF(circ_int,0,eq_c1/2)))/(s_0+4*s_r+IF(circ_int,eq_c1/2,0)))))))))),NA())</f>
        <v/>
      </c>
      <c r="CA44">
        <f>IF(AND(links_on,6&lt;=n_per),IF(circ_int,(g_ox)+(c_1/2+(s_0+5*s_r))*0.239316,CHOOSE(INDEX(lk_kind,6),(g_ox+eq_c1/2)+((s_0+5*s_r))*0.258819,0,eq_a1+eq_c1+(s_0+5*s_r),eq_a1+eq_c1+(s_0+5*s_r))),NA())</f>
        <v/>
      </c>
      <c r="CB44">
        <f>IF(AND(links_on,6&lt;=n_per),IF(circ_int,(g_oy)+(c_1/2+(s_0+5*s_r))*-0.970942,CHOOSE(INDEX(lk_kind,6),(g_oy-eq_c2/2)+((s_0+5*s_r))*-0.965926,g_oy-eq_c2/2-(s_0+5*s_r),0,0)),NA())</f>
        <v/>
      </c>
      <c r="CD44">
        <f>IF(AND(AND(links_on,6&lt;=n_per),INDEX(lk_kind,6)=1,41&lt;INDEX(lk_legs,6)),g_ox+IF(((41+0.5)*(4*IF(circ_int,0,eq_c1/2)+4*IF(circ_int,0,eq_c2/2)+2*PI()*(s_0+5*s_r+IF(circ_int,eq_c1/2,0)))/INDEX(lk_legs,6))&lt;(2*IF(circ_int,0,eq_c2/2)),IF(circ_int,0,eq_c1/2)+(s_0+5*s_r+IF(circ_int,eq_c1/2,0)),IF(((41+0.5)*(4*IF(circ_int,0,eq_c1/2)+4*IF(circ_int,0,eq_c2/2)+2*PI()*(s_0+5*s_r+IF(circ_int,eq_c1/2,0)))/INDEX(lk_legs,6))&lt;((2*IF(circ_int,0,eq_c2/2))+(PI()*(s_0+5*s_r+IF(circ_int,eq_c1/2,0))/2)),IF(circ_int,0,eq_c1/2)+(s_0+5*s_r+IF(circ_int,eq_c1/2,0))*COS((((41+0.5)*(4*IF(circ_int,0,eq_c1/2)+4*IF(circ_int,0,eq_c2/2)+2*PI()*(s_0+5*s_r+IF(circ_int,eq_c1/2,0)))/INDEX(lk_legs,6))-(2*IF(circ_int,0,eq_c2/2)))/(s_0+5*s_r+IF(circ_int,eq_c1/2,0))),IF(((41+0.5)*(4*IF(circ_int,0,eq_c1/2)+4*IF(circ_int,0,eq_c2/2)+2*PI()*(s_0+5*s_r+IF(circ_int,eq_c1/2,0)))/INDEX(lk_legs,6))&lt;(((2*IF(circ_int,0,eq_c2/2))+(PI()*(s_0+5*s_r+IF(circ_int,eq_c1/2,0))/2))+2*IF(circ_int,0,eq_c1/2)),IF(circ_int,0,eq_c1/2)-(((41+0.5)*(4*IF(circ_int,0,eq_c1/2)+4*IF(circ_int,0,eq_c2/2)+2*PI()*(s_0+5*s_r+IF(circ_int,eq_c1/2,0)))/INDEX(lk_legs,6))-((2*IF(circ_int,0,eq_c2/2))+(PI()*(s_0+5*s_r+IF(circ_int,eq_c1/2,0))/2))),IF(((41+0.5)*(4*IF(circ_int,0,eq_c1/2)+4*IF(circ_int,0,eq_c2/2)+2*PI()*(s_0+5*s_r+IF(circ_int,eq_c1/2,0)))/INDEX(lk_legs,6))&lt;((((2*IF(circ_int,0,eq_c2/2))+(PI()*(s_0+5*s_r+IF(circ_int,eq_c1/2,0))/2))+2*IF(circ_int,0,eq_c1/2))+(PI()*(s_0+5*s_r+IF(circ_int,eq_c1/2,0))/2)),-IF(circ_int,0,eq_c1/2)+(s_0+5*s_r+IF(circ_int,eq_c1/2,0))*COS(PI()/2+(((41+0.5)*(4*IF(circ_int,0,eq_c1/2)+4*IF(circ_int,0,eq_c2/2)+2*PI()*(s_0+5*s_r+IF(circ_int,eq_c1/2,0)))/INDEX(lk_legs,6))-(((2*IF(circ_int,0,eq_c2/2))+(PI()*(s_0+5*s_r+IF(circ_int,eq_c1/2,0))/2))+2*IF(circ_int,0,eq_c1/2)))/(s_0+5*s_r+IF(circ_int,eq_c1/2,0))),IF(((41+0.5)*(4*IF(circ_int,0,eq_c1/2)+4*IF(circ_int,0,eq_c2/2)+2*PI()*(s_0+5*s_r+IF(circ_int,eq_c1/2,0)))/INDEX(lk_legs,6))&lt;(((((2*IF(circ_int,0,eq_c2/2))+(PI()*(s_0+5*s_r+IF(circ_int,eq_c1/2,0))/2))+2*IF(circ_int,0,eq_c1/2))+(PI()*(s_0+5*s_r+IF(circ_int,eq_c1/2,0))/2))+2*IF(circ_int,0,eq_c2/2)),-IF(circ_int,0,eq_c1/2)-(s_0+5*s_r+IF(circ_int,eq_c1/2,0)),IF(((41+0.5)*(4*IF(circ_int,0,eq_c1/2)+4*IF(circ_int,0,eq_c2/2)+2*PI()*(s_0+5*s_r+IF(circ_int,eq_c1/2,0)))/INDEX(lk_legs,6))&lt;((((((2*IF(circ_int,0,eq_c2/2))+(PI()*(s_0+5*s_r+IF(circ_int,eq_c1/2,0))/2))+2*IF(circ_int,0,eq_c1/2))+(PI()*(s_0+5*s_r+IF(circ_int,eq_c1/2,0))/2))+2*IF(circ_int,0,eq_c2/2))+(PI()*(s_0+5*s_r+IF(circ_int,eq_c1/2,0))/2)),-IF(circ_int,0,eq_c1/2)+(s_0+5*s_r+IF(circ_int,eq_c1/2,0))*COS(PI()+(((41+0.5)*(4*IF(circ_int,0,eq_c1/2)+4*IF(circ_int,0,eq_c2/2)+2*PI()*(s_0+5*s_r+IF(circ_int,eq_c1/2,0)))/INDEX(lk_legs,6))-(((((2*IF(circ_int,0,eq_c2/2))+(PI()*(s_0+5*s_r+IF(circ_int,eq_c1/2,0))/2))+2*IF(circ_int,0,eq_c1/2))+(PI()*(s_0+5*s_r+IF(circ_int,eq_c1/2,0))/2))+2*IF(circ_int,0,eq_c2/2)))/(s_0+5*s_r+IF(circ_int,eq_c1/2,0))),IF(((41+0.5)*(4*IF(circ_int,0,eq_c1/2)+4*IF(circ_int,0,eq_c2/2)+2*PI()*(s_0+5*s_r+IF(circ_int,eq_c1/2,0)))/INDEX(lk_legs,6))&lt;(((((((2*IF(circ_int,0,eq_c2/2))+(PI()*(s_0+5*s_r+IF(circ_int,eq_c1/2,0))/2))+2*IF(circ_int,0,eq_c1/2))+(PI()*(s_0+5*s_r+IF(circ_int,eq_c1/2,0))/2))+2*IF(circ_int,0,eq_c2/2))+(PI()*(s_0+5*s_r+IF(circ_int,eq_c1/2,0))/2))+2*IF(circ_int,0,eq_c1/2)),-IF(circ_int,0,eq_c1/2)+(((41+0.5)*(4*IF(circ_int,0,eq_c1/2)+4*IF(circ_int,0,eq_c2/2)+2*PI()*(s_0+5*s_r+IF(circ_int,eq_c1/2,0)))/INDEX(lk_legs,6))-((((((2*IF(circ_int,0,eq_c2/2))+(PI()*(s_0+5*s_r+IF(circ_int,eq_c1/2,0))/2))+2*IF(circ_int,0,eq_c1/2))+(PI()*(s_0+5*s_r+IF(circ_int,eq_c1/2,0))/2))+2*IF(circ_int,0,eq_c2/2))+(PI()*(s_0+5*s_r+IF(circ_int,eq_c1/2,0))/2))),IF(circ_int,0,eq_c1/2)+(s_0+5*s_r+IF(circ_int,eq_c1/2,0))*COS(3*PI()/2+(((41+0.5)*(4*IF(circ_int,0,eq_c1/2)+4*IF(circ_int,0,eq_c2/2)+2*PI()*(s_0+5*s_r+IF(circ_int,eq_c1/2,0)))/INDEX(lk_legs,6))-(((((((2*IF(circ_int,0,eq_c2/2))+(PI()*(s_0+5*s_r+IF(circ_int,eq_c1/2,0))/2))+2*IF(circ_int,0,eq_c1/2))+(PI()*(s_0+5*s_r+IF(circ_int,eq_c1/2,0))/2))+2*IF(circ_int,0,eq_c2/2))+(PI()*(s_0+5*s_r+IF(circ_int,eq_c1/2,0))/2))+2*IF(circ_int,0,eq_c1/2)))/(s_0+5*s_r+IF(circ_int,eq_c1/2,0)))))))))),NA())</f>
        <v/>
      </c>
      <c r="CE44">
        <f>IF(AND(AND(links_on,6&lt;=n_per),INDEX(lk_kind,6)=1,41&lt;INDEX(lk_legs,6)),g_oy+IF(((41+0.5)*(4*IF(circ_int,0,eq_c1/2)+4*IF(circ_int,0,eq_c2/2)+2*PI()*(s_0+5*s_r+IF(circ_int,eq_c1/2,0)))/INDEX(lk_legs,6))&lt;(2*IF(circ_int,0,eq_c2/2)),-IF(circ_int,0,eq_c2/2)+((41+0.5)*(4*IF(circ_int,0,eq_c1/2)+4*IF(circ_int,0,eq_c2/2)+2*PI()*(s_0+5*s_r+IF(circ_int,eq_c1/2,0)))/INDEX(lk_legs,6)),IF(((41+0.5)*(4*IF(circ_int,0,eq_c1/2)+4*IF(circ_int,0,eq_c2/2)+2*PI()*(s_0+5*s_r+IF(circ_int,eq_c1/2,0)))/INDEX(lk_legs,6))&lt;((2*IF(circ_int,0,eq_c2/2))+(PI()*(s_0+5*s_r+IF(circ_int,eq_c1/2,0))/2)),IF(circ_int,0,eq_c2/2)+(s_0+5*s_r+IF(circ_int,eq_c1/2,0))*SIN((((41+0.5)*(4*IF(circ_int,0,eq_c1/2)+4*IF(circ_int,0,eq_c2/2)+2*PI()*(s_0+5*s_r+IF(circ_int,eq_c1/2,0)))/INDEX(lk_legs,6))-(2*IF(circ_int,0,eq_c2/2)))/(s_0+5*s_r+IF(circ_int,eq_c1/2,0))),IF(((41+0.5)*(4*IF(circ_int,0,eq_c1/2)+4*IF(circ_int,0,eq_c2/2)+2*PI()*(s_0+5*s_r+IF(circ_int,eq_c1/2,0)))/INDEX(lk_legs,6))&lt;(((2*IF(circ_int,0,eq_c2/2))+(PI()*(s_0+5*s_r+IF(circ_int,eq_c1/2,0))/2))+2*IF(circ_int,0,eq_c1/2)),IF(circ_int,0,eq_c2/2)+(s_0+5*s_r+IF(circ_int,eq_c1/2,0)),IF(((41+0.5)*(4*IF(circ_int,0,eq_c1/2)+4*IF(circ_int,0,eq_c2/2)+2*PI()*(s_0+5*s_r+IF(circ_int,eq_c1/2,0)))/INDEX(lk_legs,6))&lt;((((2*IF(circ_int,0,eq_c2/2))+(PI()*(s_0+5*s_r+IF(circ_int,eq_c1/2,0))/2))+2*IF(circ_int,0,eq_c1/2))+(PI()*(s_0+5*s_r+IF(circ_int,eq_c1/2,0))/2)),IF(circ_int,0,eq_c2/2)+(s_0+5*s_r+IF(circ_int,eq_c1/2,0))*SIN(PI()/2+(((41+0.5)*(4*IF(circ_int,0,eq_c1/2)+4*IF(circ_int,0,eq_c2/2)+2*PI()*(s_0+5*s_r+IF(circ_int,eq_c1/2,0)))/INDEX(lk_legs,6))-(((2*IF(circ_int,0,eq_c2/2))+(PI()*(s_0+5*s_r+IF(circ_int,eq_c1/2,0))/2))+2*IF(circ_int,0,eq_c1/2)))/(s_0+5*s_r+IF(circ_int,eq_c1/2,0))),IF(((41+0.5)*(4*IF(circ_int,0,eq_c1/2)+4*IF(circ_int,0,eq_c2/2)+2*PI()*(s_0+5*s_r+IF(circ_int,eq_c1/2,0)))/INDEX(lk_legs,6))&lt;(((((2*IF(circ_int,0,eq_c2/2))+(PI()*(s_0+5*s_r+IF(circ_int,eq_c1/2,0))/2))+2*IF(circ_int,0,eq_c1/2))+(PI()*(s_0+5*s_r+IF(circ_int,eq_c1/2,0))/2))+2*IF(circ_int,0,eq_c2/2)),IF(circ_int,0,eq_c2/2)-(((41+0.5)*(4*IF(circ_int,0,eq_c1/2)+4*IF(circ_int,0,eq_c2/2)+2*PI()*(s_0+5*s_r+IF(circ_int,eq_c1/2,0)))/INDEX(lk_legs,6))-((((2*IF(circ_int,0,eq_c2/2))+(PI()*(s_0+5*s_r+IF(circ_int,eq_c1/2,0))/2))+2*IF(circ_int,0,eq_c1/2))+(PI()*(s_0+5*s_r+IF(circ_int,eq_c1/2,0))/2))),IF(((41+0.5)*(4*IF(circ_int,0,eq_c1/2)+4*IF(circ_int,0,eq_c2/2)+2*PI()*(s_0+5*s_r+IF(circ_int,eq_c1/2,0)))/INDEX(lk_legs,6))&lt;((((((2*IF(circ_int,0,eq_c2/2))+(PI()*(s_0+5*s_r+IF(circ_int,eq_c1/2,0))/2))+2*IF(circ_int,0,eq_c1/2))+(PI()*(s_0+5*s_r+IF(circ_int,eq_c1/2,0))/2))+2*IF(circ_int,0,eq_c2/2))+(PI()*(s_0+5*s_r+IF(circ_int,eq_c1/2,0))/2)),-IF(circ_int,0,eq_c2/2)+(s_0+5*s_r+IF(circ_int,eq_c1/2,0))*SIN(PI()+(((41+0.5)*(4*IF(circ_int,0,eq_c1/2)+4*IF(circ_int,0,eq_c2/2)+2*PI()*(s_0+5*s_r+IF(circ_int,eq_c1/2,0)))/INDEX(lk_legs,6))-(((((2*IF(circ_int,0,eq_c2/2))+(PI()*(s_0+5*s_r+IF(circ_int,eq_c1/2,0))/2))+2*IF(circ_int,0,eq_c1/2))+(PI()*(s_0+5*s_r+IF(circ_int,eq_c1/2,0))/2))+2*IF(circ_int,0,eq_c2/2)))/(s_0+5*s_r+IF(circ_int,eq_c1/2,0))),IF(((41+0.5)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(41+0.5)*(4*IF(circ_int,0,eq_c1/2)+4*IF(circ_int,0,eq_c2/2)+2*PI()*(s_0+5*s_r+IF(circ_int,eq_c1/2,0)))/INDEX(lk_legs,6))-(((((((2*IF(circ_int,0,eq_c2/2))+(PI()*(s_0+5*s_r+IF(circ_int,eq_c1/2,0))/2))+2*IF(circ_int,0,eq_c1/2))+(PI()*(s_0+5*s_r+IF(circ_int,eq_c1/2,0))/2))+2*IF(circ_int,0,eq_c2/2))+(PI()*(s_0+5*s_r+IF(circ_int,eq_c1/2,0))/2))+2*IF(circ_int,0,eq_c1/2)))/(s_0+5*s_r+IF(circ_int,eq_c1/2,0)))))))))),NA())</f>
        <v/>
      </c>
      <c r="CG44">
        <f>IF(AND(links_on,7&lt;=n_per),IF(circ_int,(g_ox)+(c_1/2+(s_0+6*s_r))*0.239316,CHOOSE(INDEX(lk_kind,7),(g_ox+eq_c1/2)+((s_0+6*s_r))*0.258819,0,eq_a1+eq_c1+(s_0+6*s_r),eq_a1+eq_c1+(s_0+6*s_r))),NA())</f>
        <v/>
      </c>
      <c r="CH44">
        <f>IF(AND(links_on,7&lt;=n_per),IF(circ_int,(g_oy)+(c_1/2+(s_0+6*s_r))*-0.970942,CHOOSE(INDEX(lk_kind,7),(g_oy-eq_c2/2)+((s_0+6*s_r))*-0.965926,g_oy-eq_c2/2-(s_0+6*s_r),0,0)),NA())</f>
        <v/>
      </c>
      <c r="CJ44">
        <f>IF(AND(AND(links_on,7&lt;=n_per),INDEX(lk_kind,7)=1,41&lt;INDEX(lk_legs,7)),g_ox+IF(((41+0.5)*(4*IF(circ_int,0,eq_c1/2)+4*IF(circ_int,0,eq_c2/2)+2*PI()*(s_0+6*s_r+IF(circ_int,eq_c1/2,0)))/INDEX(lk_legs,7))&lt;(2*IF(circ_int,0,eq_c2/2)),IF(circ_int,0,eq_c1/2)+(s_0+6*s_r+IF(circ_int,eq_c1/2,0)),IF(((41+0.5)*(4*IF(circ_int,0,eq_c1/2)+4*IF(circ_int,0,eq_c2/2)+2*PI()*(s_0+6*s_r+IF(circ_int,eq_c1/2,0)))/INDEX(lk_legs,7))&lt;((2*IF(circ_int,0,eq_c2/2))+(PI()*(s_0+6*s_r+IF(circ_int,eq_c1/2,0))/2)),IF(circ_int,0,eq_c1/2)+(s_0+6*s_r+IF(circ_int,eq_c1/2,0))*COS((((41+0.5)*(4*IF(circ_int,0,eq_c1/2)+4*IF(circ_int,0,eq_c2/2)+2*PI()*(s_0+6*s_r+IF(circ_int,eq_c1/2,0)))/INDEX(lk_legs,7))-(2*IF(circ_int,0,eq_c2/2)))/(s_0+6*s_r+IF(circ_int,eq_c1/2,0))),IF(((41+0.5)*(4*IF(circ_int,0,eq_c1/2)+4*IF(circ_int,0,eq_c2/2)+2*PI()*(s_0+6*s_r+IF(circ_int,eq_c1/2,0)))/INDEX(lk_legs,7))&lt;(((2*IF(circ_int,0,eq_c2/2))+(PI()*(s_0+6*s_r+IF(circ_int,eq_c1/2,0))/2))+2*IF(circ_int,0,eq_c1/2)),IF(circ_int,0,eq_c1/2)-(((41+0.5)*(4*IF(circ_int,0,eq_c1/2)+4*IF(circ_int,0,eq_c2/2)+2*PI()*(s_0+6*s_r+IF(circ_int,eq_c1/2,0)))/INDEX(lk_legs,7))-((2*IF(circ_int,0,eq_c2/2))+(PI()*(s_0+6*s_r+IF(circ_int,eq_c1/2,0))/2))),IF(((41+0.5)*(4*IF(circ_int,0,eq_c1/2)+4*IF(circ_int,0,eq_c2/2)+2*PI()*(s_0+6*s_r+IF(circ_int,eq_c1/2,0)))/INDEX(lk_legs,7))&lt;((((2*IF(circ_int,0,eq_c2/2))+(PI()*(s_0+6*s_r+IF(circ_int,eq_c1/2,0))/2))+2*IF(circ_int,0,eq_c1/2))+(PI()*(s_0+6*s_r+IF(circ_int,eq_c1/2,0))/2)),-IF(circ_int,0,eq_c1/2)+(s_0+6*s_r+IF(circ_int,eq_c1/2,0))*COS(PI()/2+(((41+0.5)*(4*IF(circ_int,0,eq_c1/2)+4*IF(circ_int,0,eq_c2/2)+2*PI()*(s_0+6*s_r+IF(circ_int,eq_c1/2,0)))/INDEX(lk_legs,7))-(((2*IF(circ_int,0,eq_c2/2))+(PI()*(s_0+6*s_r+IF(circ_int,eq_c1/2,0))/2))+2*IF(circ_int,0,eq_c1/2)))/(s_0+6*s_r+IF(circ_int,eq_c1/2,0))),IF(((41+0.5)*(4*IF(circ_int,0,eq_c1/2)+4*IF(circ_int,0,eq_c2/2)+2*PI()*(s_0+6*s_r+IF(circ_int,eq_c1/2,0)))/INDEX(lk_legs,7))&lt;(((((2*IF(circ_int,0,eq_c2/2))+(PI()*(s_0+6*s_r+IF(circ_int,eq_c1/2,0))/2))+2*IF(circ_int,0,eq_c1/2))+(PI()*(s_0+6*s_r+IF(circ_int,eq_c1/2,0))/2))+2*IF(circ_int,0,eq_c2/2)),-IF(circ_int,0,eq_c1/2)-(s_0+6*s_r+IF(circ_int,eq_c1/2,0)),IF(((41+0.5)*(4*IF(circ_int,0,eq_c1/2)+4*IF(circ_int,0,eq_c2/2)+2*PI()*(s_0+6*s_r+IF(circ_int,eq_c1/2,0)))/INDEX(lk_legs,7))&lt;((((((2*IF(circ_int,0,eq_c2/2))+(PI()*(s_0+6*s_r+IF(circ_int,eq_c1/2,0))/2))+2*IF(circ_int,0,eq_c1/2))+(PI()*(s_0+6*s_r+IF(circ_int,eq_c1/2,0))/2))+2*IF(circ_int,0,eq_c2/2))+(PI()*(s_0+6*s_r+IF(circ_int,eq_c1/2,0))/2)),-IF(circ_int,0,eq_c1/2)+(s_0+6*s_r+IF(circ_int,eq_c1/2,0))*COS(PI()+(((41+0.5)*(4*IF(circ_int,0,eq_c1/2)+4*IF(circ_int,0,eq_c2/2)+2*PI()*(s_0+6*s_r+IF(circ_int,eq_c1/2,0)))/INDEX(lk_legs,7))-(((((2*IF(circ_int,0,eq_c2/2))+(PI()*(s_0+6*s_r+IF(circ_int,eq_c1/2,0))/2))+2*IF(circ_int,0,eq_c1/2))+(PI()*(s_0+6*s_r+IF(circ_int,eq_c1/2,0))/2))+2*IF(circ_int,0,eq_c2/2)))/(s_0+6*s_r+IF(circ_int,eq_c1/2,0))),IF(((41+0.5)*(4*IF(circ_int,0,eq_c1/2)+4*IF(circ_int,0,eq_c2/2)+2*PI()*(s_0+6*s_r+IF(circ_int,eq_c1/2,0)))/INDEX(lk_legs,7))&lt;(((((((2*IF(circ_int,0,eq_c2/2))+(PI()*(s_0+6*s_r+IF(circ_int,eq_c1/2,0))/2))+2*IF(circ_int,0,eq_c1/2))+(PI()*(s_0+6*s_r+IF(circ_int,eq_c1/2,0))/2))+2*IF(circ_int,0,eq_c2/2))+(PI()*(s_0+6*s_r+IF(circ_int,eq_c1/2,0))/2))+2*IF(circ_int,0,eq_c1/2)),-IF(circ_int,0,eq_c1/2)+(((41+0.5)*(4*IF(circ_int,0,eq_c1/2)+4*IF(circ_int,0,eq_c2/2)+2*PI()*(s_0+6*s_r+IF(circ_int,eq_c1/2,0)))/INDEX(lk_legs,7))-((((((2*IF(circ_int,0,eq_c2/2))+(PI()*(s_0+6*s_r+IF(circ_int,eq_c1/2,0))/2))+2*IF(circ_int,0,eq_c1/2))+(PI()*(s_0+6*s_r+IF(circ_int,eq_c1/2,0))/2))+2*IF(circ_int,0,eq_c2/2))+(PI()*(s_0+6*s_r+IF(circ_int,eq_c1/2,0))/2))),IF(circ_int,0,eq_c1/2)+(s_0+6*s_r+IF(circ_int,eq_c1/2,0))*COS(3*PI()/2+(((41+0.5)*(4*IF(circ_int,0,eq_c1/2)+4*IF(circ_int,0,eq_c2/2)+2*PI()*(s_0+6*s_r+IF(circ_int,eq_c1/2,0)))/INDEX(lk_legs,7))-(((((((2*IF(circ_int,0,eq_c2/2))+(PI()*(s_0+6*s_r+IF(circ_int,eq_c1/2,0))/2))+2*IF(circ_int,0,eq_c1/2))+(PI()*(s_0+6*s_r+IF(circ_int,eq_c1/2,0))/2))+2*IF(circ_int,0,eq_c2/2))+(PI()*(s_0+6*s_r+IF(circ_int,eq_c1/2,0))/2))+2*IF(circ_int,0,eq_c1/2)))/(s_0+6*s_r+IF(circ_int,eq_c1/2,0)))))))))),NA())</f>
        <v/>
      </c>
      <c r="CK44">
        <f>IF(AND(AND(links_on,7&lt;=n_per),INDEX(lk_kind,7)=1,41&lt;INDEX(lk_legs,7)),g_oy+IF(((41+0.5)*(4*IF(circ_int,0,eq_c1/2)+4*IF(circ_int,0,eq_c2/2)+2*PI()*(s_0+6*s_r+IF(circ_int,eq_c1/2,0)))/INDEX(lk_legs,7))&lt;(2*IF(circ_int,0,eq_c2/2)),-IF(circ_int,0,eq_c2/2)+((41+0.5)*(4*IF(circ_int,0,eq_c1/2)+4*IF(circ_int,0,eq_c2/2)+2*PI()*(s_0+6*s_r+IF(circ_int,eq_c1/2,0)))/INDEX(lk_legs,7)),IF(((41+0.5)*(4*IF(circ_int,0,eq_c1/2)+4*IF(circ_int,0,eq_c2/2)+2*PI()*(s_0+6*s_r+IF(circ_int,eq_c1/2,0)))/INDEX(lk_legs,7))&lt;((2*IF(circ_int,0,eq_c2/2))+(PI()*(s_0+6*s_r+IF(circ_int,eq_c1/2,0))/2)),IF(circ_int,0,eq_c2/2)+(s_0+6*s_r+IF(circ_int,eq_c1/2,0))*SIN((((41+0.5)*(4*IF(circ_int,0,eq_c1/2)+4*IF(circ_int,0,eq_c2/2)+2*PI()*(s_0+6*s_r+IF(circ_int,eq_c1/2,0)))/INDEX(lk_legs,7))-(2*IF(circ_int,0,eq_c2/2)))/(s_0+6*s_r+IF(circ_int,eq_c1/2,0))),IF(((41+0.5)*(4*IF(circ_int,0,eq_c1/2)+4*IF(circ_int,0,eq_c2/2)+2*PI()*(s_0+6*s_r+IF(circ_int,eq_c1/2,0)))/INDEX(lk_legs,7))&lt;(((2*IF(circ_int,0,eq_c2/2))+(PI()*(s_0+6*s_r+IF(circ_int,eq_c1/2,0))/2))+2*IF(circ_int,0,eq_c1/2)),IF(circ_int,0,eq_c2/2)+(s_0+6*s_r+IF(circ_int,eq_c1/2,0)),IF(((41+0.5)*(4*IF(circ_int,0,eq_c1/2)+4*IF(circ_int,0,eq_c2/2)+2*PI()*(s_0+6*s_r+IF(circ_int,eq_c1/2,0)))/INDEX(lk_legs,7))&lt;((((2*IF(circ_int,0,eq_c2/2))+(PI()*(s_0+6*s_r+IF(circ_int,eq_c1/2,0))/2))+2*IF(circ_int,0,eq_c1/2))+(PI()*(s_0+6*s_r+IF(circ_int,eq_c1/2,0))/2)),IF(circ_int,0,eq_c2/2)+(s_0+6*s_r+IF(circ_int,eq_c1/2,0))*SIN(PI()/2+(((41+0.5)*(4*IF(circ_int,0,eq_c1/2)+4*IF(circ_int,0,eq_c2/2)+2*PI()*(s_0+6*s_r+IF(circ_int,eq_c1/2,0)))/INDEX(lk_legs,7))-(((2*IF(circ_int,0,eq_c2/2))+(PI()*(s_0+6*s_r+IF(circ_int,eq_c1/2,0))/2))+2*IF(circ_int,0,eq_c1/2)))/(s_0+6*s_r+IF(circ_int,eq_c1/2,0))),IF(((41+0.5)*(4*IF(circ_int,0,eq_c1/2)+4*IF(circ_int,0,eq_c2/2)+2*PI()*(s_0+6*s_r+IF(circ_int,eq_c1/2,0)))/INDEX(lk_legs,7))&lt;(((((2*IF(circ_int,0,eq_c2/2))+(PI()*(s_0+6*s_r+IF(circ_int,eq_c1/2,0))/2))+2*IF(circ_int,0,eq_c1/2))+(PI()*(s_0+6*s_r+IF(circ_int,eq_c1/2,0))/2))+2*IF(circ_int,0,eq_c2/2)),IF(circ_int,0,eq_c2/2)-(((41+0.5)*(4*IF(circ_int,0,eq_c1/2)+4*IF(circ_int,0,eq_c2/2)+2*PI()*(s_0+6*s_r+IF(circ_int,eq_c1/2,0)))/INDEX(lk_legs,7))-((((2*IF(circ_int,0,eq_c2/2))+(PI()*(s_0+6*s_r+IF(circ_int,eq_c1/2,0))/2))+2*IF(circ_int,0,eq_c1/2))+(PI()*(s_0+6*s_r+IF(circ_int,eq_c1/2,0))/2))),IF(((41+0.5)*(4*IF(circ_int,0,eq_c1/2)+4*IF(circ_int,0,eq_c2/2)+2*PI()*(s_0+6*s_r+IF(circ_int,eq_c1/2,0)))/INDEX(lk_legs,7))&lt;((((((2*IF(circ_int,0,eq_c2/2))+(PI()*(s_0+6*s_r+IF(circ_int,eq_c1/2,0))/2))+2*IF(circ_int,0,eq_c1/2))+(PI()*(s_0+6*s_r+IF(circ_int,eq_c1/2,0))/2))+2*IF(circ_int,0,eq_c2/2))+(PI()*(s_0+6*s_r+IF(circ_int,eq_c1/2,0))/2)),-IF(circ_int,0,eq_c2/2)+(s_0+6*s_r+IF(circ_int,eq_c1/2,0))*SIN(PI()+(((41+0.5)*(4*IF(circ_int,0,eq_c1/2)+4*IF(circ_int,0,eq_c2/2)+2*PI()*(s_0+6*s_r+IF(circ_int,eq_c1/2,0)))/INDEX(lk_legs,7))-(((((2*IF(circ_int,0,eq_c2/2))+(PI()*(s_0+6*s_r+IF(circ_int,eq_c1/2,0))/2))+2*IF(circ_int,0,eq_c1/2))+(PI()*(s_0+6*s_r+IF(circ_int,eq_c1/2,0))/2))+2*IF(circ_int,0,eq_c2/2)))/(s_0+6*s_r+IF(circ_int,eq_c1/2,0))),IF(((41+0.5)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(41+0.5)*(4*IF(circ_int,0,eq_c1/2)+4*IF(circ_int,0,eq_c2/2)+2*PI()*(s_0+6*s_r+IF(circ_int,eq_c1/2,0)))/INDEX(lk_legs,7))-(((((((2*IF(circ_int,0,eq_c2/2))+(PI()*(s_0+6*s_r+IF(circ_int,eq_c1/2,0))/2))+2*IF(circ_int,0,eq_c1/2))+(PI()*(s_0+6*s_r+IF(circ_int,eq_c1/2,0))/2))+2*IF(circ_int,0,eq_c2/2))+(PI()*(s_0+6*s_r+IF(circ_int,eq_c1/2,0))/2))+2*IF(circ_int,0,eq_c1/2)))/(s_0+6*s_r+IF(circ_int,eq_c1/2,0)))))))))),NA())</f>
        <v/>
      </c>
      <c r="CM44">
        <f>IF(AND(links_on,8&lt;=n_per),IF(circ_int,(g_ox)+(c_1/2+(s_0+7*s_r))*0.239316,CHOOSE(INDEX(lk_kind,8),(g_ox+eq_c1/2)+((s_0+7*s_r))*0.258819,0,eq_a1+eq_c1+(s_0+7*s_r),eq_a1+eq_c1+(s_0+7*s_r))),NA())</f>
        <v/>
      </c>
      <c r="CN44">
        <f>IF(AND(links_on,8&lt;=n_per),IF(circ_int,(g_oy)+(c_1/2+(s_0+7*s_r))*-0.970942,CHOOSE(INDEX(lk_kind,8),(g_oy-eq_c2/2)+((s_0+7*s_r))*-0.965926,g_oy-eq_c2/2-(s_0+7*s_r),0,0)),NA())</f>
        <v/>
      </c>
      <c r="CP44">
        <f>IF(AND(AND(links_on,8&lt;=n_per),INDEX(lk_kind,8)=1,41&lt;INDEX(lk_legs,8)),g_ox+IF(((41+0.5)*(4*IF(circ_int,0,eq_c1/2)+4*IF(circ_int,0,eq_c2/2)+2*PI()*(s_0+7*s_r+IF(circ_int,eq_c1/2,0)))/INDEX(lk_legs,8))&lt;(2*IF(circ_int,0,eq_c2/2)),IF(circ_int,0,eq_c1/2)+(s_0+7*s_r+IF(circ_int,eq_c1/2,0)),IF(((41+0.5)*(4*IF(circ_int,0,eq_c1/2)+4*IF(circ_int,0,eq_c2/2)+2*PI()*(s_0+7*s_r+IF(circ_int,eq_c1/2,0)))/INDEX(lk_legs,8))&lt;((2*IF(circ_int,0,eq_c2/2))+(PI()*(s_0+7*s_r+IF(circ_int,eq_c1/2,0))/2)),IF(circ_int,0,eq_c1/2)+(s_0+7*s_r+IF(circ_int,eq_c1/2,0))*COS((((41+0.5)*(4*IF(circ_int,0,eq_c1/2)+4*IF(circ_int,0,eq_c2/2)+2*PI()*(s_0+7*s_r+IF(circ_int,eq_c1/2,0)))/INDEX(lk_legs,8))-(2*IF(circ_int,0,eq_c2/2)))/(s_0+7*s_r+IF(circ_int,eq_c1/2,0))),IF(((41+0.5)*(4*IF(circ_int,0,eq_c1/2)+4*IF(circ_int,0,eq_c2/2)+2*PI()*(s_0+7*s_r+IF(circ_int,eq_c1/2,0)))/INDEX(lk_legs,8))&lt;(((2*IF(circ_int,0,eq_c2/2))+(PI()*(s_0+7*s_r+IF(circ_int,eq_c1/2,0))/2))+2*IF(circ_int,0,eq_c1/2)),IF(circ_int,0,eq_c1/2)-(((41+0.5)*(4*IF(circ_int,0,eq_c1/2)+4*IF(circ_int,0,eq_c2/2)+2*PI()*(s_0+7*s_r+IF(circ_int,eq_c1/2,0)))/INDEX(lk_legs,8))-((2*IF(circ_int,0,eq_c2/2))+(PI()*(s_0+7*s_r+IF(circ_int,eq_c1/2,0))/2))),IF(((41+0.5)*(4*IF(circ_int,0,eq_c1/2)+4*IF(circ_int,0,eq_c2/2)+2*PI()*(s_0+7*s_r+IF(circ_int,eq_c1/2,0)))/INDEX(lk_legs,8))&lt;((((2*IF(circ_int,0,eq_c2/2))+(PI()*(s_0+7*s_r+IF(circ_int,eq_c1/2,0))/2))+2*IF(circ_int,0,eq_c1/2))+(PI()*(s_0+7*s_r+IF(circ_int,eq_c1/2,0))/2)),-IF(circ_int,0,eq_c1/2)+(s_0+7*s_r+IF(circ_int,eq_c1/2,0))*COS(PI()/2+(((41+0.5)*(4*IF(circ_int,0,eq_c1/2)+4*IF(circ_int,0,eq_c2/2)+2*PI()*(s_0+7*s_r+IF(circ_int,eq_c1/2,0)))/INDEX(lk_legs,8))-(((2*IF(circ_int,0,eq_c2/2))+(PI()*(s_0+7*s_r+IF(circ_int,eq_c1/2,0))/2))+2*IF(circ_int,0,eq_c1/2)))/(s_0+7*s_r+IF(circ_int,eq_c1/2,0))),IF(((41+0.5)*(4*IF(circ_int,0,eq_c1/2)+4*IF(circ_int,0,eq_c2/2)+2*PI()*(s_0+7*s_r+IF(circ_int,eq_c1/2,0)))/INDEX(lk_legs,8))&lt;(((((2*IF(circ_int,0,eq_c2/2))+(PI()*(s_0+7*s_r+IF(circ_int,eq_c1/2,0))/2))+2*IF(circ_int,0,eq_c1/2))+(PI()*(s_0+7*s_r+IF(circ_int,eq_c1/2,0))/2))+2*IF(circ_int,0,eq_c2/2)),-IF(circ_int,0,eq_c1/2)-(s_0+7*s_r+IF(circ_int,eq_c1/2,0)),IF(((41+0.5)*(4*IF(circ_int,0,eq_c1/2)+4*IF(circ_int,0,eq_c2/2)+2*PI()*(s_0+7*s_r+IF(circ_int,eq_c1/2,0)))/INDEX(lk_legs,8))&lt;((((((2*IF(circ_int,0,eq_c2/2))+(PI()*(s_0+7*s_r+IF(circ_int,eq_c1/2,0))/2))+2*IF(circ_int,0,eq_c1/2))+(PI()*(s_0+7*s_r+IF(circ_int,eq_c1/2,0))/2))+2*IF(circ_int,0,eq_c2/2))+(PI()*(s_0+7*s_r+IF(circ_int,eq_c1/2,0))/2)),-IF(circ_int,0,eq_c1/2)+(s_0+7*s_r+IF(circ_int,eq_c1/2,0))*COS(PI()+(((41+0.5)*(4*IF(circ_int,0,eq_c1/2)+4*IF(circ_int,0,eq_c2/2)+2*PI()*(s_0+7*s_r+IF(circ_int,eq_c1/2,0)))/INDEX(lk_legs,8))-(((((2*IF(circ_int,0,eq_c2/2))+(PI()*(s_0+7*s_r+IF(circ_int,eq_c1/2,0))/2))+2*IF(circ_int,0,eq_c1/2))+(PI()*(s_0+7*s_r+IF(circ_int,eq_c1/2,0))/2))+2*IF(circ_int,0,eq_c2/2)))/(s_0+7*s_r+IF(circ_int,eq_c1/2,0))),IF(((41+0.5)*(4*IF(circ_int,0,eq_c1/2)+4*IF(circ_int,0,eq_c2/2)+2*PI()*(s_0+7*s_r+IF(circ_int,eq_c1/2,0)))/INDEX(lk_legs,8))&lt;(((((((2*IF(circ_int,0,eq_c2/2))+(PI()*(s_0+7*s_r+IF(circ_int,eq_c1/2,0))/2))+2*IF(circ_int,0,eq_c1/2))+(PI()*(s_0+7*s_r+IF(circ_int,eq_c1/2,0))/2))+2*IF(circ_int,0,eq_c2/2))+(PI()*(s_0+7*s_r+IF(circ_int,eq_c1/2,0))/2))+2*IF(circ_int,0,eq_c1/2)),-IF(circ_int,0,eq_c1/2)+(((41+0.5)*(4*IF(circ_int,0,eq_c1/2)+4*IF(circ_int,0,eq_c2/2)+2*PI()*(s_0+7*s_r+IF(circ_int,eq_c1/2,0)))/INDEX(lk_legs,8))-((((((2*IF(circ_int,0,eq_c2/2))+(PI()*(s_0+7*s_r+IF(circ_int,eq_c1/2,0))/2))+2*IF(circ_int,0,eq_c1/2))+(PI()*(s_0+7*s_r+IF(circ_int,eq_c1/2,0))/2))+2*IF(circ_int,0,eq_c2/2))+(PI()*(s_0+7*s_r+IF(circ_int,eq_c1/2,0))/2))),IF(circ_int,0,eq_c1/2)+(s_0+7*s_r+IF(circ_int,eq_c1/2,0))*COS(3*PI()/2+(((41+0.5)*(4*IF(circ_int,0,eq_c1/2)+4*IF(circ_int,0,eq_c2/2)+2*PI()*(s_0+7*s_r+IF(circ_int,eq_c1/2,0)))/INDEX(lk_legs,8))-(((((((2*IF(circ_int,0,eq_c2/2))+(PI()*(s_0+7*s_r+IF(circ_int,eq_c1/2,0))/2))+2*IF(circ_int,0,eq_c1/2))+(PI()*(s_0+7*s_r+IF(circ_int,eq_c1/2,0))/2))+2*IF(circ_int,0,eq_c2/2))+(PI()*(s_0+7*s_r+IF(circ_int,eq_c1/2,0))/2))+2*IF(circ_int,0,eq_c1/2)))/(s_0+7*s_r+IF(circ_int,eq_c1/2,0)))))))))),NA())</f>
        <v/>
      </c>
      <c r="CQ44">
        <f>IF(AND(AND(links_on,8&lt;=n_per),INDEX(lk_kind,8)=1,41&lt;INDEX(lk_legs,8)),g_oy+IF(((41+0.5)*(4*IF(circ_int,0,eq_c1/2)+4*IF(circ_int,0,eq_c2/2)+2*PI()*(s_0+7*s_r+IF(circ_int,eq_c1/2,0)))/INDEX(lk_legs,8))&lt;(2*IF(circ_int,0,eq_c2/2)),-IF(circ_int,0,eq_c2/2)+((41+0.5)*(4*IF(circ_int,0,eq_c1/2)+4*IF(circ_int,0,eq_c2/2)+2*PI()*(s_0+7*s_r+IF(circ_int,eq_c1/2,0)))/INDEX(lk_legs,8)),IF(((41+0.5)*(4*IF(circ_int,0,eq_c1/2)+4*IF(circ_int,0,eq_c2/2)+2*PI()*(s_0+7*s_r+IF(circ_int,eq_c1/2,0)))/INDEX(lk_legs,8))&lt;((2*IF(circ_int,0,eq_c2/2))+(PI()*(s_0+7*s_r+IF(circ_int,eq_c1/2,0))/2)),IF(circ_int,0,eq_c2/2)+(s_0+7*s_r+IF(circ_int,eq_c1/2,0))*SIN((((41+0.5)*(4*IF(circ_int,0,eq_c1/2)+4*IF(circ_int,0,eq_c2/2)+2*PI()*(s_0+7*s_r+IF(circ_int,eq_c1/2,0)))/INDEX(lk_legs,8))-(2*IF(circ_int,0,eq_c2/2)))/(s_0+7*s_r+IF(circ_int,eq_c1/2,0))),IF(((41+0.5)*(4*IF(circ_int,0,eq_c1/2)+4*IF(circ_int,0,eq_c2/2)+2*PI()*(s_0+7*s_r+IF(circ_int,eq_c1/2,0)))/INDEX(lk_legs,8))&lt;(((2*IF(circ_int,0,eq_c2/2))+(PI()*(s_0+7*s_r+IF(circ_int,eq_c1/2,0))/2))+2*IF(circ_int,0,eq_c1/2)),IF(circ_int,0,eq_c2/2)+(s_0+7*s_r+IF(circ_int,eq_c1/2,0)),IF(((41+0.5)*(4*IF(circ_int,0,eq_c1/2)+4*IF(circ_int,0,eq_c2/2)+2*PI()*(s_0+7*s_r+IF(circ_int,eq_c1/2,0)))/INDEX(lk_legs,8))&lt;((((2*IF(circ_int,0,eq_c2/2))+(PI()*(s_0+7*s_r+IF(circ_int,eq_c1/2,0))/2))+2*IF(circ_int,0,eq_c1/2))+(PI()*(s_0+7*s_r+IF(circ_int,eq_c1/2,0))/2)),IF(circ_int,0,eq_c2/2)+(s_0+7*s_r+IF(circ_int,eq_c1/2,0))*SIN(PI()/2+(((41+0.5)*(4*IF(circ_int,0,eq_c1/2)+4*IF(circ_int,0,eq_c2/2)+2*PI()*(s_0+7*s_r+IF(circ_int,eq_c1/2,0)))/INDEX(lk_legs,8))-(((2*IF(circ_int,0,eq_c2/2))+(PI()*(s_0+7*s_r+IF(circ_int,eq_c1/2,0))/2))+2*IF(circ_int,0,eq_c1/2)))/(s_0+7*s_r+IF(circ_int,eq_c1/2,0))),IF(((41+0.5)*(4*IF(circ_int,0,eq_c1/2)+4*IF(circ_int,0,eq_c2/2)+2*PI()*(s_0+7*s_r+IF(circ_int,eq_c1/2,0)))/INDEX(lk_legs,8))&lt;(((((2*IF(circ_int,0,eq_c2/2))+(PI()*(s_0+7*s_r+IF(circ_int,eq_c1/2,0))/2))+2*IF(circ_int,0,eq_c1/2))+(PI()*(s_0+7*s_r+IF(circ_int,eq_c1/2,0))/2))+2*IF(circ_int,0,eq_c2/2)),IF(circ_int,0,eq_c2/2)-(((41+0.5)*(4*IF(circ_int,0,eq_c1/2)+4*IF(circ_int,0,eq_c2/2)+2*PI()*(s_0+7*s_r+IF(circ_int,eq_c1/2,0)))/INDEX(lk_legs,8))-((((2*IF(circ_int,0,eq_c2/2))+(PI()*(s_0+7*s_r+IF(circ_int,eq_c1/2,0))/2))+2*IF(circ_int,0,eq_c1/2))+(PI()*(s_0+7*s_r+IF(circ_int,eq_c1/2,0))/2))),IF(((41+0.5)*(4*IF(circ_int,0,eq_c1/2)+4*IF(circ_int,0,eq_c2/2)+2*PI()*(s_0+7*s_r+IF(circ_int,eq_c1/2,0)))/INDEX(lk_legs,8))&lt;((((((2*IF(circ_int,0,eq_c2/2))+(PI()*(s_0+7*s_r+IF(circ_int,eq_c1/2,0))/2))+2*IF(circ_int,0,eq_c1/2))+(PI()*(s_0+7*s_r+IF(circ_int,eq_c1/2,0))/2))+2*IF(circ_int,0,eq_c2/2))+(PI()*(s_0+7*s_r+IF(circ_int,eq_c1/2,0))/2)),-IF(circ_int,0,eq_c2/2)+(s_0+7*s_r+IF(circ_int,eq_c1/2,0))*SIN(PI()+(((41+0.5)*(4*IF(circ_int,0,eq_c1/2)+4*IF(circ_int,0,eq_c2/2)+2*PI()*(s_0+7*s_r+IF(circ_int,eq_c1/2,0)))/INDEX(lk_legs,8))-(((((2*IF(circ_int,0,eq_c2/2))+(PI()*(s_0+7*s_r+IF(circ_int,eq_c1/2,0))/2))+2*IF(circ_int,0,eq_c1/2))+(PI()*(s_0+7*s_r+IF(circ_int,eq_c1/2,0))/2))+2*IF(circ_int,0,eq_c2/2)))/(s_0+7*s_r+IF(circ_int,eq_c1/2,0))),IF(((41+0.5)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(41+0.5)*(4*IF(circ_int,0,eq_c1/2)+4*IF(circ_int,0,eq_c2/2)+2*PI()*(s_0+7*s_r+IF(circ_int,eq_c1/2,0)))/INDEX(lk_legs,8))-(((((((2*IF(circ_int,0,eq_c2/2))+(PI()*(s_0+7*s_r+IF(circ_int,eq_c1/2,0))/2))+2*IF(circ_int,0,eq_c1/2))+(PI()*(s_0+7*s_r+IF(circ_int,eq_c1/2,0))/2))+2*IF(circ_int,0,eq_c2/2))+(PI()*(s_0+7*s_r+IF(circ_int,eq_c1/2,0))/2))+2*IF(circ_int,0,eq_c1/2)))/(s_0+7*s_r+IF(circ_int,eq_c1/2,0)))))))))),NA())</f>
        <v/>
      </c>
      <c r="CS44">
        <f>IF(AND(links_on,9&lt;=n_per),IF(circ_int,(g_ox)+(c_1/2+(s_0+8*s_r))*0.239316,CHOOSE(INDEX(lk_kind,9),(g_ox+eq_c1/2)+((s_0+8*s_r))*0.258819,0,eq_a1+eq_c1+(s_0+8*s_r),eq_a1+eq_c1+(s_0+8*s_r))),NA())</f>
        <v/>
      </c>
      <c r="CT44">
        <f>IF(AND(links_on,9&lt;=n_per),IF(circ_int,(g_oy)+(c_1/2+(s_0+8*s_r))*-0.970942,CHOOSE(INDEX(lk_kind,9),(g_oy-eq_c2/2)+((s_0+8*s_r))*-0.965926,g_oy-eq_c2/2-(s_0+8*s_r),0,0)),NA())</f>
        <v/>
      </c>
      <c r="CV44">
        <f>IF(AND(AND(links_on,9&lt;=n_per),INDEX(lk_kind,9)=1,41&lt;INDEX(lk_legs,9)),g_ox+IF(((41+0.5)*(4*IF(circ_int,0,eq_c1/2)+4*IF(circ_int,0,eq_c2/2)+2*PI()*(s_0+8*s_r+IF(circ_int,eq_c1/2,0)))/INDEX(lk_legs,9))&lt;(2*IF(circ_int,0,eq_c2/2)),IF(circ_int,0,eq_c1/2)+(s_0+8*s_r+IF(circ_int,eq_c1/2,0)),IF(((41+0.5)*(4*IF(circ_int,0,eq_c1/2)+4*IF(circ_int,0,eq_c2/2)+2*PI()*(s_0+8*s_r+IF(circ_int,eq_c1/2,0)))/INDEX(lk_legs,9))&lt;((2*IF(circ_int,0,eq_c2/2))+(PI()*(s_0+8*s_r+IF(circ_int,eq_c1/2,0))/2)),IF(circ_int,0,eq_c1/2)+(s_0+8*s_r+IF(circ_int,eq_c1/2,0))*COS((((41+0.5)*(4*IF(circ_int,0,eq_c1/2)+4*IF(circ_int,0,eq_c2/2)+2*PI()*(s_0+8*s_r+IF(circ_int,eq_c1/2,0)))/INDEX(lk_legs,9))-(2*IF(circ_int,0,eq_c2/2)))/(s_0+8*s_r+IF(circ_int,eq_c1/2,0))),IF(((41+0.5)*(4*IF(circ_int,0,eq_c1/2)+4*IF(circ_int,0,eq_c2/2)+2*PI()*(s_0+8*s_r+IF(circ_int,eq_c1/2,0)))/INDEX(lk_legs,9))&lt;(((2*IF(circ_int,0,eq_c2/2))+(PI()*(s_0+8*s_r+IF(circ_int,eq_c1/2,0))/2))+2*IF(circ_int,0,eq_c1/2)),IF(circ_int,0,eq_c1/2)-(((41+0.5)*(4*IF(circ_int,0,eq_c1/2)+4*IF(circ_int,0,eq_c2/2)+2*PI()*(s_0+8*s_r+IF(circ_int,eq_c1/2,0)))/INDEX(lk_legs,9))-((2*IF(circ_int,0,eq_c2/2))+(PI()*(s_0+8*s_r+IF(circ_int,eq_c1/2,0))/2))),IF(((41+0.5)*(4*IF(circ_int,0,eq_c1/2)+4*IF(circ_int,0,eq_c2/2)+2*PI()*(s_0+8*s_r+IF(circ_int,eq_c1/2,0)))/INDEX(lk_legs,9))&lt;((((2*IF(circ_int,0,eq_c2/2))+(PI()*(s_0+8*s_r+IF(circ_int,eq_c1/2,0))/2))+2*IF(circ_int,0,eq_c1/2))+(PI()*(s_0+8*s_r+IF(circ_int,eq_c1/2,0))/2)),-IF(circ_int,0,eq_c1/2)+(s_0+8*s_r+IF(circ_int,eq_c1/2,0))*COS(PI()/2+(((41+0.5)*(4*IF(circ_int,0,eq_c1/2)+4*IF(circ_int,0,eq_c2/2)+2*PI()*(s_0+8*s_r+IF(circ_int,eq_c1/2,0)))/INDEX(lk_legs,9))-(((2*IF(circ_int,0,eq_c2/2))+(PI()*(s_0+8*s_r+IF(circ_int,eq_c1/2,0))/2))+2*IF(circ_int,0,eq_c1/2)))/(s_0+8*s_r+IF(circ_int,eq_c1/2,0))),IF(((41+0.5)*(4*IF(circ_int,0,eq_c1/2)+4*IF(circ_int,0,eq_c2/2)+2*PI()*(s_0+8*s_r+IF(circ_int,eq_c1/2,0)))/INDEX(lk_legs,9))&lt;(((((2*IF(circ_int,0,eq_c2/2))+(PI()*(s_0+8*s_r+IF(circ_int,eq_c1/2,0))/2))+2*IF(circ_int,0,eq_c1/2))+(PI()*(s_0+8*s_r+IF(circ_int,eq_c1/2,0))/2))+2*IF(circ_int,0,eq_c2/2)),-IF(circ_int,0,eq_c1/2)-(s_0+8*s_r+IF(circ_int,eq_c1/2,0)),IF(((41+0.5)*(4*IF(circ_int,0,eq_c1/2)+4*IF(circ_int,0,eq_c2/2)+2*PI()*(s_0+8*s_r+IF(circ_int,eq_c1/2,0)))/INDEX(lk_legs,9))&lt;((((((2*IF(circ_int,0,eq_c2/2))+(PI()*(s_0+8*s_r+IF(circ_int,eq_c1/2,0))/2))+2*IF(circ_int,0,eq_c1/2))+(PI()*(s_0+8*s_r+IF(circ_int,eq_c1/2,0))/2))+2*IF(circ_int,0,eq_c2/2))+(PI()*(s_0+8*s_r+IF(circ_int,eq_c1/2,0))/2)),-IF(circ_int,0,eq_c1/2)+(s_0+8*s_r+IF(circ_int,eq_c1/2,0))*COS(PI()+(((41+0.5)*(4*IF(circ_int,0,eq_c1/2)+4*IF(circ_int,0,eq_c2/2)+2*PI()*(s_0+8*s_r+IF(circ_int,eq_c1/2,0)))/INDEX(lk_legs,9))-(((((2*IF(circ_int,0,eq_c2/2))+(PI()*(s_0+8*s_r+IF(circ_int,eq_c1/2,0))/2))+2*IF(circ_int,0,eq_c1/2))+(PI()*(s_0+8*s_r+IF(circ_int,eq_c1/2,0))/2))+2*IF(circ_int,0,eq_c2/2)))/(s_0+8*s_r+IF(circ_int,eq_c1/2,0))),IF(((41+0.5)*(4*IF(circ_int,0,eq_c1/2)+4*IF(circ_int,0,eq_c2/2)+2*PI()*(s_0+8*s_r+IF(circ_int,eq_c1/2,0)))/INDEX(lk_legs,9))&lt;(((((((2*IF(circ_int,0,eq_c2/2))+(PI()*(s_0+8*s_r+IF(circ_int,eq_c1/2,0))/2))+2*IF(circ_int,0,eq_c1/2))+(PI()*(s_0+8*s_r+IF(circ_int,eq_c1/2,0))/2))+2*IF(circ_int,0,eq_c2/2))+(PI()*(s_0+8*s_r+IF(circ_int,eq_c1/2,0))/2))+2*IF(circ_int,0,eq_c1/2)),-IF(circ_int,0,eq_c1/2)+(((41+0.5)*(4*IF(circ_int,0,eq_c1/2)+4*IF(circ_int,0,eq_c2/2)+2*PI()*(s_0+8*s_r+IF(circ_int,eq_c1/2,0)))/INDEX(lk_legs,9))-((((((2*IF(circ_int,0,eq_c2/2))+(PI()*(s_0+8*s_r+IF(circ_int,eq_c1/2,0))/2))+2*IF(circ_int,0,eq_c1/2))+(PI()*(s_0+8*s_r+IF(circ_int,eq_c1/2,0))/2))+2*IF(circ_int,0,eq_c2/2))+(PI()*(s_0+8*s_r+IF(circ_int,eq_c1/2,0))/2))),IF(circ_int,0,eq_c1/2)+(s_0+8*s_r+IF(circ_int,eq_c1/2,0))*COS(3*PI()/2+(((41+0.5)*(4*IF(circ_int,0,eq_c1/2)+4*IF(circ_int,0,eq_c2/2)+2*PI()*(s_0+8*s_r+IF(circ_int,eq_c1/2,0)))/INDEX(lk_legs,9))-(((((((2*IF(circ_int,0,eq_c2/2))+(PI()*(s_0+8*s_r+IF(circ_int,eq_c1/2,0))/2))+2*IF(circ_int,0,eq_c1/2))+(PI()*(s_0+8*s_r+IF(circ_int,eq_c1/2,0))/2))+2*IF(circ_int,0,eq_c2/2))+(PI()*(s_0+8*s_r+IF(circ_int,eq_c1/2,0))/2))+2*IF(circ_int,0,eq_c1/2)))/(s_0+8*s_r+IF(circ_int,eq_c1/2,0)))))))))),NA())</f>
        <v/>
      </c>
      <c r="CW44">
        <f>IF(AND(AND(links_on,9&lt;=n_per),INDEX(lk_kind,9)=1,41&lt;INDEX(lk_legs,9)),g_oy+IF(((41+0.5)*(4*IF(circ_int,0,eq_c1/2)+4*IF(circ_int,0,eq_c2/2)+2*PI()*(s_0+8*s_r+IF(circ_int,eq_c1/2,0)))/INDEX(lk_legs,9))&lt;(2*IF(circ_int,0,eq_c2/2)),-IF(circ_int,0,eq_c2/2)+((41+0.5)*(4*IF(circ_int,0,eq_c1/2)+4*IF(circ_int,0,eq_c2/2)+2*PI()*(s_0+8*s_r+IF(circ_int,eq_c1/2,0)))/INDEX(lk_legs,9)),IF(((41+0.5)*(4*IF(circ_int,0,eq_c1/2)+4*IF(circ_int,0,eq_c2/2)+2*PI()*(s_0+8*s_r+IF(circ_int,eq_c1/2,0)))/INDEX(lk_legs,9))&lt;((2*IF(circ_int,0,eq_c2/2))+(PI()*(s_0+8*s_r+IF(circ_int,eq_c1/2,0))/2)),IF(circ_int,0,eq_c2/2)+(s_0+8*s_r+IF(circ_int,eq_c1/2,0))*SIN((((41+0.5)*(4*IF(circ_int,0,eq_c1/2)+4*IF(circ_int,0,eq_c2/2)+2*PI()*(s_0+8*s_r+IF(circ_int,eq_c1/2,0)))/INDEX(lk_legs,9))-(2*IF(circ_int,0,eq_c2/2)))/(s_0+8*s_r+IF(circ_int,eq_c1/2,0))),IF(((41+0.5)*(4*IF(circ_int,0,eq_c1/2)+4*IF(circ_int,0,eq_c2/2)+2*PI()*(s_0+8*s_r+IF(circ_int,eq_c1/2,0)))/INDEX(lk_legs,9))&lt;(((2*IF(circ_int,0,eq_c2/2))+(PI()*(s_0+8*s_r+IF(circ_int,eq_c1/2,0))/2))+2*IF(circ_int,0,eq_c1/2)),IF(circ_int,0,eq_c2/2)+(s_0+8*s_r+IF(circ_int,eq_c1/2,0)),IF(((41+0.5)*(4*IF(circ_int,0,eq_c1/2)+4*IF(circ_int,0,eq_c2/2)+2*PI()*(s_0+8*s_r+IF(circ_int,eq_c1/2,0)))/INDEX(lk_legs,9))&lt;((((2*IF(circ_int,0,eq_c2/2))+(PI()*(s_0+8*s_r+IF(circ_int,eq_c1/2,0))/2))+2*IF(circ_int,0,eq_c1/2))+(PI()*(s_0+8*s_r+IF(circ_int,eq_c1/2,0))/2)),IF(circ_int,0,eq_c2/2)+(s_0+8*s_r+IF(circ_int,eq_c1/2,0))*SIN(PI()/2+(((41+0.5)*(4*IF(circ_int,0,eq_c1/2)+4*IF(circ_int,0,eq_c2/2)+2*PI()*(s_0+8*s_r+IF(circ_int,eq_c1/2,0)))/INDEX(lk_legs,9))-(((2*IF(circ_int,0,eq_c2/2))+(PI()*(s_0+8*s_r+IF(circ_int,eq_c1/2,0))/2))+2*IF(circ_int,0,eq_c1/2)))/(s_0+8*s_r+IF(circ_int,eq_c1/2,0))),IF(((41+0.5)*(4*IF(circ_int,0,eq_c1/2)+4*IF(circ_int,0,eq_c2/2)+2*PI()*(s_0+8*s_r+IF(circ_int,eq_c1/2,0)))/INDEX(lk_legs,9))&lt;(((((2*IF(circ_int,0,eq_c2/2))+(PI()*(s_0+8*s_r+IF(circ_int,eq_c1/2,0))/2))+2*IF(circ_int,0,eq_c1/2))+(PI()*(s_0+8*s_r+IF(circ_int,eq_c1/2,0))/2))+2*IF(circ_int,0,eq_c2/2)),IF(circ_int,0,eq_c2/2)-(((41+0.5)*(4*IF(circ_int,0,eq_c1/2)+4*IF(circ_int,0,eq_c2/2)+2*PI()*(s_0+8*s_r+IF(circ_int,eq_c1/2,0)))/INDEX(lk_legs,9))-((((2*IF(circ_int,0,eq_c2/2))+(PI()*(s_0+8*s_r+IF(circ_int,eq_c1/2,0))/2))+2*IF(circ_int,0,eq_c1/2))+(PI()*(s_0+8*s_r+IF(circ_int,eq_c1/2,0))/2))),IF(((41+0.5)*(4*IF(circ_int,0,eq_c1/2)+4*IF(circ_int,0,eq_c2/2)+2*PI()*(s_0+8*s_r+IF(circ_int,eq_c1/2,0)))/INDEX(lk_legs,9))&lt;((((((2*IF(circ_int,0,eq_c2/2))+(PI()*(s_0+8*s_r+IF(circ_int,eq_c1/2,0))/2))+2*IF(circ_int,0,eq_c1/2))+(PI()*(s_0+8*s_r+IF(circ_int,eq_c1/2,0))/2))+2*IF(circ_int,0,eq_c2/2))+(PI()*(s_0+8*s_r+IF(circ_int,eq_c1/2,0))/2)),-IF(circ_int,0,eq_c2/2)+(s_0+8*s_r+IF(circ_int,eq_c1/2,0))*SIN(PI()+(((41+0.5)*(4*IF(circ_int,0,eq_c1/2)+4*IF(circ_int,0,eq_c2/2)+2*PI()*(s_0+8*s_r+IF(circ_int,eq_c1/2,0)))/INDEX(lk_legs,9))-(((((2*IF(circ_int,0,eq_c2/2))+(PI()*(s_0+8*s_r+IF(circ_int,eq_c1/2,0))/2))+2*IF(circ_int,0,eq_c1/2))+(PI()*(s_0+8*s_r+IF(circ_int,eq_c1/2,0))/2))+2*IF(circ_int,0,eq_c2/2)))/(s_0+8*s_r+IF(circ_int,eq_c1/2,0))),IF(((41+0.5)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(41+0.5)*(4*IF(circ_int,0,eq_c1/2)+4*IF(circ_int,0,eq_c2/2)+2*PI()*(s_0+8*s_r+IF(circ_int,eq_c1/2,0)))/INDEX(lk_legs,9))-(((((((2*IF(circ_int,0,eq_c2/2))+(PI()*(s_0+8*s_r+IF(circ_int,eq_c1/2,0))/2))+2*IF(circ_int,0,eq_c1/2))+(PI()*(s_0+8*s_r+IF(circ_int,eq_c1/2,0))/2))+2*IF(circ_int,0,eq_c2/2))+(PI()*(s_0+8*s_r+IF(circ_int,eq_c1/2,0))/2))+2*IF(circ_int,0,eq_c1/2)))/(s_0+8*s_r+IF(circ_int,eq_c1/2,0)))))))))),NA())</f>
        <v/>
      </c>
      <c r="CY44">
        <f>IF(AND(links_on,10&lt;=n_per),IF(circ_int,(g_ox)+(c_1/2+(s_0+9*s_r))*0.239316,CHOOSE(INDEX(lk_kind,10),(g_ox+eq_c1/2)+((s_0+9*s_r))*0.258819,0,eq_a1+eq_c1+(s_0+9*s_r),eq_a1+eq_c1+(s_0+9*s_r))),NA())</f>
        <v/>
      </c>
      <c r="CZ44">
        <f>IF(AND(links_on,10&lt;=n_per),IF(circ_int,(g_oy)+(c_1/2+(s_0+9*s_r))*-0.970942,CHOOSE(INDEX(lk_kind,10),(g_oy-eq_c2/2)+((s_0+9*s_r))*-0.965926,g_oy-eq_c2/2-(s_0+9*s_r),0,0)),NA())</f>
        <v/>
      </c>
      <c r="DB44">
        <f>IF(AND(AND(links_on,10&lt;=n_per),INDEX(lk_kind,10)=1,41&lt;INDEX(lk_legs,10)),g_ox+IF(((41+0.5)*(4*IF(circ_int,0,eq_c1/2)+4*IF(circ_int,0,eq_c2/2)+2*PI()*(s_0+9*s_r+IF(circ_int,eq_c1/2,0)))/INDEX(lk_legs,10))&lt;(2*IF(circ_int,0,eq_c2/2)),IF(circ_int,0,eq_c1/2)+(s_0+9*s_r+IF(circ_int,eq_c1/2,0)),IF(((41+0.5)*(4*IF(circ_int,0,eq_c1/2)+4*IF(circ_int,0,eq_c2/2)+2*PI()*(s_0+9*s_r+IF(circ_int,eq_c1/2,0)))/INDEX(lk_legs,10))&lt;((2*IF(circ_int,0,eq_c2/2))+(PI()*(s_0+9*s_r+IF(circ_int,eq_c1/2,0))/2)),IF(circ_int,0,eq_c1/2)+(s_0+9*s_r+IF(circ_int,eq_c1/2,0))*COS((((41+0.5)*(4*IF(circ_int,0,eq_c1/2)+4*IF(circ_int,0,eq_c2/2)+2*PI()*(s_0+9*s_r+IF(circ_int,eq_c1/2,0)))/INDEX(lk_legs,10))-(2*IF(circ_int,0,eq_c2/2)))/(s_0+9*s_r+IF(circ_int,eq_c1/2,0))),IF(((41+0.5)*(4*IF(circ_int,0,eq_c1/2)+4*IF(circ_int,0,eq_c2/2)+2*PI()*(s_0+9*s_r+IF(circ_int,eq_c1/2,0)))/INDEX(lk_legs,10))&lt;(((2*IF(circ_int,0,eq_c2/2))+(PI()*(s_0+9*s_r+IF(circ_int,eq_c1/2,0))/2))+2*IF(circ_int,0,eq_c1/2)),IF(circ_int,0,eq_c1/2)-(((41+0.5)*(4*IF(circ_int,0,eq_c1/2)+4*IF(circ_int,0,eq_c2/2)+2*PI()*(s_0+9*s_r+IF(circ_int,eq_c1/2,0)))/INDEX(lk_legs,10))-((2*IF(circ_int,0,eq_c2/2))+(PI()*(s_0+9*s_r+IF(circ_int,eq_c1/2,0))/2))),IF(((41+0.5)*(4*IF(circ_int,0,eq_c1/2)+4*IF(circ_int,0,eq_c2/2)+2*PI()*(s_0+9*s_r+IF(circ_int,eq_c1/2,0)))/INDEX(lk_legs,10))&lt;((((2*IF(circ_int,0,eq_c2/2))+(PI()*(s_0+9*s_r+IF(circ_int,eq_c1/2,0))/2))+2*IF(circ_int,0,eq_c1/2))+(PI()*(s_0+9*s_r+IF(circ_int,eq_c1/2,0))/2)),-IF(circ_int,0,eq_c1/2)+(s_0+9*s_r+IF(circ_int,eq_c1/2,0))*COS(PI()/2+(((41+0.5)*(4*IF(circ_int,0,eq_c1/2)+4*IF(circ_int,0,eq_c2/2)+2*PI()*(s_0+9*s_r+IF(circ_int,eq_c1/2,0)))/INDEX(lk_legs,10))-(((2*IF(circ_int,0,eq_c2/2))+(PI()*(s_0+9*s_r+IF(circ_int,eq_c1/2,0))/2))+2*IF(circ_int,0,eq_c1/2)))/(s_0+9*s_r+IF(circ_int,eq_c1/2,0))),IF(((41+0.5)*(4*IF(circ_int,0,eq_c1/2)+4*IF(circ_int,0,eq_c2/2)+2*PI()*(s_0+9*s_r+IF(circ_int,eq_c1/2,0)))/INDEX(lk_legs,10))&lt;(((((2*IF(circ_int,0,eq_c2/2))+(PI()*(s_0+9*s_r+IF(circ_int,eq_c1/2,0))/2))+2*IF(circ_int,0,eq_c1/2))+(PI()*(s_0+9*s_r+IF(circ_int,eq_c1/2,0))/2))+2*IF(circ_int,0,eq_c2/2)),-IF(circ_int,0,eq_c1/2)-(s_0+9*s_r+IF(circ_int,eq_c1/2,0)),IF(((41+0.5)*(4*IF(circ_int,0,eq_c1/2)+4*IF(circ_int,0,eq_c2/2)+2*PI()*(s_0+9*s_r+IF(circ_int,eq_c1/2,0)))/INDEX(lk_legs,10))&lt;((((((2*IF(circ_int,0,eq_c2/2))+(PI()*(s_0+9*s_r+IF(circ_int,eq_c1/2,0))/2))+2*IF(circ_int,0,eq_c1/2))+(PI()*(s_0+9*s_r+IF(circ_int,eq_c1/2,0))/2))+2*IF(circ_int,0,eq_c2/2))+(PI()*(s_0+9*s_r+IF(circ_int,eq_c1/2,0))/2)),-IF(circ_int,0,eq_c1/2)+(s_0+9*s_r+IF(circ_int,eq_c1/2,0))*COS(PI()+(((41+0.5)*(4*IF(circ_int,0,eq_c1/2)+4*IF(circ_int,0,eq_c2/2)+2*PI()*(s_0+9*s_r+IF(circ_int,eq_c1/2,0)))/INDEX(lk_legs,10))-(((((2*IF(circ_int,0,eq_c2/2))+(PI()*(s_0+9*s_r+IF(circ_int,eq_c1/2,0))/2))+2*IF(circ_int,0,eq_c1/2))+(PI()*(s_0+9*s_r+IF(circ_int,eq_c1/2,0))/2))+2*IF(circ_int,0,eq_c2/2)))/(s_0+9*s_r+IF(circ_int,eq_c1/2,0))),IF(((41+0.5)*(4*IF(circ_int,0,eq_c1/2)+4*IF(circ_int,0,eq_c2/2)+2*PI()*(s_0+9*s_r+IF(circ_int,eq_c1/2,0)))/INDEX(lk_legs,10))&lt;(((((((2*IF(circ_int,0,eq_c2/2))+(PI()*(s_0+9*s_r+IF(circ_int,eq_c1/2,0))/2))+2*IF(circ_int,0,eq_c1/2))+(PI()*(s_0+9*s_r+IF(circ_int,eq_c1/2,0))/2))+2*IF(circ_int,0,eq_c2/2))+(PI()*(s_0+9*s_r+IF(circ_int,eq_c1/2,0))/2))+2*IF(circ_int,0,eq_c1/2)),-IF(circ_int,0,eq_c1/2)+(((41+0.5)*(4*IF(circ_int,0,eq_c1/2)+4*IF(circ_int,0,eq_c2/2)+2*PI()*(s_0+9*s_r+IF(circ_int,eq_c1/2,0)))/INDEX(lk_legs,10))-((((((2*IF(circ_int,0,eq_c2/2))+(PI()*(s_0+9*s_r+IF(circ_int,eq_c1/2,0))/2))+2*IF(circ_int,0,eq_c1/2))+(PI()*(s_0+9*s_r+IF(circ_int,eq_c1/2,0))/2))+2*IF(circ_int,0,eq_c2/2))+(PI()*(s_0+9*s_r+IF(circ_int,eq_c1/2,0))/2))),IF(circ_int,0,eq_c1/2)+(s_0+9*s_r+IF(circ_int,eq_c1/2,0))*COS(3*PI()/2+(((41+0.5)*(4*IF(circ_int,0,eq_c1/2)+4*IF(circ_int,0,eq_c2/2)+2*PI()*(s_0+9*s_r+IF(circ_int,eq_c1/2,0)))/INDEX(lk_legs,10))-(((((((2*IF(circ_int,0,eq_c2/2))+(PI()*(s_0+9*s_r+IF(circ_int,eq_c1/2,0))/2))+2*IF(circ_int,0,eq_c1/2))+(PI()*(s_0+9*s_r+IF(circ_int,eq_c1/2,0))/2))+2*IF(circ_int,0,eq_c2/2))+(PI()*(s_0+9*s_r+IF(circ_int,eq_c1/2,0))/2))+2*IF(circ_int,0,eq_c1/2)))/(s_0+9*s_r+IF(circ_int,eq_c1/2,0)))))))))),NA())</f>
        <v/>
      </c>
      <c r="DC44">
        <f>IF(AND(AND(links_on,10&lt;=n_per),INDEX(lk_kind,10)=1,41&lt;INDEX(lk_legs,10)),g_oy+IF(((41+0.5)*(4*IF(circ_int,0,eq_c1/2)+4*IF(circ_int,0,eq_c2/2)+2*PI()*(s_0+9*s_r+IF(circ_int,eq_c1/2,0)))/INDEX(lk_legs,10))&lt;(2*IF(circ_int,0,eq_c2/2)),-IF(circ_int,0,eq_c2/2)+((41+0.5)*(4*IF(circ_int,0,eq_c1/2)+4*IF(circ_int,0,eq_c2/2)+2*PI()*(s_0+9*s_r+IF(circ_int,eq_c1/2,0)))/INDEX(lk_legs,10)),IF(((41+0.5)*(4*IF(circ_int,0,eq_c1/2)+4*IF(circ_int,0,eq_c2/2)+2*PI()*(s_0+9*s_r+IF(circ_int,eq_c1/2,0)))/INDEX(lk_legs,10))&lt;((2*IF(circ_int,0,eq_c2/2))+(PI()*(s_0+9*s_r+IF(circ_int,eq_c1/2,0))/2)),IF(circ_int,0,eq_c2/2)+(s_0+9*s_r+IF(circ_int,eq_c1/2,0))*SIN((((41+0.5)*(4*IF(circ_int,0,eq_c1/2)+4*IF(circ_int,0,eq_c2/2)+2*PI()*(s_0+9*s_r+IF(circ_int,eq_c1/2,0)))/INDEX(lk_legs,10))-(2*IF(circ_int,0,eq_c2/2)))/(s_0+9*s_r+IF(circ_int,eq_c1/2,0))),IF(((41+0.5)*(4*IF(circ_int,0,eq_c1/2)+4*IF(circ_int,0,eq_c2/2)+2*PI()*(s_0+9*s_r+IF(circ_int,eq_c1/2,0)))/INDEX(lk_legs,10))&lt;(((2*IF(circ_int,0,eq_c2/2))+(PI()*(s_0+9*s_r+IF(circ_int,eq_c1/2,0))/2))+2*IF(circ_int,0,eq_c1/2)),IF(circ_int,0,eq_c2/2)+(s_0+9*s_r+IF(circ_int,eq_c1/2,0)),IF(((41+0.5)*(4*IF(circ_int,0,eq_c1/2)+4*IF(circ_int,0,eq_c2/2)+2*PI()*(s_0+9*s_r+IF(circ_int,eq_c1/2,0)))/INDEX(lk_legs,10))&lt;((((2*IF(circ_int,0,eq_c2/2))+(PI()*(s_0+9*s_r+IF(circ_int,eq_c1/2,0))/2))+2*IF(circ_int,0,eq_c1/2))+(PI()*(s_0+9*s_r+IF(circ_int,eq_c1/2,0))/2)),IF(circ_int,0,eq_c2/2)+(s_0+9*s_r+IF(circ_int,eq_c1/2,0))*SIN(PI()/2+(((41+0.5)*(4*IF(circ_int,0,eq_c1/2)+4*IF(circ_int,0,eq_c2/2)+2*PI()*(s_0+9*s_r+IF(circ_int,eq_c1/2,0)))/INDEX(lk_legs,10))-(((2*IF(circ_int,0,eq_c2/2))+(PI()*(s_0+9*s_r+IF(circ_int,eq_c1/2,0))/2))+2*IF(circ_int,0,eq_c1/2)))/(s_0+9*s_r+IF(circ_int,eq_c1/2,0))),IF(((41+0.5)*(4*IF(circ_int,0,eq_c1/2)+4*IF(circ_int,0,eq_c2/2)+2*PI()*(s_0+9*s_r+IF(circ_int,eq_c1/2,0)))/INDEX(lk_legs,10))&lt;(((((2*IF(circ_int,0,eq_c2/2))+(PI()*(s_0+9*s_r+IF(circ_int,eq_c1/2,0))/2))+2*IF(circ_int,0,eq_c1/2))+(PI()*(s_0+9*s_r+IF(circ_int,eq_c1/2,0))/2))+2*IF(circ_int,0,eq_c2/2)),IF(circ_int,0,eq_c2/2)-(((41+0.5)*(4*IF(circ_int,0,eq_c1/2)+4*IF(circ_int,0,eq_c2/2)+2*PI()*(s_0+9*s_r+IF(circ_int,eq_c1/2,0)))/INDEX(lk_legs,10))-((((2*IF(circ_int,0,eq_c2/2))+(PI()*(s_0+9*s_r+IF(circ_int,eq_c1/2,0))/2))+2*IF(circ_int,0,eq_c1/2))+(PI()*(s_0+9*s_r+IF(circ_int,eq_c1/2,0))/2))),IF(((41+0.5)*(4*IF(circ_int,0,eq_c1/2)+4*IF(circ_int,0,eq_c2/2)+2*PI()*(s_0+9*s_r+IF(circ_int,eq_c1/2,0)))/INDEX(lk_legs,10))&lt;((((((2*IF(circ_int,0,eq_c2/2))+(PI()*(s_0+9*s_r+IF(circ_int,eq_c1/2,0))/2))+2*IF(circ_int,0,eq_c1/2))+(PI()*(s_0+9*s_r+IF(circ_int,eq_c1/2,0))/2))+2*IF(circ_int,0,eq_c2/2))+(PI()*(s_0+9*s_r+IF(circ_int,eq_c1/2,0))/2)),-IF(circ_int,0,eq_c2/2)+(s_0+9*s_r+IF(circ_int,eq_c1/2,0))*SIN(PI()+(((41+0.5)*(4*IF(circ_int,0,eq_c1/2)+4*IF(circ_int,0,eq_c2/2)+2*PI()*(s_0+9*s_r+IF(circ_int,eq_c1/2,0)))/INDEX(lk_legs,10))-(((((2*IF(circ_int,0,eq_c2/2))+(PI()*(s_0+9*s_r+IF(circ_int,eq_c1/2,0))/2))+2*IF(circ_int,0,eq_c1/2))+(PI()*(s_0+9*s_r+IF(circ_int,eq_c1/2,0))/2))+2*IF(circ_int,0,eq_c2/2)))/(s_0+9*s_r+IF(circ_int,eq_c1/2,0))),IF(((41+0.5)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(41+0.5)*(4*IF(circ_int,0,eq_c1/2)+4*IF(circ_int,0,eq_c2/2)+2*PI()*(s_0+9*s_r+IF(circ_int,eq_c1/2,0)))/INDEX(lk_legs,10))-(((((((2*IF(circ_int,0,eq_c2/2))+(PI()*(s_0+9*s_r+IF(circ_int,eq_c1/2,0))/2))+2*IF(circ_int,0,eq_c1/2))+(PI()*(s_0+9*s_r+IF(circ_int,eq_c1/2,0))/2))+2*IF(circ_int,0,eq_c2/2))+(PI()*(s_0+9*s_r+IF(circ_int,eq_c1/2,0))/2))+2*IF(circ_int,0,eq_c1/2)))/(s_0+9*s_r+IF(circ_int,eq_c1/2,0)))))))))),NA())</f>
        <v/>
      </c>
      <c r="DE44">
        <f>IF(AND(links_on,11&lt;=n_per),IF(circ_int,(g_ox)+(c_1/2+(s_0+10*s_r))*0.239316,CHOOSE(INDEX(lk_kind,11),(g_ox+eq_c1/2)+((s_0+10*s_r))*0.258819,0,eq_a1+eq_c1+(s_0+10*s_r),eq_a1+eq_c1+(s_0+10*s_r))),NA())</f>
        <v/>
      </c>
      <c r="DF44">
        <f>IF(AND(links_on,11&lt;=n_per),IF(circ_int,(g_oy)+(c_1/2+(s_0+10*s_r))*-0.970942,CHOOSE(INDEX(lk_kind,11),(g_oy-eq_c2/2)+((s_0+10*s_r))*-0.965926,g_oy-eq_c2/2-(s_0+10*s_r),0,0)),NA())</f>
        <v/>
      </c>
      <c r="DH44">
        <f>IF(AND(AND(links_on,11&lt;=n_per),INDEX(lk_kind,11)=1,41&lt;INDEX(lk_legs,11)),g_ox+IF(((41+0.5)*(4*IF(circ_int,0,eq_c1/2)+4*IF(circ_int,0,eq_c2/2)+2*PI()*(s_0+10*s_r+IF(circ_int,eq_c1/2,0)))/INDEX(lk_legs,11))&lt;(2*IF(circ_int,0,eq_c2/2)),IF(circ_int,0,eq_c1/2)+(s_0+10*s_r+IF(circ_int,eq_c1/2,0)),IF(((41+0.5)*(4*IF(circ_int,0,eq_c1/2)+4*IF(circ_int,0,eq_c2/2)+2*PI()*(s_0+10*s_r+IF(circ_int,eq_c1/2,0)))/INDEX(lk_legs,11))&lt;((2*IF(circ_int,0,eq_c2/2))+(PI()*(s_0+10*s_r+IF(circ_int,eq_c1/2,0))/2)),IF(circ_int,0,eq_c1/2)+(s_0+10*s_r+IF(circ_int,eq_c1/2,0))*COS((((41+0.5)*(4*IF(circ_int,0,eq_c1/2)+4*IF(circ_int,0,eq_c2/2)+2*PI()*(s_0+10*s_r+IF(circ_int,eq_c1/2,0)))/INDEX(lk_legs,11))-(2*IF(circ_int,0,eq_c2/2)))/(s_0+10*s_r+IF(circ_int,eq_c1/2,0))),IF(((41+0.5)*(4*IF(circ_int,0,eq_c1/2)+4*IF(circ_int,0,eq_c2/2)+2*PI()*(s_0+10*s_r+IF(circ_int,eq_c1/2,0)))/INDEX(lk_legs,11))&lt;(((2*IF(circ_int,0,eq_c2/2))+(PI()*(s_0+10*s_r+IF(circ_int,eq_c1/2,0))/2))+2*IF(circ_int,0,eq_c1/2)),IF(circ_int,0,eq_c1/2)-(((41+0.5)*(4*IF(circ_int,0,eq_c1/2)+4*IF(circ_int,0,eq_c2/2)+2*PI()*(s_0+10*s_r+IF(circ_int,eq_c1/2,0)))/INDEX(lk_legs,11))-((2*IF(circ_int,0,eq_c2/2))+(PI()*(s_0+10*s_r+IF(circ_int,eq_c1/2,0))/2))),IF(((41+0.5)*(4*IF(circ_int,0,eq_c1/2)+4*IF(circ_int,0,eq_c2/2)+2*PI()*(s_0+10*s_r+IF(circ_int,eq_c1/2,0)))/INDEX(lk_legs,11))&lt;((((2*IF(circ_int,0,eq_c2/2))+(PI()*(s_0+10*s_r+IF(circ_int,eq_c1/2,0))/2))+2*IF(circ_int,0,eq_c1/2))+(PI()*(s_0+10*s_r+IF(circ_int,eq_c1/2,0))/2)),-IF(circ_int,0,eq_c1/2)+(s_0+10*s_r+IF(circ_int,eq_c1/2,0))*COS(PI()/2+(((41+0.5)*(4*IF(circ_int,0,eq_c1/2)+4*IF(circ_int,0,eq_c2/2)+2*PI()*(s_0+10*s_r+IF(circ_int,eq_c1/2,0)))/INDEX(lk_legs,11))-(((2*IF(circ_int,0,eq_c2/2))+(PI()*(s_0+10*s_r+IF(circ_int,eq_c1/2,0))/2))+2*IF(circ_int,0,eq_c1/2)))/(s_0+10*s_r+IF(circ_int,eq_c1/2,0))),IF(((41+0.5)*(4*IF(circ_int,0,eq_c1/2)+4*IF(circ_int,0,eq_c2/2)+2*PI()*(s_0+10*s_r+IF(circ_int,eq_c1/2,0)))/INDEX(lk_legs,11))&lt;(((((2*IF(circ_int,0,eq_c2/2))+(PI()*(s_0+10*s_r+IF(circ_int,eq_c1/2,0))/2))+2*IF(circ_int,0,eq_c1/2))+(PI()*(s_0+10*s_r+IF(circ_int,eq_c1/2,0))/2))+2*IF(circ_int,0,eq_c2/2)),-IF(circ_int,0,eq_c1/2)-(s_0+10*s_r+IF(circ_int,eq_c1/2,0)),IF(((41+0.5)*(4*IF(circ_int,0,eq_c1/2)+4*IF(circ_int,0,eq_c2/2)+2*PI()*(s_0+10*s_r+IF(circ_int,eq_c1/2,0)))/INDEX(lk_legs,11))&lt;((((((2*IF(circ_int,0,eq_c2/2))+(PI()*(s_0+10*s_r+IF(circ_int,eq_c1/2,0))/2))+2*IF(circ_int,0,eq_c1/2))+(PI()*(s_0+10*s_r+IF(circ_int,eq_c1/2,0))/2))+2*IF(circ_int,0,eq_c2/2))+(PI()*(s_0+10*s_r+IF(circ_int,eq_c1/2,0))/2)),-IF(circ_int,0,eq_c1/2)+(s_0+10*s_r+IF(circ_int,eq_c1/2,0))*COS(PI()+(((41+0.5)*(4*IF(circ_int,0,eq_c1/2)+4*IF(circ_int,0,eq_c2/2)+2*PI()*(s_0+10*s_r+IF(circ_int,eq_c1/2,0)))/INDEX(lk_legs,11))-(((((2*IF(circ_int,0,eq_c2/2))+(PI()*(s_0+10*s_r+IF(circ_int,eq_c1/2,0))/2))+2*IF(circ_int,0,eq_c1/2))+(PI()*(s_0+10*s_r+IF(circ_int,eq_c1/2,0))/2))+2*IF(circ_int,0,eq_c2/2)))/(s_0+10*s_r+IF(circ_int,eq_c1/2,0))),IF(((41+0.5)*(4*IF(circ_int,0,eq_c1/2)+4*IF(circ_int,0,eq_c2/2)+2*PI()*(s_0+10*s_r+IF(circ_int,eq_c1/2,0)))/INDEX(lk_legs,11))&lt;(((((((2*IF(circ_int,0,eq_c2/2))+(PI()*(s_0+10*s_r+IF(circ_int,eq_c1/2,0))/2))+2*IF(circ_int,0,eq_c1/2))+(PI()*(s_0+10*s_r+IF(circ_int,eq_c1/2,0))/2))+2*IF(circ_int,0,eq_c2/2))+(PI()*(s_0+10*s_r+IF(circ_int,eq_c1/2,0))/2))+2*IF(circ_int,0,eq_c1/2)),-IF(circ_int,0,eq_c1/2)+(((41+0.5)*(4*IF(circ_int,0,eq_c1/2)+4*IF(circ_int,0,eq_c2/2)+2*PI()*(s_0+10*s_r+IF(circ_int,eq_c1/2,0)))/INDEX(lk_legs,11))-((((((2*IF(circ_int,0,eq_c2/2))+(PI()*(s_0+10*s_r+IF(circ_int,eq_c1/2,0))/2))+2*IF(circ_int,0,eq_c1/2))+(PI()*(s_0+10*s_r+IF(circ_int,eq_c1/2,0))/2))+2*IF(circ_int,0,eq_c2/2))+(PI()*(s_0+10*s_r+IF(circ_int,eq_c1/2,0))/2))),IF(circ_int,0,eq_c1/2)+(s_0+10*s_r+IF(circ_int,eq_c1/2,0))*COS(3*PI()/2+(((41+0.5)*(4*IF(circ_int,0,eq_c1/2)+4*IF(circ_int,0,eq_c2/2)+2*PI()*(s_0+10*s_r+IF(circ_int,eq_c1/2,0)))/INDEX(lk_legs,11))-(((((((2*IF(circ_int,0,eq_c2/2))+(PI()*(s_0+10*s_r+IF(circ_int,eq_c1/2,0))/2))+2*IF(circ_int,0,eq_c1/2))+(PI()*(s_0+10*s_r+IF(circ_int,eq_c1/2,0))/2))+2*IF(circ_int,0,eq_c2/2))+(PI()*(s_0+10*s_r+IF(circ_int,eq_c1/2,0))/2))+2*IF(circ_int,0,eq_c1/2)))/(s_0+10*s_r+IF(circ_int,eq_c1/2,0)))))))))),NA())</f>
        <v/>
      </c>
      <c r="DI44">
        <f>IF(AND(AND(links_on,11&lt;=n_per),INDEX(lk_kind,11)=1,41&lt;INDEX(lk_legs,11)),g_oy+IF(((41+0.5)*(4*IF(circ_int,0,eq_c1/2)+4*IF(circ_int,0,eq_c2/2)+2*PI()*(s_0+10*s_r+IF(circ_int,eq_c1/2,0)))/INDEX(lk_legs,11))&lt;(2*IF(circ_int,0,eq_c2/2)),-IF(circ_int,0,eq_c2/2)+((41+0.5)*(4*IF(circ_int,0,eq_c1/2)+4*IF(circ_int,0,eq_c2/2)+2*PI()*(s_0+10*s_r+IF(circ_int,eq_c1/2,0)))/INDEX(lk_legs,11)),IF(((41+0.5)*(4*IF(circ_int,0,eq_c1/2)+4*IF(circ_int,0,eq_c2/2)+2*PI()*(s_0+10*s_r+IF(circ_int,eq_c1/2,0)))/INDEX(lk_legs,11))&lt;((2*IF(circ_int,0,eq_c2/2))+(PI()*(s_0+10*s_r+IF(circ_int,eq_c1/2,0))/2)),IF(circ_int,0,eq_c2/2)+(s_0+10*s_r+IF(circ_int,eq_c1/2,0))*SIN((((41+0.5)*(4*IF(circ_int,0,eq_c1/2)+4*IF(circ_int,0,eq_c2/2)+2*PI()*(s_0+10*s_r+IF(circ_int,eq_c1/2,0)))/INDEX(lk_legs,11))-(2*IF(circ_int,0,eq_c2/2)))/(s_0+10*s_r+IF(circ_int,eq_c1/2,0))),IF(((41+0.5)*(4*IF(circ_int,0,eq_c1/2)+4*IF(circ_int,0,eq_c2/2)+2*PI()*(s_0+10*s_r+IF(circ_int,eq_c1/2,0)))/INDEX(lk_legs,11))&lt;(((2*IF(circ_int,0,eq_c2/2))+(PI()*(s_0+10*s_r+IF(circ_int,eq_c1/2,0))/2))+2*IF(circ_int,0,eq_c1/2)),IF(circ_int,0,eq_c2/2)+(s_0+10*s_r+IF(circ_int,eq_c1/2,0)),IF(((41+0.5)*(4*IF(circ_int,0,eq_c1/2)+4*IF(circ_int,0,eq_c2/2)+2*PI()*(s_0+10*s_r+IF(circ_int,eq_c1/2,0)))/INDEX(lk_legs,11))&lt;((((2*IF(circ_int,0,eq_c2/2))+(PI()*(s_0+10*s_r+IF(circ_int,eq_c1/2,0))/2))+2*IF(circ_int,0,eq_c1/2))+(PI()*(s_0+10*s_r+IF(circ_int,eq_c1/2,0))/2)),IF(circ_int,0,eq_c2/2)+(s_0+10*s_r+IF(circ_int,eq_c1/2,0))*SIN(PI()/2+(((41+0.5)*(4*IF(circ_int,0,eq_c1/2)+4*IF(circ_int,0,eq_c2/2)+2*PI()*(s_0+10*s_r+IF(circ_int,eq_c1/2,0)))/INDEX(lk_legs,11))-(((2*IF(circ_int,0,eq_c2/2))+(PI()*(s_0+10*s_r+IF(circ_int,eq_c1/2,0))/2))+2*IF(circ_int,0,eq_c1/2)))/(s_0+10*s_r+IF(circ_int,eq_c1/2,0))),IF(((41+0.5)*(4*IF(circ_int,0,eq_c1/2)+4*IF(circ_int,0,eq_c2/2)+2*PI()*(s_0+10*s_r+IF(circ_int,eq_c1/2,0)))/INDEX(lk_legs,11))&lt;(((((2*IF(circ_int,0,eq_c2/2))+(PI()*(s_0+10*s_r+IF(circ_int,eq_c1/2,0))/2))+2*IF(circ_int,0,eq_c1/2))+(PI()*(s_0+10*s_r+IF(circ_int,eq_c1/2,0))/2))+2*IF(circ_int,0,eq_c2/2)),IF(circ_int,0,eq_c2/2)-(((41+0.5)*(4*IF(circ_int,0,eq_c1/2)+4*IF(circ_int,0,eq_c2/2)+2*PI()*(s_0+10*s_r+IF(circ_int,eq_c1/2,0)))/INDEX(lk_legs,11))-((((2*IF(circ_int,0,eq_c2/2))+(PI()*(s_0+10*s_r+IF(circ_int,eq_c1/2,0))/2))+2*IF(circ_int,0,eq_c1/2))+(PI()*(s_0+10*s_r+IF(circ_int,eq_c1/2,0))/2))),IF(((41+0.5)*(4*IF(circ_int,0,eq_c1/2)+4*IF(circ_int,0,eq_c2/2)+2*PI()*(s_0+10*s_r+IF(circ_int,eq_c1/2,0)))/INDEX(lk_legs,11))&lt;((((((2*IF(circ_int,0,eq_c2/2))+(PI()*(s_0+10*s_r+IF(circ_int,eq_c1/2,0))/2))+2*IF(circ_int,0,eq_c1/2))+(PI()*(s_0+10*s_r+IF(circ_int,eq_c1/2,0))/2))+2*IF(circ_int,0,eq_c2/2))+(PI()*(s_0+10*s_r+IF(circ_int,eq_c1/2,0))/2)),-IF(circ_int,0,eq_c2/2)+(s_0+10*s_r+IF(circ_int,eq_c1/2,0))*SIN(PI()+(((41+0.5)*(4*IF(circ_int,0,eq_c1/2)+4*IF(circ_int,0,eq_c2/2)+2*PI()*(s_0+10*s_r+IF(circ_int,eq_c1/2,0)))/INDEX(lk_legs,11))-(((((2*IF(circ_int,0,eq_c2/2))+(PI()*(s_0+10*s_r+IF(circ_int,eq_c1/2,0))/2))+2*IF(circ_int,0,eq_c1/2))+(PI()*(s_0+10*s_r+IF(circ_int,eq_c1/2,0))/2))+2*IF(circ_int,0,eq_c2/2)))/(s_0+10*s_r+IF(circ_int,eq_c1/2,0))),IF(((41+0.5)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(41+0.5)*(4*IF(circ_int,0,eq_c1/2)+4*IF(circ_int,0,eq_c2/2)+2*PI()*(s_0+10*s_r+IF(circ_int,eq_c1/2,0)))/INDEX(lk_legs,11))-(((((((2*IF(circ_int,0,eq_c2/2))+(PI()*(s_0+10*s_r+IF(circ_int,eq_c1/2,0))/2))+2*IF(circ_int,0,eq_c1/2))+(PI()*(s_0+10*s_r+IF(circ_int,eq_c1/2,0))/2))+2*IF(circ_int,0,eq_c2/2))+(PI()*(s_0+10*s_r+IF(circ_int,eq_c1/2,0))/2))+2*IF(circ_int,0,eq_c1/2)))/(s_0+10*s_r+IF(circ_int,eq_c1/2,0)))))))))),NA())</f>
        <v/>
      </c>
      <c r="DK44">
        <f>IF(AND(links_on,12&lt;=n_per),IF(circ_int,(g_ox)+(c_1/2+(s_0+11*s_r))*0.239316,CHOOSE(INDEX(lk_kind,12),(g_ox+eq_c1/2)+((s_0+11*s_r))*0.258819,0,eq_a1+eq_c1+(s_0+11*s_r),eq_a1+eq_c1+(s_0+11*s_r))),NA())</f>
        <v/>
      </c>
      <c r="DL44">
        <f>IF(AND(links_on,12&lt;=n_per),IF(circ_int,(g_oy)+(c_1/2+(s_0+11*s_r))*-0.970942,CHOOSE(INDEX(lk_kind,12),(g_oy-eq_c2/2)+((s_0+11*s_r))*-0.965926,g_oy-eq_c2/2-(s_0+11*s_r),0,0)),NA())</f>
        <v/>
      </c>
      <c r="DN44">
        <f>IF(AND(AND(links_on,12&lt;=n_per),INDEX(lk_kind,12)=1,41&lt;INDEX(lk_legs,12)),g_ox+IF(((41+0.5)*(4*IF(circ_int,0,eq_c1/2)+4*IF(circ_int,0,eq_c2/2)+2*PI()*(s_0+11*s_r+IF(circ_int,eq_c1/2,0)))/INDEX(lk_legs,12))&lt;(2*IF(circ_int,0,eq_c2/2)),IF(circ_int,0,eq_c1/2)+(s_0+11*s_r+IF(circ_int,eq_c1/2,0)),IF(((41+0.5)*(4*IF(circ_int,0,eq_c1/2)+4*IF(circ_int,0,eq_c2/2)+2*PI()*(s_0+11*s_r+IF(circ_int,eq_c1/2,0)))/INDEX(lk_legs,12))&lt;((2*IF(circ_int,0,eq_c2/2))+(PI()*(s_0+11*s_r+IF(circ_int,eq_c1/2,0))/2)),IF(circ_int,0,eq_c1/2)+(s_0+11*s_r+IF(circ_int,eq_c1/2,0))*COS((((41+0.5)*(4*IF(circ_int,0,eq_c1/2)+4*IF(circ_int,0,eq_c2/2)+2*PI()*(s_0+11*s_r+IF(circ_int,eq_c1/2,0)))/INDEX(lk_legs,12))-(2*IF(circ_int,0,eq_c2/2)))/(s_0+11*s_r+IF(circ_int,eq_c1/2,0))),IF(((41+0.5)*(4*IF(circ_int,0,eq_c1/2)+4*IF(circ_int,0,eq_c2/2)+2*PI()*(s_0+11*s_r+IF(circ_int,eq_c1/2,0)))/INDEX(lk_legs,12))&lt;(((2*IF(circ_int,0,eq_c2/2))+(PI()*(s_0+11*s_r+IF(circ_int,eq_c1/2,0))/2))+2*IF(circ_int,0,eq_c1/2)),IF(circ_int,0,eq_c1/2)-(((41+0.5)*(4*IF(circ_int,0,eq_c1/2)+4*IF(circ_int,0,eq_c2/2)+2*PI()*(s_0+11*s_r+IF(circ_int,eq_c1/2,0)))/INDEX(lk_legs,12))-((2*IF(circ_int,0,eq_c2/2))+(PI()*(s_0+11*s_r+IF(circ_int,eq_c1/2,0))/2))),IF(((41+0.5)*(4*IF(circ_int,0,eq_c1/2)+4*IF(circ_int,0,eq_c2/2)+2*PI()*(s_0+11*s_r+IF(circ_int,eq_c1/2,0)))/INDEX(lk_legs,12))&lt;((((2*IF(circ_int,0,eq_c2/2))+(PI()*(s_0+11*s_r+IF(circ_int,eq_c1/2,0))/2))+2*IF(circ_int,0,eq_c1/2))+(PI()*(s_0+11*s_r+IF(circ_int,eq_c1/2,0))/2)),-IF(circ_int,0,eq_c1/2)+(s_0+11*s_r+IF(circ_int,eq_c1/2,0))*COS(PI()/2+(((41+0.5)*(4*IF(circ_int,0,eq_c1/2)+4*IF(circ_int,0,eq_c2/2)+2*PI()*(s_0+11*s_r+IF(circ_int,eq_c1/2,0)))/INDEX(lk_legs,12))-(((2*IF(circ_int,0,eq_c2/2))+(PI()*(s_0+11*s_r+IF(circ_int,eq_c1/2,0))/2))+2*IF(circ_int,0,eq_c1/2)))/(s_0+11*s_r+IF(circ_int,eq_c1/2,0))),IF(((41+0.5)*(4*IF(circ_int,0,eq_c1/2)+4*IF(circ_int,0,eq_c2/2)+2*PI()*(s_0+11*s_r+IF(circ_int,eq_c1/2,0)))/INDEX(lk_legs,12))&lt;(((((2*IF(circ_int,0,eq_c2/2))+(PI()*(s_0+11*s_r+IF(circ_int,eq_c1/2,0))/2))+2*IF(circ_int,0,eq_c1/2))+(PI()*(s_0+11*s_r+IF(circ_int,eq_c1/2,0))/2))+2*IF(circ_int,0,eq_c2/2)),-IF(circ_int,0,eq_c1/2)-(s_0+11*s_r+IF(circ_int,eq_c1/2,0)),IF(((41+0.5)*(4*IF(circ_int,0,eq_c1/2)+4*IF(circ_int,0,eq_c2/2)+2*PI()*(s_0+11*s_r+IF(circ_int,eq_c1/2,0)))/INDEX(lk_legs,12))&lt;((((((2*IF(circ_int,0,eq_c2/2))+(PI()*(s_0+11*s_r+IF(circ_int,eq_c1/2,0))/2))+2*IF(circ_int,0,eq_c1/2))+(PI()*(s_0+11*s_r+IF(circ_int,eq_c1/2,0))/2))+2*IF(circ_int,0,eq_c2/2))+(PI()*(s_0+11*s_r+IF(circ_int,eq_c1/2,0))/2)),-IF(circ_int,0,eq_c1/2)+(s_0+11*s_r+IF(circ_int,eq_c1/2,0))*COS(PI()+(((41+0.5)*(4*IF(circ_int,0,eq_c1/2)+4*IF(circ_int,0,eq_c2/2)+2*PI()*(s_0+11*s_r+IF(circ_int,eq_c1/2,0)))/INDEX(lk_legs,12))-(((((2*IF(circ_int,0,eq_c2/2))+(PI()*(s_0+11*s_r+IF(circ_int,eq_c1/2,0))/2))+2*IF(circ_int,0,eq_c1/2))+(PI()*(s_0+11*s_r+IF(circ_int,eq_c1/2,0))/2))+2*IF(circ_int,0,eq_c2/2)))/(s_0+11*s_r+IF(circ_int,eq_c1/2,0))),IF(((41+0.5)*(4*IF(circ_int,0,eq_c1/2)+4*IF(circ_int,0,eq_c2/2)+2*PI()*(s_0+11*s_r+IF(circ_int,eq_c1/2,0)))/INDEX(lk_legs,12))&lt;(((((((2*IF(circ_int,0,eq_c2/2))+(PI()*(s_0+11*s_r+IF(circ_int,eq_c1/2,0))/2))+2*IF(circ_int,0,eq_c1/2))+(PI()*(s_0+11*s_r+IF(circ_int,eq_c1/2,0))/2))+2*IF(circ_int,0,eq_c2/2))+(PI()*(s_0+11*s_r+IF(circ_int,eq_c1/2,0))/2))+2*IF(circ_int,0,eq_c1/2)),-IF(circ_int,0,eq_c1/2)+(((41+0.5)*(4*IF(circ_int,0,eq_c1/2)+4*IF(circ_int,0,eq_c2/2)+2*PI()*(s_0+11*s_r+IF(circ_int,eq_c1/2,0)))/INDEX(lk_legs,12))-((((((2*IF(circ_int,0,eq_c2/2))+(PI()*(s_0+11*s_r+IF(circ_int,eq_c1/2,0))/2))+2*IF(circ_int,0,eq_c1/2))+(PI()*(s_0+11*s_r+IF(circ_int,eq_c1/2,0))/2))+2*IF(circ_int,0,eq_c2/2))+(PI()*(s_0+11*s_r+IF(circ_int,eq_c1/2,0))/2))),IF(circ_int,0,eq_c1/2)+(s_0+11*s_r+IF(circ_int,eq_c1/2,0))*COS(3*PI()/2+(((41+0.5)*(4*IF(circ_int,0,eq_c1/2)+4*IF(circ_int,0,eq_c2/2)+2*PI()*(s_0+11*s_r+IF(circ_int,eq_c1/2,0)))/INDEX(lk_legs,12))-(((((((2*IF(circ_int,0,eq_c2/2))+(PI()*(s_0+11*s_r+IF(circ_int,eq_c1/2,0))/2))+2*IF(circ_int,0,eq_c1/2))+(PI()*(s_0+11*s_r+IF(circ_int,eq_c1/2,0))/2))+2*IF(circ_int,0,eq_c2/2))+(PI()*(s_0+11*s_r+IF(circ_int,eq_c1/2,0))/2))+2*IF(circ_int,0,eq_c1/2)))/(s_0+11*s_r+IF(circ_int,eq_c1/2,0)))))))))),NA())</f>
        <v/>
      </c>
      <c r="DO44">
        <f>IF(AND(AND(links_on,12&lt;=n_per),INDEX(lk_kind,12)=1,41&lt;INDEX(lk_legs,12)),g_oy+IF(((41+0.5)*(4*IF(circ_int,0,eq_c1/2)+4*IF(circ_int,0,eq_c2/2)+2*PI()*(s_0+11*s_r+IF(circ_int,eq_c1/2,0)))/INDEX(lk_legs,12))&lt;(2*IF(circ_int,0,eq_c2/2)),-IF(circ_int,0,eq_c2/2)+((41+0.5)*(4*IF(circ_int,0,eq_c1/2)+4*IF(circ_int,0,eq_c2/2)+2*PI()*(s_0+11*s_r+IF(circ_int,eq_c1/2,0)))/INDEX(lk_legs,12)),IF(((41+0.5)*(4*IF(circ_int,0,eq_c1/2)+4*IF(circ_int,0,eq_c2/2)+2*PI()*(s_0+11*s_r+IF(circ_int,eq_c1/2,0)))/INDEX(lk_legs,12))&lt;((2*IF(circ_int,0,eq_c2/2))+(PI()*(s_0+11*s_r+IF(circ_int,eq_c1/2,0))/2)),IF(circ_int,0,eq_c2/2)+(s_0+11*s_r+IF(circ_int,eq_c1/2,0))*SIN((((41+0.5)*(4*IF(circ_int,0,eq_c1/2)+4*IF(circ_int,0,eq_c2/2)+2*PI()*(s_0+11*s_r+IF(circ_int,eq_c1/2,0)))/INDEX(lk_legs,12))-(2*IF(circ_int,0,eq_c2/2)))/(s_0+11*s_r+IF(circ_int,eq_c1/2,0))),IF(((41+0.5)*(4*IF(circ_int,0,eq_c1/2)+4*IF(circ_int,0,eq_c2/2)+2*PI()*(s_0+11*s_r+IF(circ_int,eq_c1/2,0)))/INDEX(lk_legs,12))&lt;(((2*IF(circ_int,0,eq_c2/2))+(PI()*(s_0+11*s_r+IF(circ_int,eq_c1/2,0))/2))+2*IF(circ_int,0,eq_c1/2)),IF(circ_int,0,eq_c2/2)+(s_0+11*s_r+IF(circ_int,eq_c1/2,0)),IF(((41+0.5)*(4*IF(circ_int,0,eq_c1/2)+4*IF(circ_int,0,eq_c2/2)+2*PI()*(s_0+11*s_r+IF(circ_int,eq_c1/2,0)))/INDEX(lk_legs,12))&lt;((((2*IF(circ_int,0,eq_c2/2))+(PI()*(s_0+11*s_r+IF(circ_int,eq_c1/2,0))/2))+2*IF(circ_int,0,eq_c1/2))+(PI()*(s_0+11*s_r+IF(circ_int,eq_c1/2,0))/2)),IF(circ_int,0,eq_c2/2)+(s_0+11*s_r+IF(circ_int,eq_c1/2,0))*SIN(PI()/2+(((41+0.5)*(4*IF(circ_int,0,eq_c1/2)+4*IF(circ_int,0,eq_c2/2)+2*PI()*(s_0+11*s_r+IF(circ_int,eq_c1/2,0)))/INDEX(lk_legs,12))-(((2*IF(circ_int,0,eq_c2/2))+(PI()*(s_0+11*s_r+IF(circ_int,eq_c1/2,0))/2))+2*IF(circ_int,0,eq_c1/2)))/(s_0+11*s_r+IF(circ_int,eq_c1/2,0))),IF(((41+0.5)*(4*IF(circ_int,0,eq_c1/2)+4*IF(circ_int,0,eq_c2/2)+2*PI()*(s_0+11*s_r+IF(circ_int,eq_c1/2,0)))/INDEX(lk_legs,12))&lt;(((((2*IF(circ_int,0,eq_c2/2))+(PI()*(s_0+11*s_r+IF(circ_int,eq_c1/2,0))/2))+2*IF(circ_int,0,eq_c1/2))+(PI()*(s_0+11*s_r+IF(circ_int,eq_c1/2,0))/2))+2*IF(circ_int,0,eq_c2/2)),IF(circ_int,0,eq_c2/2)-(((41+0.5)*(4*IF(circ_int,0,eq_c1/2)+4*IF(circ_int,0,eq_c2/2)+2*PI()*(s_0+11*s_r+IF(circ_int,eq_c1/2,0)))/INDEX(lk_legs,12))-((((2*IF(circ_int,0,eq_c2/2))+(PI()*(s_0+11*s_r+IF(circ_int,eq_c1/2,0))/2))+2*IF(circ_int,0,eq_c1/2))+(PI()*(s_0+11*s_r+IF(circ_int,eq_c1/2,0))/2))),IF(((41+0.5)*(4*IF(circ_int,0,eq_c1/2)+4*IF(circ_int,0,eq_c2/2)+2*PI()*(s_0+11*s_r+IF(circ_int,eq_c1/2,0)))/INDEX(lk_legs,12))&lt;((((((2*IF(circ_int,0,eq_c2/2))+(PI()*(s_0+11*s_r+IF(circ_int,eq_c1/2,0))/2))+2*IF(circ_int,0,eq_c1/2))+(PI()*(s_0+11*s_r+IF(circ_int,eq_c1/2,0))/2))+2*IF(circ_int,0,eq_c2/2))+(PI()*(s_0+11*s_r+IF(circ_int,eq_c1/2,0))/2)),-IF(circ_int,0,eq_c2/2)+(s_0+11*s_r+IF(circ_int,eq_c1/2,0))*SIN(PI()+(((41+0.5)*(4*IF(circ_int,0,eq_c1/2)+4*IF(circ_int,0,eq_c2/2)+2*PI()*(s_0+11*s_r+IF(circ_int,eq_c1/2,0)))/INDEX(lk_legs,12))-(((((2*IF(circ_int,0,eq_c2/2))+(PI()*(s_0+11*s_r+IF(circ_int,eq_c1/2,0))/2))+2*IF(circ_int,0,eq_c1/2))+(PI()*(s_0+11*s_r+IF(circ_int,eq_c1/2,0))/2))+2*IF(circ_int,0,eq_c2/2)))/(s_0+11*s_r+IF(circ_int,eq_c1/2,0))),IF(((41+0.5)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(41+0.5)*(4*IF(circ_int,0,eq_c1/2)+4*IF(circ_int,0,eq_c2/2)+2*PI()*(s_0+11*s_r+IF(circ_int,eq_c1/2,0)))/INDEX(lk_legs,12))-(((((((2*IF(circ_int,0,eq_c2/2))+(PI()*(s_0+11*s_r+IF(circ_int,eq_c1/2,0))/2))+2*IF(circ_int,0,eq_c1/2))+(PI()*(s_0+11*s_r+IF(circ_int,eq_c1/2,0))/2))+2*IF(circ_int,0,eq_c2/2))+(PI()*(s_0+11*s_r+IF(circ_int,eq_c1/2,0))/2))+2*IF(circ_int,0,eq_c1/2)))/(s_0+11*s_r+IF(circ_int,eq_c1/2,0)))))))))),NA())</f>
        <v/>
      </c>
    </row>
    <row r="45">
      <c r="A45">
        <f>IF(shape="Circular",(g_ox)+(c_1/2+0)*0.354605,CHOOSE(1,(g_ox+eq_c1/2)+(0)*0.382683,0,eq_a1+eq_c1+0,eq_a1+eq_c1+0))</f>
        <v/>
      </c>
      <c r="B45">
        <f>IF(shape="Circular",(g_oy)+(c_1/2+0)*-0.935016,CHOOSE(1,(g_oy-eq_c2/2)+(0)*-0.923880,g_oy-eq_c2/2-0,0,0))</f>
        <v/>
      </c>
      <c r="D45">
        <f>IF(circ_int,(g_ox)+(c_1/2+2*d_eff)*0.354605,CHOOSE(geo_idx,(g_ox+eq_c1/2)+(2*d_eff)*0.382683,0,eq_a1+eq_c1+2*d_eff,eq_a1+eq_c1+2*d_eff))</f>
        <v/>
      </c>
      <c r="E45">
        <f>IF(circ_int,(g_oy)+(c_1/2+2*d_eff)*-0.935016,CHOOSE(geo_idx,(g_oy-eq_c2/2)+(2*d_eff)*-0.923880,g_oy-eq_c2/2-2*d_eff,0,0))</f>
        <v/>
      </c>
      <c r="G45">
        <f>IF(AND(inputs_ok,punch_ok,A_sw&gt;0),IF(circ_int,(g_ox)+(c_1/2+r_out)*0.354605,CHOOSE(kind_out,(g_ox+eq_c1/2)+(r_out)*0.382683,0,eq_a1+eq_c1+r_out,eq_a1+eq_c1+r_out)),NA())</f>
        <v/>
      </c>
      <c r="H45">
        <f>IF(AND(inputs_ok,punch_ok,A_sw&gt;0),IF(circ_int,(g_oy)+(c_1/2+r_out)*-0.935016,CHOOSE(kind_out,(g_oy-eq_c2/2)+(r_out)*-0.923880,g_oy-eq_c2/2-r_out,0,0)),NA())</f>
        <v/>
      </c>
      <c r="AW45">
        <f>IF(AND(links_on,1&lt;=n_per),IF(circ_int,(g_ox)+(c_1/2+(s_0+0*s_r))*0.354605,CHOOSE(INDEX(lk_kind,1),(g_ox+eq_c1/2)+((s_0+0*s_r))*0.382683,0,eq_a1+eq_c1+(s_0+0*s_r),eq_a1+eq_c1+(s_0+0*s_r))),NA())</f>
        <v/>
      </c>
      <c r="AX45">
        <f>IF(AND(links_on,1&lt;=n_per),IF(circ_int,(g_oy)+(c_1/2+(s_0+0*s_r))*-0.935016,CHOOSE(INDEX(lk_kind,1),(g_oy-eq_c2/2)+((s_0+0*s_r))*-0.923880,g_oy-eq_c2/2-(s_0+0*s_r),0,0)),NA())</f>
        <v/>
      </c>
      <c r="AZ45">
        <f>IF(AND(AND(links_on,1&lt;=n_per),INDEX(lk_kind,1)=1,42&lt;INDEX(lk_legs,1)),g_ox+IF(((42+0.5)*(4*IF(circ_int,0,eq_c1/2)+4*IF(circ_int,0,eq_c2/2)+2*PI()*(s_0+0*s_r+IF(circ_int,eq_c1/2,0)))/INDEX(lk_legs,1))&lt;(2*IF(circ_int,0,eq_c2/2)),IF(circ_int,0,eq_c1/2)+(s_0+0*s_r+IF(circ_int,eq_c1/2,0)),IF(((42+0.5)*(4*IF(circ_int,0,eq_c1/2)+4*IF(circ_int,0,eq_c2/2)+2*PI()*(s_0+0*s_r+IF(circ_int,eq_c1/2,0)))/INDEX(lk_legs,1))&lt;((2*IF(circ_int,0,eq_c2/2))+(PI()*(s_0+0*s_r+IF(circ_int,eq_c1/2,0))/2)),IF(circ_int,0,eq_c1/2)+(s_0+0*s_r+IF(circ_int,eq_c1/2,0))*COS((((42+0.5)*(4*IF(circ_int,0,eq_c1/2)+4*IF(circ_int,0,eq_c2/2)+2*PI()*(s_0+0*s_r+IF(circ_int,eq_c1/2,0)))/INDEX(lk_legs,1))-(2*IF(circ_int,0,eq_c2/2)))/(s_0+0*s_r+IF(circ_int,eq_c1/2,0))),IF(((42+0.5)*(4*IF(circ_int,0,eq_c1/2)+4*IF(circ_int,0,eq_c2/2)+2*PI()*(s_0+0*s_r+IF(circ_int,eq_c1/2,0)))/INDEX(lk_legs,1))&lt;(((2*IF(circ_int,0,eq_c2/2))+(PI()*(s_0+0*s_r+IF(circ_int,eq_c1/2,0))/2))+2*IF(circ_int,0,eq_c1/2)),IF(circ_int,0,eq_c1/2)-(((42+0.5)*(4*IF(circ_int,0,eq_c1/2)+4*IF(circ_int,0,eq_c2/2)+2*PI()*(s_0+0*s_r+IF(circ_int,eq_c1/2,0)))/INDEX(lk_legs,1))-((2*IF(circ_int,0,eq_c2/2))+(PI()*(s_0+0*s_r+IF(circ_int,eq_c1/2,0))/2))),IF(((42+0.5)*(4*IF(circ_int,0,eq_c1/2)+4*IF(circ_int,0,eq_c2/2)+2*PI()*(s_0+0*s_r+IF(circ_int,eq_c1/2,0)))/INDEX(lk_legs,1))&lt;((((2*IF(circ_int,0,eq_c2/2))+(PI()*(s_0+0*s_r+IF(circ_int,eq_c1/2,0))/2))+2*IF(circ_int,0,eq_c1/2))+(PI()*(s_0+0*s_r+IF(circ_int,eq_c1/2,0))/2)),-IF(circ_int,0,eq_c1/2)+(s_0+0*s_r+IF(circ_int,eq_c1/2,0))*COS(PI()/2+(((42+0.5)*(4*IF(circ_int,0,eq_c1/2)+4*IF(circ_int,0,eq_c2/2)+2*PI()*(s_0+0*s_r+IF(circ_int,eq_c1/2,0)))/INDEX(lk_legs,1))-(((2*IF(circ_int,0,eq_c2/2))+(PI()*(s_0+0*s_r+IF(circ_int,eq_c1/2,0))/2))+2*IF(circ_int,0,eq_c1/2)))/(s_0+0*s_r+IF(circ_int,eq_c1/2,0))),IF(((42+0.5)*(4*IF(circ_int,0,eq_c1/2)+4*IF(circ_int,0,eq_c2/2)+2*PI()*(s_0+0*s_r+IF(circ_int,eq_c1/2,0)))/INDEX(lk_legs,1))&lt;(((((2*IF(circ_int,0,eq_c2/2))+(PI()*(s_0+0*s_r+IF(circ_int,eq_c1/2,0))/2))+2*IF(circ_int,0,eq_c1/2))+(PI()*(s_0+0*s_r+IF(circ_int,eq_c1/2,0))/2))+2*IF(circ_int,0,eq_c2/2)),-IF(circ_int,0,eq_c1/2)-(s_0+0*s_r+IF(circ_int,eq_c1/2,0)),IF(((42+0.5)*(4*IF(circ_int,0,eq_c1/2)+4*IF(circ_int,0,eq_c2/2)+2*PI()*(s_0+0*s_r+IF(circ_int,eq_c1/2,0)))/INDEX(lk_legs,1))&lt;((((((2*IF(circ_int,0,eq_c2/2))+(PI()*(s_0+0*s_r+IF(circ_int,eq_c1/2,0))/2))+2*IF(circ_int,0,eq_c1/2))+(PI()*(s_0+0*s_r+IF(circ_int,eq_c1/2,0))/2))+2*IF(circ_int,0,eq_c2/2))+(PI()*(s_0+0*s_r+IF(circ_int,eq_c1/2,0))/2)),-IF(circ_int,0,eq_c1/2)+(s_0+0*s_r+IF(circ_int,eq_c1/2,0))*COS(PI()+(((42+0.5)*(4*IF(circ_int,0,eq_c1/2)+4*IF(circ_int,0,eq_c2/2)+2*PI()*(s_0+0*s_r+IF(circ_int,eq_c1/2,0)))/INDEX(lk_legs,1))-(((((2*IF(circ_int,0,eq_c2/2))+(PI()*(s_0+0*s_r+IF(circ_int,eq_c1/2,0))/2))+2*IF(circ_int,0,eq_c1/2))+(PI()*(s_0+0*s_r+IF(circ_int,eq_c1/2,0))/2))+2*IF(circ_int,0,eq_c2/2)))/(s_0+0*s_r+IF(circ_int,eq_c1/2,0))),IF(((42+0.5)*(4*IF(circ_int,0,eq_c1/2)+4*IF(circ_int,0,eq_c2/2)+2*PI()*(s_0+0*s_r+IF(circ_int,eq_c1/2,0)))/INDEX(lk_legs,1))&lt;(((((((2*IF(circ_int,0,eq_c2/2))+(PI()*(s_0+0*s_r+IF(circ_int,eq_c1/2,0))/2))+2*IF(circ_int,0,eq_c1/2))+(PI()*(s_0+0*s_r+IF(circ_int,eq_c1/2,0))/2))+2*IF(circ_int,0,eq_c2/2))+(PI()*(s_0+0*s_r+IF(circ_int,eq_c1/2,0))/2))+2*IF(circ_int,0,eq_c1/2)),-IF(circ_int,0,eq_c1/2)+(((42+0.5)*(4*IF(circ_int,0,eq_c1/2)+4*IF(circ_int,0,eq_c2/2)+2*PI()*(s_0+0*s_r+IF(circ_int,eq_c1/2,0)))/INDEX(lk_legs,1))-((((((2*IF(circ_int,0,eq_c2/2))+(PI()*(s_0+0*s_r+IF(circ_int,eq_c1/2,0))/2))+2*IF(circ_int,0,eq_c1/2))+(PI()*(s_0+0*s_r+IF(circ_int,eq_c1/2,0))/2))+2*IF(circ_int,0,eq_c2/2))+(PI()*(s_0+0*s_r+IF(circ_int,eq_c1/2,0))/2))),IF(circ_int,0,eq_c1/2)+(s_0+0*s_r+IF(circ_int,eq_c1/2,0))*COS(3*PI()/2+(((42+0.5)*(4*IF(circ_int,0,eq_c1/2)+4*IF(circ_int,0,eq_c2/2)+2*PI()*(s_0+0*s_r+IF(circ_int,eq_c1/2,0)))/INDEX(lk_legs,1))-(((((((2*IF(circ_int,0,eq_c2/2))+(PI()*(s_0+0*s_r+IF(circ_int,eq_c1/2,0))/2))+2*IF(circ_int,0,eq_c1/2))+(PI()*(s_0+0*s_r+IF(circ_int,eq_c1/2,0))/2))+2*IF(circ_int,0,eq_c2/2))+(PI()*(s_0+0*s_r+IF(circ_int,eq_c1/2,0))/2))+2*IF(circ_int,0,eq_c1/2)))/(s_0+0*s_r+IF(circ_int,eq_c1/2,0)))))))))),NA())</f>
        <v/>
      </c>
      <c r="BA45">
        <f>IF(AND(AND(links_on,1&lt;=n_per),INDEX(lk_kind,1)=1,42&lt;INDEX(lk_legs,1)),g_oy+IF(((42+0.5)*(4*IF(circ_int,0,eq_c1/2)+4*IF(circ_int,0,eq_c2/2)+2*PI()*(s_0+0*s_r+IF(circ_int,eq_c1/2,0)))/INDEX(lk_legs,1))&lt;(2*IF(circ_int,0,eq_c2/2)),-IF(circ_int,0,eq_c2/2)+((42+0.5)*(4*IF(circ_int,0,eq_c1/2)+4*IF(circ_int,0,eq_c2/2)+2*PI()*(s_0+0*s_r+IF(circ_int,eq_c1/2,0)))/INDEX(lk_legs,1)),IF(((42+0.5)*(4*IF(circ_int,0,eq_c1/2)+4*IF(circ_int,0,eq_c2/2)+2*PI()*(s_0+0*s_r+IF(circ_int,eq_c1/2,0)))/INDEX(lk_legs,1))&lt;((2*IF(circ_int,0,eq_c2/2))+(PI()*(s_0+0*s_r+IF(circ_int,eq_c1/2,0))/2)),IF(circ_int,0,eq_c2/2)+(s_0+0*s_r+IF(circ_int,eq_c1/2,0))*SIN((((42+0.5)*(4*IF(circ_int,0,eq_c1/2)+4*IF(circ_int,0,eq_c2/2)+2*PI()*(s_0+0*s_r+IF(circ_int,eq_c1/2,0)))/INDEX(lk_legs,1))-(2*IF(circ_int,0,eq_c2/2)))/(s_0+0*s_r+IF(circ_int,eq_c1/2,0))),IF(((42+0.5)*(4*IF(circ_int,0,eq_c1/2)+4*IF(circ_int,0,eq_c2/2)+2*PI()*(s_0+0*s_r+IF(circ_int,eq_c1/2,0)))/INDEX(lk_legs,1))&lt;(((2*IF(circ_int,0,eq_c2/2))+(PI()*(s_0+0*s_r+IF(circ_int,eq_c1/2,0))/2))+2*IF(circ_int,0,eq_c1/2)),IF(circ_int,0,eq_c2/2)+(s_0+0*s_r+IF(circ_int,eq_c1/2,0)),IF(((42+0.5)*(4*IF(circ_int,0,eq_c1/2)+4*IF(circ_int,0,eq_c2/2)+2*PI()*(s_0+0*s_r+IF(circ_int,eq_c1/2,0)))/INDEX(lk_legs,1))&lt;((((2*IF(circ_int,0,eq_c2/2))+(PI()*(s_0+0*s_r+IF(circ_int,eq_c1/2,0))/2))+2*IF(circ_int,0,eq_c1/2))+(PI()*(s_0+0*s_r+IF(circ_int,eq_c1/2,0))/2)),IF(circ_int,0,eq_c2/2)+(s_0+0*s_r+IF(circ_int,eq_c1/2,0))*SIN(PI()/2+(((42+0.5)*(4*IF(circ_int,0,eq_c1/2)+4*IF(circ_int,0,eq_c2/2)+2*PI()*(s_0+0*s_r+IF(circ_int,eq_c1/2,0)))/INDEX(lk_legs,1))-(((2*IF(circ_int,0,eq_c2/2))+(PI()*(s_0+0*s_r+IF(circ_int,eq_c1/2,0))/2))+2*IF(circ_int,0,eq_c1/2)))/(s_0+0*s_r+IF(circ_int,eq_c1/2,0))),IF(((42+0.5)*(4*IF(circ_int,0,eq_c1/2)+4*IF(circ_int,0,eq_c2/2)+2*PI()*(s_0+0*s_r+IF(circ_int,eq_c1/2,0)))/INDEX(lk_legs,1))&lt;(((((2*IF(circ_int,0,eq_c2/2))+(PI()*(s_0+0*s_r+IF(circ_int,eq_c1/2,0))/2))+2*IF(circ_int,0,eq_c1/2))+(PI()*(s_0+0*s_r+IF(circ_int,eq_c1/2,0))/2))+2*IF(circ_int,0,eq_c2/2)),IF(circ_int,0,eq_c2/2)-(((42+0.5)*(4*IF(circ_int,0,eq_c1/2)+4*IF(circ_int,0,eq_c2/2)+2*PI()*(s_0+0*s_r+IF(circ_int,eq_c1/2,0)))/INDEX(lk_legs,1))-((((2*IF(circ_int,0,eq_c2/2))+(PI()*(s_0+0*s_r+IF(circ_int,eq_c1/2,0))/2))+2*IF(circ_int,0,eq_c1/2))+(PI()*(s_0+0*s_r+IF(circ_int,eq_c1/2,0))/2))),IF(((42+0.5)*(4*IF(circ_int,0,eq_c1/2)+4*IF(circ_int,0,eq_c2/2)+2*PI()*(s_0+0*s_r+IF(circ_int,eq_c1/2,0)))/INDEX(lk_legs,1))&lt;((((((2*IF(circ_int,0,eq_c2/2))+(PI()*(s_0+0*s_r+IF(circ_int,eq_c1/2,0))/2))+2*IF(circ_int,0,eq_c1/2))+(PI()*(s_0+0*s_r+IF(circ_int,eq_c1/2,0))/2))+2*IF(circ_int,0,eq_c2/2))+(PI()*(s_0+0*s_r+IF(circ_int,eq_c1/2,0))/2)),-IF(circ_int,0,eq_c2/2)+(s_0+0*s_r+IF(circ_int,eq_c1/2,0))*SIN(PI()+(((42+0.5)*(4*IF(circ_int,0,eq_c1/2)+4*IF(circ_int,0,eq_c2/2)+2*PI()*(s_0+0*s_r+IF(circ_int,eq_c1/2,0)))/INDEX(lk_legs,1))-(((((2*IF(circ_int,0,eq_c2/2))+(PI()*(s_0+0*s_r+IF(circ_int,eq_c1/2,0))/2))+2*IF(circ_int,0,eq_c1/2))+(PI()*(s_0+0*s_r+IF(circ_int,eq_c1/2,0))/2))+2*IF(circ_int,0,eq_c2/2)))/(s_0+0*s_r+IF(circ_int,eq_c1/2,0))),IF(((42+0.5)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(42+0.5)*(4*IF(circ_int,0,eq_c1/2)+4*IF(circ_int,0,eq_c2/2)+2*PI()*(s_0+0*s_r+IF(circ_int,eq_c1/2,0)))/INDEX(lk_legs,1))-(((((((2*IF(circ_int,0,eq_c2/2))+(PI()*(s_0+0*s_r+IF(circ_int,eq_c1/2,0))/2))+2*IF(circ_int,0,eq_c1/2))+(PI()*(s_0+0*s_r+IF(circ_int,eq_c1/2,0))/2))+2*IF(circ_int,0,eq_c2/2))+(PI()*(s_0+0*s_r+IF(circ_int,eq_c1/2,0))/2))+2*IF(circ_int,0,eq_c1/2)))/(s_0+0*s_r+IF(circ_int,eq_c1/2,0)))))))))),NA())</f>
        <v/>
      </c>
      <c r="BC45">
        <f>IF(AND(links_on,2&lt;=n_per),IF(circ_int,(g_ox)+(c_1/2+(s_0+1*s_r))*0.354605,CHOOSE(INDEX(lk_kind,2),(g_ox+eq_c1/2)+((s_0+1*s_r))*0.382683,0,eq_a1+eq_c1+(s_0+1*s_r),eq_a1+eq_c1+(s_0+1*s_r))),NA())</f>
        <v/>
      </c>
      <c r="BD45">
        <f>IF(AND(links_on,2&lt;=n_per),IF(circ_int,(g_oy)+(c_1/2+(s_0+1*s_r))*-0.935016,CHOOSE(INDEX(lk_kind,2),(g_oy-eq_c2/2)+((s_0+1*s_r))*-0.923880,g_oy-eq_c2/2-(s_0+1*s_r),0,0)),NA())</f>
        <v/>
      </c>
      <c r="BF45">
        <f>IF(AND(AND(links_on,2&lt;=n_per),INDEX(lk_kind,2)=1,42&lt;INDEX(lk_legs,2)),g_ox+IF(((42+0.5)*(4*IF(circ_int,0,eq_c1/2)+4*IF(circ_int,0,eq_c2/2)+2*PI()*(s_0+1*s_r+IF(circ_int,eq_c1/2,0)))/INDEX(lk_legs,2))&lt;(2*IF(circ_int,0,eq_c2/2)),IF(circ_int,0,eq_c1/2)+(s_0+1*s_r+IF(circ_int,eq_c1/2,0)),IF(((42+0.5)*(4*IF(circ_int,0,eq_c1/2)+4*IF(circ_int,0,eq_c2/2)+2*PI()*(s_0+1*s_r+IF(circ_int,eq_c1/2,0)))/INDEX(lk_legs,2))&lt;((2*IF(circ_int,0,eq_c2/2))+(PI()*(s_0+1*s_r+IF(circ_int,eq_c1/2,0))/2)),IF(circ_int,0,eq_c1/2)+(s_0+1*s_r+IF(circ_int,eq_c1/2,0))*COS((((42+0.5)*(4*IF(circ_int,0,eq_c1/2)+4*IF(circ_int,0,eq_c2/2)+2*PI()*(s_0+1*s_r+IF(circ_int,eq_c1/2,0)))/INDEX(lk_legs,2))-(2*IF(circ_int,0,eq_c2/2)))/(s_0+1*s_r+IF(circ_int,eq_c1/2,0))),IF(((42+0.5)*(4*IF(circ_int,0,eq_c1/2)+4*IF(circ_int,0,eq_c2/2)+2*PI()*(s_0+1*s_r+IF(circ_int,eq_c1/2,0)))/INDEX(lk_legs,2))&lt;(((2*IF(circ_int,0,eq_c2/2))+(PI()*(s_0+1*s_r+IF(circ_int,eq_c1/2,0))/2))+2*IF(circ_int,0,eq_c1/2)),IF(circ_int,0,eq_c1/2)-(((42+0.5)*(4*IF(circ_int,0,eq_c1/2)+4*IF(circ_int,0,eq_c2/2)+2*PI()*(s_0+1*s_r+IF(circ_int,eq_c1/2,0)))/INDEX(lk_legs,2))-((2*IF(circ_int,0,eq_c2/2))+(PI()*(s_0+1*s_r+IF(circ_int,eq_c1/2,0))/2))),IF(((42+0.5)*(4*IF(circ_int,0,eq_c1/2)+4*IF(circ_int,0,eq_c2/2)+2*PI()*(s_0+1*s_r+IF(circ_int,eq_c1/2,0)))/INDEX(lk_legs,2))&lt;((((2*IF(circ_int,0,eq_c2/2))+(PI()*(s_0+1*s_r+IF(circ_int,eq_c1/2,0))/2))+2*IF(circ_int,0,eq_c1/2))+(PI()*(s_0+1*s_r+IF(circ_int,eq_c1/2,0))/2)),-IF(circ_int,0,eq_c1/2)+(s_0+1*s_r+IF(circ_int,eq_c1/2,0))*COS(PI()/2+(((42+0.5)*(4*IF(circ_int,0,eq_c1/2)+4*IF(circ_int,0,eq_c2/2)+2*PI()*(s_0+1*s_r+IF(circ_int,eq_c1/2,0)))/INDEX(lk_legs,2))-(((2*IF(circ_int,0,eq_c2/2))+(PI()*(s_0+1*s_r+IF(circ_int,eq_c1/2,0))/2))+2*IF(circ_int,0,eq_c1/2)))/(s_0+1*s_r+IF(circ_int,eq_c1/2,0))),IF(((42+0.5)*(4*IF(circ_int,0,eq_c1/2)+4*IF(circ_int,0,eq_c2/2)+2*PI()*(s_0+1*s_r+IF(circ_int,eq_c1/2,0)))/INDEX(lk_legs,2))&lt;(((((2*IF(circ_int,0,eq_c2/2))+(PI()*(s_0+1*s_r+IF(circ_int,eq_c1/2,0))/2))+2*IF(circ_int,0,eq_c1/2))+(PI()*(s_0+1*s_r+IF(circ_int,eq_c1/2,0))/2))+2*IF(circ_int,0,eq_c2/2)),-IF(circ_int,0,eq_c1/2)-(s_0+1*s_r+IF(circ_int,eq_c1/2,0)),IF(((42+0.5)*(4*IF(circ_int,0,eq_c1/2)+4*IF(circ_int,0,eq_c2/2)+2*PI()*(s_0+1*s_r+IF(circ_int,eq_c1/2,0)))/INDEX(lk_legs,2))&lt;((((((2*IF(circ_int,0,eq_c2/2))+(PI()*(s_0+1*s_r+IF(circ_int,eq_c1/2,0))/2))+2*IF(circ_int,0,eq_c1/2))+(PI()*(s_0+1*s_r+IF(circ_int,eq_c1/2,0))/2))+2*IF(circ_int,0,eq_c2/2))+(PI()*(s_0+1*s_r+IF(circ_int,eq_c1/2,0))/2)),-IF(circ_int,0,eq_c1/2)+(s_0+1*s_r+IF(circ_int,eq_c1/2,0))*COS(PI()+(((42+0.5)*(4*IF(circ_int,0,eq_c1/2)+4*IF(circ_int,0,eq_c2/2)+2*PI()*(s_0+1*s_r+IF(circ_int,eq_c1/2,0)))/INDEX(lk_legs,2))-(((((2*IF(circ_int,0,eq_c2/2))+(PI()*(s_0+1*s_r+IF(circ_int,eq_c1/2,0))/2))+2*IF(circ_int,0,eq_c1/2))+(PI()*(s_0+1*s_r+IF(circ_int,eq_c1/2,0))/2))+2*IF(circ_int,0,eq_c2/2)))/(s_0+1*s_r+IF(circ_int,eq_c1/2,0))),IF(((42+0.5)*(4*IF(circ_int,0,eq_c1/2)+4*IF(circ_int,0,eq_c2/2)+2*PI()*(s_0+1*s_r+IF(circ_int,eq_c1/2,0)))/INDEX(lk_legs,2))&lt;(((((((2*IF(circ_int,0,eq_c2/2))+(PI()*(s_0+1*s_r+IF(circ_int,eq_c1/2,0))/2))+2*IF(circ_int,0,eq_c1/2))+(PI()*(s_0+1*s_r+IF(circ_int,eq_c1/2,0))/2))+2*IF(circ_int,0,eq_c2/2))+(PI()*(s_0+1*s_r+IF(circ_int,eq_c1/2,0))/2))+2*IF(circ_int,0,eq_c1/2)),-IF(circ_int,0,eq_c1/2)+(((42+0.5)*(4*IF(circ_int,0,eq_c1/2)+4*IF(circ_int,0,eq_c2/2)+2*PI()*(s_0+1*s_r+IF(circ_int,eq_c1/2,0)))/INDEX(lk_legs,2))-((((((2*IF(circ_int,0,eq_c2/2))+(PI()*(s_0+1*s_r+IF(circ_int,eq_c1/2,0))/2))+2*IF(circ_int,0,eq_c1/2))+(PI()*(s_0+1*s_r+IF(circ_int,eq_c1/2,0))/2))+2*IF(circ_int,0,eq_c2/2))+(PI()*(s_0+1*s_r+IF(circ_int,eq_c1/2,0))/2))),IF(circ_int,0,eq_c1/2)+(s_0+1*s_r+IF(circ_int,eq_c1/2,0))*COS(3*PI()/2+(((42+0.5)*(4*IF(circ_int,0,eq_c1/2)+4*IF(circ_int,0,eq_c2/2)+2*PI()*(s_0+1*s_r+IF(circ_int,eq_c1/2,0)))/INDEX(lk_legs,2))-(((((((2*IF(circ_int,0,eq_c2/2))+(PI()*(s_0+1*s_r+IF(circ_int,eq_c1/2,0))/2))+2*IF(circ_int,0,eq_c1/2))+(PI()*(s_0+1*s_r+IF(circ_int,eq_c1/2,0))/2))+2*IF(circ_int,0,eq_c2/2))+(PI()*(s_0+1*s_r+IF(circ_int,eq_c1/2,0))/2))+2*IF(circ_int,0,eq_c1/2)))/(s_0+1*s_r+IF(circ_int,eq_c1/2,0)))))))))),NA())</f>
        <v/>
      </c>
      <c r="BG45">
        <f>IF(AND(AND(links_on,2&lt;=n_per),INDEX(lk_kind,2)=1,42&lt;INDEX(lk_legs,2)),g_oy+IF(((42+0.5)*(4*IF(circ_int,0,eq_c1/2)+4*IF(circ_int,0,eq_c2/2)+2*PI()*(s_0+1*s_r+IF(circ_int,eq_c1/2,0)))/INDEX(lk_legs,2))&lt;(2*IF(circ_int,0,eq_c2/2)),-IF(circ_int,0,eq_c2/2)+((42+0.5)*(4*IF(circ_int,0,eq_c1/2)+4*IF(circ_int,0,eq_c2/2)+2*PI()*(s_0+1*s_r+IF(circ_int,eq_c1/2,0)))/INDEX(lk_legs,2)),IF(((42+0.5)*(4*IF(circ_int,0,eq_c1/2)+4*IF(circ_int,0,eq_c2/2)+2*PI()*(s_0+1*s_r+IF(circ_int,eq_c1/2,0)))/INDEX(lk_legs,2))&lt;((2*IF(circ_int,0,eq_c2/2))+(PI()*(s_0+1*s_r+IF(circ_int,eq_c1/2,0))/2)),IF(circ_int,0,eq_c2/2)+(s_0+1*s_r+IF(circ_int,eq_c1/2,0))*SIN((((42+0.5)*(4*IF(circ_int,0,eq_c1/2)+4*IF(circ_int,0,eq_c2/2)+2*PI()*(s_0+1*s_r+IF(circ_int,eq_c1/2,0)))/INDEX(lk_legs,2))-(2*IF(circ_int,0,eq_c2/2)))/(s_0+1*s_r+IF(circ_int,eq_c1/2,0))),IF(((42+0.5)*(4*IF(circ_int,0,eq_c1/2)+4*IF(circ_int,0,eq_c2/2)+2*PI()*(s_0+1*s_r+IF(circ_int,eq_c1/2,0)))/INDEX(lk_legs,2))&lt;(((2*IF(circ_int,0,eq_c2/2))+(PI()*(s_0+1*s_r+IF(circ_int,eq_c1/2,0))/2))+2*IF(circ_int,0,eq_c1/2)),IF(circ_int,0,eq_c2/2)+(s_0+1*s_r+IF(circ_int,eq_c1/2,0)),IF(((42+0.5)*(4*IF(circ_int,0,eq_c1/2)+4*IF(circ_int,0,eq_c2/2)+2*PI()*(s_0+1*s_r+IF(circ_int,eq_c1/2,0)))/INDEX(lk_legs,2))&lt;((((2*IF(circ_int,0,eq_c2/2))+(PI()*(s_0+1*s_r+IF(circ_int,eq_c1/2,0))/2))+2*IF(circ_int,0,eq_c1/2))+(PI()*(s_0+1*s_r+IF(circ_int,eq_c1/2,0))/2)),IF(circ_int,0,eq_c2/2)+(s_0+1*s_r+IF(circ_int,eq_c1/2,0))*SIN(PI()/2+(((42+0.5)*(4*IF(circ_int,0,eq_c1/2)+4*IF(circ_int,0,eq_c2/2)+2*PI()*(s_0+1*s_r+IF(circ_int,eq_c1/2,0)))/INDEX(lk_legs,2))-(((2*IF(circ_int,0,eq_c2/2))+(PI()*(s_0+1*s_r+IF(circ_int,eq_c1/2,0))/2))+2*IF(circ_int,0,eq_c1/2)))/(s_0+1*s_r+IF(circ_int,eq_c1/2,0))),IF(((42+0.5)*(4*IF(circ_int,0,eq_c1/2)+4*IF(circ_int,0,eq_c2/2)+2*PI()*(s_0+1*s_r+IF(circ_int,eq_c1/2,0)))/INDEX(lk_legs,2))&lt;(((((2*IF(circ_int,0,eq_c2/2))+(PI()*(s_0+1*s_r+IF(circ_int,eq_c1/2,0))/2))+2*IF(circ_int,0,eq_c1/2))+(PI()*(s_0+1*s_r+IF(circ_int,eq_c1/2,0))/2))+2*IF(circ_int,0,eq_c2/2)),IF(circ_int,0,eq_c2/2)-(((42+0.5)*(4*IF(circ_int,0,eq_c1/2)+4*IF(circ_int,0,eq_c2/2)+2*PI()*(s_0+1*s_r+IF(circ_int,eq_c1/2,0)))/INDEX(lk_legs,2))-((((2*IF(circ_int,0,eq_c2/2))+(PI()*(s_0+1*s_r+IF(circ_int,eq_c1/2,0))/2))+2*IF(circ_int,0,eq_c1/2))+(PI()*(s_0+1*s_r+IF(circ_int,eq_c1/2,0))/2))),IF(((42+0.5)*(4*IF(circ_int,0,eq_c1/2)+4*IF(circ_int,0,eq_c2/2)+2*PI()*(s_0+1*s_r+IF(circ_int,eq_c1/2,0)))/INDEX(lk_legs,2))&lt;((((((2*IF(circ_int,0,eq_c2/2))+(PI()*(s_0+1*s_r+IF(circ_int,eq_c1/2,0))/2))+2*IF(circ_int,0,eq_c1/2))+(PI()*(s_0+1*s_r+IF(circ_int,eq_c1/2,0))/2))+2*IF(circ_int,0,eq_c2/2))+(PI()*(s_0+1*s_r+IF(circ_int,eq_c1/2,0))/2)),-IF(circ_int,0,eq_c2/2)+(s_0+1*s_r+IF(circ_int,eq_c1/2,0))*SIN(PI()+(((42+0.5)*(4*IF(circ_int,0,eq_c1/2)+4*IF(circ_int,0,eq_c2/2)+2*PI()*(s_0+1*s_r+IF(circ_int,eq_c1/2,0)))/INDEX(lk_legs,2))-(((((2*IF(circ_int,0,eq_c2/2))+(PI()*(s_0+1*s_r+IF(circ_int,eq_c1/2,0))/2))+2*IF(circ_int,0,eq_c1/2))+(PI()*(s_0+1*s_r+IF(circ_int,eq_c1/2,0))/2))+2*IF(circ_int,0,eq_c2/2)))/(s_0+1*s_r+IF(circ_int,eq_c1/2,0))),IF(((42+0.5)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(42+0.5)*(4*IF(circ_int,0,eq_c1/2)+4*IF(circ_int,0,eq_c2/2)+2*PI()*(s_0+1*s_r+IF(circ_int,eq_c1/2,0)))/INDEX(lk_legs,2))-(((((((2*IF(circ_int,0,eq_c2/2))+(PI()*(s_0+1*s_r+IF(circ_int,eq_c1/2,0))/2))+2*IF(circ_int,0,eq_c1/2))+(PI()*(s_0+1*s_r+IF(circ_int,eq_c1/2,0))/2))+2*IF(circ_int,0,eq_c2/2))+(PI()*(s_0+1*s_r+IF(circ_int,eq_c1/2,0))/2))+2*IF(circ_int,0,eq_c1/2)))/(s_0+1*s_r+IF(circ_int,eq_c1/2,0)))))))))),NA())</f>
        <v/>
      </c>
      <c r="BI45">
        <f>IF(AND(links_on,3&lt;=n_per),IF(circ_int,(g_ox)+(c_1/2+(s_0+2*s_r))*0.354605,CHOOSE(INDEX(lk_kind,3),(g_ox+eq_c1/2)+((s_0+2*s_r))*0.382683,0,eq_a1+eq_c1+(s_0+2*s_r),eq_a1+eq_c1+(s_0+2*s_r))),NA())</f>
        <v/>
      </c>
      <c r="BJ45">
        <f>IF(AND(links_on,3&lt;=n_per),IF(circ_int,(g_oy)+(c_1/2+(s_0+2*s_r))*-0.935016,CHOOSE(INDEX(lk_kind,3),(g_oy-eq_c2/2)+((s_0+2*s_r))*-0.923880,g_oy-eq_c2/2-(s_0+2*s_r),0,0)),NA())</f>
        <v/>
      </c>
      <c r="BL45">
        <f>IF(AND(AND(links_on,3&lt;=n_per),INDEX(lk_kind,3)=1,42&lt;INDEX(lk_legs,3)),g_ox+IF(((42+0.5)*(4*IF(circ_int,0,eq_c1/2)+4*IF(circ_int,0,eq_c2/2)+2*PI()*(s_0+2*s_r+IF(circ_int,eq_c1/2,0)))/INDEX(lk_legs,3))&lt;(2*IF(circ_int,0,eq_c2/2)),IF(circ_int,0,eq_c1/2)+(s_0+2*s_r+IF(circ_int,eq_c1/2,0)),IF(((42+0.5)*(4*IF(circ_int,0,eq_c1/2)+4*IF(circ_int,0,eq_c2/2)+2*PI()*(s_0+2*s_r+IF(circ_int,eq_c1/2,0)))/INDEX(lk_legs,3))&lt;((2*IF(circ_int,0,eq_c2/2))+(PI()*(s_0+2*s_r+IF(circ_int,eq_c1/2,0))/2)),IF(circ_int,0,eq_c1/2)+(s_0+2*s_r+IF(circ_int,eq_c1/2,0))*COS((((42+0.5)*(4*IF(circ_int,0,eq_c1/2)+4*IF(circ_int,0,eq_c2/2)+2*PI()*(s_0+2*s_r+IF(circ_int,eq_c1/2,0)))/INDEX(lk_legs,3))-(2*IF(circ_int,0,eq_c2/2)))/(s_0+2*s_r+IF(circ_int,eq_c1/2,0))),IF(((42+0.5)*(4*IF(circ_int,0,eq_c1/2)+4*IF(circ_int,0,eq_c2/2)+2*PI()*(s_0+2*s_r+IF(circ_int,eq_c1/2,0)))/INDEX(lk_legs,3))&lt;(((2*IF(circ_int,0,eq_c2/2))+(PI()*(s_0+2*s_r+IF(circ_int,eq_c1/2,0))/2))+2*IF(circ_int,0,eq_c1/2)),IF(circ_int,0,eq_c1/2)-(((42+0.5)*(4*IF(circ_int,0,eq_c1/2)+4*IF(circ_int,0,eq_c2/2)+2*PI()*(s_0+2*s_r+IF(circ_int,eq_c1/2,0)))/INDEX(lk_legs,3))-((2*IF(circ_int,0,eq_c2/2))+(PI()*(s_0+2*s_r+IF(circ_int,eq_c1/2,0))/2))),IF(((42+0.5)*(4*IF(circ_int,0,eq_c1/2)+4*IF(circ_int,0,eq_c2/2)+2*PI()*(s_0+2*s_r+IF(circ_int,eq_c1/2,0)))/INDEX(lk_legs,3))&lt;((((2*IF(circ_int,0,eq_c2/2))+(PI()*(s_0+2*s_r+IF(circ_int,eq_c1/2,0))/2))+2*IF(circ_int,0,eq_c1/2))+(PI()*(s_0+2*s_r+IF(circ_int,eq_c1/2,0))/2)),-IF(circ_int,0,eq_c1/2)+(s_0+2*s_r+IF(circ_int,eq_c1/2,0))*COS(PI()/2+(((42+0.5)*(4*IF(circ_int,0,eq_c1/2)+4*IF(circ_int,0,eq_c2/2)+2*PI()*(s_0+2*s_r+IF(circ_int,eq_c1/2,0)))/INDEX(lk_legs,3))-(((2*IF(circ_int,0,eq_c2/2))+(PI()*(s_0+2*s_r+IF(circ_int,eq_c1/2,0))/2))+2*IF(circ_int,0,eq_c1/2)))/(s_0+2*s_r+IF(circ_int,eq_c1/2,0))),IF(((42+0.5)*(4*IF(circ_int,0,eq_c1/2)+4*IF(circ_int,0,eq_c2/2)+2*PI()*(s_0+2*s_r+IF(circ_int,eq_c1/2,0)))/INDEX(lk_legs,3))&lt;(((((2*IF(circ_int,0,eq_c2/2))+(PI()*(s_0+2*s_r+IF(circ_int,eq_c1/2,0))/2))+2*IF(circ_int,0,eq_c1/2))+(PI()*(s_0+2*s_r+IF(circ_int,eq_c1/2,0))/2))+2*IF(circ_int,0,eq_c2/2)),-IF(circ_int,0,eq_c1/2)-(s_0+2*s_r+IF(circ_int,eq_c1/2,0)),IF(((42+0.5)*(4*IF(circ_int,0,eq_c1/2)+4*IF(circ_int,0,eq_c2/2)+2*PI()*(s_0+2*s_r+IF(circ_int,eq_c1/2,0)))/INDEX(lk_legs,3))&lt;((((((2*IF(circ_int,0,eq_c2/2))+(PI()*(s_0+2*s_r+IF(circ_int,eq_c1/2,0))/2))+2*IF(circ_int,0,eq_c1/2))+(PI()*(s_0+2*s_r+IF(circ_int,eq_c1/2,0))/2))+2*IF(circ_int,0,eq_c2/2))+(PI()*(s_0+2*s_r+IF(circ_int,eq_c1/2,0))/2)),-IF(circ_int,0,eq_c1/2)+(s_0+2*s_r+IF(circ_int,eq_c1/2,0))*COS(PI()+(((42+0.5)*(4*IF(circ_int,0,eq_c1/2)+4*IF(circ_int,0,eq_c2/2)+2*PI()*(s_0+2*s_r+IF(circ_int,eq_c1/2,0)))/INDEX(lk_legs,3))-(((((2*IF(circ_int,0,eq_c2/2))+(PI()*(s_0+2*s_r+IF(circ_int,eq_c1/2,0))/2))+2*IF(circ_int,0,eq_c1/2))+(PI()*(s_0+2*s_r+IF(circ_int,eq_c1/2,0))/2))+2*IF(circ_int,0,eq_c2/2)))/(s_0+2*s_r+IF(circ_int,eq_c1/2,0))),IF(((42+0.5)*(4*IF(circ_int,0,eq_c1/2)+4*IF(circ_int,0,eq_c2/2)+2*PI()*(s_0+2*s_r+IF(circ_int,eq_c1/2,0)))/INDEX(lk_legs,3))&lt;(((((((2*IF(circ_int,0,eq_c2/2))+(PI()*(s_0+2*s_r+IF(circ_int,eq_c1/2,0))/2))+2*IF(circ_int,0,eq_c1/2))+(PI()*(s_0+2*s_r+IF(circ_int,eq_c1/2,0))/2))+2*IF(circ_int,0,eq_c2/2))+(PI()*(s_0+2*s_r+IF(circ_int,eq_c1/2,0))/2))+2*IF(circ_int,0,eq_c1/2)),-IF(circ_int,0,eq_c1/2)+(((42+0.5)*(4*IF(circ_int,0,eq_c1/2)+4*IF(circ_int,0,eq_c2/2)+2*PI()*(s_0+2*s_r+IF(circ_int,eq_c1/2,0)))/INDEX(lk_legs,3))-((((((2*IF(circ_int,0,eq_c2/2))+(PI()*(s_0+2*s_r+IF(circ_int,eq_c1/2,0))/2))+2*IF(circ_int,0,eq_c1/2))+(PI()*(s_0+2*s_r+IF(circ_int,eq_c1/2,0))/2))+2*IF(circ_int,0,eq_c2/2))+(PI()*(s_0+2*s_r+IF(circ_int,eq_c1/2,0))/2))),IF(circ_int,0,eq_c1/2)+(s_0+2*s_r+IF(circ_int,eq_c1/2,0))*COS(3*PI()/2+(((42+0.5)*(4*IF(circ_int,0,eq_c1/2)+4*IF(circ_int,0,eq_c2/2)+2*PI()*(s_0+2*s_r+IF(circ_int,eq_c1/2,0)))/INDEX(lk_legs,3))-(((((((2*IF(circ_int,0,eq_c2/2))+(PI()*(s_0+2*s_r+IF(circ_int,eq_c1/2,0))/2))+2*IF(circ_int,0,eq_c1/2))+(PI()*(s_0+2*s_r+IF(circ_int,eq_c1/2,0))/2))+2*IF(circ_int,0,eq_c2/2))+(PI()*(s_0+2*s_r+IF(circ_int,eq_c1/2,0))/2))+2*IF(circ_int,0,eq_c1/2)))/(s_0+2*s_r+IF(circ_int,eq_c1/2,0)))))))))),NA())</f>
        <v/>
      </c>
      <c r="BM45">
        <f>IF(AND(AND(links_on,3&lt;=n_per),INDEX(lk_kind,3)=1,42&lt;INDEX(lk_legs,3)),g_oy+IF(((42+0.5)*(4*IF(circ_int,0,eq_c1/2)+4*IF(circ_int,0,eq_c2/2)+2*PI()*(s_0+2*s_r+IF(circ_int,eq_c1/2,0)))/INDEX(lk_legs,3))&lt;(2*IF(circ_int,0,eq_c2/2)),-IF(circ_int,0,eq_c2/2)+((42+0.5)*(4*IF(circ_int,0,eq_c1/2)+4*IF(circ_int,0,eq_c2/2)+2*PI()*(s_0+2*s_r+IF(circ_int,eq_c1/2,0)))/INDEX(lk_legs,3)),IF(((42+0.5)*(4*IF(circ_int,0,eq_c1/2)+4*IF(circ_int,0,eq_c2/2)+2*PI()*(s_0+2*s_r+IF(circ_int,eq_c1/2,0)))/INDEX(lk_legs,3))&lt;((2*IF(circ_int,0,eq_c2/2))+(PI()*(s_0+2*s_r+IF(circ_int,eq_c1/2,0))/2)),IF(circ_int,0,eq_c2/2)+(s_0+2*s_r+IF(circ_int,eq_c1/2,0))*SIN((((42+0.5)*(4*IF(circ_int,0,eq_c1/2)+4*IF(circ_int,0,eq_c2/2)+2*PI()*(s_0+2*s_r+IF(circ_int,eq_c1/2,0)))/INDEX(lk_legs,3))-(2*IF(circ_int,0,eq_c2/2)))/(s_0+2*s_r+IF(circ_int,eq_c1/2,0))),IF(((42+0.5)*(4*IF(circ_int,0,eq_c1/2)+4*IF(circ_int,0,eq_c2/2)+2*PI()*(s_0+2*s_r+IF(circ_int,eq_c1/2,0)))/INDEX(lk_legs,3))&lt;(((2*IF(circ_int,0,eq_c2/2))+(PI()*(s_0+2*s_r+IF(circ_int,eq_c1/2,0))/2))+2*IF(circ_int,0,eq_c1/2)),IF(circ_int,0,eq_c2/2)+(s_0+2*s_r+IF(circ_int,eq_c1/2,0)),IF(((42+0.5)*(4*IF(circ_int,0,eq_c1/2)+4*IF(circ_int,0,eq_c2/2)+2*PI()*(s_0+2*s_r+IF(circ_int,eq_c1/2,0)))/INDEX(lk_legs,3))&lt;((((2*IF(circ_int,0,eq_c2/2))+(PI()*(s_0+2*s_r+IF(circ_int,eq_c1/2,0))/2))+2*IF(circ_int,0,eq_c1/2))+(PI()*(s_0+2*s_r+IF(circ_int,eq_c1/2,0))/2)),IF(circ_int,0,eq_c2/2)+(s_0+2*s_r+IF(circ_int,eq_c1/2,0))*SIN(PI()/2+(((42+0.5)*(4*IF(circ_int,0,eq_c1/2)+4*IF(circ_int,0,eq_c2/2)+2*PI()*(s_0+2*s_r+IF(circ_int,eq_c1/2,0)))/INDEX(lk_legs,3))-(((2*IF(circ_int,0,eq_c2/2))+(PI()*(s_0+2*s_r+IF(circ_int,eq_c1/2,0))/2))+2*IF(circ_int,0,eq_c1/2)))/(s_0+2*s_r+IF(circ_int,eq_c1/2,0))),IF(((42+0.5)*(4*IF(circ_int,0,eq_c1/2)+4*IF(circ_int,0,eq_c2/2)+2*PI()*(s_0+2*s_r+IF(circ_int,eq_c1/2,0)))/INDEX(lk_legs,3))&lt;(((((2*IF(circ_int,0,eq_c2/2))+(PI()*(s_0+2*s_r+IF(circ_int,eq_c1/2,0))/2))+2*IF(circ_int,0,eq_c1/2))+(PI()*(s_0+2*s_r+IF(circ_int,eq_c1/2,0))/2))+2*IF(circ_int,0,eq_c2/2)),IF(circ_int,0,eq_c2/2)-(((42+0.5)*(4*IF(circ_int,0,eq_c1/2)+4*IF(circ_int,0,eq_c2/2)+2*PI()*(s_0+2*s_r+IF(circ_int,eq_c1/2,0)))/INDEX(lk_legs,3))-((((2*IF(circ_int,0,eq_c2/2))+(PI()*(s_0+2*s_r+IF(circ_int,eq_c1/2,0))/2))+2*IF(circ_int,0,eq_c1/2))+(PI()*(s_0+2*s_r+IF(circ_int,eq_c1/2,0))/2))),IF(((42+0.5)*(4*IF(circ_int,0,eq_c1/2)+4*IF(circ_int,0,eq_c2/2)+2*PI()*(s_0+2*s_r+IF(circ_int,eq_c1/2,0)))/INDEX(lk_legs,3))&lt;((((((2*IF(circ_int,0,eq_c2/2))+(PI()*(s_0+2*s_r+IF(circ_int,eq_c1/2,0))/2))+2*IF(circ_int,0,eq_c1/2))+(PI()*(s_0+2*s_r+IF(circ_int,eq_c1/2,0))/2))+2*IF(circ_int,0,eq_c2/2))+(PI()*(s_0+2*s_r+IF(circ_int,eq_c1/2,0))/2)),-IF(circ_int,0,eq_c2/2)+(s_0+2*s_r+IF(circ_int,eq_c1/2,0))*SIN(PI()+(((42+0.5)*(4*IF(circ_int,0,eq_c1/2)+4*IF(circ_int,0,eq_c2/2)+2*PI()*(s_0+2*s_r+IF(circ_int,eq_c1/2,0)))/INDEX(lk_legs,3))-(((((2*IF(circ_int,0,eq_c2/2))+(PI()*(s_0+2*s_r+IF(circ_int,eq_c1/2,0))/2))+2*IF(circ_int,0,eq_c1/2))+(PI()*(s_0+2*s_r+IF(circ_int,eq_c1/2,0))/2))+2*IF(circ_int,0,eq_c2/2)))/(s_0+2*s_r+IF(circ_int,eq_c1/2,0))),IF(((42+0.5)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(42+0.5)*(4*IF(circ_int,0,eq_c1/2)+4*IF(circ_int,0,eq_c2/2)+2*PI()*(s_0+2*s_r+IF(circ_int,eq_c1/2,0)))/INDEX(lk_legs,3))-(((((((2*IF(circ_int,0,eq_c2/2))+(PI()*(s_0+2*s_r+IF(circ_int,eq_c1/2,0))/2))+2*IF(circ_int,0,eq_c1/2))+(PI()*(s_0+2*s_r+IF(circ_int,eq_c1/2,0))/2))+2*IF(circ_int,0,eq_c2/2))+(PI()*(s_0+2*s_r+IF(circ_int,eq_c1/2,0))/2))+2*IF(circ_int,0,eq_c1/2)))/(s_0+2*s_r+IF(circ_int,eq_c1/2,0)))))))))),NA())</f>
        <v/>
      </c>
      <c r="BO45">
        <f>IF(AND(links_on,4&lt;=n_per),IF(circ_int,(g_ox)+(c_1/2+(s_0+3*s_r))*0.354605,CHOOSE(INDEX(lk_kind,4),(g_ox+eq_c1/2)+((s_0+3*s_r))*0.382683,0,eq_a1+eq_c1+(s_0+3*s_r),eq_a1+eq_c1+(s_0+3*s_r))),NA())</f>
        <v/>
      </c>
      <c r="BP45">
        <f>IF(AND(links_on,4&lt;=n_per),IF(circ_int,(g_oy)+(c_1/2+(s_0+3*s_r))*-0.935016,CHOOSE(INDEX(lk_kind,4),(g_oy-eq_c2/2)+((s_0+3*s_r))*-0.923880,g_oy-eq_c2/2-(s_0+3*s_r),0,0)),NA())</f>
        <v/>
      </c>
      <c r="BR45">
        <f>IF(AND(AND(links_on,4&lt;=n_per),INDEX(lk_kind,4)=1,42&lt;INDEX(lk_legs,4)),g_ox+IF(((42+0.5)*(4*IF(circ_int,0,eq_c1/2)+4*IF(circ_int,0,eq_c2/2)+2*PI()*(s_0+3*s_r+IF(circ_int,eq_c1/2,0)))/INDEX(lk_legs,4))&lt;(2*IF(circ_int,0,eq_c2/2)),IF(circ_int,0,eq_c1/2)+(s_0+3*s_r+IF(circ_int,eq_c1/2,0)),IF(((42+0.5)*(4*IF(circ_int,0,eq_c1/2)+4*IF(circ_int,0,eq_c2/2)+2*PI()*(s_0+3*s_r+IF(circ_int,eq_c1/2,0)))/INDEX(lk_legs,4))&lt;((2*IF(circ_int,0,eq_c2/2))+(PI()*(s_0+3*s_r+IF(circ_int,eq_c1/2,0))/2)),IF(circ_int,0,eq_c1/2)+(s_0+3*s_r+IF(circ_int,eq_c1/2,0))*COS((((42+0.5)*(4*IF(circ_int,0,eq_c1/2)+4*IF(circ_int,0,eq_c2/2)+2*PI()*(s_0+3*s_r+IF(circ_int,eq_c1/2,0)))/INDEX(lk_legs,4))-(2*IF(circ_int,0,eq_c2/2)))/(s_0+3*s_r+IF(circ_int,eq_c1/2,0))),IF(((42+0.5)*(4*IF(circ_int,0,eq_c1/2)+4*IF(circ_int,0,eq_c2/2)+2*PI()*(s_0+3*s_r+IF(circ_int,eq_c1/2,0)))/INDEX(lk_legs,4))&lt;(((2*IF(circ_int,0,eq_c2/2))+(PI()*(s_0+3*s_r+IF(circ_int,eq_c1/2,0))/2))+2*IF(circ_int,0,eq_c1/2)),IF(circ_int,0,eq_c1/2)-(((42+0.5)*(4*IF(circ_int,0,eq_c1/2)+4*IF(circ_int,0,eq_c2/2)+2*PI()*(s_0+3*s_r+IF(circ_int,eq_c1/2,0)))/INDEX(lk_legs,4))-((2*IF(circ_int,0,eq_c2/2))+(PI()*(s_0+3*s_r+IF(circ_int,eq_c1/2,0))/2))),IF(((42+0.5)*(4*IF(circ_int,0,eq_c1/2)+4*IF(circ_int,0,eq_c2/2)+2*PI()*(s_0+3*s_r+IF(circ_int,eq_c1/2,0)))/INDEX(lk_legs,4))&lt;((((2*IF(circ_int,0,eq_c2/2))+(PI()*(s_0+3*s_r+IF(circ_int,eq_c1/2,0))/2))+2*IF(circ_int,0,eq_c1/2))+(PI()*(s_0+3*s_r+IF(circ_int,eq_c1/2,0))/2)),-IF(circ_int,0,eq_c1/2)+(s_0+3*s_r+IF(circ_int,eq_c1/2,0))*COS(PI()/2+(((42+0.5)*(4*IF(circ_int,0,eq_c1/2)+4*IF(circ_int,0,eq_c2/2)+2*PI()*(s_0+3*s_r+IF(circ_int,eq_c1/2,0)))/INDEX(lk_legs,4))-(((2*IF(circ_int,0,eq_c2/2))+(PI()*(s_0+3*s_r+IF(circ_int,eq_c1/2,0))/2))+2*IF(circ_int,0,eq_c1/2)))/(s_0+3*s_r+IF(circ_int,eq_c1/2,0))),IF(((42+0.5)*(4*IF(circ_int,0,eq_c1/2)+4*IF(circ_int,0,eq_c2/2)+2*PI()*(s_0+3*s_r+IF(circ_int,eq_c1/2,0)))/INDEX(lk_legs,4))&lt;(((((2*IF(circ_int,0,eq_c2/2))+(PI()*(s_0+3*s_r+IF(circ_int,eq_c1/2,0))/2))+2*IF(circ_int,0,eq_c1/2))+(PI()*(s_0+3*s_r+IF(circ_int,eq_c1/2,0))/2))+2*IF(circ_int,0,eq_c2/2)),-IF(circ_int,0,eq_c1/2)-(s_0+3*s_r+IF(circ_int,eq_c1/2,0)),IF(((42+0.5)*(4*IF(circ_int,0,eq_c1/2)+4*IF(circ_int,0,eq_c2/2)+2*PI()*(s_0+3*s_r+IF(circ_int,eq_c1/2,0)))/INDEX(lk_legs,4))&lt;((((((2*IF(circ_int,0,eq_c2/2))+(PI()*(s_0+3*s_r+IF(circ_int,eq_c1/2,0))/2))+2*IF(circ_int,0,eq_c1/2))+(PI()*(s_0+3*s_r+IF(circ_int,eq_c1/2,0))/2))+2*IF(circ_int,0,eq_c2/2))+(PI()*(s_0+3*s_r+IF(circ_int,eq_c1/2,0))/2)),-IF(circ_int,0,eq_c1/2)+(s_0+3*s_r+IF(circ_int,eq_c1/2,0))*COS(PI()+(((42+0.5)*(4*IF(circ_int,0,eq_c1/2)+4*IF(circ_int,0,eq_c2/2)+2*PI()*(s_0+3*s_r+IF(circ_int,eq_c1/2,0)))/INDEX(lk_legs,4))-(((((2*IF(circ_int,0,eq_c2/2))+(PI()*(s_0+3*s_r+IF(circ_int,eq_c1/2,0))/2))+2*IF(circ_int,0,eq_c1/2))+(PI()*(s_0+3*s_r+IF(circ_int,eq_c1/2,0))/2))+2*IF(circ_int,0,eq_c2/2)))/(s_0+3*s_r+IF(circ_int,eq_c1/2,0))),IF(((42+0.5)*(4*IF(circ_int,0,eq_c1/2)+4*IF(circ_int,0,eq_c2/2)+2*PI()*(s_0+3*s_r+IF(circ_int,eq_c1/2,0)))/INDEX(lk_legs,4))&lt;(((((((2*IF(circ_int,0,eq_c2/2))+(PI()*(s_0+3*s_r+IF(circ_int,eq_c1/2,0))/2))+2*IF(circ_int,0,eq_c1/2))+(PI()*(s_0+3*s_r+IF(circ_int,eq_c1/2,0))/2))+2*IF(circ_int,0,eq_c2/2))+(PI()*(s_0+3*s_r+IF(circ_int,eq_c1/2,0))/2))+2*IF(circ_int,0,eq_c1/2)),-IF(circ_int,0,eq_c1/2)+(((42+0.5)*(4*IF(circ_int,0,eq_c1/2)+4*IF(circ_int,0,eq_c2/2)+2*PI()*(s_0+3*s_r+IF(circ_int,eq_c1/2,0)))/INDEX(lk_legs,4))-((((((2*IF(circ_int,0,eq_c2/2))+(PI()*(s_0+3*s_r+IF(circ_int,eq_c1/2,0))/2))+2*IF(circ_int,0,eq_c1/2))+(PI()*(s_0+3*s_r+IF(circ_int,eq_c1/2,0))/2))+2*IF(circ_int,0,eq_c2/2))+(PI()*(s_0+3*s_r+IF(circ_int,eq_c1/2,0))/2))),IF(circ_int,0,eq_c1/2)+(s_0+3*s_r+IF(circ_int,eq_c1/2,0))*COS(3*PI()/2+(((42+0.5)*(4*IF(circ_int,0,eq_c1/2)+4*IF(circ_int,0,eq_c2/2)+2*PI()*(s_0+3*s_r+IF(circ_int,eq_c1/2,0)))/INDEX(lk_legs,4))-(((((((2*IF(circ_int,0,eq_c2/2))+(PI()*(s_0+3*s_r+IF(circ_int,eq_c1/2,0))/2))+2*IF(circ_int,0,eq_c1/2))+(PI()*(s_0+3*s_r+IF(circ_int,eq_c1/2,0))/2))+2*IF(circ_int,0,eq_c2/2))+(PI()*(s_0+3*s_r+IF(circ_int,eq_c1/2,0))/2))+2*IF(circ_int,0,eq_c1/2)))/(s_0+3*s_r+IF(circ_int,eq_c1/2,0)))))))))),NA())</f>
        <v/>
      </c>
      <c r="BS45">
        <f>IF(AND(AND(links_on,4&lt;=n_per),INDEX(lk_kind,4)=1,42&lt;INDEX(lk_legs,4)),g_oy+IF(((42+0.5)*(4*IF(circ_int,0,eq_c1/2)+4*IF(circ_int,0,eq_c2/2)+2*PI()*(s_0+3*s_r+IF(circ_int,eq_c1/2,0)))/INDEX(lk_legs,4))&lt;(2*IF(circ_int,0,eq_c2/2)),-IF(circ_int,0,eq_c2/2)+((42+0.5)*(4*IF(circ_int,0,eq_c1/2)+4*IF(circ_int,0,eq_c2/2)+2*PI()*(s_0+3*s_r+IF(circ_int,eq_c1/2,0)))/INDEX(lk_legs,4)),IF(((42+0.5)*(4*IF(circ_int,0,eq_c1/2)+4*IF(circ_int,0,eq_c2/2)+2*PI()*(s_0+3*s_r+IF(circ_int,eq_c1/2,0)))/INDEX(lk_legs,4))&lt;((2*IF(circ_int,0,eq_c2/2))+(PI()*(s_0+3*s_r+IF(circ_int,eq_c1/2,0))/2)),IF(circ_int,0,eq_c2/2)+(s_0+3*s_r+IF(circ_int,eq_c1/2,0))*SIN((((42+0.5)*(4*IF(circ_int,0,eq_c1/2)+4*IF(circ_int,0,eq_c2/2)+2*PI()*(s_0+3*s_r+IF(circ_int,eq_c1/2,0)))/INDEX(lk_legs,4))-(2*IF(circ_int,0,eq_c2/2)))/(s_0+3*s_r+IF(circ_int,eq_c1/2,0))),IF(((42+0.5)*(4*IF(circ_int,0,eq_c1/2)+4*IF(circ_int,0,eq_c2/2)+2*PI()*(s_0+3*s_r+IF(circ_int,eq_c1/2,0)))/INDEX(lk_legs,4))&lt;(((2*IF(circ_int,0,eq_c2/2))+(PI()*(s_0+3*s_r+IF(circ_int,eq_c1/2,0))/2))+2*IF(circ_int,0,eq_c1/2)),IF(circ_int,0,eq_c2/2)+(s_0+3*s_r+IF(circ_int,eq_c1/2,0)),IF(((42+0.5)*(4*IF(circ_int,0,eq_c1/2)+4*IF(circ_int,0,eq_c2/2)+2*PI()*(s_0+3*s_r+IF(circ_int,eq_c1/2,0)))/INDEX(lk_legs,4))&lt;((((2*IF(circ_int,0,eq_c2/2))+(PI()*(s_0+3*s_r+IF(circ_int,eq_c1/2,0))/2))+2*IF(circ_int,0,eq_c1/2))+(PI()*(s_0+3*s_r+IF(circ_int,eq_c1/2,0))/2)),IF(circ_int,0,eq_c2/2)+(s_0+3*s_r+IF(circ_int,eq_c1/2,0))*SIN(PI()/2+(((42+0.5)*(4*IF(circ_int,0,eq_c1/2)+4*IF(circ_int,0,eq_c2/2)+2*PI()*(s_0+3*s_r+IF(circ_int,eq_c1/2,0)))/INDEX(lk_legs,4))-(((2*IF(circ_int,0,eq_c2/2))+(PI()*(s_0+3*s_r+IF(circ_int,eq_c1/2,0))/2))+2*IF(circ_int,0,eq_c1/2)))/(s_0+3*s_r+IF(circ_int,eq_c1/2,0))),IF(((42+0.5)*(4*IF(circ_int,0,eq_c1/2)+4*IF(circ_int,0,eq_c2/2)+2*PI()*(s_0+3*s_r+IF(circ_int,eq_c1/2,0)))/INDEX(lk_legs,4))&lt;(((((2*IF(circ_int,0,eq_c2/2))+(PI()*(s_0+3*s_r+IF(circ_int,eq_c1/2,0))/2))+2*IF(circ_int,0,eq_c1/2))+(PI()*(s_0+3*s_r+IF(circ_int,eq_c1/2,0))/2))+2*IF(circ_int,0,eq_c2/2)),IF(circ_int,0,eq_c2/2)-(((42+0.5)*(4*IF(circ_int,0,eq_c1/2)+4*IF(circ_int,0,eq_c2/2)+2*PI()*(s_0+3*s_r+IF(circ_int,eq_c1/2,0)))/INDEX(lk_legs,4))-((((2*IF(circ_int,0,eq_c2/2))+(PI()*(s_0+3*s_r+IF(circ_int,eq_c1/2,0))/2))+2*IF(circ_int,0,eq_c1/2))+(PI()*(s_0+3*s_r+IF(circ_int,eq_c1/2,0))/2))),IF(((42+0.5)*(4*IF(circ_int,0,eq_c1/2)+4*IF(circ_int,0,eq_c2/2)+2*PI()*(s_0+3*s_r+IF(circ_int,eq_c1/2,0)))/INDEX(lk_legs,4))&lt;((((((2*IF(circ_int,0,eq_c2/2))+(PI()*(s_0+3*s_r+IF(circ_int,eq_c1/2,0))/2))+2*IF(circ_int,0,eq_c1/2))+(PI()*(s_0+3*s_r+IF(circ_int,eq_c1/2,0))/2))+2*IF(circ_int,0,eq_c2/2))+(PI()*(s_0+3*s_r+IF(circ_int,eq_c1/2,0))/2)),-IF(circ_int,0,eq_c2/2)+(s_0+3*s_r+IF(circ_int,eq_c1/2,0))*SIN(PI()+(((42+0.5)*(4*IF(circ_int,0,eq_c1/2)+4*IF(circ_int,0,eq_c2/2)+2*PI()*(s_0+3*s_r+IF(circ_int,eq_c1/2,0)))/INDEX(lk_legs,4))-(((((2*IF(circ_int,0,eq_c2/2))+(PI()*(s_0+3*s_r+IF(circ_int,eq_c1/2,0))/2))+2*IF(circ_int,0,eq_c1/2))+(PI()*(s_0+3*s_r+IF(circ_int,eq_c1/2,0))/2))+2*IF(circ_int,0,eq_c2/2)))/(s_0+3*s_r+IF(circ_int,eq_c1/2,0))),IF(((42+0.5)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(42+0.5)*(4*IF(circ_int,0,eq_c1/2)+4*IF(circ_int,0,eq_c2/2)+2*PI()*(s_0+3*s_r+IF(circ_int,eq_c1/2,0)))/INDEX(lk_legs,4))-(((((((2*IF(circ_int,0,eq_c2/2))+(PI()*(s_0+3*s_r+IF(circ_int,eq_c1/2,0))/2))+2*IF(circ_int,0,eq_c1/2))+(PI()*(s_0+3*s_r+IF(circ_int,eq_c1/2,0))/2))+2*IF(circ_int,0,eq_c2/2))+(PI()*(s_0+3*s_r+IF(circ_int,eq_c1/2,0))/2))+2*IF(circ_int,0,eq_c1/2)))/(s_0+3*s_r+IF(circ_int,eq_c1/2,0)))))))))),NA())</f>
        <v/>
      </c>
      <c r="BU45">
        <f>IF(AND(links_on,5&lt;=n_per),IF(circ_int,(g_ox)+(c_1/2+(s_0+4*s_r))*0.354605,CHOOSE(INDEX(lk_kind,5),(g_ox+eq_c1/2)+((s_0+4*s_r))*0.382683,0,eq_a1+eq_c1+(s_0+4*s_r),eq_a1+eq_c1+(s_0+4*s_r))),NA())</f>
        <v/>
      </c>
      <c r="BV45">
        <f>IF(AND(links_on,5&lt;=n_per),IF(circ_int,(g_oy)+(c_1/2+(s_0+4*s_r))*-0.935016,CHOOSE(INDEX(lk_kind,5),(g_oy-eq_c2/2)+((s_0+4*s_r))*-0.923880,g_oy-eq_c2/2-(s_0+4*s_r),0,0)),NA())</f>
        <v/>
      </c>
      <c r="BX45">
        <f>IF(AND(AND(links_on,5&lt;=n_per),INDEX(lk_kind,5)=1,42&lt;INDEX(lk_legs,5)),g_ox+IF(((42+0.5)*(4*IF(circ_int,0,eq_c1/2)+4*IF(circ_int,0,eq_c2/2)+2*PI()*(s_0+4*s_r+IF(circ_int,eq_c1/2,0)))/INDEX(lk_legs,5))&lt;(2*IF(circ_int,0,eq_c2/2)),IF(circ_int,0,eq_c1/2)+(s_0+4*s_r+IF(circ_int,eq_c1/2,0)),IF(((42+0.5)*(4*IF(circ_int,0,eq_c1/2)+4*IF(circ_int,0,eq_c2/2)+2*PI()*(s_0+4*s_r+IF(circ_int,eq_c1/2,0)))/INDEX(lk_legs,5))&lt;((2*IF(circ_int,0,eq_c2/2))+(PI()*(s_0+4*s_r+IF(circ_int,eq_c1/2,0))/2)),IF(circ_int,0,eq_c1/2)+(s_0+4*s_r+IF(circ_int,eq_c1/2,0))*COS((((42+0.5)*(4*IF(circ_int,0,eq_c1/2)+4*IF(circ_int,0,eq_c2/2)+2*PI()*(s_0+4*s_r+IF(circ_int,eq_c1/2,0)))/INDEX(lk_legs,5))-(2*IF(circ_int,0,eq_c2/2)))/(s_0+4*s_r+IF(circ_int,eq_c1/2,0))),IF(((42+0.5)*(4*IF(circ_int,0,eq_c1/2)+4*IF(circ_int,0,eq_c2/2)+2*PI()*(s_0+4*s_r+IF(circ_int,eq_c1/2,0)))/INDEX(lk_legs,5))&lt;(((2*IF(circ_int,0,eq_c2/2))+(PI()*(s_0+4*s_r+IF(circ_int,eq_c1/2,0))/2))+2*IF(circ_int,0,eq_c1/2)),IF(circ_int,0,eq_c1/2)-(((42+0.5)*(4*IF(circ_int,0,eq_c1/2)+4*IF(circ_int,0,eq_c2/2)+2*PI()*(s_0+4*s_r+IF(circ_int,eq_c1/2,0)))/INDEX(lk_legs,5))-((2*IF(circ_int,0,eq_c2/2))+(PI()*(s_0+4*s_r+IF(circ_int,eq_c1/2,0))/2))),IF(((42+0.5)*(4*IF(circ_int,0,eq_c1/2)+4*IF(circ_int,0,eq_c2/2)+2*PI()*(s_0+4*s_r+IF(circ_int,eq_c1/2,0)))/INDEX(lk_legs,5))&lt;((((2*IF(circ_int,0,eq_c2/2))+(PI()*(s_0+4*s_r+IF(circ_int,eq_c1/2,0))/2))+2*IF(circ_int,0,eq_c1/2))+(PI()*(s_0+4*s_r+IF(circ_int,eq_c1/2,0))/2)),-IF(circ_int,0,eq_c1/2)+(s_0+4*s_r+IF(circ_int,eq_c1/2,0))*COS(PI()/2+(((42+0.5)*(4*IF(circ_int,0,eq_c1/2)+4*IF(circ_int,0,eq_c2/2)+2*PI()*(s_0+4*s_r+IF(circ_int,eq_c1/2,0)))/INDEX(lk_legs,5))-(((2*IF(circ_int,0,eq_c2/2))+(PI()*(s_0+4*s_r+IF(circ_int,eq_c1/2,0))/2))+2*IF(circ_int,0,eq_c1/2)))/(s_0+4*s_r+IF(circ_int,eq_c1/2,0))),IF(((42+0.5)*(4*IF(circ_int,0,eq_c1/2)+4*IF(circ_int,0,eq_c2/2)+2*PI()*(s_0+4*s_r+IF(circ_int,eq_c1/2,0)))/INDEX(lk_legs,5))&lt;(((((2*IF(circ_int,0,eq_c2/2))+(PI()*(s_0+4*s_r+IF(circ_int,eq_c1/2,0))/2))+2*IF(circ_int,0,eq_c1/2))+(PI()*(s_0+4*s_r+IF(circ_int,eq_c1/2,0))/2))+2*IF(circ_int,0,eq_c2/2)),-IF(circ_int,0,eq_c1/2)-(s_0+4*s_r+IF(circ_int,eq_c1/2,0)),IF(((42+0.5)*(4*IF(circ_int,0,eq_c1/2)+4*IF(circ_int,0,eq_c2/2)+2*PI()*(s_0+4*s_r+IF(circ_int,eq_c1/2,0)))/INDEX(lk_legs,5))&lt;((((((2*IF(circ_int,0,eq_c2/2))+(PI()*(s_0+4*s_r+IF(circ_int,eq_c1/2,0))/2))+2*IF(circ_int,0,eq_c1/2))+(PI()*(s_0+4*s_r+IF(circ_int,eq_c1/2,0))/2))+2*IF(circ_int,0,eq_c2/2))+(PI()*(s_0+4*s_r+IF(circ_int,eq_c1/2,0))/2)),-IF(circ_int,0,eq_c1/2)+(s_0+4*s_r+IF(circ_int,eq_c1/2,0))*COS(PI()+(((42+0.5)*(4*IF(circ_int,0,eq_c1/2)+4*IF(circ_int,0,eq_c2/2)+2*PI()*(s_0+4*s_r+IF(circ_int,eq_c1/2,0)))/INDEX(lk_legs,5))-(((((2*IF(circ_int,0,eq_c2/2))+(PI()*(s_0+4*s_r+IF(circ_int,eq_c1/2,0))/2))+2*IF(circ_int,0,eq_c1/2))+(PI()*(s_0+4*s_r+IF(circ_int,eq_c1/2,0))/2))+2*IF(circ_int,0,eq_c2/2)))/(s_0+4*s_r+IF(circ_int,eq_c1/2,0))),IF(((42+0.5)*(4*IF(circ_int,0,eq_c1/2)+4*IF(circ_int,0,eq_c2/2)+2*PI()*(s_0+4*s_r+IF(circ_int,eq_c1/2,0)))/INDEX(lk_legs,5))&lt;(((((((2*IF(circ_int,0,eq_c2/2))+(PI()*(s_0+4*s_r+IF(circ_int,eq_c1/2,0))/2))+2*IF(circ_int,0,eq_c1/2))+(PI()*(s_0+4*s_r+IF(circ_int,eq_c1/2,0))/2))+2*IF(circ_int,0,eq_c2/2))+(PI()*(s_0+4*s_r+IF(circ_int,eq_c1/2,0))/2))+2*IF(circ_int,0,eq_c1/2)),-IF(circ_int,0,eq_c1/2)+(((42+0.5)*(4*IF(circ_int,0,eq_c1/2)+4*IF(circ_int,0,eq_c2/2)+2*PI()*(s_0+4*s_r+IF(circ_int,eq_c1/2,0)))/INDEX(lk_legs,5))-((((((2*IF(circ_int,0,eq_c2/2))+(PI()*(s_0+4*s_r+IF(circ_int,eq_c1/2,0))/2))+2*IF(circ_int,0,eq_c1/2))+(PI()*(s_0+4*s_r+IF(circ_int,eq_c1/2,0))/2))+2*IF(circ_int,0,eq_c2/2))+(PI()*(s_0+4*s_r+IF(circ_int,eq_c1/2,0))/2))),IF(circ_int,0,eq_c1/2)+(s_0+4*s_r+IF(circ_int,eq_c1/2,0))*COS(3*PI()/2+(((42+0.5)*(4*IF(circ_int,0,eq_c1/2)+4*IF(circ_int,0,eq_c2/2)+2*PI()*(s_0+4*s_r+IF(circ_int,eq_c1/2,0)))/INDEX(lk_legs,5))-(((((((2*IF(circ_int,0,eq_c2/2))+(PI()*(s_0+4*s_r+IF(circ_int,eq_c1/2,0))/2))+2*IF(circ_int,0,eq_c1/2))+(PI()*(s_0+4*s_r+IF(circ_int,eq_c1/2,0))/2))+2*IF(circ_int,0,eq_c2/2))+(PI()*(s_0+4*s_r+IF(circ_int,eq_c1/2,0))/2))+2*IF(circ_int,0,eq_c1/2)))/(s_0+4*s_r+IF(circ_int,eq_c1/2,0)))))))))),NA())</f>
        <v/>
      </c>
      <c r="BY45">
        <f>IF(AND(AND(links_on,5&lt;=n_per),INDEX(lk_kind,5)=1,42&lt;INDEX(lk_legs,5)),g_oy+IF(((42+0.5)*(4*IF(circ_int,0,eq_c1/2)+4*IF(circ_int,0,eq_c2/2)+2*PI()*(s_0+4*s_r+IF(circ_int,eq_c1/2,0)))/INDEX(lk_legs,5))&lt;(2*IF(circ_int,0,eq_c2/2)),-IF(circ_int,0,eq_c2/2)+((42+0.5)*(4*IF(circ_int,0,eq_c1/2)+4*IF(circ_int,0,eq_c2/2)+2*PI()*(s_0+4*s_r+IF(circ_int,eq_c1/2,0)))/INDEX(lk_legs,5)),IF(((42+0.5)*(4*IF(circ_int,0,eq_c1/2)+4*IF(circ_int,0,eq_c2/2)+2*PI()*(s_0+4*s_r+IF(circ_int,eq_c1/2,0)))/INDEX(lk_legs,5))&lt;((2*IF(circ_int,0,eq_c2/2))+(PI()*(s_0+4*s_r+IF(circ_int,eq_c1/2,0))/2)),IF(circ_int,0,eq_c2/2)+(s_0+4*s_r+IF(circ_int,eq_c1/2,0))*SIN((((42+0.5)*(4*IF(circ_int,0,eq_c1/2)+4*IF(circ_int,0,eq_c2/2)+2*PI()*(s_0+4*s_r+IF(circ_int,eq_c1/2,0)))/INDEX(lk_legs,5))-(2*IF(circ_int,0,eq_c2/2)))/(s_0+4*s_r+IF(circ_int,eq_c1/2,0))),IF(((42+0.5)*(4*IF(circ_int,0,eq_c1/2)+4*IF(circ_int,0,eq_c2/2)+2*PI()*(s_0+4*s_r+IF(circ_int,eq_c1/2,0)))/INDEX(lk_legs,5))&lt;(((2*IF(circ_int,0,eq_c2/2))+(PI()*(s_0+4*s_r+IF(circ_int,eq_c1/2,0))/2))+2*IF(circ_int,0,eq_c1/2)),IF(circ_int,0,eq_c2/2)+(s_0+4*s_r+IF(circ_int,eq_c1/2,0)),IF(((42+0.5)*(4*IF(circ_int,0,eq_c1/2)+4*IF(circ_int,0,eq_c2/2)+2*PI()*(s_0+4*s_r+IF(circ_int,eq_c1/2,0)))/INDEX(lk_legs,5))&lt;((((2*IF(circ_int,0,eq_c2/2))+(PI()*(s_0+4*s_r+IF(circ_int,eq_c1/2,0))/2))+2*IF(circ_int,0,eq_c1/2))+(PI()*(s_0+4*s_r+IF(circ_int,eq_c1/2,0))/2)),IF(circ_int,0,eq_c2/2)+(s_0+4*s_r+IF(circ_int,eq_c1/2,0))*SIN(PI()/2+(((42+0.5)*(4*IF(circ_int,0,eq_c1/2)+4*IF(circ_int,0,eq_c2/2)+2*PI()*(s_0+4*s_r+IF(circ_int,eq_c1/2,0)))/INDEX(lk_legs,5))-(((2*IF(circ_int,0,eq_c2/2))+(PI()*(s_0+4*s_r+IF(circ_int,eq_c1/2,0))/2))+2*IF(circ_int,0,eq_c1/2)))/(s_0+4*s_r+IF(circ_int,eq_c1/2,0))),IF(((42+0.5)*(4*IF(circ_int,0,eq_c1/2)+4*IF(circ_int,0,eq_c2/2)+2*PI()*(s_0+4*s_r+IF(circ_int,eq_c1/2,0)))/INDEX(lk_legs,5))&lt;(((((2*IF(circ_int,0,eq_c2/2))+(PI()*(s_0+4*s_r+IF(circ_int,eq_c1/2,0))/2))+2*IF(circ_int,0,eq_c1/2))+(PI()*(s_0+4*s_r+IF(circ_int,eq_c1/2,0))/2))+2*IF(circ_int,0,eq_c2/2)),IF(circ_int,0,eq_c2/2)-(((42+0.5)*(4*IF(circ_int,0,eq_c1/2)+4*IF(circ_int,0,eq_c2/2)+2*PI()*(s_0+4*s_r+IF(circ_int,eq_c1/2,0)))/INDEX(lk_legs,5))-((((2*IF(circ_int,0,eq_c2/2))+(PI()*(s_0+4*s_r+IF(circ_int,eq_c1/2,0))/2))+2*IF(circ_int,0,eq_c1/2))+(PI()*(s_0+4*s_r+IF(circ_int,eq_c1/2,0))/2))),IF(((42+0.5)*(4*IF(circ_int,0,eq_c1/2)+4*IF(circ_int,0,eq_c2/2)+2*PI()*(s_0+4*s_r+IF(circ_int,eq_c1/2,0)))/INDEX(lk_legs,5))&lt;((((((2*IF(circ_int,0,eq_c2/2))+(PI()*(s_0+4*s_r+IF(circ_int,eq_c1/2,0))/2))+2*IF(circ_int,0,eq_c1/2))+(PI()*(s_0+4*s_r+IF(circ_int,eq_c1/2,0))/2))+2*IF(circ_int,0,eq_c2/2))+(PI()*(s_0+4*s_r+IF(circ_int,eq_c1/2,0))/2)),-IF(circ_int,0,eq_c2/2)+(s_0+4*s_r+IF(circ_int,eq_c1/2,0))*SIN(PI()+(((42+0.5)*(4*IF(circ_int,0,eq_c1/2)+4*IF(circ_int,0,eq_c2/2)+2*PI()*(s_0+4*s_r+IF(circ_int,eq_c1/2,0)))/INDEX(lk_legs,5))-(((((2*IF(circ_int,0,eq_c2/2))+(PI()*(s_0+4*s_r+IF(circ_int,eq_c1/2,0))/2))+2*IF(circ_int,0,eq_c1/2))+(PI()*(s_0+4*s_r+IF(circ_int,eq_c1/2,0))/2))+2*IF(circ_int,0,eq_c2/2)))/(s_0+4*s_r+IF(circ_int,eq_c1/2,0))),IF(((42+0.5)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(42+0.5)*(4*IF(circ_int,0,eq_c1/2)+4*IF(circ_int,0,eq_c2/2)+2*PI()*(s_0+4*s_r+IF(circ_int,eq_c1/2,0)))/INDEX(lk_legs,5))-(((((((2*IF(circ_int,0,eq_c2/2))+(PI()*(s_0+4*s_r+IF(circ_int,eq_c1/2,0))/2))+2*IF(circ_int,0,eq_c1/2))+(PI()*(s_0+4*s_r+IF(circ_int,eq_c1/2,0))/2))+2*IF(circ_int,0,eq_c2/2))+(PI()*(s_0+4*s_r+IF(circ_int,eq_c1/2,0))/2))+2*IF(circ_int,0,eq_c1/2)))/(s_0+4*s_r+IF(circ_int,eq_c1/2,0)))))))))),NA())</f>
        <v/>
      </c>
      <c r="CA45">
        <f>IF(AND(links_on,6&lt;=n_per),IF(circ_int,(g_ox)+(c_1/2+(s_0+5*s_r))*0.354605,CHOOSE(INDEX(lk_kind,6),(g_ox+eq_c1/2)+((s_0+5*s_r))*0.382683,0,eq_a1+eq_c1+(s_0+5*s_r),eq_a1+eq_c1+(s_0+5*s_r))),NA())</f>
        <v/>
      </c>
      <c r="CB45">
        <f>IF(AND(links_on,6&lt;=n_per),IF(circ_int,(g_oy)+(c_1/2+(s_0+5*s_r))*-0.935016,CHOOSE(INDEX(lk_kind,6),(g_oy-eq_c2/2)+((s_0+5*s_r))*-0.923880,g_oy-eq_c2/2-(s_0+5*s_r),0,0)),NA())</f>
        <v/>
      </c>
      <c r="CD45">
        <f>IF(AND(AND(links_on,6&lt;=n_per),INDEX(lk_kind,6)=1,42&lt;INDEX(lk_legs,6)),g_ox+IF(((42+0.5)*(4*IF(circ_int,0,eq_c1/2)+4*IF(circ_int,0,eq_c2/2)+2*PI()*(s_0+5*s_r+IF(circ_int,eq_c1/2,0)))/INDEX(lk_legs,6))&lt;(2*IF(circ_int,0,eq_c2/2)),IF(circ_int,0,eq_c1/2)+(s_0+5*s_r+IF(circ_int,eq_c1/2,0)),IF(((42+0.5)*(4*IF(circ_int,0,eq_c1/2)+4*IF(circ_int,0,eq_c2/2)+2*PI()*(s_0+5*s_r+IF(circ_int,eq_c1/2,0)))/INDEX(lk_legs,6))&lt;((2*IF(circ_int,0,eq_c2/2))+(PI()*(s_0+5*s_r+IF(circ_int,eq_c1/2,0))/2)),IF(circ_int,0,eq_c1/2)+(s_0+5*s_r+IF(circ_int,eq_c1/2,0))*COS((((42+0.5)*(4*IF(circ_int,0,eq_c1/2)+4*IF(circ_int,0,eq_c2/2)+2*PI()*(s_0+5*s_r+IF(circ_int,eq_c1/2,0)))/INDEX(lk_legs,6))-(2*IF(circ_int,0,eq_c2/2)))/(s_0+5*s_r+IF(circ_int,eq_c1/2,0))),IF(((42+0.5)*(4*IF(circ_int,0,eq_c1/2)+4*IF(circ_int,0,eq_c2/2)+2*PI()*(s_0+5*s_r+IF(circ_int,eq_c1/2,0)))/INDEX(lk_legs,6))&lt;(((2*IF(circ_int,0,eq_c2/2))+(PI()*(s_0+5*s_r+IF(circ_int,eq_c1/2,0))/2))+2*IF(circ_int,0,eq_c1/2)),IF(circ_int,0,eq_c1/2)-(((42+0.5)*(4*IF(circ_int,0,eq_c1/2)+4*IF(circ_int,0,eq_c2/2)+2*PI()*(s_0+5*s_r+IF(circ_int,eq_c1/2,0)))/INDEX(lk_legs,6))-((2*IF(circ_int,0,eq_c2/2))+(PI()*(s_0+5*s_r+IF(circ_int,eq_c1/2,0))/2))),IF(((42+0.5)*(4*IF(circ_int,0,eq_c1/2)+4*IF(circ_int,0,eq_c2/2)+2*PI()*(s_0+5*s_r+IF(circ_int,eq_c1/2,0)))/INDEX(lk_legs,6))&lt;((((2*IF(circ_int,0,eq_c2/2))+(PI()*(s_0+5*s_r+IF(circ_int,eq_c1/2,0))/2))+2*IF(circ_int,0,eq_c1/2))+(PI()*(s_0+5*s_r+IF(circ_int,eq_c1/2,0))/2)),-IF(circ_int,0,eq_c1/2)+(s_0+5*s_r+IF(circ_int,eq_c1/2,0))*COS(PI()/2+(((42+0.5)*(4*IF(circ_int,0,eq_c1/2)+4*IF(circ_int,0,eq_c2/2)+2*PI()*(s_0+5*s_r+IF(circ_int,eq_c1/2,0)))/INDEX(lk_legs,6))-(((2*IF(circ_int,0,eq_c2/2))+(PI()*(s_0+5*s_r+IF(circ_int,eq_c1/2,0))/2))+2*IF(circ_int,0,eq_c1/2)))/(s_0+5*s_r+IF(circ_int,eq_c1/2,0))),IF(((42+0.5)*(4*IF(circ_int,0,eq_c1/2)+4*IF(circ_int,0,eq_c2/2)+2*PI()*(s_0+5*s_r+IF(circ_int,eq_c1/2,0)))/INDEX(lk_legs,6))&lt;(((((2*IF(circ_int,0,eq_c2/2))+(PI()*(s_0+5*s_r+IF(circ_int,eq_c1/2,0))/2))+2*IF(circ_int,0,eq_c1/2))+(PI()*(s_0+5*s_r+IF(circ_int,eq_c1/2,0))/2))+2*IF(circ_int,0,eq_c2/2)),-IF(circ_int,0,eq_c1/2)-(s_0+5*s_r+IF(circ_int,eq_c1/2,0)),IF(((42+0.5)*(4*IF(circ_int,0,eq_c1/2)+4*IF(circ_int,0,eq_c2/2)+2*PI()*(s_0+5*s_r+IF(circ_int,eq_c1/2,0)))/INDEX(lk_legs,6))&lt;((((((2*IF(circ_int,0,eq_c2/2))+(PI()*(s_0+5*s_r+IF(circ_int,eq_c1/2,0))/2))+2*IF(circ_int,0,eq_c1/2))+(PI()*(s_0+5*s_r+IF(circ_int,eq_c1/2,0))/2))+2*IF(circ_int,0,eq_c2/2))+(PI()*(s_0+5*s_r+IF(circ_int,eq_c1/2,0))/2)),-IF(circ_int,0,eq_c1/2)+(s_0+5*s_r+IF(circ_int,eq_c1/2,0))*COS(PI()+(((42+0.5)*(4*IF(circ_int,0,eq_c1/2)+4*IF(circ_int,0,eq_c2/2)+2*PI()*(s_0+5*s_r+IF(circ_int,eq_c1/2,0)))/INDEX(lk_legs,6))-(((((2*IF(circ_int,0,eq_c2/2))+(PI()*(s_0+5*s_r+IF(circ_int,eq_c1/2,0))/2))+2*IF(circ_int,0,eq_c1/2))+(PI()*(s_0+5*s_r+IF(circ_int,eq_c1/2,0))/2))+2*IF(circ_int,0,eq_c2/2)))/(s_0+5*s_r+IF(circ_int,eq_c1/2,0))),IF(((42+0.5)*(4*IF(circ_int,0,eq_c1/2)+4*IF(circ_int,0,eq_c2/2)+2*PI()*(s_0+5*s_r+IF(circ_int,eq_c1/2,0)))/INDEX(lk_legs,6))&lt;(((((((2*IF(circ_int,0,eq_c2/2))+(PI()*(s_0+5*s_r+IF(circ_int,eq_c1/2,0))/2))+2*IF(circ_int,0,eq_c1/2))+(PI()*(s_0+5*s_r+IF(circ_int,eq_c1/2,0))/2))+2*IF(circ_int,0,eq_c2/2))+(PI()*(s_0+5*s_r+IF(circ_int,eq_c1/2,0))/2))+2*IF(circ_int,0,eq_c1/2)),-IF(circ_int,0,eq_c1/2)+(((42+0.5)*(4*IF(circ_int,0,eq_c1/2)+4*IF(circ_int,0,eq_c2/2)+2*PI()*(s_0+5*s_r+IF(circ_int,eq_c1/2,0)))/INDEX(lk_legs,6))-((((((2*IF(circ_int,0,eq_c2/2))+(PI()*(s_0+5*s_r+IF(circ_int,eq_c1/2,0))/2))+2*IF(circ_int,0,eq_c1/2))+(PI()*(s_0+5*s_r+IF(circ_int,eq_c1/2,0))/2))+2*IF(circ_int,0,eq_c2/2))+(PI()*(s_0+5*s_r+IF(circ_int,eq_c1/2,0))/2))),IF(circ_int,0,eq_c1/2)+(s_0+5*s_r+IF(circ_int,eq_c1/2,0))*COS(3*PI()/2+(((42+0.5)*(4*IF(circ_int,0,eq_c1/2)+4*IF(circ_int,0,eq_c2/2)+2*PI()*(s_0+5*s_r+IF(circ_int,eq_c1/2,0)))/INDEX(lk_legs,6))-(((((((2*IF(circ_int,0,eq_c2/2))+(PI()*(s_0+5*s_r+IF(circ_int,eq_c1/2,0))/2))+2*IF(circ_int,0,eq_c1/2))+(PI()*(s_0+5*s_r+IF(circ_int,eq_c1/2,0))/2))+2*IF(circ_int,0,eq_c2/2))+(PI()*(s_0+5*s_r+IF(circ_int,eq_c1/2,0))/2))+2*IF(circ_int,0,eq_c1/2)))/(s_0+5*s_r+IF(circ_int,eq_c1/2,0)))))))))),NA())</f>
        <v/>
      </c>
      <c r="CE45">
        <f>IF(AND(AND(links_on,6&lt;=n_per),INDEX(lk_kind,6)=1,42&lt;INDEX(lk_legs,6)),g_oy+IF(((42+0.5)*(4*IF(circ_int,0,eq_c1/2)+4*IF(circ_int,0,eq_c2/2)+2*PI()*(s_0+5*s_r+IF(circ_int,eq_c1/2,0)))/INDEX(lk_legs,6))&lt;(2*IF(circ_int,0,eq_c2/2)),-IF(circ_int,0,eq_c2/2)+((42+0.5)*(4*IF(circ_int,0,eq_c1/2)+4*IF(circ_int,0,eq_c2/2)+2*PI()*(s_0+5*s_r+IF(circ_int,eq_c1/2,0)))/INDEX(lk_legs,6)),IF(((42+0.5)*(4*IF(circ_int,0,eq_c1/2)+4*IF(circ_int,0,eq_c2/2)+2*PI()*(s_0+5*s_r+IF(circ_int,eq_c1/2,0)))/INDEX(lk_legs,6))&lt;((2*IF(circ_int,0,eq_c2/2))+(PI()*(s_0+5*s_r+IF(circ_int,eq_c1/2,0))/2)),IF(circ_int,0,eq_c2/2)+(s_0+5*s_r+IF(circ_int,eq_c1/2,0))*SIN((((42+0.5)*(4*IF(circ_int,0,eq_c1/2)+4*IF(circ_int,0,eq_c2/2)+2*PI()*(s_0+5*s_r+IF(circ_int,eq_c1/2,0)))/INDEX(lk_legs,6))-(2*IF(circ_int,0,eq_c2/2)))/(s_0+5*s_r+IF(circ_int,eq_c1/2,0))),IF(((42+0.5)*(4*IF(circ_int,0,eq_c1/2)+4*IF(circ_int,0,eq_c2/2)+2*PI()*(s_0+5*s_r+IF(circ_int,eq_c1/2,0)))/INDEX(lk_legs,6))&lt;(((2*IF(circ_int,0,eq_c2/2))+(PI()*(s_0+5*s_r+IF(circ_int,eq_c1/2,0))/2))+2*IF(circ_int,0,eq_c1/2)),IF(circ_int,0,eq_c2/2)+(s_0+5*s_r+IF(circ_int,eq_c1/2,0)),IF(((42+0.5)*(4*IF(circ_int,0,eq_c1/2)+4*IF(circ_int,0,eq_c2/2)+2*PI()*(s_0+5*s_r+IF(circ_int,eq_c1/2,0)))/INDEX(lk_legs,6))&lt;((((2*IF(circ_int,0,eq_c2/2))+(PI()*(s_0+5*s_r+IF(circ_int,eq_c1/2,0))/2))+2*IF(circ_int,0,eq_c1/2))+(PI()*(s_0+5*s_r+IF(circ_int,eq_c1/2,0))/2)),IF(circ_int,0,eq_c2/2)+(s_0+5*s_r+IF(circ_int,eq_c1/2,0))*SIN(PI()/2+(((42+0.5)*(4*IF(circ_int,0,eq_c1/2)+4*IF(circ_int,0,eq_c2/2)+2*PI()*(s_0+5*s_r+IF(circ_int,eq_c1/2,0)))/INDEX(lk_legs,6))-(((2*IF(circ_int,0,eq_c2/2))+(PI()*(s_0+5*s_r+IF(circ_int,eq_c1/2,0))/2))+2*IF(circ_int,0,eq_c1/2)))/(s_0+5*s_r+IF(circ_int,eq_c1/2,0))),IF(((42+0.5)*(4*IF(circ_int,0,eq_c1/2)+4*IF(circ_int,0,eq_c2/2)+2*PI()*(s_0+5*s_r+IF(circ_int,eq_c1/2,0)))/INDEX(lk_legs,6))&lt;(((((2*IF(circ_int,0,eq_c2/2))+(PI()*(s_0+5*s_r+IF(circ_int,eq_c1/2,0))/2))+2*IF(circ_int,0,eq_c1/2))+(PI()*(s_0+5*s_r+IF(circ_int,eq_c1/2,0))/2))+2*IF(circ_int,0,eq_c2/2)),IF(circ_int,0,eq_c2/2)-(((42+0.5)*(4*IF(circ_int,0,eq_c1/2)+4*IF(circ_int,0,eq_c2/2)+2*PI()*(s_0+5*s_r+IF(circ_int,eq_c1/2,0)))/INDEX(lk_legs,6))-((((2*IF(circ_int,0,eq_c2/2))+(PI()*(s_0+5*s_r+IF(circ_int,eq_c1/2,0))/2))+2*IF(circ_int,0,eq_c1/2))+(PI()*(s_0+5*s_r+IF(circ_int,eq_c1/2,0))/2))),IF(((42+0.5)*(4*IF(circ_int,0,eq_c1/2)+4*IF(circ_int,0,eq_c2/2)+2*PI()*(s_0+5*s_r+IF(circ_int,eq_c1/2,0)))/INDEX(lk_legs,6))&lt;((((((2*IF(circ_int,0,eq_c2/2))+(PI()*(s_0+5*s_r+IF(circ_int,eq_c1/2,0))/2))+2*IF(circ_int,0,eq_c1/2))+(PI()*(s_0+5*s_r+IF(circ_int,eq_c1/2,0))/2))+2*IF(circ_int,0,eq_c2/2))+(PI()*(s_0+5*s_r+IF(circ_int,eq_c1/2,0))/2)),-IF(circ_int,0,eq_c2/2)+(s_0+5*s_r+IF(circ_int,eq_c1/2,0))*SIN(PI()+(((42+0.5)*(4*IF(circ_int,0,eq_c1/2)+4*IF(circ_int,0,eq_c2/2)+2*PI()*(s_0+5*s_r+IF(circ_int,eq_c1/2,0)))/INDEX(lk_legs,6))-(((((2*IF(circ_int,0,eq_c2/2))+(PI()*(s_0+5*s_r+IF(circ_int,eq_c1/2,0))/2))+2*IF(circ_int,0,eq_c1/2))+(PI()*(s_0+5*s_r+IF(circ_int,eq_c1/2,0))/2))+2*IF(circ_int,0,eq_c2/2)))/(s_0+5*s_r+IF(circ_int,eq_c1/2,0))),IF(((42+0.5)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(42+0.5)*(4*IF(circ_int,0,eq_c1/2)+4*IF(circ_int,0,eq_c2/2)+2*PI()*(s_0+5*s_r+IF(circ_int,eq_c1/2,0)))/INDEX(lk_legs,6))-(((((((2*IF(circ_int,0,eq_c2/2))+(PI()*(s_0+5*s_r+IF(circ_int,eq_c1/2,0))/2))+2*IF(circ_int,0,eq_c1/2))+(PI()*(s_0+5*s_r+IF(circ_int,eq_c1/2,0))/2))+2*IF(circ_int,0,eq_c2/2))+(PI()*(s_0+5*s_r+IF(circ_int,eq_c1/2,0))/2))+2*IF(circ_int,0,eq_c1/2)))/(s_0+5*s_r+IF(circ_int,eq_c1/2,0)))))))))),NA())</f>
        <v/>
      </c>
      <c r="CG45">
        <f>IF(AND(links_on,7&lt;=n_per),IF(circ_int,(g_ox)+(c_1/2+(s_0+6*s_r))*0.354605,CHOOSE(INDEX(lk_kind,7),(g_ox+eq_c1/2)+((s_0+6*s_r))*0.382683,0,eq_a1+eq_c1+(s_0+6*s_r),eq_a1+eq_c1+(s_0+6*s_r))),NA())</f>
        <v/>
      </c>
      <c r="CH45">
        <f>IF(AND(links_on,7&lt;=n_per),IF(circ_int,(g_oy)+(c_1/2+(s_0+6*s_r))*-0.935016,CHOOSE(INDEX(lk_kind,7),(g_oy-eq_c2/2)+((s_0+6*s_r))*-0.923880,g_oy-eq_c2/2-(s_0+6*s_r),0,0)),NA())</f>
        <v/>
      </c>
      <c r="CJ45">
        <f>IF(AND(AND(links_on,7&lt;=n_per),INDEX(lk_kind,7)=1,42&lt;INDEX(lk_legs,7)),g_ox+IF(((42+0.5)*(4*IF(circ_int,0,eq_c1/2)+4*IF(circ_int,0,eq_c2/2)+2*PI()*(s_0+6*s_r+IF(circ_int,eq_c1/2,0)))/INDEX(lk_legs,7))&lt;(2*IF(circ_int,0,eq_c2/2)),IF(circ_int,0,eq_c1/2)+(s_0+6*s_r+IF(circ_int,eq_c1/2,0)),IF(((42+0.5)*(4*IF(circ_int,0,eq_c1/2)+4*IF(circ_int,0,eq_c2/2)+2*PI()*(s_0+6*s_r+IF(circ_int,eq_c1/2,0)))/INDEX(lk_legs,7))&lt;((2*IF(circ_int,0,eq_c2/2))+(PI()*(s_0+6*s_r+IF(circ_int,eq_c1/2,0))/2)),IF(circ_int,0,eq_c1/2)+(s_0+6*s_r+IF(circ_int,eq_c1/2,0))*COS((((42+0.5)*(4*IF(circ_int,0,eq_c1/2)+4*IF(circ_int,0,eq_c2/2)+2*PI()*(s_0+6*s_r+IF(circ_int,eq_c1/2,0)))/INDEX(lk_legs,7))-(2*IF(circ_int,0,eq_c2/2)))/(s_0+6*s_r+IF(circ_int,eq_c1/2,0))),IF(((42+0.5)*(4*IF(circ_int,0,eq_c1/2)+4*IF(circ_int,0,eq_c2/2)+2*PI()*(s_0+6*s_r+IF(circ_int,eq_c1/2,0)))/INDEX(lk_legs,7))&lt;(((2*IF(circ_int,0,eq_c2/2))+(PI()*(s_0+6*s_r+IF(circ_int,eq_c1/2,0))/2))+2*IF(circ_int,0,eq_c1/2)),IF(circ_int,0,eq_c1/2)-(((42+0.5)*(4*IF(circ_int,0,eq_c1/2)+4*IF(circ_int,0,eq_c2/2)+2*PI()*(s_0+6*s_r+IF(circ_int,eq_c1/2,0)))/INDEX(lk_legs,7))-((2*IF(circ_int,0,eq_c2/2))+(PI()*(s_0+6*s_r+IF(circ_int,eq_c1/2,0))/2))),IF(((42+0.5)*(4*IF(circ_int,0,eq_c1/2)+4*IF(circ_int,0,eq_c2/2)+2*PI()*(s_0+6*s_r+IF(circ_int,eq_c1/2,0)))/INDEX(lk_legs,7))&lt;((((2*IF(circ_int,0,eq_c2/2))+(PI()*(s_0+6*s_r+IF(circ_int,eq_c1/2,0))/2))+2*IF(circ_int,0,eq_c1/2))+(PI()*(s_0+6*s_r+IF(circ_int,eq_c1/2,0))/2)),-IF(circ_int,0,eq_c1/2)+(s_0+6*s_r+IF(circ_int,eq_c1/2,0))*COS(PI()/2+(((42+0.5)*(4*IF(circ_int,0,eq_c1/2)+4*IF(circ_int,0,eq_c2/2)+2*PI()*(s_0+6*s_r+IF(circ_int,eq_c1/2,0)))/INDEX(lk_legs,7))-(((2*IF(circ_int,0,eq_c2/2))+(PI()*(s_0+6*s_r+IF(circ_int,eq_c1/2,0))/2))+2*IF(circ_int,0,eq_c1/2)))/(s_0+6*s_r+IF(circ_int,eq_c1/2,0))),IF(((42+0.5)*(4*IF(circ_int,0,eq_c1/2)+4*IF(circ_int,0,eq_c2/2)+2*PI()*(s_0+6*s_r+IF(circ_int,eq_c1/2,0)))/INDEX(lk_legs,7))&lt;(((((2*IF(circ_int,0,eq_c2/2))+(PI()*(s_0+6*s_r+IF(circ_int,eq_c1/2,0))/2))+2*IF(circ_int,0,eq_c1/2))+(PI()*(s_0+6*s_r+IF(circ_int,eq_c1/2,0))/2))+2*IF(circ_int,0,eq_c2/2)),-IF(circ_int,0,eq_c1/2)-(s_0+6*s_r+IF(circ_int,eq_c1/2,0)),IF(((42+0.5)*(4*IF(circ_int,0,eq_c1/2)+4*IF(circ_int,0,eq_c2/2)+2*PI()*(s_0+6*s_r+IF(circ_int,eq_c1/2,0)))/INDEX(lk_legs,7))&lt;((((((2*IF(circ_int,0,eq_c2/2))+(PI()*(s_0+6*s_r+IF(circ_int,eq_c1/2,0))/2))+2*IF(circ_int,0,eq_c1/2))+(PI()*(s_0+6*s_r+IF(circ_int,eq_c1/2,0))/2))+2*IF(circ_int,0,eq_c2/2))+(PI()*(s_0+6*s_r+IF(circ_int,eq_c1/2,0))/2)),-IF(circ_int,0,eq_c1/2)+(s_0+6*s_r+IF(circ_int,eq_c1/2,0))*COS(PI()+(((42+0.5)*(4*IF(circ_int,0,eq_c1/2)+4*IF(circ_int,0,eq_c2/2)+2*PI()*(s_0+6*s_r+IF(circ_int,eq_c1/2,0)))/INDEX(lk_legs,7))-(((((2*IF(circ_int,0,eq_c2/2))+(PI()*(s_0+6*s_r+IF(circ_int,eq_c1/2,0))/2))+2*IF(circ_int,0,eq_c1/2))+(PI()*(s_0+6*s_r+IF(circ_int,eq_c1/2,0))/2))+2*IF(circ_int,0,eq_c2/2)))/(s_0+6*s_r+IF(circ_int,eq_c1/2,0))),IF(((42+0.5)*(4*IF(circ_int,0,eq_c1/2)+4*IF(circ_int,0,eq_c2/2)+2*PI()*(s_0+6*s_r+IF(circ_int,eq_c1/2,0)))/INDEX(lk_legs,7))&lt;(((((((2*IF(circ_int,0,eq_c2/2))+(PI()*(s_0+6*s_r+IF(circ_int,eq_c1/2,0))/2))+2*IF(circ_int,0,eq_c1/2))+(PI()*(s_0+6*s_r+IF(circ_int,eq_c1/2,0))/2))+2*IF(circ_int,0,eq_c2/2))+(PI()*(s_0+6*s_r+IF(circ_int,eq_c1/2,0))/2))+2*IF(circ_int,0,eq_c1/2)),-IF(circ_int,0,eq_c1/2)+(((42+0.5)*(4*IF(circ_int,0,eq_c1/2)+4*IF(circ_int,0,eq_c2/2)+2*PI()*(s_0+6*s_r+IF(circ_int,eq_c1/2,0)))/INDEX(lk_legs,7))-((((((2*IF(circ_int,0,eq_c2/2))+(PI()*(s_0+6*s_r+IF(circ_int,eq_c1/2,0))/2))+2*IF(circ_int,0,eq_c1/2))+(PI()*(s_0+6*s_r+IF(circ_int,eq_c1/2,0))/2))+2*IF(circ_int,0,eq_c2/2))+(PI()*(s_0+6*s_r+IF(circ_int,eq_c1/2,0))/2))),IF(circ_int,0,eq_c1/2)+(s_0+6*s_r+IF(circ_int,eq_c1/2,0))*COS(3*PI()/2+(((42+0.5)*(4*IF(circ_int,0,eq_c1/2)+4*IF(circ_int,0,eq_c2/2)+2*PI()*(s_0+6*s_r+IF(circ_int,eq_c1/2,0)))/INDEX(lk_legs,7))-(((((((2*IF(circ_int,0,eq_c2/2))+(PI()*(s_0+6*s_r+IF(circ_int,eq_c1/2,0))/2))+2*IF(circ_int,0,eq_c1/2))+(PI()*(s_0+6*s_r+IF(circ_int,eq_c1/2,0))/2))+2*IF(circ_int,0,eq_c2/2))+(PI()*(s_0+6*s_r+IF(circ_int,eq_c1/2,0))/2))+2*IF(circ_int,0,eq_c1/2)))/(s_0+6*s_r+IF(circ_int,eq_c1/2,0)))))))))),NA())</f>
        <v/>
      </c>
      <c r="CK45">
        <f>IF(AND(AND(links_on,7&lt;=n_per),INDEX(lk_kind,7)=1,42&lt;INDEX(lk_legs,7)),g_oy+IF(((42+0.5)*(4*IF(circ_int,0,eq_c1/2)+4*IF(circ_int,0,eq_c2/2)+2*PI()*(s_0+6*s_r+IF(circ_int,eq_c1/2,0)))/INDEX(lk_legs,7))&lt;(2*IF(circ_int,0,eq_c2/2)),-IF(circ_int,0,eq_c2/2)+((42+0.5)*(4*IF(circ_int,0,eq_c1/2)+4*IF(circ_int,0,eq_c2/2)+2*PI()*(s_0+6*s_r+IF(circ_int,eq_c1/2,0)))/INDEX(lk_legs,7)),IF(((42+0.5)*(4*IF(circ_int,0,eq_c1/2)+4*IF(circ_int,0,eq_c2/2)+2*PI()*(s_0+6*s_r+IF(circ_int,eq_c1/2,0)))/INDEX(lk_legs,7))&lt;((2*IF(circ_int,0,eq_c2/2))+(PI()*(s_0+6*s_r+IF(circ_int,eq_c1/2,0))/2)),IF(circ_int,0,eq_c2/2)+(s_0+6*s_r+IF(circ_int,eq_c1/2,0))*SIN((((42+0.5)*(4*IF(circ_int,0,eq_c1/2)+4*IF(circ_int,0,eq_c2/2)+2*PI()*(s_0+6*s_r+IF(circ_int,eq_c1/2,0)))/INDEX(lk_legs,7))-(2*IF(circ_int,0,eq_c2/2)))/(s_0+6*s_r+IF(circ_int,eq_c1/2,0))),IF(((42+0.5)*(4*IF(circ_int,0,eq_c1/2)+4*IF(circ_int,0,eq_c2/2)+2*PI()*(s_0+6*s_r+IF(circ_int,eq_c1/2,0)))/INDEX(lk_legs,7))&lt;(((2*IF(circ_int,0,eq_c2/2))+(PI()*(s_0+6*s_r+IF(circ_int,eq_c1/2,0))/2))+2*IF(circ_int,0,eq_c1/2)),IF(circ_int,0,eq_c2/2)+(s_0+6*s_r+IF(circ_int,eq_c1/2,0)),IF(((42+0.5)*(4*IF(circ_int,0,eq_c1/2)+4*IF(circ_int,0,eq_c2/2)+2*PI()*(s_0+6*s_r+IF(circ_int,eq_c1/2,0)))/INDEX(lk_legs,7))&lt;((((2*IF(circ_int,0,eq_c2/2))+(PI()*(s_0+6*s_r+IF(circ_int,eq_c1/2,0))/2))+2*IF(circ_int,0,eq_c1/2))+(PI()*(s_0+6*s_r+IF(circ_int,eq_c1/2,0))/2)),IF(circ_int,0,eq_c2/2)+(s_0+6*s_r+IF(circ_int,eq_c1/2,0))*SIN(PI()/2+(((42+0.5)*(4*IF(circ_int,0,eq_c1/2)+4*IF(circ_int,0,eq_c2/2)+2*PI()*(s_0+6*s_r+IF(circ_int,eq_c1/2,0)))/INDEX(lk_legs,7))-(((2*IF(circ_int,0,eq_c2/2))+(PI()*(s_0+6*s_r+IF(circ_int,eq_c1/2,0))/2))+2*IF(circ_int,0,eq_c1/2)))/(s_0+6*s_r+IF(circ_int,eq_c1/2,0))),IF(((42+0.5)*(4*IF(circ_int,0,eq_c1/2)+4*IF(circ_int,0,eq_c2/2)+2*PI()*(s_0+6*s_r+IF(circ_int,eq_c1/2,0)))/INDEX(lk_legs,7))&lt;(((((2*IF(circ_int,0,eq_c2/2))+(PI()*(s_0+6*s_r+IF(circ_int,eq_c1/2,0))/2))+2*IF(circ_int,0,eq_c1/2))+(PI()*(s_0+6*s_r+IF(circ_int,eq_c1/2,0))/2))+2*IF(circ_int,0,eq_c2/2)),IF(circ_int,0,eq_c2/2)-(((42+0.5)*(4*IF(circ_int,0,eq_c1/2)+4*IF(circ_int,0,eq_c2/2)+2*PI()*(s_0+6*s_r+IF(circ_int,eq_c1/2,0)))/INDEX(lk_legs,7))-((((2*IF(circ_int,0,eq_c2/2))+(PI()*(s_0+6*s_r+IF(circ_int,eq_c1/2,0))/2))+2*IF(circ_int,0,eq_c1/2))+(PI()*(s_0+6*s_r+IF(circ_int,eq_c1/2,0))/2))),IF(((42+0.5)*(4*IF(circ_int,0,eq_c1/2)+4*IF(circ_int,0,eq_c2/2)+2*PI()*(s_0+6*s_r+IF(circ_int,eq_c1/2,0)))/INDEX(lk_legs,7))&lt;((((((2*IF(circ_int,0,eq_c2/2))+(PI()*(s_0+6*s_r+IF(circ_int,eq_c1/2,0))/2))+2*IF(circ_int,0,eq_c1/2))+(PI()*(s_0+6*s_r+IF(circ_int,eq_c1/2,0))/2))+2*IF(circ_int,0,eq_c2/2))+(PI()*(s_0+6*s_r+IF(circ_int,eq_c1/2,0))/2)),-IF(circ_int,0,eq_c2/2)+(s_0+6*s_r+IF(circ_int,eq_c1/2,0))*SIN(PI()+(((42+0.5)*(4*IF(circ_int,0,eq_c1/2)+4*IF(circ_int,0,eq_c2/2)+2*PI()*(s_0+6*s_r+IF(circ_int,eq_c1/2,0)))/INDEX(lk_legs,7))-(((((2*IF(circ_int,0,eq_c2/2))+(PI()*(s_0+6*s_r+IF(circ_int,eq_c1/2,0))/2))+2*IF(circ_int,0,eq_c1/2))+(PI()*(s_0+6*s_r+IF(circ_int,eq_c1/2,0))/2))+2*IF(circ_int,0,eq_c2/2)))/(s_0+6*s_r+IF(circ_int,eq_c1/2,0))),IF(((42+0.5)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(42+0.5)*(4*IF(circ_int,0,eq_c1/2)+4*IF(circ_int,0,eq_c2/2)+2*PI()*(s_0+6*s_r+IF(circ_int,eq_c1/2,0)))/INDEX(lk_legs,7))-(((((((2*IF(circ_int,0,eq_c2/2))+(PI()*(s_0+6*s_r+IF(circ_int,eq_c1/2,0))/2))+2*IF(circ_int,0,eq_c1/2))+(PI()*(s_0+6*s_r+IF(circ_int,eq_c1/2,0))/2))+2*IF(circ_int,0,eq_c2/2))+(PI()*(s_0+6*s_r+IF(circ_int,eq_c1/2,0))/2))+2*IF(circ_int,0,eq_c1/2)))/(s_0+6*s_r+IF(circ_int,eq_c1/2,0)))))))))),NA())</f>
        <v/>
      </c>
      <c r="CM45">
        <f>IF(AND(links_on,8&lt;=n_per),IF(circ_int,(g_ox)+(c_1/2+(s_0+7*s_r))*0.354605,CHOOSE(INDEX(lk_kind,8),(g_ox+eq_c1/2)+((s_0+7*s_r))*0.382683,0,eq_a1+eq_c1+(s_0+7*s_r),eq_a1+eq_c1+(s_0+7*s_r))),NA())</f>
        <v/>
      </c>
      <c r="CN45">
        <f>IF(AND(links_on,8&lt;=n_per),IF(circ_int,(g_oy)+(c_1/2+(s_0+7*s_r))*-0.935016,CHOOSE(INDEX(lk_kind,8),(g_oy-eq_c2/2)+((s_0+7*s_r))*-0.923880,g_oy-eq_c2/2-(s_0+7*s_r),0,0)),NA())</f>
        <v/>
      </c>
      <c r="CP45">
        <f>IF(AND(AND(links_on,8&lt;=n_per),INDEX(lk_kind,8)=1,42&lt;INDEX(lk_legs,8)),g_ox+IF(((42+0.5)*(4*IF(circ_int,0,eq_c1/2)+4*IF(circ_int,0,eq_c2/2)+2*PI()*(s_0+7*s_r+IF(circ_int,eq_c1/2,0)))/INDEX(lk_legs,8))&lt;(2*IF(circ_int,0,eq_c2/2)),IF(circ_int,0,eq_c1/2)+(s_0+7*s_r+IF(circ_int,eq_c1/2,0)),IF(((42+0.5)*(4*IF(circ_int,0,eq_c1/2)+4*IF(circ_int,0,eq_c2/2)+2*PI()*(s_0+7*s_r+IF(circ_int,eq_c1/2,0)))/INDEX(lk_legs,8))&lt;((2*IF(circ_int,0,eq_c2/2))+(PI()*(s_0+7*s_r+IF(circ_int,eq_c1/2,0))/2)),IF(circ_int,0,eq_c1/2)+(s_0+7*s_r+IF(circ_int,eq_c1/2,0))*COS((((42+0.5)*(4*IF(circ_int,0,eq_c1/2)+4*IF(circ_int,0,eq_c2/2)+2*PI()*(s_0+7*s_r+IF(circ_int,eq_c1/2,0)))/INDEX(lk_legs,8))-(2*IF(circ_int,0,eq_c2/2)))/(s_0+7*s_r+IF(circ_int,eq_c1/2,0))),IF(((42+0.5)*(4*IF(circ_int,0,eq_c1/2)+4*IF(circ_int,0,eq_c2/2)+2*PI()*(s_0+7*s_r+IF(circ_int,eq_c1/2,0)))/INDEX(lk_legs,8))&lt;(((2*IF(circ_int,0,eq_c2/2))+(PI()*(s_0+7*s_r+IF(circ_int,eq_c1/2,0))/2))+2*IF(circ_int,0,eq_c1/2)),IF(circ_int,0,eq_c1/2)-(((42+0.5)*(4*IF(circ_int,0,eq_c1/2)+4*IF(circ_int,0,eq_c2/2)+2*PI()*(s_0+7*s_r+IF(circ_int,eq_c1/2,0)))/INDEX(lk_legs,8))-((2*IF(circ_int,0,eq_c2/2))+(PI()*(s_0+7*s_r+IF(circ_int,eq_c1/2,0))/2))),IF(((42+0.5)*(4*IF(circ_int,0,eq_c1/2)+4*IF(circ_int,0,eq_c2/2)+2*PI()*(s_0+7*s_r+IF(circ_int,eq_c1/2,0)))/INDEX(lk_legs,8))&lt;((((2*IF(circ_int,0,eq_c2/2))+(PI()*(s_0+7*s_r+IF(circ_int,eq_c1/2,0))/2))+2*IF(circ_int,0,eq_c1/2))+(PI()*(s_0+7*s_r+IF(circ_int,eq_c1/2,0))/2)),-IF(circ_int,0,eq_c1/2)+(s_0+7*s_r+IF(circ_int,eq_c1/2,0))*COS(PI()/2+(((42+0.5)*(4*IF(circ_int,0,eq_c1/2)+4*IF(circ_int,0,eq_c2/2)+2*PI()*(s_0+7*s_r+IF(circ_int,eq_c1/2,0)))/INDEX(lk_legs,8))-(((2*IF(circ_int,0,eq_c2/2))+(PI()*(s_0+7*s_r+IF(circ_int,eq_c1/2,0))/2))+2*IF(circ_int,0,eq_c1/2)))/(s_0+7*s_r+IF(circ_int,eq_c1/2,0))),IF(((42+0.5)*(4*IF(circ_int,0,eq_c1/2)+4*IF(circ_int,0,eq_c2/2)+2*PI()*(s_0+7*s_r+IF(circ_int,eq_c1/2,0)))/INDEX(lk_legs,8))&lt;(((((2*IF(circ_int,0,eq_c2/2))+(PI()*(s_0+7*s_r+IF(circ_int,eq_c1/2,0))/2))+2*IF(circ_int,0,eq_c1/2))+(PI()*(s_0+7*s_r+IF(circ_int,eq_c1/2,0))/2))+2*IF(circ_int,0,eq_c2/2)),-IF(circ_int,0,eq_c1/2)-(s_0+7*s_r+IF(circ_int,eq_c1/2,0)),IF(((42+0.5)*(4*IF(circ_int,0,eq_c1/2)+4*IF(circ_int,0,eq_c2/2)+2*PI()*(s_0+7*s_r+IF(circ_int,eq_c1/2,0)))/INDEX(lk_legs,8))&lt;((((((2*IF(circ_int,0,eq_c2/2))+(PI()*(s_0+7*s_r+IF(circ_int,eq_c1/2,0))/2))+2*IF(circ_int,0,eq_c1/2))+(PI()*(s_0+7*s_r+IF(circ_int,eq_c1/2,0))/2))+2*IF(circ_int,0,eq_c2/2))+(PI()*(s_0+7*s_r+IF(circ_int,eq_c1/2,0))/2)),-IF(circ_int,0,eq_c1/2)+(s_0+7*s_r+IF(circ_int,eq_c1/2,0))*COS(PI()+(((42+0.5)*(4*IF(circ_int,0,eq_c1/2)+4*IF(circ_int,0,eq_c2/2)+2*PI()*(s_0+7*s_r+IF(circ_int,eq_c1/2,0)))/INDEX(lk_legs,8))-(((((2*IF(circ_int,0,eq_c2/2))+(PI()*(s_0+7*s_r+IF(circ_int,eq_c1/2,0))/2))+2*IF(circ_int,0,eq_c1/2))+(PI()*(s_0+7*s_r+IF(circ_int,eq_c1/2,0))/2))+2*IF(circ_int,0,eq_c2/2)))/(s_0+7*s_r+IF(circ_int,eq_c1/2,0))),IF(((42+0.5)*(4*IF(circ_int,0,eq_c1/2)+4*IF(circ_int,0,eq_c2/2)+2*PI()*(s_0+7*s_r+IF(circ_int,eq_c1/2,0)))/INDEX(lk_legs,8))&lt;(((((((2*IF(circ_int,0,eq_c2/2))+(PI()*(s_0+7*s_r+IF(circ_int,eq_c1/2,0))/2))+2*IF(circ_int,0,eq_c1/2))+(PI()*(s_0+7*s_r+IF(circ_int,eq_c1/2,0))/2))+2*IF(circ_int,0,eq_c2/2))+(PI()*(s_0+7*s_r+IF(circ_int,eq_c1/2,0))/2))+2*IF(circ_int,0,eq_c1/2)),-IF(circ_int,0,eq_c1/2)+(((42+0.5)*(4*IF(circ_int,0,eq_c1/2)+4*IF(circ_int,0,eq_c2/2)+2*PI()*(s_0+7*s_r+IF(circ_int,eq_c1/2,0)))/INDEX(lk_legs,8))-((((((2*IF(circ_int,0,eq_c2/2))+(PI()*(s_0+7*s_r+IF(circ_int,eq_c1/2,0))/2))+2*IF(circ_int,0,eq_c1/2))+(PI()*(s_0+7*s_r+IF(circ_int,eq_c1/2,0))/2))+2*IF(circ_int,0,eq_c2/2))+(PI()*(s_0+7*s_r+IF(circ_int,eq_c1/2,0))/2))),IF(circ_int,0,eq_c1/2)+(s_0+7*s_r+IF(circ_int,eq_c1/2,0))*COS(3*PI()/2+(((42+0.5)*(4*IF(circ_int,0,eq_c1/2)+4*IF(circ_int,0,eq_c2/2)+2*PI()*(s_0+7*s_r+IF(circ_int,eq_c1/2,0)))/INDEX(lk_legs,8))-(((((((2*IF(circ_int,0,eq_c2/2))+(PI()*(s_0+7*s_r+IF(circ_int,eq_c1/2,0))/2))+2*IF(circ_int,0,eq_c1/2))+(PI()*(s_0+7*s_r+IF(circ_int,eq_c1/2,0))/2))+2*IF(circ_int,0,eq_c2/2))+(PI()*(s_0+7*s_r+IF(circ_int,eq_c1/2,0))/2))+2*IF(circ_int,0,eq_c1/2)))/(s_0+7*s_r+IF(circ_int,eq_c1/2,0)))))))))),NA())</f>
        <v/>
      </c>
      <c r="CQ45">
        <f>IF(AND(AND(links_on,8&lt;=n_per),INDEX(lk_kind,8)=1,42&lt;INDEX(lk_legs,8)),g_oy+IF(((42+0.5)*(4*IF(circ_int,0,eq_c1/2)+4*IF(circ_int,0,eq_c2/2)+2*PI()*(s_0+7*s_r+IF(circ_int,eq_c1/2,0)))/INDEX(lk_legs,8))&lt;(2*IF(circ_int,0,eq_c2/2)),-IF(circ_int,0,eq_c2/2)+((42+0.5)*(4*IF(circ_int,0,eq_c1/2)+4*IF(circ_int,0,eq_c2/2)+2*PI()*(s_0+7*s_r+IF(circ_int,eq_c1/2,0)))/INDEX(lk_legs,8)),IF(((42+0.5)*(4*IF(circ_int,0,eq_c1/2)+4*IF(circ_int,0,eq_c2/2)+2*PI()*(s_0+7*s_r+IF(circ_int,eq_c1/2,0)))/INDEX(lk_legs,8))&lt;((2*IF(circ_int,0,eq_c2/2))+(PI()*(s_0+7*s_r+IF(circ_int,eq_c1/2,0))/2)),IF(circ_int,0,eq_c2/2)+(s_0+7*s_r+IF(circ_int,eq_c1/2,0))*SIN((((42+0.5)*(4*IF(circ_int,0,eq_c1/2)+4*IF(circ_int,0,eq_c2/2)+2*PI()*(s_0+7*s_r+IF(circ_int,eq_c1/2,0)))/INDEX(lk_legs,8))-(2*IF(circ_int,0,eq_c2/2)))/(s_0+7*s_r+IF(circ_int,eq_c1/2,0))),IF(((42+0.5)*(4*IF(circ_int,0,eq_c1/2)+4*IF(circ_int,0,eq_c2/2)+2*PI()*(s_0+7*s_r+IF(circ_int,eq_c1/2,0)))/INDEX(lk_legs,8))&lt;(((2*IF(circ_int,0,eq_c2/2))+(PI()*(s_0+7*s_r+IF(circ_int,eq_c1/2,0))/2))+2*IF(circ_int,0,eq_c1/2)),IF(circ_int,0,eq_c2/2)+(s_0+7*s_r+IF(circ_int,eq_c1/2,0)),IF(((42+0.5)*(4*IF(circ_int,0,eq_c1/2)+4*IF(circ_int,0,eq_c2/2)+2*PI()*(s_0+7*s_r+IF(circ_int,eq_c1/2,0)))/INDEX(lk_legs,8))&lt;((((2*IF(circ_int,0,eq_c2/2))+(PI()*(s_0+7*s_r+IF(circ_int,eq_c1/2,0))/2))+2*IF(circ_int,0,eq_c1/2))+(PI()*(s_0+7*s_r+IF(circ_int,eq_c1/2,0))/2)),IF(circ_int,0,eq_c2/2)+(s_0+7*s_r+IF(circ_int,eq_c1/2,0))*SIN(PI()/2+(((42+0.5)*(4*IF(circ_int,0,eq_c1/2)+4*IF(circ_int,0,eq_c2/2)+2*PI()*(s_0+7*s_r+IF(circ_int,eq_c1/2,0)))/INDEX(lk_legs,8))-(((2*IF(circ_int,0,eq_c2/2))+(PI()*(s_0+7*s_r+IF(circ_int,eq_c1/2,0))/2))+2*IF(circ_int,0,eq_c1/2)))/(s_0+7*s_r+IF(circ_int,eq_c1/2,0))),IF(((42+0.5)*(4*IF(circ_int,0,eq_c1/2)+4*IF(circ_int,0,eq_c2/2)+2*PI()*(s_0+7*s_r+IF(circ_int,eq_c1/2,0)))/INDEX(lk_legs,8))&lt;(((((2*IF(circ_int,0,eq_c2/2))+(PI()*(s_0+7*s_r+IF(circ_int,eq_c1/2,0))/2))+2*IF(circ_int,0,eq_c1/2))+(PI()*(s_0+7*s_r+IF(circ_int,eq_c1/2,0))/2))+2*IF(circ_int,0,eq_c2/2)),IF(circ_int,0,eq_c2/2)-(((42+0.5)*(4*IF(circ_int,0,eq_c1/2)+4*IF(circ_int,0,eq_c2/2)+2*PI()*(s_0+7*s_r+IF(circ_int,eq_c1/2,0)))/INDEX(lk_legs,8))-((((2*IF(circ_int,0,eq_c2/2))+(PI()*(s_0+7*s_r+IF(circ_int,eq_c1/2,0))/2))+2*IF(circ_int,0,eq_c1/2))+(PI()*(s_0+7*s_r+IF(circ_int,eq_c1/2,0))/2))),IF(((42+0.5)*(4*IF(circ_int,0,eq_c1/2)+4*IF(circ_int,0,eq_c2/2)+2*PI()*(s_0+7*s_r+IF(circ_int,eq_c1/2,0)))/INDEX(lk_legs,8))&lt;((((((2*IF(circ_int,0,eq_c2/2))+(PI()*(s_0+7*s_r+IF(circ_int,eq_c1/2,0))/2))+2*IF(circ_int,0,eq_c1/2))+(PI()*(s_0+7*s_r+IF(circ_int,eq_c1/2,0))/2))+2*IF(circ_int,0,eq_c2/2))+(PI()*(s_0+7*s_r+IF(circ_int,eq_c1/2,0))/2)),-IF(circ_int,0,eq_c2/2)+(s_0+7*s_r+IF(circ_int,eq_c1/2,0))*SIN(PI()+(((42+0.5)*(4*IF(circ_int,0,eq_c1/2)+4*IF(circ_int,0,eq_c2/2)+2*PI()*(s_0+7*s_r+IF(circ_int,eq_c1/2,0)))/INDEX(lk_legs,8))-(((((2*IF(circ_int,0,eq_c2/2))+(PI()*(s_0+7*s_r+IF(circ_int,eq_c1/2,0))/2))+2*IF(circ_int,0,eq_c1/2))+(PI()*(s_0+7*s_r+IF(circ_int,eq_c1/2,0))/2))+2*IF(circ_int,0,eq_c2/2)))/(s_0+7*s_r+IF(circ_int,eq_c1/2,0))),IF(((42+0.5)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(42+0.5)*(4*IF(circ_int,0,eq_c1/2)+4*IF(circ_int,0,eq_c2/2)+2*PI()*(s_0+7*s_r+IF(circ_int,eq_c1/2,0)))/INDEX(lk_legs,8))-(((((((2*IF(circ_int,0,eq_c2/2))+(PI()*(s_0+7*s_r+IF(circ_int,eq_c1/2,0))/2))+2*IF(circ_int,0,eq_c1/2))+(PI()*(s_0+7*s_r+IF(circ_int,eq_c1/2,0))/2))+2*IF(circ_int,0,eq_c2/2))+(PI()*(s_0+7*s_r+IF(circ_int,eq_c1/2,0))/2))+2*IF(circ_int,0,eq_c1/2)))/(s_0+7*s_r+IF(circ_int,eq_c1/2,0)))))))))),NA())</f>
        <v/>
      </c>
      <c r="CS45">
        <f>IF(AND(links_on,9&lt;=n_per),IF(circ_int,(g_ox)+(c_1/2+(s_0+8*s_r))*0.354605,CHOOSE(INDEX(lk_kind,9),(g_ox+eq_c1/2)+((s_0+8*s_r))*0.382683,0,eq_a1+eq_c1+(s_0+8*s_r),eq_a1+eq_c1+(s_0+8*s_r))),NA())</f>
        <v/>
      </c>
      <c r="CT45">
        <f>IF(AND(links_on,9&lt;=n_per),IF(circ_int,(g_oy)+(c_1/2+(s_0+8*s_r))*-0.935016,CHOOSE(INDEX(lk_kind,9),(g_oy-eq_c2/2)+((s_0+8*s_r))*-0.923880,g_oy-eq_c2/2-(s_0+8*s_r),0,0)),NA())</f>
        <v/>
      </c>
      <c r="CV45">
        <f>IF(AND(AND(links_on,9&lt;=n_per),INDEX(lk_kind,9)=1,42&lt;INDEX(lk_legs,9)),g_ox+IF(((42+0.5)*(4*IF(circ_int,0,eq_c1/2)+4*IF(circ_int,0,eq_c2/2)+2*PI()*(s_0+8*s_r+IF(circ_int,eq_c1/2,0)))/INDEX(lk_legs,9))&lt;(2*IF(circ_int,0,eq_c2/2)),IF(circ_int,0,eq_c1/2)+(s_0+8*s_r+IF(circ_int,eq_c1/2,0)),IF(((42+0.5)*(4*IF(circ_int,0,eq_c1/2)+4*IF(circ_int,0,eq_c2/2)+2*PI()*(s_0+8*s_r+IF(circ_int,eq_c1/2,0)))/INDEX(lk_legs,9))&lt;((2*IF(circ_int,0,eq_c2/2))+(PI()*(s_0+8*s_r+IF(circ_int,eq_c1/2,0))/2)),IF(circ_int,0,eq_c1/2)+(s_0+8*s_r+IF(circ_int,eq_c1/2,0))*COS((((42+0.5)*(4*IF(circ_int,0,eq_c1/2)+4*IF(circ_int,0,eq_c2/2)+2*PI()*(s_0+8*s_r+IF(circ_int,eq_c1/2,0)))/INDEX(lk_legs,9))-(2*IF(circ_int,0,eq_c2/2)))/(s_0+8*s_r+IF(circ_int,eq_c1/2,0))),IF(((42+0.5)*(4*IF(circ_int,0,eq_c1/2)+4*IF(circ_int,0,eq_c2/2)+2*PI()*(s_0+8*s_r+IF(circ_int,eq_c1/2,0)))/INDEX(lk_legs,9))&lt;(((2*IF(circ_int,0,eq_c2/2))+(PI()*(s_0+8*s_r+IF(circ_int,eq_c1/2,0))/2))+2*IF(circ_int,0,eq_c1/2)),IF(circ_int,0,eq_c1/2)-(((42+0.5)*(4*IF(circ_int,0,eq_c1/2)+4*IF(circ_int,0,eq_c2/2)+2*PI()*(s_0+8*s_r+IF(circ_int,eq_c1/2,0)))/INDEX(lk_legs,9))-((2*IF(circ_int,0,eq_c2/2))+(PI()*(s_0+8*s_r+IF(circ_int,eq_c1/2,0))/2))),IF(((42+0.5)*(4*IF(circ_int,0,eq_c1/2)+4*IF(circ_int,0,eq_c2/2)+2*PI()*(s_0+8*s_r+IF(circ_int,eq_c1/2,0)))/INDEX(lk_legs,9))&lt;((((2*IF(circ_int,0,eq_c2/2))+(PI()*(s_0+8*s_r+IF(circ_int,eq_c1/2,0))/2))+2*IF(circ_int,0,eq_c1/2))+(PI()*(s_0+8*s_r+IF(circ_int,eq_c1/2,0))/2)),-IF(circ_int,0,eq_c1/2)+(s_0+8*s_r+IF(circ_int,eq_c1/2,0))*COS(PI()/2+(((42+0.5)*(4*IF(circ_int,0,eq_c1/2)+4*IF(circ_int,0,eq_c2/2)+2*PI()*(s_0+8*s_r+IF(circ_int,eq_c1/2,0)))/INDEX(lk_legs,9))-(((2*IF(circ_int,0,eq_c2/2))+(PI()*(s_0+8*s_r+IF(circ_int,eq_c1/2,0))/2))+2*IF(circ_int,0,eq_c1/2)))/(s_0+8*s_r+IF(circ_int,eq_c1/2,0))),IF(((42+0.5)*(4*IF(circ_int,0,eq_c1/2)+4*IF(circ_int,0,eq_c2/2)+2*PI()*(s_0+8*s_r+IF(circ_int,eq_c1/2,0)))/INDEX(lk_legs,9))&lt;(((((2*IF(circ_int,0,eq_c2/2))+(PI()*(s_0+8*s_r+IF(circ_int,eq_c1/2,0))/2))+2*IF(circ_int,0,eq_c1/2))+(PI()*(s_0+8*s_r+IF(circ_int,eq_c1/2,0))/2))+2*IF(circ_int,0,eq_c2/2)),-IF(circ_int,0,eq_c1/2)-(s_0+8*s_r+IF(circ_int,eq_c1/2,0)),IF(((42+0.5)*(4*IF(circ_int,0,eq_c1/2)+4*IF(circ_int,0,eq_c2/2)+2*PI()*(s_0+8*s_r+IF(circ_int,eq_c1/2,0)))/INDEX(lk_legs,9))&lt;((((((2*IF(circ_int,0,eq_c2/2))+(PI()*(s_0+8*s_r+IF(circ_int,eq_c1/2,0))/2))+2*IF(circ_int,0,eq_c1/2))+(PI()*(s_0+8*s_r+IF(circ_int,eq_c1/2,0))/2))+2*IF(circ_int,0,eq_c2/2))+(PI()*(s_0+8*s_r+IF(circ_int,eq_c1/2,0))/2)),-IF(circ_int,0,eq_c1/2)+(s_0+8*s_r+IF(circ_int,eq_c1/2,0))*COS(PI()+(((42+0.5)*(4*IF(circ_int,0,eq_c1/2)+4*IF(circ_int,0,eq_c2/2)+2*PI()*(s_0+8*s_r+IF(circ_int,eq_c1/2,0)))/INDEX(lk_legs,9))-(((((2*IF(circ_int,0,eq_c2/2))+(PI()*(s_0+8*s_r+IF(circ_int,eq_c1/2,0))/2))+2*IF(circ_int,0,eq_c1/2))+(PI()*(s_0+8*s_r+IF(circ_int,eq_c1/2,0))/2))+2*IF(circ_int,0,eq_c2/2)))/(s_0+8*s_r+IF(circ_int,eq_c1/2,0))),IF(((42+0.5)*(4*IF(circ_int,0,eq_c1/2)+4*IF(circ_int,0,eq_c2/2)+2*PI()*(s_0+8*s_r+IF(circ_int,eq_c1/2,0)))/INDEX(lk_legs,9))&lt;(((((((2*IF(circ_int,0,eq_c2/2))+(PI()*(s_0+8*s_r+IF(circ_int,eq_c1/2,0))/2))+2*IF(circ_int,0,eq_c1/2))+(PI()*(s_0+8*s_r+IF(circ_int,eq_c1/2,0))/2))+2*IF(circ_int,0,eq_c2/2))+(PI()*(s_0+8*s_r+IF(circ_int,eq_c1/2,0))/2))+2*IF(circ_int,0,eq_c1/2)),-IF(circ_int,0,eq_c1/2)+(((42+0.5)*(4*IF(circ_int,0,eq_c1/2)+4*IF(circ_int,0,eq_c2/2)+2*PI()*(s_0+8*s_r+IF(circ_int,eq_c1/2,0)))/INDEX(lk_legs,9))-((((((2*IF(circ_int,0,eq_c2/2))+(PI()*(s_0+8*s_r+IF(circ_int,eq_c1/2,0))/2))+2*IF(circ_int,0,eq_c1/2))+(PI()*(s_0+8*s_r+IF(circ_int,eq_c1/2,0))/2))+2*IF(circ_int,0,eq_c2/2))+(PI()*(s_0+8*s_r+IF(circ_int,eq_c1/2,0))/2))),IF(circ_int,0,eq_c1/2)+(s_0+8*s_r+IF(circ_int,eq_c1/2,0))*COS(3*PI()/2+(((42+0.5)*(4*IF(circ_int,0,eq_c1/2)+4*IF(circ_int,0,eq_c2/2)+2*PI()*(s_0+8*s_r+IF(circ_int,eq_c1/2,0)))/INDEX(lk_legs,9))-(((((((2*IF(circ_int,0,eq_c2/2))+(PI()*(s_0+8*s_r+IF(circ_int,eq_c1/2,0))/2))+2*IF(circ_int,0,eq_c1/2))+(PI()*(s_0+8*s_r+IF(circ_int,eq_c1/2,0))/2))+2*IF(circ_int,0,eq_c2/2))+(PI()*(s_0+8*s_r+IF(circ_int,eq_c1/2,0))/2))+2*IF(circ_int,0,eq_c1/2)))/(s_0+8*s_r+IF(circ_int,eq_c1/2,0)))))))))),NA())</f>
        <v/>
      </c>
      <c r="CW45">
        <f>IF(AND(AND(links_on,9&lt;=n_per),INDEX(lk_kind,9)=1,42&lt;INDEX(lk_legs,9)),g_oy+IF(((42+0.5)*(4*IF(circ_int,0,eq_c1/2)+4*IF(circ_int,0,eq_c2/2)+2*PI()*(s_0+8*s_r+IF(circ_int,eq_c1/2,0)))/INDEX(lk_legs,9))&lt;(2*IF(circ_int,0,eq_c2/2)),-IF(circ_int,0,eq_c2/2)+((42+0.5)*(4*IF(circ_int,0,eq_c1/2)+4*IF(circ_int,0,eq_c2/2)+2*PI()*(s_0+8*s_r+IF(circ_int,eq_c1/2,0)))/INDEX(lk_legs,9)),IF(((42+0.5)*(4*IF(circ_int,0,eq_c1/2)+4*IF(circ_int,0,eq_c2/2)+2*PI()*(s_0+8*s_r+IF(circ_int,eq_c1/2,0)))/INDEX(lk_legs,9))&lt;((2*IF(circ_int,0,eq_c2/2))+(PI()*(s_0+8*s_r+IF(circ_int,eq_c1/2,0))/2)),IF(circ_int,0,eq_c2/2)+(s_0+8*s_r+IF(circ_int,eq_c1/2,0))*SIN((((42+0.5)*(4*IF(circ_int,0,eq_c1/2)+4*IF(circ_int,0,eq_c2/2)+2*PI()*(s_0+8*s_r+IF(circ_int,eq_c1/2,0)))/INDEX(lk_legs,9))-(2*IF(circ_int,0,eq_c2/2)))/(s_0+8*s_r+IF(circ_int,eq_c1/2,0))),IF(((42+0.5)*(4*IF(circ_int,0,eq_c1/2)+4*IF(circ_int,0,eq_c2/2)+2*PI()*(s_0+8*s_r+IF(circ_int,eq_c1/2,0)))/INDEX(lk_legs,9))&lt;(((2*IF(circ_int,0,eq_c2/2))+(PI()*(s_0+8*s_r+IF(circ_int,eq_c1/2,0))/2))+2*IF(circ_int,0,eq_c1/2)),IF(circ_int,0,eq_c2/2)+(s_0+8*s_r+IF(circ_int,eq_c1/2,0)),IF(((42+0.5)*(4*IF(circ_int,0,eq_c1/2)+4*IF(circ_int,0,eq_c2/2)+2*PI()*(s_0+8*s_r+IF(circ_int,eq_c1/2,0)))/INDEX(lk_legs,9))&lt;((((2*IF(circ_int,0,eq_c2/2))+(PI()*(s_0+8*s_r+IF(circ_int,eq_c1/2,0))/2))+2*IF(circ_int,0,eq_c1/2))+(PI()*(s_0+8*s_r+IF(circ_int,eq_c1/2,0))/2)),IF(circ_int,0,eq_c2/2)+(s_0+8*s_r+IF(circ_int,eq_c1/2,0))*SIN(PI()/2+(((42+0.5)*(4*IF(circ_int,0,eq_c1/2)+4*IF(circ_int,0,eq_c2/2)+2*PI()*(s_0+8*s_r+IF(circ_int,eq_c1/2,0)))/INDEX(lk_legs,9))-(((2*IF(circ_int,0,eq_c2/2))+(PI()*(s_0+8*s_r+IF(circ_int,eq_c1/2,0))/2))+2*IF(circ_int,0,eq_c1/2)))/(s_0+8*s_r+IF(circ_int,eq_c1/2,0))),IF(((42+0.5)*(4*IF(circ_int,0,eq_c1/2)+4*IF(circ_int,0,eq_c2/2)+2*PI()*(s_0+8*s_r+IF(circ_int,eq_c1/2,0)))/INDEX(lk_legs,9))&lt;(((((2*IF(circ_int,0,eq_c2/2))+(PI()*(s_0+8*s_r+IF(circ_int,eq_c1/2,0))/2))+2*IF(circ_int,0,eq_c1/2))+(PI()*(s_0+8*s_r+IF(circ_int,eq_c1/2,0))/2))+2*IF(circ_int,0,eq_c2/2)),IF(circ_int,0,eq_c2/2)-(((42+0.5)*(4*IF(circ_int,0,eq_c1/2)+4*IF(circ_int,0,eq_c2/2)+2*PI()*(s_0+8*s_r+IF(circ_int,eq_c1/2,0)))/INDEX(lk_legs,9))-((((2*IF(circ_int,0,eq_c2/2))+(PI()*(s_0+8*s_r+IF(circ_int,eq_c1/2,0))/2))+2*IF(circ_int,0,eq_c1/2))+(PI()*(s_0+8*s_r+IF(circ_int,eq_c1/2,0))/2))),IF(((42+0.5)*(4*IF(circ_int,0,eq_c1/2)+4*IF(circ_int,0,eq_c2/2)+2*PI()*(s_0+8*s_r+IF(circ_int,eq_c1/2,0)))/INDEX(lk_legs,9))&lt;((((((2*IF(circ_int,0,eq_c2/2))+(PI()*(s_0+8*s_r+IF(circ_int,eq_c1/2,0))/2))+2*IF(circ_int,0,eq_c1/2))+(PI()*(s_0+8*s_r+IF(circ_int,eq_c1/2,0))/2))+2*IF(circ_int,0,eq_c2/2))+(PI()*(s_0+8*s_r+IF(circ_int,eq_c1/2,0))/2)),-IF(circ_int,0,eq_c2/2)+(s_0+8*s_r+IF(circ_int,eq_c1/2,0))*SIN(PI()+(((42+0.5)*(4*IF(circ_int,0,eq_c1/2)+4*IF(circ_int,0,eq_c2/2)+2*PI()*(s_0+8*s_r+IF(circ_int,eq_c1/2,0)))/INDEX(lk_legs,9))-(((((2*IF(circ_int,0,eq_c2/2))+(PI()*(s_0+8*s_r+IF(circ_int,eq_c1/2,0))/2))+2*IF(circ_int,0,eq_c1/2))+(PI()*(s_0+8*s_r+IF(circ_int,eq_c1/2,0))/2))+2*IF(circ_int,0,eq_c2/2)))/(s_0+8*s_r+IF(circ_int,eq_c1/2,0))),IF(((42+0.5)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(42+0.5)*(4*IF(circ_int,0,eq_c1/2)+4*IF(circ_int,0,eq_c2/2)+2*PI()*(s_0+8*s_r+IF(circ_int,eq_c1/2,0)))/INDEX(lk_legs,9))-(((((((2*IF(circ_int,0,eq_c2/2))+(PI()*(s_0+8*s_r+IF(circ_int,eq_c1/2,0))/2))+2*IF(circ_int,0,eq_c1/2))+(PI()*(s_0+8*s_r+IF(circ_int,eq_c1/2,0))/2))+2*IF(circ_int,0,eq_c2/2))+(PI()*(s_0+8*s_r+IF(circ_int,eq_c1/2,0))/2))+2*IF(circ_int,0,eq_c1/2)))/(s_0+8*s_r+IF(circ_int,eq_c1/2,0)))))))))),NA())</f>
        <v/>
      </c>
      <c r="CY45">
        <f>IF(AND(links_on,10&lt;=n_per),IF(circ_int,(g_ox)+(c_1/2+(s_0+9*s_r))*0.354605,CHOOSE(INDEX(lk_kind,10),(g_ox+eq_c1/2)+((s_0+9*s_r))*0.382683,0,eq_a1+eq_c1+(s_0+9*s_r),eq_a1+eq_c1+(s_0+9*s_r))),NA())</f>
        <v/>
      </c>
      <c r="CZ45">
        <f>IF(AND(links_on,10&lt;=n_per),IF(circ_int,(g_oy)+(c_1/2+(s_0+9*s_r))*-0.935016,CHOOSE(INDEX(lk_kind,10),(g_oy-eq_c2/2)+((s_0+9*s_r))*-0.923880,g_oy-eq_c2/2-(s_0+9*s_r),0,0)),NA())</f>
        <v/>
      </c>
      <c r="DB45">
        <f>IF(AND(AND(links_on,10&lt;=n_per),INDEX(lk_kind,10)=1,42&lt;INDEX(lk_legs,10)),g_ox+IF(((42+0.5)*(4*IF(circ_int,0,eq_c1/2)+4*IF(circ_int,0,eq_c2/2)+2*PI()*(s_0+9*s_r+IF(circ_int,eq_c1/2,0)))/INDEX(lk_legs,10))&lt;(2*IF(circ_int,0,eq_c2/2)),IF(circ_int,0,eq_c1/2)+(s_0+9*s_r+IF(circ_int,eq_c1/2,0)),IF(((42+0.5)*(4*IF(circ_int,0,eq_c1/2)+4*IF(circ_int,0,eq_c2/2)+2*PI()*(s_0+9*s_r+IF(circ_int,eq_c1/2,0)))/INDEX(lk_legs,10))&lt;((2*IF(circ_int,0,eq_c2/2))+(PI()*(s_0+9*s_r+IF(circ_int,eq_c1/2,0))/2)),IF(circ_int,0,eq_c1/2)+(s_0+9*s_r+IF(circ_int,eq_c1/2,0))*COS((((42+0.5)*(4*IF(circ_int,0,eq_c1/2)+4*IF(circ_int,0,eq_c2/2)+2*PI()*(s_0+9*s_r+IF(circ_int,eq_c1/2,0)))/INDEX(lk_legs,10))-(2*IF(circ_int,0,eq_c2/2)))/(s_0+9*s_r+IF(circ_int,eq_c1/2,0))),IF(((42+0.5)*(4*IF(circ_int,0,eq_c1/2)+4*IF(circ_int,0,eq_c2/2)+2*PI()*(s_0+9*s_r+IF(circ_int,eq_c1/2,0)))/INDEX(lk_legs,10))&lt;(((2*IF(circ_int,0,eq_c2/2))+(PI()*(s_0+9*s_r+IF(circ_int,eq_c1/2,0))/2))+2*IF(circ_int,0,eq_c1/2)),IF(circ_int,0,eq_c1/2)-(((42+0.5)*(4*IF(circ_int,0,eq_c1/2)+4*IF(circ_int,0,eq_c2/2)+2*PI()*(s_0+9*s_r+IF(circ_int,eq_c1/2,0)))/INDEX(lk_legs,10))-((2*IF(circ_int,0,eq_c2/2))+(PI()*(s_0+9*s_r+IF(circ_int,eq_c1/2,0))/2))),IF(((42+0.5)*(4*IF(circ_int,0,eq_c1/2)+4*IF(circ_int,0,eq_c2/2)+2*PI()*(s_0+9*s_r+IF(circ_int,eq_c1/2,0)))/INDEX(lk_legs,10))&lt;((((2*IF(circ_int,0,eq_c2/2))+(PI()*(s_0+9*s_r+IF(circ_int,eq_c1/2,0))/2))+2*IF(circ_int,0,eq_c1/2))+(PI()*(s_0+9*s_r+IF(circ_int,eq_c1/2,0))/2)),-IF(circ_int,0,eq_c1/2)+(s_0+9*s_r+IF(circ_int,eq_c1/2,0))*COS(PI()/2+(((42+0.5)*(4*IF(circ_int,0,eq_c1/2)+4*IF(circ_int,0,eq_c2/2)+2*PI()*(s_0+9*s_r+IF(circ_int,eq_c1/2,0)))/INDEX(lk_legs,10))-(((2*IF(circ_int,0,eq_c2/2))+(PI()*(s_0+9*s_r+IF(circ_int,eq_c1/2,0))/2))+2*IF(circ_int,0,eq_c1/2)))/(s_0+9*s_r+IF(circ_int,eq_c1/2,0))),IF(((42+0.5)*(4*IF(circ_int,0,eq_c1/2)+4*IF(circ_int,0,eq_c2/2)+2*PI()*(s_0+9*s_r+IF(circ_int,eq_c1/2,0)))/INDEX(lk_legs,10))&lt;(((((2*IF(circ_int,0,eq_c2/2))+(PI()*(s_0+9*s_r+IF(circ_int,eq_c1/2,0))/2))+2*IF(circ_int,0,eq_c1/2))+(PI()*(s_0+9*s_r+IF(circ_int,eq_c1/2,0))/2))+2*IF(circ_int,0,eq_c2/2)),-IF(circ_int,0,eq_c1/2)-(s_0+9*s_r+IF(circ_int,eq_c1/2,0)),IF(((42+0.5)*(4*IF(circ_int,0,eq_c1/2)+4*IF(circ_int,0,eq_c2/2)+2*PI()*(s_0+9*s_r+IF(circ_int,eq_c1/2,0)))/INDEX(lk_legs,10))&lt;((((((2*IF(circ_int,0,eq_c2/2))+(PI()*(s_0+9*s_r+IF(circ_int,eq_c1/2,0))/2))+2*IF(circ_int,0,eq_c1/2))+(PI()*(s_0+9*s_r+IF(circ_int,eq_c1/2,0))/2))+2*IF(circ_int,0,eq_c2/2))+(PI()*(s_0+9*s_r+IF(circ_int,eq_c1/2,0))/2)),-IF(circ_int,0,eq_c1/2)+(s_0+9*s_r+IF(circ_int,eq_c1/2,0))*COS(PI()+(((42+0.5)*(4*IF(circ_int,0,eq_c1/2)+4*IF(circ_int,0,eq_c2/2)+2*PI()*(s_0+9*s_r+IF(circ_int,eq_c1/2,0)))/INDEX(lk_legs,10))-(((((2*IF(circ_int,0,eq_c2/2))+(PI()*(s_0+9*s_r+IF(circ_int,eq_c1/2,0))/2))+2*IF(circ_int,0,eq_c1/2))+(PI()*(s_0+9*s_r+IF(circ_int,eq_c1/2,0))/2))+2*IF(circ_int,0,eq_c2/2)))/(s_0+9*s_r+IF(circ_int,eq_c1/2,0))),IF(((42+0.5)*(4*IF(circ_int,0,eq_c1/2)+4*IF(circ_int,0,eq_c2/2)+2*PI()*(s_0+9*s_r+IF(circ_int,eq_c1/2,0)))/INDEX(lk_legs,10))&lt;(((((((2*IF(circ_int,0,eq_c2/2))+(PI()*(s_0+9*s_r+IF(circ_int,eq_c1/2,0))/2))+2*IF(circ_int,0,eq_c1/2))+(PI()*(s_0+9*s_r+IF(circ_int,eq_c1/2,0))/2))+2*IF(circ_int,0,eq_c2/2))+(PI()*(s_0+9*s_r+IF(circ_int,eq_c1/2,0))/2))+2*IF(circ_int,0,eq_c1/2)),-IF(circ_int,0,eq_c1/2)+(((42+0.5)*(4*IF(circ_int,0,eq_c1/2)+4*IF(circ_int,0,eq_c2/2)+2*PI()*(s_0+9*s_r+IF(circ_int,eq_c1/2,0)))/INDEX(lk_legs,10))-((((((2*IF(circ_int,0,eq_c2/2))+(PI()*(s_0+9*s_r+IF(circ_int,eq_c1/2,0))/2))+2*IF(circ_int,0,eq_c1/2))+(PI()*(s_0+9*s_r+IF(circ_int,eq_c1/2,0))/2))+2*IF(circ_int,0,eq_c2/2))+(PI()*(s_0+9*s_r+IF(circ_int,eq_c1/2,0))/2))),IF(circ_int,0,eq_c1/2)+(s_0+9*s_r+IF(circ_int,eq_c1/2,0))*COS(3*PI()/2+(((42+0.5)*(4*IF(circ_int,0,eq_c1/2)+4*IF(circ_int,0,eq_c2/2)+2*PI()*(s_0+9*s_r+IF(circ_int,eq_c1/2,0)))/INDEX(lk_legs,10))-(((((((2*IF(circ_int,0,eq_c2/2))+(PI()*(s_0+9*s_r+IF(circ_int,eq_c1/2,0))/2))+2*IF(circ_int,0,eq_c1/2))+(PI()*(s_0+9*s_r+IF(circ_int,eq_c1/2,0))/2))+2*IF(circ_int,0,eq_c2/2))+(PI()*(s_0+9*s_r+IF(circ_int,eq_c1/2,0))/2))+2*IF(circ_int,0,eq_c1/2)))/(s_0+9*s_r+IF(circ_int,eq_c1/2,0)))))))))),NA())</f>
        <v/>
      </c>
      <c r="DC45">
        <f>IF(AND(AND(links_on,10&lt;=n_per),INDEX(lk_kind,10)=1,42&lt;INDEX(lk_legs,10)),g_oy+IF(((42+0.5)*(4*IF(circ_int,0,eq_c1/2)+4*IF(circ_int,0,eq_c2/2)+2*PI()*(s_0+9*s_r+IF(circ_int,eq_c1/2,0)))/INDEX(lk_legs,10))&lt;(2*IF(circ_int,0,eq_c2/2)),-IF(circ_int,0,eq_c2/2)+((42+0.5)*(4*IF(circ_int,0,eq_c1/2)+4*IF(circ_int,0,eq_c2/2)+2*PI()*(s_0+9*s_r+IF(circ_int,eq_c1/2,0)))/INDEX(lk_legs,10)),IF(((42+0.5)*(4*IF(circ_int,0,eq_c1/2)+4*IF(circ_int,0,eq_c2/2)+2*PI()*(s_0+9*s_r+IF(circ_int,eq_c1/2,0)))/INDEX(lk_legs,10))&lt;((2*IF(circ_int,0,eq_c2/2))+(PI()*(s_0+9*s_r+IF(circ_int,eq_c1/2,0))/2)),IF(circ_int,0,eq_c2/2)+(s_0+9*s_r+IF(circ_int,eq_c1/2,0))*SIN((((42+0.5)*(4*IF(circ_int,0,eq_c1/2)+4*IF(circ_int,0,eq_c2/2)+2*PI()*(s_0+9*s_r+IF(circ_int,eq_c1/2,0)))/INDEX(lk_legs,10))-(2*IF(circ_int,0,eq_c2/2)))/(s_0+9*s_r+IF(circ_int,eq_c1/2,0))),IF(((42+0.5)*(4*IF(circ_int,0,eq_c1/2)+4*IF(circ_int,0,eq_c2/2)+2*PI()*(s_0+9*s_r+IF(circ_int,eq_c1/2,0)))/INDEX(lk_legs,10))&lt;(((2*IF(circ_int,0,eq_c2/2))+(PI()*(s_0+9*s_r+IF(circ_int,eq_c1/2,0))/2))+2*IF(circ_int,0,eq_c1/2)),IF(circ_int,0,eq_c2/2)+(s_0+9*s_r+IF(circ_int,eq_c1/2,0)),IF(((42+0.5)*(4*IF(circ_int,0,eq_c1/2)+4*IF(circ_int,0,eq_c2/2)+2*PI()*(s_0+9*s_r+IF(circ_int,eq_c1/2,0)))/INDEX(lk_legs,10))&lt;((((2*IF(circ_int,0,eq_c2/2))+(PI()*(s_0+9*s_r+IF(circ_int,eq_c1/2,0))/2))+2*IF(circ_int,0,eq_c1/2))+(PI()*(s_0+9*s_r+IF(circ_int,eq_c1/2,0))/2)),IF(circ_int,0,eq_c2/2)+(s_0+9*s_r+IF(circ_int,eq_c1/2,0))*SIN(PI()/2+(((42+0.5)*(4*IF(circ_int,0,eq_c1/2)+4*IF(circ_int,0,eq_c2/2)+2*PI()*(s_0+9*s_r+IF(circ_int,eq_c1/2,0)))/INDEX(lk_legs,10))-(((2*IF(circ_int,0,eq_c2/2))+(PI()*(s_0+9*s_r+IF(circ_int,eq_c1/2,0))/2))+2*IF(circ_int,0,eq_c1/2)))/(s_0+9*s_r+IF(circ_int,eq_c1/2,0))),IF(((42+0.5)*(4*IF(circ_int,0,eq_c1/2)+4*IF(circ_int,0,eq_c2/2)+2*PI()*(s_0+9*s_r+IF(circ_int,eq_c1/2,0)))/INDEX(lk_legs,10))&lt;(((((2*IF(circ_int,0,eq_c2/2))+(PI()*(s_0+9*s_r+IF(circ_int,eq_c1/2,0))/2))+2*IF(circ_int,0,eq_c1/2))+(PI()*(s_0+9*s_r+IF(circ_int,eq_c1/2,0))/2))+2*IF(circ_int,0,eq_c2/2)),IF(circ_int,0,eq_c2/2)-(((42+0.5)*(4*IF(circ_int,0,eq_c1/2)+4*IF(circ_int,0,eq_c2/2)+2*PI()*(s_0+9*s_r+IF(circ_int,eq_c1/2,0)))/INDEX(lk_legs,10))-((((2*IF(circ_int,0,eq_c2/2))+(PI()*(s_0+9*s_r+IF(circ_int,eq_c1/2,0))/2))+2*IF(circ_int,0,eq_c1/2))+(PI()*(s_0+9*s_r+IF(circ_int,eq_c1/2,0))/2))),IF(((42+0.5)*(4*IF(circ_int,0,eq_c1/2)+4*IF(circ_int,0,eq_c2/2)+2*PI()*(s_0+9*s_r+IF(circ_int,eq_c1/2,0)))/INDEX(lk_legs,10))&lt;((((((2*IF(circ_int,0,eq_c2/2))+(PI()*(s_0+9*s_r+IF(circ_int,eq_c1/2,0))/2))+2*IF(circ_int,0,eq_c1/2))+(PI()*(s_0+9*s_r+IF(circ_int,eq_c1/2,0))/2))+2*IF(circ_int,0,eq_c2/2))+(PI()*(s_0+9*s_r+IF(circ_int,eq_c1/2,0))/2)),-IF(circ_int,0,eq_c2/2)+(s_0+9*s_r+IF(circ_int,eq_c1/2,0))*SIN(PI()+(((42+0.5)*(4*IF(circ_int,0,eq_c1/2)+4*IF(circ_int,0,eq_c2/2)+2*PI()*(s_0+9*s_r+IF(circ_int,eq_c1/2,0)))/INDEX(lk_legs,10))-(((((2*IF(circ_int,0,eq_c2/2))+(PI()*(s_0+9*s_r+IF(circ_int,eq_c1/2,0))/2))+2*IF(circ_int,0,eq_c1/2))+(PI()*(s_0+9*s_r+IF(circ_int,eq_c1/2,0))/2))+2*IF(circ_int,0,eq_c2/2)))/(s_0+9*s_r+IF(circ_int,eq_c1/2,0))),IF(((42+0.5)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(42+0.5)*(4*IF(circ_int,0,eq_c1/2)+4*IF(circ_int,0,eq_c2/2)+2*PI()*(s_0+9*s_r+IF(circ_int,eq_c1/2,0)))/INDEX(lk_legs,10))-(((((((2*IF(circ_int,0,eq_c2/2))+(PI()*(s_0+9*s_r+IF(circ_int,eq_c1/2,0))/2))+2*IF(circ_int,0,eq_c1/2))+(PI()*(s_0+9*s_r+IF(circ_int,eq_c1/2,0))/2))+2*IF(circ_int,0,eq_c2/2))+(PI()*(s_0+9*s_r+IF(circ_int,eq_c1/2,0))/2))+2*IF(circ_int,0,eq_c1/2)))/(s_0+9*s_r+IF(circ_int,eq_c1/2,0)))))))))),NA())</f>
        <v/>
      </c>
      <c r="DE45">
        <f>IF(AND(links_on,11&lt;=n_per),IF(circ_int,(g_ox)+(c_1/2+(s_0+10*s_r))*0.354605,CHOOSE(INDEX(lk_kind,11),(g_ox+eq_c1/2)+((s_0+10*s_r))*0.382683,0,eq_a1+eq_c1+(s_0+10*s_r),eq_a1+eq_c1+(s_0+10*s_r))),NA())</f>
        <v/>
      </c>
      <c r="DF45">
        <f>IF(AND(links_on,11&lt;=n_per),IF(circ_int,(g_oy)+(c_1/2+(s_0+10*s_r))*-0.935016,CHOOSE(INDEX(lk_kind,11),(g_oy-eq_c2/2)+((s_0+10*s_r))*-0.923880,g_oy-eq_c2/2-(s_0+10*s_r),0,0)),NA())</f>
        <v/>
      </c>
      <c r="DH45">
        <f>IF(AND(AND(links_on,11&lt;=n_per),INDEX(lk_kind,11)=1,42&lt;INDEX(lk_legs,11)),g_ox+IF(((42+0.5)*(4*IF(circ_int,0,eq_c1/2)+4*IF(circ_int,0,eq_c2/2)+2*PI()*(s_0+10*s_r+IF(circ_int,eq_c1/2,0)))/INDEX(lk_legs,11))&lt;(2*IF(circ_int,0,eq_c2/2)),IF(circ_int,0,eq_c1/2)+(s_0+10*s_r+IF(circ_int,eq_c1/2,0)),IF(((42+0.5)*(4*IF(circ_int,0,eq_c1/2)+4*IF(circ_int,0,eq_c2/2)+2*PI()*(s_0+10*s_r+IF(circ_int,eq_c1/2,0)))/INDEX(lk_legs,11))&lt;((2*IF(circ_int,0,eq_c2/2))+(PI()*(s_0+10*s_r+IF(circ_int,eq_c1/2,0))/2)),IF(circ_int,0,eq_c1/2)+(s_0+10*s_r+IF(circ_int,eq_c1/2,0))*COS((((42+0.5)*(4*IF(circ_int,0,eq_c1/2)+4*IF(circ_int,0,eq_c2/2)+2*PI()*(s_0+10*s_r+IF(circ_int,eq_c1/2,0)))/INDEX(lk_legs,11))-(2*IF(circ_int,0,eq_c2/2)))/(s_0+10*s_r+IF(circ_int,eq_c1/2,0))),IF(((42+0.5)*(4*IF(circ_int,0,eq_c1/2)+4*IF(circ_int,0,eq_c2/2)+2*PI()*(s_0+10*s_r+IF(circ_int,eq_c1/2,0)))/INDEX(lk_legs,11))&lt;(((2*IF(circ_int,0,eq_c2/2))+(PI()*(s_0+10*s_r+IF(circ_int,eq_c1/2,0))/2))+2*IF(circ_int,0,eq_c1/2)),IF(circ_int,0,eq_c1/2)-(((42+0.5)*(4*IF(circ_int,0,eq_c1/2)+4*IF(circ_int,0,eq_c2/2)+2*PI()*(s_0+10*s_r+IF(circ_int,eq_c1/2,0)))/INDEX(lk_legs,11))-((2*IF(circ_int,0,eq_c2/2))+(PI()*(s_0+10*s_r+IF(circ_int,eq_c1/2,0))/2))),IF(((42+0.5)*(4*IF(circ_int,0,eq_c1/2)+4*IF(circ_int,0,eq_c2/2)+2*PI()*(s_0+10*s_r+IF(circ_int,eq_c1/2,0)))/INDEX(lk_legs,11))&lt;((((2*IF(circ_int,0,eq_c2/2))+(PI()*(s_0+10*s_r+IF(circ_int,eq_c1/2,0))/2))+2*IF(circ_int,0,eq_c1/2))+(PI()*(s_0+10*s_r+IF(circ_int,eq_c1/2,0))/2)),-IF(circ_int,0,eq_c1/2)+(s_0+10*s_r+IF(circ_int,eq_c1/2,0))*COS(PI()/2+(((42+0.5)*(4*IF(circ_int,0,eq_c1/2)+4*IF(circ_int,0,eq_c2/2)+2*PI()*(s_0+10*s_r+IF(circ_int,eq_c1/2,0)))/INDEX(lk_legs,11))-(((2*IF(circ_int,0,eq_c2/2))+(PI()*(s_0+10*s_r+IF(circ_int,eq_c1/2,0))/2))+2*IF(circ_int,0,eq_c1/2)))/(s_0+10*s_r+IF(circ_int,eq_c1/2,0))),IF(((42+0.5)*(4*IF(circ_int,0,eq_c1/2)+4*IF(circ_int,0,eq_c2/2)+2*PI()*(s_0+10*s_r+IF(circ_int,eq_c1/2,0)))/INDEX(lk_legs,11))&lt;(((((2*IF(circ_int,0,eq_c2/2))+(PI()*(s_0+10*s_r+IF(circ_int,eq_c1/2,0))/2))+2*IF(circ_int,0,eq_c1/2))+(PI()*(s_0+10*s_r+IF(circ_int,eq_c1/2,0))/2))+2*IF(circ_int,0,eq_c2/2)),-IF(circ_int,0,eq_c1/2)-(s_0+10*s_r+IF(circ_int,eq_c1/2,0)),IF(((42+0.5)*(4*IF(circ_int,0,eq_c1/2)+4*IF(circ_int,0,eq_c2/2)+2*PI()*(s_0+10*s_r+IF(circ_int,eq_c1/2,0)))/INDEX(lk_legs,11))&lt;((((((2*IF(circ_int,0,eq_c2/2))+(PI()*(s_0+10*s_r+IF(circ_int,eq_c1/2,0))/2))+2*IF(circ_int,0,eq_c1/2))+(PI()*(s_0+10*s_r+IF(circ_int,eq_c1/2,0))/2))+2*IF(circ_int,0,eq_c2/2))+(PI()*(s_0+10*s_r+IF(circ_int,eq_c1/2,0))/2)),-IF(circ_int,0,eq_c1/2)+(s_0+10*s_r+IF(circ_int,eq_c1/2,0))*COS(PI()+(((42+0.5)*(4*IF(circ_int,0,eq_c1/2)+4*IF(circ_int,0,eq_c2/2)+2*PI()*(s_0+10*s_r+IF(circ_int,eq_c1/2,0)))/INDEX(lk_legs,11))-(((((2*IF(circ_int,0,eq_c2/2))+(PI()*(s_0+10*s_r+IF(circ_int,eq_c1/2,0))/2))+2*IF(circ_int,0,eq_c1/2))+(PI()*(s_0+10*s_r+IF(circ_int,eq_c1/2,0))/2))+2*IF(circ_int,0,eq_c2/2)))/(s_0+10*s_r+IF(circ_int,eq_c1/2,0))),IF(((42+0.5)*(4*IF(circ_int,0,eq_c1/2)+4*IF(circ_int,0,eq_c2/2)+2*PI()*(s_0+10*s_r+IF(circ_int,eq_c1/2,0)))/INDEX(lk_legs,11))&lt;(((((((2*IF(circ_int,0,eq_c2/2))+(PI()*(s_0+10*s_r+IF(circ_int,eq_c1/2,0))/2))+2*IF(circ_int,0,eq_c1/2))+(PI()*(s_0+10*s_r+IF(circ_int,eq_c1/2,0))/2))+2*IF(circ_int,0,eq_c2/2))+(PI()*(s_0+10*s_r+IF(circ_int,eq_c1/2,0))/2))+2*IF(circ_int,0,eq_c1/2)),-IF(circ_int,0,eq_c1/2)+(((42+0.5)*(4*IF(circ_int,0,eq_c1/2)+4*IF(circ_int,0,eq_c2/2)+2*PI()*(s_0+10*s_r+IF(circ_int,eq_c1/2,0)))/INDEX(lk_legs,11))-((((((2*IF(circ_int,0,eq_c2/2))+(PI()*(s_0+10*s_r+IF(circ_int,eq_c1/2,0))/2))+2*IF(circ_int,0,eq_c1/2))+(PI()*(s_0+10*s_r+IF(circ_int,eq_c1/2,0))/2))+2*IF(circ_int,0,eq_c2/2))+(PI()*(s_0+10*s_r+IF(circ_int,eq_c1/2,0))/2))),IF(circ_int,0,eq_c1/2)+(s_0+10*s_r+IF(circ_int,eq_c1/2,0))*COS(3*PI()/2+(((42+0.5)*(4*IF(circ_int,0,eq_c1/2)+4*IF(circ_int,0,eq_c2/2)+2*PI()*(s_0+10*s_r+IF(circ_int,eq_c1/2,0)))/INDEX(lk_legs,11))-(((((((2*IF(circ_int,0,eq_c2/2))+(PI()*(s_0+10*s_r+IF(circ_int,eq_c1/2,0))/2))+2*IF(circ_int,0,eq_c1/2))+(PI()*(s_0+10*s_r+IF(circ_int,eq_c1/2,0))/2))+2*IF(circ_int,0,eq_c2/2))+(PI()*(s_0+10*s_r+IF(circ_int,eq_c1/2,0))/2))+2*IF(circ_int,0,eq_c1/2)))/(s_0+10*s_r+IF(circ_int,eq_c1/2,0)))))))))),NA())</f>
        <v/>
      </c>
      <c r="DI45">
        <f>IF(AND(AND(links_on,11&lt;=n_per),INDEX(lk_kind,11)=1,42&lt;INDEX(lk_legs,11)),g_oy+IF(((42+0.5)*(4*IF(circ_int,0,eq_c1/2)+4*IF(circ_int,0,eq_c2/2)+2*PI()*(s_0+10*s_r+IF(circ_int,eq_c1/2,0)))/INDEX(lk_legs,11))&lt;(2*IF(circ_int,0,eq_c2/2)),-IF(circ_int,0,eq_c2/2)+((42+0.5)*(4*IF(circ_int,0,eq_c1/2)+4*IF(circ_int,0,eq_c2/2)+2*PI()*(s_0+10*s_r+IF(circ_int,eq_c1/2,0)))/INDEX(lk_legs,11)),IF(((42+0.5)*(4*IF(circ_int,0,eq_c1/2)+4*IF(circ_int,0,eq_c2/2)+2*PI()*(s_0+10*s_r+IF(circ_int,eq_c1/2,0)))/INDEX(lk_legs,11))&lt;((2*IF(circ_int,0,eq_c2/2))+(PI()*(s_0+10*s_r+IF(circ_int,eq_c1/2,0))/2)),IF(circ_int,0,eq_c2/2)+(s_0+10*s_r+IF(circ_int,eq_c1/2,0))*SIN((((42+0.5)*(4*IF(circ_int,0,eq_c1/2)+4*IF(circ_int,0,eq_c2/2)+2*PI()*(s_0+10*s_r+IF(circ_int,eq_c1/2,0)))/INDEX(lk_legs,11))-(2*IF(circ_int,0,eq_c2/2)))/(s_0+10*s_r+IF(circ_int,eq_c1/2,0))),IF(((42+0.5)*(4*IF(circ_int,0,eq_c1/2)+4*IF(circ_int,0,eq_c2/2)+2*PI()*(s_0+10*s_r+IF(circ_int,eq_c1/2,0)))/INDEX(lk_legs,11))&lt;(((2*IF(circ_int,0,eq_c2/2))+(PI()*(s_0+10*s_r+IF(circ_int,eq_c1/2,0))/2))+2*IF(circ_int,0,eq_c1/2)),IF(circ_int,0,eq_c2/2)+(s_0+10*s_r+IF(circ_int,eq_c1/2,0)),IF(((42+0.5)*(4*IF(circ_int,0,eq_c1/2)+4*IF(circ_int,0,eq_c2/2)+2*PI()*(s_0+10*s_r+IF(circ_int,eq_c1/2,0)))/INDEX(lk_legs,11))&lt;((((2*IF(circ_int,0,eq_c2/2))+(PI()*(s_0+10*s_r+IF(circ_int,eq_c1/2,0))/2))+2*IF(circ_int,0,eq_c1/2))+(PI()*(s_0+10*s_r+IF(circ_int,eq_c1/2,0))/2)),IF(circ_int,0,eq_c2/2)+(s_0+10*s_r+IF(circ_int,eq_c1/2,0))*SIN(PI()/2+(((42+0.5)*(4*IF(circ_int,0,eq_c1/2)+4*IF(circ_int,0,eq_c2/2)+2*PI()*(s_0+10*s_r+IF(circ_int,eq_c1/2,0)))/INDEX(lk_legs,11))-(((2*IF(circ_int,0,eq_c2/2))+(PI()*(s_0+10*s_r+IF(circ_int,eq_c1/2,0))/2))+2*IF(circ_int,0,eq_c1/2)))/(s_0+10*s_r+IF(circ_int,eq_c1/2,0))),IF(((42+0.5)*(4*IF(circ_int,0,eq_c1/2)+4*IF(circ_int,0,eq_c2/2)+2*PI()*(s_0+10*s_r+IF(circ_int,eq_c1/2,0)))/INDEX(lk_legs,11))&lt;(((((2*IF(circ_int,0,eq_c2/2))+(PI()*(s_0+10*s_r+IF(circ_int,eq_c1/2,0))/2))+2*IF(circ_int,0,eq_c1/2))+(PI()*(s_0+10*s_r+IF(circ_int,eq_c1/2,0))/2))+2*IF(circ_int,0,eq_c2/2)),IF(circ_int,0,eq_c2/2)-(((42+0.5)*(4*IF(circ_int,0,eq_c1/2)+4*IF(circ_int,0,eq_c2/2)+2*PI()*(s_0+10*s_r+IF(circ_int,eq_c1/2,0)))/INDEX(lk_legs,11))-((((2*IF(circ_int,0,eq_c2/2))+(PI()*(s_0+10*s_r+IF(circ_int,eq_c1/2,0))/2))+2*IF(circ_int,0,eq_c1/2))+(PI()*(s_0+10*s_r+IF(circ_int,eq_c1/2,0))/2))),IF(((42+0.5)*(4*IF(circ_int,0,eq_c1/2)+4*IF(circ_int,0,eq_c2/2)+2*PI()*(s_0+10*s_r+IF(circ_int,eq_c1/2,0)))/INDEX(lk_legs,11))&lt;((((((2*IF(circ_int,0,eq_c2/2))+(PI()*(s_0+10*s_r+IF(circ_int,eq_c1/2,0))/2))+2*IF(circ_int,0,eq_c1/2))+(PI()*(s_0+10*s_r+IF(circ_int,eq_c1/2,0))/2))+2*IF(circ_int,0,eq_c2/2))+(PI()*(s_0+10*s_r+IF(circ_int,eq_c1/2,0))/2)),-IF(circ_int,0,eq_c2/2)+(s_0+10*s_r+IF(circ_int,eq_c1/2,0))*SIN(PI()+(((42+0.5)*(4*IF(circ_int,0,eq_c1/2)+4*IF(circ_int,0,eq_c2/2)+2*PI()*(s_0+10*s_r+IF(circ_int,eq_c1/2,0)))/INDEX(lk_legs,11))-(((((2*IF(circ_int,0,eq_c2/2))+(PI()*(s_0+10*s_r+IF(circ_int,eq_c1/2,0))/2))+2*IF(circ_int,0,eq_c1/2))+(PI()*(s_0+10*s_r+IF(circ_int,eq_c1/2,0))/2))+2*IF(circ_int,0,eq_c2/2)))/(s_0+10*s_r+IF(circ_int,eq_c1/2,0))),IF(((42+0.5)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(42+0.5)*(4*IF(circ_int,0,eq_c1/2)+4*IF(circ_int,0,eq_c2/2)+2*PI()*(s_0+10*s_r+IF(circ_int,eq_c1/2,0)))/INDEX(lk_legs,11))-(((((((2*IF(circ_int,0,eq_c2/2))+(PI()*(s_0+10*s_r+IF(circ_int,eq_c1/2,0))/2))+2*IF(circ_int,0,eq_c1/2))+(PI()*(s_0+10*s_r+IF(circ_int,eq_c1/2,0))/2))+2*IF(circ_int,0,eq_c2/2))+(PI()*(s_0+10*s_r+IF(circ_int,eq_c1/2,0))/2))+2*IF(circ_int,0,eq_c1/2)))/(s_0+10*s_r+IF(circ_int,eq_c1/2,0)))))))))),NA())</f>
        <v/>
      </c>
      <c r="DK45">
        <f>IF(AND(links_on,12&lt;=n_per),IF(circ_int,(g_ox)+(c_1/2+(s_0+11*s_r))*0.354605,CHOOSE(INDEX(lk_kind,12),(g_ox+eq_c1/2)+((s_0+11*s_r))*0.382683,0,eq_a1+eq_c1+(s_0+11*s_r),eq_a1+eq_c1+(s_0+11*s_r))),NA())</f>
        <v/>
      </c>
      <c r="DL45">
        <f>IF(AND(links_on,12&lt;=n_per),IF(circ_int,(g_oy)+(c_1/2+(s_0+11*s_r))*-0.935016,CHOOSE(INDEX(lk_kind,12),(g_oy-eq_c2/2)+((s_0+11*s_r))*-0.923880,g_oy-eq_c2/2-(s_0+11*s_r),0,0)),NA())</f>
        <v/>
      </c>
      <c r="DN45">
        <f>IF(AND(AND(links_on,12&lt;=n_per),INDEX(lk_kind,12)=1,42&lt;INDEX(lk_legs,12)),g_ox+IF(((42+0.5)*(4*IF(circ_int,0,eq_c1/2)+4*IF(circ_int,0,eq_c2/2)+2*PI()*(s_0+11*s_r+IF(circ_int,eq_c1/2,0)))/INDEX(lk_legs,12))&lt;(2*IF(circ_int,0,eq_c2/2)),IF(circ_int,0,eq_c1/2)+(s_0+11*s_r+IF(circ_int,eq_c1/2,0)),IF(((42+0.5)*(4*IF(circ_int,0,eq_c1/2)+4*IF(circ_int,0,eq_c2/2)+2*PI()*(s_0+11*s_r+IF(circ_int,eq_c1/2,0)))/INDEX(lk_legs,12))&lt;((2*IF(circ_int,0,eq_c2/2))+(PI()*(s_0+11*s_r+IF(circ_int,eq_c1/2,0))/2)),IF(circ_int,0,eq_c1/2)+(s_0+11*s_r+IF(circ_int,eq_c1/2,0))*COS((((42+0.5)*(4*IF(circ_int,0,eq_c1/2)+4*IF(circ_int,0,eq_c2/2)+2*PI()*(s_0+11*s_r+IF(circ_int,eq_c1/2,0)))/INDEX(lk_legs,12))-(2*IF(circ_int,0,eq_c2/2)))/(s_0+11*s_r+IF(circ_int,eq_c1/2,0))),IF(((42+0.5)*(4*IF(circ_int,0,eq_c1/2)+4*IF(circ_int,0,eq_c2/2)+2*PI()*(s_0+11*s_r+IF(circ_int,eq_c1/2,0)))/INDEX(lk_legs,12))&lt;(((2*IF(circ_int,0,eq_c2/2))+(PI()*(s_0+11*s_r+IF(circ_int,eq_c1/2,0))/2))+2*IF(circ_int,0,eq_c1/2)),IF(circ_int,0,eq_c1/2)-(((42+0.5)*(4*IF(circ_int,0,eq_c1/2)+4*IF(circ_int,0,eq_c2/2)+2*PI()*(s_0+11*s_r+IF(circ_int,eq_c1/2,0)))/INDEX(lk_legs,12))-((2*IF(circ_int,0,eq_c2/2))+(PI()*(s_0+11*s_r+IF(circ_int,eq_c1/2,0))/2))),IF(((42+0.5)*(4*IF(circ_int,0,eq_c1/2)+4*IF(circ_int,0,eq_c2/2)+2*PI()*(s_0+11*s_r+IF(circ_int,eq_c1/2,0)))/INDEX(lk_legs,12))&lt;((((2*IF(circ_int,0,eq_c2/2))+(PI()*(s_0+11*s_r+IF(circ_int,eq_c1/2,0))/2))+2*IF(circ_int,0,eq_c1/2))+(PI()*(s_0+11*s_r+IF(circ_int,eq_c1/2,0))/2)),-IF(circ_int,0,eq_c1/2)+(s_0+11*s_r+IF(circ_int,eq_c1/2,0))*COS(PI()/2+(((42+0.5)*(4*IF(circ_int,0,eq_c1/2)+4*IF(circ_int,0,eq_c2/2)+2*PI()*(s_0+11*s_r+IF(circ_int,eq_c1/2,0)))/INDEX(lk_legs,12))-(((2*IF(circ_int,0,eq_c2/2))+(PI()*(s_0+11*s_r+IF(circ_int,eq_c1/2,0))/2))+2*IF(circ_int,0,eq_c1/2)))/(s_0+11*s_r+IF(circ_int,eq_c1/2,0))),IF(((42+0.5)*(4*IF(circ_int,0,eq_c1/2)+4*IF(circ_int,0,eq_c2/2)+2*PI()*(s_0+11*s_r+IF(circ_int,eq_c1/2,0)))/INDEX(lk_legs,12))&lt;(((((2*IF(circ_int,0,eq_c2/2))+(PI()*(s_0+11*s_r+IF(circ_int,eq_c1/2,0))/2))+2*IF(circ_int,0,eq_c1/2))+(PI()*(s_0+11*s_r+IF(circ_int,eq_c1/2,0))/2))+2*IF(circ_int,0,eq_c2/2)),-IF(circ_int,0,eq_c1/2)-(s_0+11*s_r+IF(circ_int,eq_c1/2,0)),IF(((42+0.5)*(4*IF(circ_int,0,eq_c1/2)+4*IF(circ_int,0,eq_c2/2)+2*PI()*(s_0+11*s_r+IF(circ_int,eq_c1/2,0)))/INDEX(lk_legs,12))&lt;((((((2*IF(circ_int,0,eq_c2/2))+(PI()*(s_0+11*s_r+IF(circ_int,eq_c1/2,0))/2))+2*IF(circ_int,0,eq_c1/2))+(PI()*(s_0+11*s_r+IF(circ_int,eq_c1/2,0))/2))+2*IF(circ_int,0,eq_c2/2))+(PI()*(s_0+11*s_r+IF(circ_int,eq_c1/2,0))/2)),-IF(circ_int,0,eq_c1/2)+(s_0+11*s_r+IF(circ_int,eq_c1/2,0))*COS(PI()+(((42+0.5)*(4*IF(circ_int,0,eq_c1/2)+4*IF(circ_int,0,eq_c2/2)+2*PI()*(s_0+11*s_r+IF(circ_int,eq_c1/2,0)))/INDEX(lk_legs,12))-(((((2*IF(circ_int,0,eq_c2/2))+(PI()*(s_0+11*s_r+IF(circ_int,eq_c1/2,0))/2))+2*IF(circ_int,0,eq_c1/2))+(PI()*(s_0+11*s_r+IF(circ_int,eq_c1/2,0))/2))+2*IF(circ_int,0,eq_c2/2)))/(s_0+11*s_r+IF(circ_int,eq_c1/2,0))),IF(((42+0.5)*(4*IF(circ_int,0,eq_c1/2)+4*IF(circ_int,0,eq_c2/2)+2*PI()*(s_0+11*s_r+IF(circ_int,eq_c1/2,0)))/INDEX(lk_legs,12))&lt;(((((((2*IF(circ_int,0,eq_c2/2))+(PI()*(s_0+11*s_r+IF(circ_int,eq_c1/2,0))/2))+2*IF(circ_int,0,eq_c1/2))+(PI()*(s_0+11*s_r+IF(circ_int,eq_c1/2,0))/2))+2*IF(circ_int,0,eq_c2/2))+(PI()*(s_0+11*s_r+IF(circ_int,eq_c1/2,0))/2))+2*IF(circ_int,0,eq_c1/2)),-IF(circ_int,0,eq_c1/2)+(((42+0.5)*(4*IF(circ_int,0,eq_c1/2)+4*IF(circ_int,0,eq_c2/2)+2*PI()*(s_0+11*s_r+IF(circ_int,eq_c1/2,0)))/INDEX(lk_legs,12))-((((((2*IF(circ_int,0,eq_c2/2))+(PI()*(s_0+11*s_r+IF(circ_int,eq_c1/2,0))/2))+2*IF(circ_int,0,eq_c1/2))+(PI()*(s_0+11*s_r+IF(circ_int,eq_c1/2,0))/2))+2*IF(circ_int,0,eq_c2/2))+(PI()*(s_0+11*s_r+IF(circ_int,eq_c1/2,0))/2))),IF(circ_int,0,eq_c1/2)+(s_0+11*s_r+IF(circ_int,eq_c1/2,0))*COS(3*PI()/2+(((42+0.5)*(4*IF(circ_int,0,eq_c1/2)+4*IF(circ_int,0,eq_c2/2)+2*PI()*(s_0+11*s_r+IF(circ_int,eq_c1/2,0)))/INDEX(lk_legs,12))-(((((((2*IF(circ_int,0,eq_c2/2))+(PI()*(s_0+11*s_r+IF(circ_int,eq_c1/2,0))/2))+2*IF(circ_int,0,eq_c1/2))+(PI()*(s_0+11*s_r+IF(circ_int,eq_c1/2,0))/2))+2*IF(circ_int,0,eq_c2/2))+(PI()*(s_0+11*s_r+IF(circ_int,eq_c1/2,0))/2))+2*IF(circ_int,0,eq_c1/2)))/(s_0+11*s_r+IF(circ_int,eq_c1/2,0)))))))))),NA())</f>
        <v/>
      </c>
      <c r="DO45">
        <f>IF(AND(AND(links_on,12&lt;=n_per),INDEX(lk_kind,12)=1,42&lt;INDEX(lk_legs,12)),g_oy+IF(((42+0.5)*(4*IF(circ_int,0,eq_c1/2)+4*IF(circ_int,0,eq_c2/2)+2*PI()*(s_0+11*s_r+IF(circ_int,eq_c1/2,0)))/INDEX(lk_legs,12))&lt;(2*IF(circ_int,0,eq_c2/2)),-IF(circ_int,0,eq_c2/2)+((42+0.5)*(4*IF(circ_int,0,eq_c1/2)+4*IF(circ_int,0,eq_c2/2)+2*PI()*(s_0+11*s_r+IF(circ_int,eq_c1/2,0)))/INDEX(lk_legs,12)),IF(((42+0.5)*(4*IF(circ_int,0,eq_c1/2)+4*IF(circ_int,0,eq_c2/2)+2*PI()*(s_0+11*s_r+IF(circ_int,eq_c1/2,0)))/INDEX(lk_legs,12))&lt;((2*IF(circ_int,0,eq_c2/2))+(PI()*(s_0+11*s_r+IF(circ_int,eq_c1/2,0))/2)),IF(circ_int,0,eq_c2/2)+(s_0+11*s_r+IF(circ_int,eq_c1/2,0))*SIN((((42+0.5)*(4*IF(circ_int,0,eq_c1/2)+4*IF(circ_int,0,eq_c2/2)+2*PI()*(s_0+11*s_r+IF(circ_int,eq_c1/2,0)))/INDEX(lk_legs,12))-(2*IF(circ_int,0,eq_c2/2)))/(s_0+11*s_r+IF(circ_int,eq_c1/2,0))),IF(((42+0.5)*(4*IF(circ_int,0,eq_c1/2)+4*IF(circ_int,0,eq_c2/2)+2*PI()*(s_0+11*s_r+IF(circ_int,eq_c1/2,0)))/INDEX(lk_legs,12))&lt;(((2*IF(circ_int,0,eq_c2/2))+(PI()*(s_0+11*s_r+IF(circ_int,eq_c1/2,0))/2))+2*IF(circ_int,0,eq_c1/2)),IF(circ_int,0,eq_c2/2)+(s_0+11*s_r+IF(circ_int,eq_c1/2,0)),IF(((42+0.5)*(4*IF(circ_int,0,eq_c1/2)+4*IF(circ_int,0,eq_c2/2)+2*PI()*(s_0+11*s_r+IF(circ_int,eq_c1/2,0)))/INDEX(lk_legs,12))&lt;((((2*IF(circ_int,0,eq_c2/2))+(PI()*(s_0+11*s_r+IF(circ_int,eq_c1/2,0))/2))+2*IF(circ_int,0,eq_c1/2))+(PI()*(s_0+11*s_r+IF(circ_int,eq_c1/2,0))/2)),IF(circ_int,0,eq_c2/2)+(s_0+11*s_r+IF(circ_int,eq_c1/2,0))*SIN(PI()/2+(((42+0.5)*(4*IF(circ_int,0,eq_c1/2)+4*IF(circ_int,0,eq_c2/2)+2*PI()*(s_0+11*s_r+IF(circ_int,eq_c1/2,0)))/INDEX(lk_legs,12))-(((2*IF(circ_int,0,eq_c2/2))+(PI()*(s_0+11*s_r+IF(circ_int,eq_c1/2,0))/2))+2*IF(circ_int,0,eq_c1/2)))/(s_0+11*s_r+IF(circ_int,eq_c1/2,0))),IF(((42+0.5)*(4*IF(circ_int,0,eq_c1/2)+4*IF(circ_int,0,eq_c2/2)+2*PI()*(s_0+11*s_r+IF(circ_int,eq_c1/2,0)))/INDEX(lk_legs,12))&lt;(((((2*IF(circ_int,0,eq_c2/2))+(PI()*(s_0+11*s_r+IF(circ_int,eq_c1/2,0))/2))+2*IF(circ_int,0,eq_c1/2))+(PI()*(s_0+11*s_r+IF(circ_int,eq_c1/2,0))/2))+2*IF(circ_int,0,eq_c2/2)),IF(circ_int,0,eq_c2/2)-(((42+0.5)*(4*IF(circ_int,0,eq_c1/2)+4*IF(circ_int,0,eq_c2/2)+2*PI()*(s_0+11*s_r+IF(circ_int,eq_c1/2,0)))/INDEX(lk_legs,12))-((((2*IF(circ_int,0,eq_c2/2))+(PI()*(s_0+11*s_r+IF(circ_int,eq_c1/2,0))/2))+2*IF(circ_int,0,eq_c1/2))+(PI()*(s_0+11*s_r+IF(circ_int,eq_c1/2,0))/2))),IF(((42+0.5)*(4*IF(circ_int,0,eq_c1/2)+4*IF(circ_int,0,eq_c2/2)+2*PI()*(s_0+11*s_r+IF(circ_int,eq_c1/2,0)))/INDEX(lk_legs,12))&lt;((((((2*IF(circ_int,0,eq_c2/2))+(PI()*(s_0+11*s_r+IF(circ_int,eq_c1/2,0))/2))+2*IF(circ_int,0,eq_c1/2))+(PI()*(s_0+11*s_r+IF(circ_int,eq_c1/2,0))/2))+2*IF(circ_int,0,eq_c2/2))+(PI()*(s_0+11*s_r+IF(circ_int,eq_c1/2,0))/2)),-IF(circ_int,0,eq_c2/2)+(s_0+11*s_r+IF(circ_int,eq_c1/2,0))*SIN(PI()+(((42+0.5)*(4*IF(circ_int,0,eq_c1/2)+4*IF(circ_int,0,eq_c2/2)+2*PI()*(s_0+11*s_r+IF(circ_int,eq_c1/2,0)))/INDEX(lk_legs,12))-(((((2*IF(circ_int,0,eq_c2/2))+(PI()*(s_0+11*s_r+IF(circ_int,eq_c1/2,0))/2))+2*IF(circ_int,0,eq_c1/2))+(PI()*(s_0+11*s_r+IF(circ_int,eq_c1/2,0))/2))+2*IF(circ_int,0,eq_c2/2)))/(s_0+11*s_r+IF(circ_int,eq_c1/2,0))),IF(((42+0.5)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(42+0.5)*(4*IF(circ_int,0,eq_c1/2)+4*IF(circ_int,0,eq_c2/2)+2*PI()*(s_0+11*s_r+IF(circ_int,eq_c1/2,0)))/INDEX(lk_legs,12))-(((((((2*IF(circ_int,0,eq_c2/2))+(PI()*(s_0+11*s_r+IF(circ_int,eq_c1/2,0))/2))+2*IF(circ_int,0,eq_c1/2))+(PI()*(s_0+11*s_r+IF(circ_int,eq_c1/2,0))/2))+2*IF(circ_int,0,eq_c2/2))+(PI()*(s_0+11*s_r+IF(circ_int,eq_c1/2,0))/2))+2*IF(circ_int,0,eq_c1/2)))/(s_0+11*s_r+IF(circ_int,eq_c1/2,0)))))))))),NA())</f>
        <v/>
      </c>
    </row>
    <row r="46">
      <c r="A46">
        <f>IF(shape="Circular",(g_ox)+(c_1/2+0)*0.464723,CHOOSE(1,(g_ox+eq_c1/2)+(0)*0.500000,0,eq_a1+eq_c1+0,eq_a1+eq_c1+0))</f>
        <v/>
      </c>
      <c r="B46">
        <f>IF(shape="Circular",(g_oy)+(c_1/2+0)*-0.885456,CHOOSE(1,(g_oy-eq_c2/2)+(0)*-0.866025,g_oy-eq_c2/2-0,0,0))</f>
        <v/>
      </c>
      <c r="D46">
        <f>IF(circ_int,(g_ox)+(c_1/2+2*d_eff)*0.464723,CHOOSE(geo_idx,(g_ox+eq_c1/2)+(2*d_eff)*0.500000,0,eq_a1+eq_c1+2*d_eff,eq_a1+eq_c1+2*d_eff))</f>
        <v/>
      </c>
      <c r="E46">
        <f>IF(circ_int,(g_oy)+(c_1/2+2*d_eff)*-0.885456,CHOOSE(geo_idx,(g_oy-eq_c2/2)+(2*d_eff)*-0.866025,g_oy-eq_c2/2-2*d_eff,0,0))</f>
        <v/>
      </c>
      <c r="G46">
        <f>IF(AND(inputs_ok,punch_ok,A_sw&gt;0),IF(circ_int,(g_ox)+(c_1/2+r_out)*0.464723,CHOOSE(kind_out,(g_ox+eq_c1/2)+(r_out)*0.500000,0,eq_a1+eq_c1+r_out,eq_a1+eq_c1+r_out)),NA())</f>
        <v/>
      </c>
      <c r="H46">
        <f>IF(AND(inputs_ok,punch_ok,A_sw&gt;0),IF(circ_int,(g_oy)+(c_1/2+r_out)*-0.885456,CHOOSE(kind_out,(g_oy-eq_c2/2)+(r_out)*-0.866025,g_oy-eq_c2/2-r_out,0,0)),NA())</f>
        <v/>
      </c>
      <c r="AW46">
        <f>IF(AND(links_on,1&lt;=n_per),IF(circ_int,(g_ox)+(c_1/2+(s_0+0*s_r))*0.464723,CHOOSE(INDEX(lk_kind,1),(g_ox+eq_c1/2)+((s_0+0*s_r))*0.500000,0,eq_a1+eq_c1+(s_0+0*s_r),eq_a1+eq_c1+(s_0+0*s_r))),NA())</f>
        <v/>
      </c>
      <c r="AX46">
        <f>IF(AND(links_on,1&lt;=n_per),IF(circ_int,(g_oy)+(c_1/2+(s_0+0*s_r))*-0.885456,CHOOSE(INDEX(lk_kind,1),(g_oy-eq_c2/2)+((s_0+0*s_r))*-0.866025,g_oy-eq_c2/2-(s_0+0*s_r),0,0)),NA())</f>
        <v/>
      </c>
      <c r="AZ46">
        <f>IF(AND(AND(links_on,1&lt;=n_per),INDEX(lk_kind,1)=1,43&lt;INDEX(lk_legs,1)),g_ox+IF(((43+0.5)*(4*IF(circ_int,0,eq_c1/2)+4*IF(circ_int,0,eq_c2/2)+2*PI()*(s_0+0*s_r+IF(circ_int,eq_c1/2,0)))/INDEX(lk_legs,1))&lt;(2*IF(circ_int,0,eq_c2/2)),IF(circ_int,0,eq_c1/2)+(s_0+0*s_r+IF(circ_int,eq_c1/2,0)),IF(((43+0.5)*(4*IF(circ_int,0,eq_c1/2)+4*IF(circ_int,0,eq_c2/2)+2*PI()*(s_0+0*s_r+IF(circ_int,eq_c1/2,0)))/INDEX(lk_legs,1))&lt;((2*IF(circ_int,0,eq_c2/2))+(PI()*(s_0+0*s_r+IF(circ_int,eq_c1/2,0))/2)),IF(circ_int,0,eq_c1/2)+(s_0+0*s_r+IF(circ_int,eq_c1/2,0))*COS((((43+0.5)*(4*IF(circ_int,0,eq_c1/2)+4*IF(circ_int,0,eq_c2/2)+2*PI()*(s_0+0*s_r+IF(circ_int,eq_c1/2,0)))/INDEX(lk_legs,1))-(2*IF(circ_int,0,eq_c2/2)))/(s_0+0*s_r+IF(circ_int,eq_c1/2,0))),IF(((43+0.5)*(4*IF(circ_int,0,eq_c1/2)+4*IF(circ_int,0,eq_c2/2)+2*PI()*(s_0+0*s_r+IF(circ_int,eq_c1/2,0)))/INDEX(lk_legs,1))&lt;(((2*IF(circ_int,0,eq_c2/2))+(PI()*(s_0+0*s_r+IF(circ_int,eq_c1/2,0))/2))+2*IF(circ_int,0,eq_c1/2)),IF(circ_int,0,eq_c1/2)-(((43+0.5)*(4*IF(circ_int,0,eq_c1/2)+4*IF(circ_int,0,eq_c2/2)+2*PI()*(s_0+0*s_r+IF(circ_int,eq_c1/2,0)))/INDEX(lk_legs,1))-((2*IF(circ_int,0,eq_c2/2))+(PI()*(s_0+0*s_r+IF(circ_int,eq_c1/2,0))/2))),IF(((43+0.5)*(4*IF(circ_int,0,eq_c1/2)+4*IF(circ_int,0,eq_c2/2)+2*PI()*(s_0+0*s_r+IF(circ_int,eq_c1/2,0)))/INDEX(lk_legs,1))&lt;((((2*IF(circ_int,0,eq_c2/2))+(PI()*(s_0+0*s_r+IF(circ_int,eq_c1/2,0))/2))+2*IF(circ_int,0,eq_c1/2))+(PI()*(s_0+0*s_r+IF(circ_int,eq_c1/2,0))/2)),-IF(circ_int,0,eq_c1/2)+(s_0+0*s_r+IF(circ_int,eq_c1/2,0))*COS(PI()/2+(((43+0.5)*(4*IF(circ_int,0,eq_c1/2)+4*IF(circ_int,0,eq_c2/2)+2*PI()*(s_0+0*s_r+IF(circ_int,eq_c1/2,0)))/INDEX(lk_legs,1))-(((2*IF(circ_int,0,eq_c2/2))+(PI()*(s_0+0*s_r+IF(circ_int,eq_c1/2,0))/2))+2*IF(circ_int,0,eq_c1/2)))/(s_0+0*s_r+IF(circ_int,eq_c1/2,0))),IF(((43+0.5)*(4*IF(circ_int,0,eq_c1/2)+4*IF(circ_int,0,eq_c2/2)+2*PI()*(s_0+0*s_r+IF(circ_int,eq_c1/2,0)))/INDEX(lk_legs,1))&lt;(((((2*IF(circ_int,0,eq_c2/2))+(PI()*(s_0+0*s_r+IF(circ_int,eq_c1/2,0))/2))+2*IF(circ_int,0,eq_c1/2))+(PI()*(s_0+0*s_r+IF(circ_int,eq_c1/2,0))/2))+2*IF(circ_int,0,eq_c2/2)),-IF(circ_int,0,eq_c1/2)-(s_0+0*s_r+IF(circ_int,eq_c1/2,0)),IF(((43+0.5)*(4*IF(circ_int,0,eq_c1/2)+4*IF(circ_int,0,eq_c2/2)+2*PI()*(s_0+0*s_r+IF(circ_int,eq_c1/2,0)))/INDEX(lk_legs,1))&lt;((((((2*IF(circ_int,0,eq_c2/2))+(PI()*(s_0+0*s_r+IF(circ_int,eq_c1/2,0))/2))+2*IF(circ_int,0,eq_c1/2))+(PI()*(s_0+0*s_r+IF(circ_int,eq_c1/2,0))/2))+2*IF(circ_int,0,eq_c2/2))+(PI()*(s_0+0*s_r+IF(circ_int,eq_c1/2,0))/2)),-IF(circ_int,0,eq_c1/2)+(s_0+0*s_r+IF(circ_int,eq_c1/2,0))*COS(PI()+(((43+0.5)*(4*IF(circ_int,0,eq_c1/2)+4*IF(circ_int,0,eq_c2/2)+2*PI()*(s_0+0*s_r+IF(circ_int,eq_c1/2,0)))/INDEX(lk_legs,1))-(((((2*IF(circ_int,0,eq_c2/2))+(PI()*(s_0+0*s_r+IF(circ_int,eq_c1/2,0))/2))+2*IF(circ_int,0,eq_c1/2))+(PI()*(s_0+0*s_r+IF(circ_int,eq_c1/2,0))/2))+2*IF(circ_int,0,eq_c2/2)))/(s_0+0*s_r+IF(circ_int,eq_c1/2,0))),IF(((43+0.5)*(4*IF(circ_int,0,eq_c1/2)+4*IF(circ_int,0,eq_c2/2)+2*PI()*(s_0+0*s_r+IF(circ_int,eq_c1/2,0)))/INDEX(lk_legs,1))&lt;(((((((2*IF(circ_int,0,eq_c2/2))+(PI()*(s_0+0*s_r+IF(circ_int,eq_c1/2,0))/2))+2*IF(circ_int,0,eq_c1/2))+(PI()*(s_0+0*s_r+IF(circ_int,eq_c1/2,0))/2))+2*IF(circ_int,0,eq_c2/2))+(PI()*(s_0+0*s_r+IF(circ_int,eq_c1/2,0))/2))+2*IF(circ_int,0,eq_c1/2)),-IF(circ_int,0,eq_c1/2)+(((43+0.5)*(4*IF(circ_int,0,eq_c1/2)+4*IF(circ_int,0,eq_c2/2)+2*PI()*(s_0+0*s_r+IF(circ_int,eq_c1/2,0)))/INDEX(lk_legs,1))-((((((2*IF(circ_int,0,eq_c2/2))+(PI()*(s_0+0*s_r+IF(circ_int,eq_c1/2,0))/2))+2*IF(circ_int,0,eq_c1/2))+(PI()*(s_0+0*s_r+IF(circ_int,eq_c1/2,0))/2))+2*IF(circ_int,0,eq_c2/2))+(PI()*(s_0+0*s_r+IF(circ_int,eq_c1/2,0))/2))),IF(circ_int,0,eq_c1/2)+(s_0+0*s_r+IF(circ_int,eq_c1/2,0))*COS(3*PI()/2+(((43+0.5)*(4*IF(circ_int,0,eq_c1/2)+4*IF(circ_int,0,eq_c2/2)+2*PI()*(s_0+0*s_r+IF(circ_int,eq_c1/2,0)))/INDEX(lk_legs,1))-(((((((2*IF(circ_int,0,eq_c2/2))+(PI()*(s_0+0*s_r+IF(circ_int,eq_c1/2,0))/2))+2*IF(circ_int,0,eq_c1/2))+(PI()*(s_0+0*s_r+IF(circ_int,eq_c1/2,0))/2))+2*IF(circ_int,0,eq_c2/2))+(PI()*(s_0+0*s_r+IF(circ_int,eq_c1/2,0))/2))+2*IF(circ_int,0,eq_c1/2)))/(s_0+0*s_r+IF(circ_int,eq_c1/2,0)))))))))),NA())</f>
        <v/>
      </c>
      <c r="BA46">
        <f>IF(AND(AND(links_on,1&lt;=n_per),INDEX(lk_kind,1)=1,43&lt;INDEX(lk_legs,1)),g_oy+IF(((43+0.5)*(4*IF(circ_int,0,eq_c1/2)+4*IF(circ_int,0,eq_c2/2)+2*PI()*(s_0+0*s_r+IF(circ_int,eq_c1/2,0)))/INDEX(lk_legs,1))&lt;(2*IF(circ_int,0,eq_c2/2)),-IF(circ_int,0,eq_c2/2)+((43+0.5)*(4*IF(circ_int,0,eq_c1/2)+4*IF(circ_int,0,eq_c2/2)+2*PI()*(s_0+0*s_r+IF(circ_int,eq_c1/2,0)))/INDEX(lk_legs,1)),IF(((43+0.5)*(4*IF(circ_int,0,eq_c1/2)+4*IF(circ_int,0,eq_c2/2)+2*PI()*(s_0+0*s_r+IF(circ_int,eq_c1/2,0)))/INDEX(lk_legs,1))&lt;((2*IF(circ_int,0,eq_c2/2))+(PI()*(s_0+0*s_r+IF(circ_int,eq_c1/2,0))/2)),IF(circ_int,0,eq_c2/2)+(s_0+0*s_r+IF(circ_int,eq_c1/2,0))*SIN((((43+0.5)*(4*IF(circ_int,0,eq_c1/2)+4*IF(circ_int,0,eq_c2/2)+2*PI()*(s_0+0*s_r+IF(circ_int,eq_c1/2,0)))/INDEX(lk_legs,1))-(2*IF(circ_int,0,eq_c2/2)))/(s_0+0*s_r+IF(circ_int,eq_c1/2,0))),IF(((43+0.5)*(4*IF(circ_int,0,eq_c1/2)+4*IF(circ_int,0,eq_c2/2)+2*PI()*(s_0+0*s_r+IF(circ_int,eq_c1/2,0)))/INDEX(lk_legs,1))&lt;(((2*IF(circ_int,0,eq_c2/2))+(PI()*(s_0+0*s_r+IF(circ_int,eq_c1/2,0))/2))+2*IF(circ_int,0,eq_c1/2)),IF(circ_int,0,eq_c2/2)+(s_0+0*s_r+IF(circ_int,eq_c1/2,0)),IF(((43+0.5)*(4*IF(circ_int,0,eq_c1/2)+4*IF(circ_int,0,eq_c2/2)+2*PI()*(s_0+0*s_r+IF(circ_int,eq_c1/2,0)))/INDEX(lk_legs,1))&lt;((((2*IF(circ_int,0,eq_c2/2))+(PI()*(s_0+0*s_r+IF(circ_int,eq_c1/2,0))/2))+2*IF(circ_int,0,eq_c1/2))+(PI()*(s_0+0*s_r+IF(circ_int,eq_c1/2,0))/2)),IF(circ_int,0,eq_c2/2)+(s_0+0*s_r+IF(circ_int,eq_c1/2,0))*SIN(PI()/2+(((43+0.5)*(4*IF(circ_int,0,eq_c1/2)+4*IF(circ_int,0,eq_c2/2)+2*PI()*(s_0+0*s_r+IF(circ_int,eq_c1/2,0)))/INDEX(lk_legs,1))-(((2*IF(circ_int,0,eq_c2/2))+(PI()*(s_0+0*s_r+IF(circ_int,eq_c1/2,0))/2))+2*IF(circ_int,0,eq_c1/2)))/(s_0+0*s_r+IF(circ_int,eq_c1/2,0))),IF(((43+0.5)*(4*IF(circ_int,0,eq_c1/2)+4*IF(circ_int,0,eq_c2/2)+2*PI()*(s_0+0*s_r+IF(circ_int,eq_c1/2,0)))/INDEX(lk_legs,1))&lt;(((((2*IF(circ_int,0,eq_c2/2))+(PI()*(s_0+0*s_r+IF(circ_int,eq_c1/2,0))/2))+2*IF(circ_int,0,eq_c1/2))+(PI()*(s_0+0*s_r+IF(circ_int,eq_c1/2,0))/2))+2*IF(circ_int,0,eq_c2/2)),IF(circ_int,0,eq_c2/2)-(((43+0.5)*(4*IF(circ_int,0,eq_c1/2)+4*IF(circ_int,0,eq_c2/2)+2*PI()*(s_0+0*s_r+IF(circ_int,eq_c1/2,0)))/INDEX(lk_legs,1))-((((2*IF(circ_int,0,eq_c2/2))+(PI()*(s_0+0*s_r+IF(circ_int,eq_c1/2,0))/2))+2*IF(circ_int,0,eq_c1/2))+(PI()*(s_0+0*s_r+IF(circ_int,eq_c1/2,0))/2))),IF(((43+0.5)*(4*IF(circ_int,0,eq_c1/2)+4*IF(circ_int,0,eq_c2/2)+2*PI()*(s_0+0*s_r+IF(circ_int,eq_c1/2,0)))/INDEX(lk_legs,1))&lt;((((((2*IF(circ_int,0,eq_c2/2))+(PI()*(s_0+0*s_r+IF(circ_int,eq_c1/2,0))/2))+2*IF(circ_int,0,eq_c1/2))+(PI()*(s_0+0*s_r+IF(circ_int,eq_c1/2,0))/2))+2*IF(circ_int,0,eq_c2/2))+(PI()*(s_0+0*s_r+IF(circ_int,eq_c1/2,0))/2)),-IF(circ_int,0,eq_c2/2)+(s_0+0*s_r+IF(circ_int,eq_c1/2,0))*SIN(PI()+(((43+0.5)*(4*IF(circ_int,0,eq_c1/2)+4*IF(circ_int,0,eq_c2/2)+2*PI()*(s_0+0*s_r+IF(circ_int,eq_c1/2,0)))/INDEX(lk_legs,1))-(((((2*IF(circ_int,0,eq_c2/2))+(PI()*(s_0+0*s_r+IF(circ_int,eq_c1/2,0))/2))+2*IF(circ_int,0,eq_c1/2))+(PI()*(s_0+0*s_r+IF(circ_int,eq_c1/2,0))/2))+2*IF(circ_int,0,eq_c2/2)))/(s_0+0*s_r+IF(circ_int,eq_c1/2,0))),IF(((43+0.5)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(43+0.5)*(4*IF(circ_int,0,eq_c1/2)+4*IF(circ_int,0,eq_c2/2)+2*PI()*(s_0+0*s_r+IF(circ_int,eq_c1/2,0)))/INDEX(lk_legs,1))-(((((((2*IF(circ_int,0,eq_c2/2))+(PI()*(s_0+0*s_r+IF(circ_int,eq_c1/2,0))/2))+2*IF(circ_int,0,eq_c1/2))+(PI()*(s_0+0*s_r+IF(circ_int,eq_c1/2,0))/2))+2*IF(circ_int,0,eq_c2/2))+(PI()*(s_0+0*s_r+IF(circ_int,eq_c1/2,0))/2))+2*IF(circ_int,0,eq_c1/2)))/(s_0+0*s_r+IF(circ_int,eq_c1/2,0)))))))))),NA())</f>
        <v/>
      </c>
      <c r="BC46">
        <f>IF(AND(links_on,2&lt;=n_per),IF(circ_int,(g_ox)+(c_1/2+(s_0+1*s_r))*0.464723,CHOOSE(INDEX(lk_kind,2),(g_ox+eq_c1/2)+((s_0+1*s_r))*0.500000,0,eq_a1+eq_c1+(s_0+1*s_r),eq_a1+eq_c1+(s_0+1*s_r))),NA())</f>
        <v/>
      </c>
      <c r="BD46">
        <f>IF(AND(links_on,2&lt;=n_per),IF(circ_int,(g_oy)+(c_1/2+(s_0+1*s_r))*-0.885456,CHOOSE(INDEX(lk_kind,2),(g_oy-eq_c2/2)+((s_0+1*s_r))*-0.866025,g_oy-eq_c2/2-(s_0+1*s_r),0,0)),NA())</f>
        <v/>
      </c>
      <c r="BF46">
        <f>IF(AND(AND(links_on,2&lt;=n_per),INDEX(lk_kind,2)=1,43&lt;INDEX(lk_legs,2)),g_ox+IF(((43+0.5)*(4*IF(circ_int,0,eq_c1/2)+4*IF(circ_int,0,eq_c2/2)+2*PI()*(s_0+1*s_r+IF(circ_int,eq_c1/2,0)))/INDEX(lk_legs,2))&lt;(2*IF(circ_int,0,eq_c2/2)),IF(circ_int,0,eq_c1/2)+(s_0+1*s_r+IF(circ_int,eq_c1/2,0)),IF(((43+0.5)*(4*IF(circ_int,0,eq_c1/2)+4*IF(circ_int,0,eq_c2/2)+2*PI()*(s_0+1*s_r+IF(circ_int,eq_c1/2,0)))/INDEX(lk_legs,2))&lt;((2*IF(circ_int,0,eq_c2/2))+(PI()*(s_0+1*s_r+IF(circ_int,eq_c1/2,0))/2)),IF(circ_int,0,eq_c1/2)+(s_0+1*s_r+IF(circ_int,eq_c1/2,0))*COS((((43+0.5)*(4*IF(circ_int,0,eq_c1/2)+4*IF(circ_int,0,eq_c2/2)+2*PI()*(s_0+1*s_r+IF(circ_int,eq_c1/2,0)))/INDEX(lk_legs,2))-(2*IF(circ_int,0,eq_c2/2)))/(s_0+1*s_r+IF(circ_int,eq_c1/2,0))),IF(((43+0.5)*(4*IF(circ_int,0,eq_c1/2)+4*IF(circ_int,0,eq_c2/2)+2*PI()*(s_0+1*s_r+IF(circ_int,eq_c1/2,0)))/INDEX(lk_legs,2))&lt;(((2*IF(circ_int,0,eq_c2/2))+(PI()*(s_0+1*s_r+IF(circ_int,eq_c1/2,0))/2))+2*IF(circ_int,0,eq_c1/2)),IF(circ_int,0,eq_c1/2)-(((43+0.5)*(4*IF(circ_int,0,eq_c1/2)+4*IF(circ_int,0,eq_c2/2)+2*PI()*(s_0+1*s_r+IF(circ_int,eq_c1/2,0)))/INDEX(lk_legs,2))-((2*IF(circ_int,0,eq_c2/2))+(PI()*(s_0+1*s_r+IF(circ_int,eq_c1/2,0))/2))),IF(((43+0.5)*(4*IF(circ_int,0,eq_c1/2)+4*IF(circ_int,0,eq_c2/2)+2*PI()*(s_0+1*s_r+IF(circ_int,eq_c1/2,0)))/INDEX(lk_legs,2))&lt;((((2*IF(circ_int,0,eq_c2/2))+(PI()*(s_0+1*s_r+IF(circ_int,eq_c1/2,0))/2))+2*IF(circ_int,0,eq_c1/2))+(PI()*(s_0+1*s_r+IF(circ_int,eq_c1/2,0))/2)),-IF(circ_int,0,eq_c1/2)+(s_0+1*s_r+IF(circ_int,eq_c1/2,0))*COS(PI()/2+(((43+0.5)*(4*IF(circ_int,0,eq_c1/2)+4*IF(circ_int,0,eq_c2/2)+2*PI()*(s_0+1*s_r+IF(circ_int,eq_c1/2,0)))/INDEX(lk_legs,2))-(((2*IF(circ_int,0,eq_c2/2))+(PI()*(s_0+1*s_r+IF(circ_int,eq_c1/2,0))/2))+2*IF(circ_int,0,eq_c1/2)))/(s_0+1*s_r+IF(circ_int,eq_c1/2,0))),IF(((43+0.5)*(4*IF(circ_int,0,eq_c1/2)+4*IF(circ_int,0,eq_c2/2)+2*PI()*(s_0+1*s_r+IF(circ_int,eq_c1/2,0)))/INDEX(lk_legs,2))&lt;(((((2*IF(circ_int,0,eq_c2/2))+(PI()*(s_0+1*s_r+IF(circ_int,eq_c1/2,0))/2))+2*IF(circ_int,0,eq_c1/2))+(PI()*(s_0+1*s_r+IF(circ_int,eq_c1/2,0))/2))+2*IF(circ_int,0,eq_c2/2)),-IF(circ_int,0,eq_c1/2)-(s_0+1*s_r+IF(circ_int,eq_c1/2,0)),IF(((43+0.5)*(4*IF(circ_int,0,eq_c1/2)+4*IF(circ_int,0,eq_c2/2)+2*PI()*(s_0+1*s_r+IF(circ_int,eq_c1/2,0)))/INDEX(lk_legs,2))&lt;((((((2*IF(circ_int,0,eq_c2/2))+(PI()*(s_0+1*s_r+IF(circ_int,eq_c1/2,0))/2))+2*IF(circ_int,0,eq_c1/2))+(PI()*(s_0+1*s_r+IF(circ_int,eq_c1/2,0))/2))+2*IF(circ_int,0,eq_c2/2))+(PI()*(s_0+1*s_r+IF(circ_int,eq_c1/2,0))/2)),-IF(circ_int,0,eq_c1/2)+(s_0+1*s_r+IF(circ_int,eq_c1/2,0))*COS(PI()+(((43+0.5)*(4*IF(circ_int,0,eq_c1/2)+4*IF(circ_int,0,eq_c2/2)+2*PI()*(s_0+1*s_r+IF(circ_int,eq_c1/2,0)))/INDEX(lk_legs,2))-(((((2*IF(circ_int,0,eq_c2/2))+(PI()*(s_0+1*s_r+IF(circ_int,eq_c1/2,0))/2))+2*IF(circ_int,0,eq_c1/2))+(PI()*(s_0+1*s_r+IF(circ_int,eq_c1/2,0))/2))+2*IF(circ_int,0,eq_c2/2)))/(s_0+1*s_r+IF(circ_int,eq_c1/2,0))),IF(((43+0.5)*(4*IF(circ_int,0,eq_c1/2)+4*IF(circ_int,0,eq_c2/2)+2*PI()*(s_0+1*s_r+IF(circ_int,eq_c1/2,0)))/INDEX(lk_legs,2))&lt;(((((((2*IF(circ_int,0,eq_c2/2))+(PI()*(s_0+1*s_r+IF(circ_int,eq_c1/2,0))/2))+2*IF(circ_int,0,eq_c1/2))+(PI()*(s_0+1*s_r+IF(circ_int,eq_c1/2,0))/2))+2*IF(circ_int,0,eq_c2/2))+(PI()*(s_0+1*s_r+IF(circ_int,eq_c1/2,0))/2))+2*IF(circ_int,0,eq_c1/2)),-IF(circ_int,0,eq_c1/2)+(((43+0.5)*(4*IF(circ_int,0,eq_c1/2)+4*IF(circ_int,0,eq_c2/2)+2*PI()*(s_0+1*s_r+IF(circ_int,eq_c1/2,0)))/INDEX(lk_legs,2))-((((((2*IF(circ_int,0,eq_c2/2))+(PI()*(s_0+1*s_r+IF(circ_int,eq_c1/2,0))/2))+2*IF(circ_int,0,eq_c1/2))+(PI()*(s_0+1*s_r+IF(circ_int,eq_c1/2,0))/2))+2*IF(circ_int,0,eq_c2/2))+(PI()*(s_0+1*s_r+IF(circ_int,eq_c1/2,0))/2))),IF(circ_int,0,eq_c1/2)+(s_0+1*s_r+IF(circ_int,eq_c1/2,0))*COS(3*PI()/2+(((43+0.5)*(4*IF(circ_int,0,eq_c1/2)+4*IF(circ_int,0,eq_c2/2)+2*PI()*(s_0+1*s_r+IF(circ_int,eq_c1/2,0)))/INDEX(lk_legs,2))-(((((((2*IF(circ_int,0,eq_c2/2))+(PI()*(s_0+1*s_r+IF(circ_int,eq_c1/2,0))/2))+2*IF(circ_int,0,eq_c1/2))+(PI()*(s_0+1*s_r+IF(circ_int,eq_c1/2,0))/2))+2*IF(circ_int,0,eq_c2/2))+(PI()*(s_0+1*s_r+IF(circ_int,eq_c1/2,0))/2))+2*IF(circ_int,0,eq_c1/2)))/(s_0+1*s_r+IF(circ_int,eq_c1/2,0)))))))))),NA())</f>
        <v/>
      </c>
      <c r="BG46">
        <f>IF(AND(AND(links_on,2&lt;=n_per),INDEX(lk_kind,2)=1,43&lt;INDEX(lk_legs,2)),g_oy+IF(((43+0.5)*(4*IF(circ_int,0,eq_c1/2)+4*IF(circ_int,0,eq_c2/2)+2*PI()*(s_0+1*s_r+IF(circ_int,eq_c1/2,0)))/INDEX(lk_legs,2))&lt;(2*IF(circ_int,0,eq_c2/2)),-IF(circ_int,0,eq_c2/2)+((43+0.5)*(4*IF(circ_int,0,eq_c1/2)+4*IF(circ_int,0,eq_c2/2)+2*PI()*(s_0+1*s_r+IF(circ_int,eq_c1/2,0)))/INDEX(lk_legs,2)),IF(((43+0.5)*(4*IF(circ_int,0,eq_c1/2)+4*IF(circ_int,0,eq_c2/2)+2*PI()*(s_0+1*s_r+IF(circ_int,eq_c1/2,0)))/INDEX(lk_legs,2))&lt;((2*IF(circ_int,0,eq_c2/2))+(PI()*(s_0+1*s_r+IF(circ_int,eq_c1/2,0))/2)),IF(circ_int,0,eq_c2/2)+(s_0+1*s_r+IF(circ_int,eq_c1/2,0))*SIN((((43+0.5)*(4*IF(circ_int,0,eq_c1/2)+4*IF(circ_int,0,eq_c2/2)+2*PI()*(s_0+1*s_r+IF(circ_int,eq_c1/2,0)))/INDEX(lk_legs,2))-(2*IF(circ_int,0,eq_c2/2)))/(s_0+1*s_r+IF(circ_int,eq_c1/2,0))),IF(((43+0.5)*(4*IF(circ_int,0,eq_c1/2)+4*IF(circ_int,0,eq_c2/2)+2*PI()*(s_0+1*s_r+IF(circ_int,eq_c1/2,0)))/INDEX(lk_legs,2))&lt;(((2*IF(circ_int,0,eq_c2/2))+(PI()*(s_0+1*s_r+IF(circ_int,eq_c1/2,0))/2))+2*IF(circ_int,0,eq_c1/2)),IF(circ_int,0,eq_c2/2)+(s_0+1*s_r+IF(circ_int,eq_c1/2,0)),IF(((43+0.5)*(4*IF(circ_int,0,eq_c1/2)+4*IF(circ_int,0,eq_c2/2)+2*PI()*(s_0+1*s_r+IF(circ_int,eq_c1/2,0)))/INDEX(lk_legs,2))&lt;((((2*IF(circ_int,0,eq_c2/2))+(PI()*(s_0+1*s_r+IF(circ_int,eq_c1/2,0))/2))+2*IF(circ_int,0,eq_c1/2))+(PI()*(s_0+1*s_r+IF(circ_int,eq_c1/2,0))/2)),IF(circ_int,0,eq_c2/2)+(s_0+1*s_r+IF(circ_int,eq_c1/2,0))*SIN(PI()/2+(((43+0.5)*(4*IF(circ_int,0,eq_c1/2)+4*IF(circ_int,0,eq_c2/2)+2*PI()*(s_0+1*s_r+IF(circ_int,eq_c1/2,0)))/INDEX(lk_legs,2))-(((2*IF(circ_int,0,eq_c2/2))+(PI()*(s_0+1*s_r+IF(circ_int,eq_c1/2,0))/2))+2*IF(circ_int,0,eq_c1/2)))/(s_0+1*s_r+IF(circ_int,eq_c1/2,0))),IF(((43+0.5)*(4*IF(circ_int,0,eq_c1/2)+4*IF(circ_int,0,eq_c2/2)+2*PI()*(s_0+1*s_r+IF(circ_int,eq_c1/2,0)))/INDEX(lk_legs,2))&lt;(((((2*IF(circ_int,0,eq_c2/2))+(PI()*(s_0+1*s_r+IF(circ_int,eq_c1/2,0))/2))+2*IF(circ_int,0,eq_c1/2))+(PI()*(s_0+1*s_r+IF(circ_int,eq_c1/2,0))/2))+2*IF(circ_int,0,eq_c2/2)),IF(circ_int,0,eq_c2/2)-(((43+0.5)*(4*IF(circ_int,0,eq_c1/2)+4*IF(circ_int,0,eq_c2/2)+2*PI()*(s_0+1*s_r+IF(circ_int,eq_c1/2,0)))/INDEX(lk_legs,2))-((((2*IF(circ_int,0,eq_c2/2))+(PI()*(s_0+1*s_r+IF(circ_int,eq_c1/2,0))/2))+2*IF(circ_int,0,eq_c1/2))+(PI()*(s_0+1*s_r+IF(circ_int,eq_c1/2,0))/2))),IF(((43+0.5)*(4*IF(circ_int,0,eq_c1/2)+4*IF(circ_int,0,eq_c2/2)+2*PI()*(s_0+1*s_r+IF(circ_int,eq_c1/2,0)))/INDEX(lk_legs,2))&lt;((((((2*IF(circ_int,0,eq_c2/2))+(PI()*(s_0+1*s_r+IF(circ_int,eq_c1/2,0))/2))+2*IF(circ_int,0,eq_c1/2))+(PI()*(s_0+1*s_r+IF(circ_int,eq_c1/2,0))/2))+2*IF(circ_int,0,eq_c2/2))+(PI()*(s_0+1*s_r+IF(circ_int,eq_c1/2,0))/2)),-IF(circ_int,0,eq_c2/2)+(s_0+1*s_r+IF(circ_int,eq_c1/2,0))*SIN(PI()+(((43+0.5)*(4*IF(circ_int,0,eq_c1/2)+4*IF(circ_int,0,eq_c2/2)+2*PI()*(s_0+1*s_r+IF(circ_int,eq_c1/2,0)))/INDEX(lk_legs,2))-(((((2*IF(circ_int,0,eq_c2/2))+(PI()*(s_0+1*s_r+IF(circ_int,eq_c1/2,0))/2))+2*IF(circ_int,0,eq_c1/2))+(PI()*(s_0+1*s_r+IF(circ_int,eq_c1/2,0))/2))+2*IF(circ_int,0,eq_c2/2)))/(s_0+1*s_r+IF(circ_int,eq_c1/2,0))),IF(((43+0.5)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(43+0.5)*(4*IF(circ_int,0,eq_c1/2)+4*IF(circ_int,0,eq_c2/2)+2*PI()*(s_0+1*s_r+IF(circ_int,eq_c1/2,0)))/INDEX(lk_legs,2))-(((((((2*IF(circ_int,0,eq_c2/2))+(PI()*(s_0+1*s_r+IF(circ_int,eq_c1/2,0))/2))+2*IF(circ_int,0,eq_c1/2))+(PI()*(s_0+1*s_r+IF(circ_int,eq_c1/2,0))/2))+2*IF(circ_int,0,eq_c2/2))+(PI()*(s_0+1*s_r+IF(circ_int,eq_c1/2,0))/2))+2*IF(circ_int,0,eq_c1/2)))/(s_0+1*s_r+IF(circ_int,eq_c1/2,0)))))))))),NA())</f>
        <v/>
      </c>
      <c r="BI46">
        <f>IF(AND(links_on,3&lt;=n_per),IF(circ_int,(g_ox)+(c_1/2+(s_0+2*s_r))*0.464723,CHOOSE(INDEX(lk_kind,3),(g_ox+eq_c1/2)+((s_0+2*s_r))*0.500000,0,eq_a1+eq_c1+(s_0+2*s_r),eq_a1+eq_c1+(s_0+2*s_r))),NA())</f>
        <v/>
      </c>
      <c r="BJ46">
        <f>IF(AND(links_on,3&lt;=n_per),IF(circ_int,(g_oy)+(c_1/2+(s_0+2*s_r))*-0.885456,CHOOSE(INDEX(lk_kind,3),(g_oy-eq_c2/2)+((s_0+2*s_r))*-0.866025,g_oy-eq_c2/2-(s_0+2*s_r),0,0)),NA())</f>
        <v/>
      </c>
      <c r="BL46">
        <f>IF(AND(AND(links_on,3&lt;=n_per),INDEX(lk_kind,3)=1,43&lt;INDEX(lk_legs,3)),g_ox+IF(((43+0.5)*(4*IF(circ_int,0,eq_c1/2)+4*IF(circ_int,0,eq_c2/2)+2*PI()*(s_0+2*s_r+IF(circ_int,eq_c1/2,0)))/INDEX(lk_legs,3))&lt;(2*IF(circ_int,0,eq_c2/2)),IF(circ_int,0,eq_c1/2)+(s_0+2*s_r+IF(circ_int,eq_c1/2,0)),IF(((43+0.5)*(4*IF(circ_int,0,eq_c1/2)+4*IF(circ_int,0,eq_c2/2)+2*PI()*(s_0+2*s_r+IF(circ_int,eq_c1/2,0)))/INDEX(lk_legs,3))&lt;((2*IF(circ_int,0,eq_c2/2))+(PI()*(s_0+2*s_r+IF(circ_int,eq_c1/2,0))/2)),IF(circ_int,0,eq_c1/2)+(s_0+2*s_r+IF(circ_int,eq_c1/2,0))*COS((((43+0.5)*(4*IF(circ_int,0,eq_c1/2)+4*IF(circ_int,0,eq_c2/2)+2*PI()*(s_0+2*s_r+IF(circ_int,eq_c1/2,0)))/INDEX(lk_legs,3))-(2*IF(circ_int,0,eq_c2/2)))/(s_0+2*s_r+IF(circ_int,eq_c1/2,0))),IF(((43+0.5)*(4*IF(circ_int,0,eq_c1/2)+4*IF(circ_int,0,eq_c2/2)+2*PI()*(s_0+2*s_r+IF(circ_int,eq_c1/2,0)))/INDEX(lk_legs,3))&lt;(((2*IF(circ_int,0,eq_c2/2))+(PI()*(s_0+2*s_r+IF(circ_int,eq_c1/2,0))/2))+2*IF(circ_int,0,eq_c1/2)),IF(circ_int,0,eq_c1/2)-(((43+0.5)*(4*IF(circ_int,0,eq_c1/2)+4*IF(circ_int,0,eq_c2/2)+2*PI()*(s_0+2*s_r+IF(circ_int,eq_c1/2,0)))/INDEX(lk_legs,3))-((2*IF(circ_int,0,eq_c2/2))+(PI()*(s_0+2*s_r+IF(circ_int,eq_c1/2,0))/2))),IF(((43+0.5)*(4*IF(circ_int,0,eq_c1/2)+4*IF(circ_int,0,eq_c2/2)+2*PI()*(s_0+2*s_r+IF(circ_int,eq_c1/2,0)))/INDEX(lk_legs,3))&lt;((((2*IF(circ_int,0,eq_c2/2))+(PI()*(s_0+2*s_r+IF(circ_int,eq_c1/2,0))/2))+2*IF(circ_int,0,eq_c1/2))+(PI()*(s_0+2*s_r+IF(circ_int,eq_c1/2,0))/2)),-IF(circ_int,0,eq_c1/2)+(s_0+2*s_r+IF(circ_int,eq_c1/2,0))*COS(PI()/2+(((43+0.5)*(4*IF(circ_int,0,eq_c1/2)+4*IF(circ_int,0,eq_c2/2)+2*PI()*(s_0+2*s_r+IF(circ_int,eq_c1/2,0)))/INDEX(lk_legs,3))-(((2*IF(circ_int,0,eq_c2/2))+(PI()*(s_0+2*s_r+IF(circ_int,eq_c1/2,0))/2))+2*IF(circ_int,0,eq_c1/2)))/(s_0+2*s_r+IF(circ_int,eq_c1/2,0))),IF(((43+0.5)*(4*IF(circ_int,0,eq_c1/2)+4*IF(circ_int,0,eq_c2/2)+2*PI()*(s_0+2*s_r+IF(circ_int,eq_c1/2,0)))/INDEX(lk_legs,3))&lt;(((((2*IF(circ_int,0,eq_c2/2))+(PI()*(s_0+2*s_r+IF(circ_int,eq_c1/2,0))/2))+2*IF(circ_int,0,eq_c1/2))+(PI()*(s_0+2*s_r+IF(circ_int,eq_c1/2,0))/2))+2*IF(circ_int,0,eq_c2/2)),-IF(circ_int,0,eq_c1/2)-(s_0+2*s_r+IF(circ_int,eq_c1/2,0)),IF(((43+0.5)*(4*IF(circ_int,0,eq_c1/2)+4*IF(circ_int,0,eq_c2/2)+2*PI()*(s_0+2*s_r+IF(circ_int,eq_c1/2,0)))/INDEX(lk_legs,3))&lt;((((((2*IF(circ_int,0,eq_c2/2))+(PI()*(s_0+2*s_r+IF(circ_int,eq_c1/2,0))/2))+2*IF(circ_int,0,eq_c1/2))+(PI()*(s_0+2*s_r+IF(circ_int,eq_c1/2,0))/2))+2*IF(circ_int,0,eq_c2/2))+(PI()*(s_0+2*s_r+IF(circ_int,eq_c1/2,0))/2)),-IF(circ_int,0,eq_c1/2)+(s_0+2*s_r+IF(circ_int,eq_c1/2,0))*COS(PI()+(((43+0.5)*(4*IF(circ_int,0,eq_c1/2)+4*IF(circ_int,0,eq_c2/2)+2*PI()*(s_0+2*s_r+IF(circ_int,eq_c1/2,0)))/INDEX(lk_legs,3))-(((((2*IF(circ_int,0,eq_c2/2))+(PI()*(s_0+2*s_r+IF(circ_int,eq_c1/2,0))/2))+2*IF(circ_int,0,eq_c1/2))+(PI()*(s_0+2*s_r+IF(circ_int,eq_c1/2,0))/2))+2*IF(circ_int,0,eq_c2/2)))/(s_0+2*s_r+IF(circ_int,eq_c1/2,0))),IF(((43+0.5)*(4*IF(circ_int,0,eq_c1/2)+4*IF(circ_int,0,eq_c2/2)+2*PI()*(s_0+2*s_r+IF(circ_int,eq_c1/2,0)))/INDEX(lk_legs,3))&lt;(((((((2*IF(circ_int,0,eq_c2/2))+(PI()*(s_0+2*s_r+IF(circ_int,eq_c1/2,0))/2))+2*IF(circ_int,0,eq_c1/2))+(PI()*(s_0+2*s_r+IF(circ_int,eq_c1/2,0))/2))+2*IF(circ_int,0,eq_c2/2))+(PI()*(s_0+2*s_r+IF(circ_int,eq_c1/2,0))/2))+2*IF(circ_int,0,eq_c1/2)),-IF(circ_int,0,eq_c1/2)+(((43+0.5)*(4*IF(circ_int,0,eq_c1/2)+4*IF(circ_int,0,eq_c2/2)+2*PI()*(s_0+2*s_r+IF(circ_int,eq_c1/2,0)))/INDEX(lk_legs,3))-((((((2*IF(circ_int,0,eq_c2/2))+(PI()*(s_0+2*s_r+IF(circ_int,eq_c1/2,0))/2))+2*IF(circ_int,0,eq_c1/2))+(PI()*(s_0+2*s_r+IF(circ_int,eq_c1/2,0))/2))+2*IF(circ_int,0,eq_c2/2))+(PI()*(s_0+2*s_r+IF(circ_int,eq_c1/2,0))/2))),IF(circ_int,0,eq_c1/2)+(s_0+2*s_r+IF(circ_int,eq_c1/2,0))*COS(3*PI()/2+(((43+0.5)*(4*IF(circ_int,0,eq_c1/2)+4*IF(circ_int,0,eq_c2/2)+2*PI()*(s_0+2*s_r+IF(circ_int,eq_c1/2,0)))/INDEX(lk_legs,3))-(((((((2*IF(circ_int,0,eq_c2/2))+(PI()*(s_0+2*s_r+IF(circ_int,eq_c1/2,0))/2))+2*IF(circ_int,0,eq_c1/2))+(PI()*(s_0+2*s_r+IF(circ_int,eq_c1/2,0))/2))+2*IF(circ_int,0,eq_c2/2))+(PI()*(s_0+2*s_r+IF(circ_int,eq_c1/2,0))/2))+2*IF(circ_int,0,eq_c1/2)))/(s_0+2*s_r+IF(circ_int,eq_c1/2,0)))))))))),NA())</f>
        <v/>
      </c>
      <c r="BM46">
        <f>IF(AND(AND(links_on,3&lt;=n_per),INDEX(lk_kind,3)=1,43&lt;INDEX(lk_legs,3)),g_oy+IF(((43+0.5)*(4*IF(circ_int,0,eq_c1/2)+4*IF(circ_int,0,eq_c2/2)+2*PI()*(s_0+2*s_r+IF(circ_int,eq_c1/2,0)))/INDEX(lk_legs,3))&lt;(2*IF(circ_int,0,eq_c2/2)),-IF(circ_int,0,eq_c2/2)+((43+0.5)*(4*IF(circ_int,0,eq_c1/2)+4*IF(circ_int,0,eq_c2/2)+2*PI()*(s_0+2*s_r+IF(circ_int,eq_c1/2,0)))/INDEX(lk_legs,3)),IF(((43+0.5)*(4*IF(circ_int,0,eq_c1/2)+4*IF(circ_int,0,eq_c2/2)+2*PI()*(s_0+2*s_r+IF(circ_int,eq_c1/2,0)))/INDEX(lk_legs,3))&lt;((2*IF(circ_int,0,eq_c2/2))+(PI()*(s_0+2*s_r+IF(circ_int,eq_c1/2,0))/2)),IF(circ_int,0,eq_c2/2)+(s_0+2*s_r+IF(circ_int,eq_c1/2,0))*SIN((((43+0.5)*(4*IF(circ_int,0,eq_c1/2)+4*IF(circ_int,0,eq_c2/2)+2*PI()*(s_0+2*s_r+IF(circ_int,eq_c1/2,0)))/INDEX(lk_legs,3))-(2*IF(circ_int,0,eq_c2/2)))/(s_0+2*s_r+IF(circ_int,eq_c1/2,0))),IF(((43+0.5)*(4*IF(circ_int,0,eq_c1/2)+4*IF(circ_int,0,eq_c2/2)+2*PI()*(s_0+2*s_r+IF(circ_int,eq_c1/2,0)))/INDEX(lk_legs,3))&lt;(((2*IF(circ_int,0,eq_c2/2))+(PI()*(s_0+2*s_r+IF(circ_int,eq_c1/2,0))/2))+2*IF(circ_int,0,eq_c1/2)),IF(circ_int,0,eq_c2/2)+(s_0+2*s_r+IF(circ_int,eq_c1/2,0)),IF(((43+0.5)*(4*IF(circ_int,0,eq_c1/2)+4*IF(circ_int,0,eq_c2/2)+2*PI()*(s_0+2*s_r+IF(circ_int,eq_c1/2,0)))/INDEX(lk_legs,3))&lt;((((2*IF(circ_int,0,eq_c2/2))+(PI()*(s_0+2*s_r+IF(circ_int,eq_c1/2,0))/2))+2*IF(circ_int,0,eq_c1/2))+(PI()*(s_0+2*s_r+IF(circ_int,eq_c1/2,0))/2)),IF(circ_int,0,eq_c2/2)+(s_0+2*s_r+IF(circ_int,eq_c1/2,0))*SIN(PI()/2+(((43+0.5)*(4*IF(circ_int,0,eq_c1/2)+4*IF(circ_int,0,eq_c2/2)+2*PI()*(s_0+2*s_r+IF(circ_int,eq_c1/2,0)))/INDEX(lk_legs,3))-(((2*IF(circ_int,0,eq_c2/2))+(PI()*(s_0+2*s_r+IF(circ_int,eq_c1/2,0))/2))+2*IF(circ_int,0,eq_c1/2)))/(s_0+2*s_r+IF(circ_int,eq_c1/2,0))),IF(((43+0.5)*(4*IF(circ_int,0,eq_c1/2)+4*IF(circ_int,0,eq_c2/2)+2*PI()*(s_0+2*s_r+IF(circ_int,eq_c1/2,0)))/INDEX(lk_legs,3))&lt;(((((2*IF(circ_int,0,eq_c2/2))+(PI()*(s_0+2*s_r+IF(circ_int,eq_c1/2,0))/2))+2*IF(circ_int,0,eq_c1/2))+(PI()*(s_0+2*s_r+IF(circ_int,eq_c1/2,0))/2))+2*IF(circ_int,0,eq_c2/2)),IF(circ_int,0,eq_c2/2)-(((43+0.5)*(4*IF(circ_int,0,eq_c1/2)+4*IF(circ_int,0,eq_c2/2)+2*PI()*(s_0+2*s_r+IF(circ_int,eq_c1/2,0)))/INDEX(lk_legs,3))-((((2*IF(circ_int,0,eq_c2/2))+(PI()*(s_0+2*s_r+IF(circ_int,eq_c1/2,0))/2))+2*IF(circ_int,0,eq_c1/2))+(PI()*(s_0+2*s_r+IF(circ_int,eq_c1/2,0))/2))),IF(((43+0.5)*(4*IF(circ_int,0,eq_c1/2)+4*IF(circ_int,0,eq_c2/2)+2*PI()*(s_0+2*s_r+IF(circ_int,eq_c1/2,0)))/INDEX(lk_legs,3))&lt;((((((2*IF(circ_int,0,eq_c2/2))+(PI()*(s_0+2*s_r+IF(circ_int,eq_c1/2,0))/2))+2*IF(circ_int,0,eq_c1/2))+(PI()*(s_0+2*s_r+IF(circ_int,eq_c1/2,0))/2))+2*IF(circ_int,0,eq_c2/2))+(PI()*(s_0+2*s_r+IF(circ_int,eq_c1/2,0))/2)),-IF(circ_int,0,eq_c2/2)+(s_0+2*s_r+IF(circ_int,eq_c1/2,0))*SIN(PI()+(((43+0.5)*(4*IF(circ_int,0,eq_c1/2)+4*IF(circ_int,0,eq_c2/2)+2*PI()*(s_0+2*s_r+IF(circ_int,eq_c1/2,0)))/INDEX(lk_legs,3))-(((((2*IF(circ_int,0,eq_c2/2))+(PI()*(s_0+2*s_r+IF(circ_int,eq_c1/2,0))/2))+2*IF(circ_int,0,eq_c1/2))+(PI()*(s_0+2*s_r+IF(circ_int,eq_c1/2,0))/2))+2*IF(circ_int,0,eq_c2/2)))/(s_0+2*s_r+IF(circ_int,eq_c1/2,0))),IF(((43+0.5)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(43+0.5)*(4*IF(circ_int,0,eq_c1/2)+4*IF(circ_int,0,eq_c2/2)+2*PI()*(s_0+2*s_r+IF(circ_int,eq_c1/2,0)))/INDEX(lk_legs,3))-(((((((2*IF(circ_int,0,eq_c2/2))+(PI()*(s_0+2*s_r+IF(circ_int,eq_c1/2,0))/2))+2*IF(circ_int,0,eq_c1/2))+(PI()*(s_0+2*s_r+IF(circ_int,eq_c1/2,0))/2))+2*IF(circ_int,0,eq_c2/2))+(PI()*(s_0+2*s_r+IF(circ_int,eq_c1/2,0))/2))+2*IF(circ_int,0,eq_c1/2)))/(s_0+2*s_r+IF(circ_int,eq_c1/2,0)))))))))),NA())</f>
        <v/>
      </c>
      <c r="BO46">
        <f>IF(AND(links_on,4&lt;=n_per),IF(circ_int,(g_ox)+(c_1/2+(s_0+3*s_r))*0.464723,CHOOSE(INDEX(lk_kind,4),(g_ox+eq_c1/2)+((s_0+3*s_r))*0.500000,0,eq_a1+eq_c1+(s_0+3*s_r),eq_a1+eq_c1+(s_0+3*s_r))),NA())</f>
        <v/>
      </c>
      <c r="BP46">
        <f>IF(AND(links_on,4&lt;=n_per),IF(circ_int,(g_oy)+(c_1/2+(s_0+3*s_r))*-0.885456,CHOOSE(INDEX(lk_kind,4),(g_oy-eq_c2/2)+((s_0+3*s_r))*-0.866025,g_oy-eq_c2/2-(s_0+3*s_r),0,0)),NA())</f>
        <v/>
      </c>
      <c r="BR46">
        <f>IF(AND(AND(links_on,4&lt;=n_per),INDEX(lk_kind,4)=1,43&lt;INDEX(lk_legs,4)),g_ox+IF(((43+0.5)*(4*IF(circ_int,0,eq_c1/2)+4*IF(circ_int,0,eq_c2/2)+2*PI()*(s_0+3*s_r+IF(circ_int,eq_c1/2,0)))/INDEX(lk_legs,4))&lt;(2*IF(circ_int,0,eq_c2/2)),IF(circ_int,0,eq_c1/2)+(s_0+3*s_r+IF(circ_int,eq_c1/2,0)),IF(((43+0.5)*(4*IF(circ_int,0,eq_c1/2)+4*IF(circ_int,0,eq_c2/2)+2*PI()*(s_0+3*s_r+IF(circ_int,eq_c1/2,0)))/INDEX(lk_legs,4))&lt;((2*IF(circ_int,0,eq_c2/2))+(PI()*(s_0+3*s_r+IF(circ_int,eq_c1/2,0))/2)),IF(circ_int,0,eq_c1/2)+(s_0+3*s_r+IF(circ_int,eq_c1/2,0))*COS((((43+0.5)*(4*IF(circ_int,0,eq_c1/2)+4*IF(circ_int,0,eq_c2/2)+2*PI()*(s_0+3*s_r+IF(circ_int,eq_c1/2,0)))/INDEX(lk_legs,4))-(2*IF(circ_int,0,eq_c2/2)))/(s_0+3*s_r+IF(circ_int,eq_c1/2,0))),IF(((43+0.5)*(4*IF(circ_int,0,eq_c1/2)+4*IF(circ_int,0,eq_c2/2)+2*PI()*(s_0+3*s_r+IF(circ_int,eq_c1/2,0)))/INDEX(lk_legs,4))&lt;(((2*IF(circ_int,0,eq_c2/2))+(PI()*(s_0+3*s_r+IF(circ_int,eq_c1/2,0))/2))+2*IF(circ_int,0,eq_c1/2)),IF(circ_int,0,eq_c1/2)-(((43+0.5)*(4*IF(circ_int,0,eq_c1/2)+4*IF(circ_int,0,eq_c2/2)+2*PI()*(s_0+3*s_r+IF(circ_int,eq_c1/2,0)))/INDEX(lk_legs,4))-((2*IF(circ_int,0,eq_c2/2))+(PI()*(s_0+3*s_r+IF(circ_int,eq_c1/2,0))/2))),IF(((43+0.5)*(4*IF(circ_int,0,eq_c1/2)+4*IF(circ_int,0,eq_c2/2)+2*PI()*(s_0+3*s_r+IF(circ_int,eq_c1/2,0)))/INDEX(lk_legs,4))&lt;((((2*IF(circ_int,0,eq_c2/2))+(PI()*(s_0+3*s_r+IF(circ_int,eq_c1/2,0))/2))+2*IF(circ_int,0,eq_c1/2))+(PI()*(s_0+3*s_r+IF(circ_int,eq_c1/2,0))/2)),-IF(circ_int,0,eq_c1/2)+(s_0+3*s_r+IF(circ_int,eq_c1/2,0))*COS(PI()/2+(((43+0.5)*(4*IF(circ_int,0,eq_c1/2)+4*IF(circ_int,0,eq_c2/2)+2*PI()*(s_0+3*s_r+IF(circ_int,eq_c1/2,0)))/INDEX(lk_legs,4))-(((2*IF(circ_int,0,eq_c2/2))+(PI()*(s_0+3*s_r+IF(circ_int,eq_c1/2,0))/2))+2*IF(circ_int,0,eq_c1/2)))/(s_0+3*s_r+IF(circ_int,eq_c1/2,0))),IF(((43+0.5)*(4*IF(circ_int,0,eq_c1/2)+4*IF(circ_int,0,eq_c2/2)+2*PI()*(s_0+3*s_r+IF(circ_int,eq_c1/2,0)))/INDEX(lk_legs,4))&lt;(((((2*IF(circ_int,0,eq_c2/2))+(PI()*(s_0+3*s_r+IF(circ_int,eq_c1/2,0))/2))+2*IF(circ_int,0,eq_c1/2))+(PI()*(s_0+3*s_r+IF(circ_int,eq_c1/2,0))/2))+2*IF(circ_int,0,eq_c2/2)),-IF(circ_int,0,eq_c1/2)-(s_0+3*s_r+IF(circ_int,eq_c1/2,0)),IF(((43+0.5)*(4*IF(circ_int,0,eq_c1/2)+4*IF(circ_int,0,eq_c2/2)+2*PI()*(s_0+3*s_r+IF(circ_int,eq_c1/2,0)))/INDEX(lk_legs,4))&lt;((((((2*IF(circ_int,0,eq_c2/2))+(PI()*(s_0+3*s_r+IF(circ_int,eq_c1/2,0))/2))+2*IF(circ_int,0,eq_c1/2))+(PI()*(s_0+3*s_r+IF(circ_int,eq_c1/2,0))/2))+2*IF(circ_int,0,eq_c2/2))+(PI()*(s_0+3*s_r+IF(circ_int,eq_c1/2,0))/2)),-IF(circ_int,0,eq_c1/2)+(s_0+3*s_r+IF(circ_int,eq_c1/2,0))*COS(PI()+(((43+0.5)*(4*IF(circ_int,0,eq_c1/2)+4*IF(circ_int,0,eq_c2/2)+2*PI()*(s_0+3*s_r+IF(circ_int,eq_c1/2,0)))/INDEX(lk_legs,4))-(((((2*IF(circ_int,0,eq_c2/2))+(PI()*(s_0+3*s_r+IF(circ_int,eq_c1/2,0))/2))+2*IF(circ_int,0,eq_c1/2))+(PI()*(s_0+3*s_r+IF(circ_int,eq_c1/2,0))/2))+2*IF(circ_int,0,eq_c2/2)))/(s_0+3*s_r+IF(circ_int,eq_c1/2,0))),IF(((43+0.5)*(4*IF(circ_int,0,eq_c1/2)+4*IF(circ_int,0,eq_c2/2)+2*PI()*(s_0+3*s_r+IF(circ_int,eq_c1/2,0)))/INDEX(lk_legs,4))&lt;(((((((2*IF(circ_int,0,eq_c2/2))+(PI()*(s_0+3*s_r+IF(circ_int,eq_c1/2,0))/2))+2*IF(circ_int,0,eq_c1/2))+(PI()*(s_0+3*s_r+IF(circ_int,eq_c1/2,0))/2))+2*IF(circ_int,0,eq_c2/2))+(PI()*(s_0+3*s_r+IF(circ_int,eq_c1/2,0))/2))+2*IF(circ_int,0,eq_c1/2)),-IF(circ_int,0,eq_c1/2)+(((43+0.5)*(4*IF(circ_int,0,eq_c1/2)+4*IF(circ_int,0,eq_c2/2)+2*PI()*(s_0+3*s_r+IF(circ_int,eq_c1/2,0)))/INDEX(lk_legs,4))-((((((2*IF(circ_int,0,eq_c2/2))+(PI()*(s_0+3*s_r+IF(circ_int,eq_c1/2,0))/2))+2*IF(circ_int,0,eq_c1/2))+(PI()*(s_0+3*s_r+IF(circ_int,eq_c1/2,0))/2))+2*IF(circ_int,0,eq_c2/2))+(PI()*(s_0+3*s_r+IF(circ_int,eq_c1/2,0))/2))),IF(circ_int,0,eq_c1/2)+(s_0+3*s_r+IF(circ_int,eq_c1/2,0))*COS(3*PI()/2+(((43+0.5)*(4*IF(circ_int,0,eq_c1/2)+4*IF(circ_int,0,eq_c2/2)+2*PI()*(s_0+3*s_r+IF(circ_int,eq_c1/2,0)))/INDEX(lk_legs,4))-(((((((2*IF(circ_int,0,eq_c2/2))+(PI()*(s_0+3*s_r+IF(circ_int,eq_c1/2,0))/2))+2*IF(circ_int,0,eq_c1/2))+(PI()*(s_0+3*s_r+IF(circ_int,eq_c1/2,0))/2))+2*IF(circ_int,0,eq_c2/2))+(PI()*(s_0+3*s_r+IF(circ_int,eq_c1/2,0))/2))+2*IF(circ_int,0,eq_c1/2)))/(s_0+3*s_r+IF(circ_int,eq_c1/2,0)))))))))),NA())</f>
        <v/>
      </c>
      <c r="BS46">
        <f>IF(AND(AND(links_on,4&lt;=n_per),INDEX(lk_kind,4)=1,43&lt;INDEX(lk_legs,4)),g_oy+IF(((43+0.5)*(4*IF(circ_int,0,eq_c1/2)+4*IF(circ_int,0,eq_c2/2)+2*PI()*(s_0+3*s_r+IF(circ_int,eq_c1/2,0)))/INDEX(lk_legs,4))&lt;(2*IF(circ_int,0,eq_c2/2)),-IF(circ_int,0,eq_c2/2)+((43+0.5)*(4*IF(circ_int,0,eq_c1/2)+4*IF(circ_int,0,eq_c2/2)+2*PI()*(s_0+3*s_r+IF(circ_int,eq_c1/2,0)))/INDEX(lk_legs,4)),IF(((43+0.5)*(4*IF(circ_int,0,eq_c1/2)+4*IF(circ_int,0,eq_c2/2)+2*PI()*(s_0+3*s_r+IF(circ_int,eq_c1/2,0)))/INDEX(lk_legs,4))&lt;((2*IF(circ_int,0,eq_c2/2))+(PI()*(s_0+3*s_r+IF(circ_int,eq_c1/2,0))/2)),IF(circ_int,0,eq_c2/2)+(s_0+3*s_r+IF(circ_int,eq_c1/2,0))*SIN((((43+0.5)*(4*IF(circ_int,0,eq_c1/2)+4*IF(circ_int,0,eq_c2/2)+2*PI()*(s_0+3*s_r+IF(circ_int,eq_c1/2,0)))/INDEX(lk_legs,4))-(2*IF(circ_int,0,eq_c2/2)))/(s_0+3*s_r+IF(circ_int,eq_c1/2,0))),IF(((43+0.5)*(4*IF(circ_int,0,eq_c1/2)+4*IF(circ_int,0,eq_c2/2)+2*PI()*(s_0+3*s_r+IF(circ_int,eq_c1/2,0)))/INDEX(lk_legs,4))&lt;(((2*IF(circ_int,0,eq_c2/2))+(PI()*(s_0+3*s_r+IF(circ_int,eq_c1/2,0))/2))+2*IF(circ_int,0,eq_c1/2)),IF(circ_int,0,eq_c2/2)+(s_0+3*s_r+IF(circ_int,eq_c1/2,0)),IF(((43+0.5)*(4*IF(circ_int,0,eq_c1/2)+4*IF(circ_int,0,eq_c2/2)+2*PI()*(s_0+3*s_r+IF(circ_int,eq_c1/2,0)))/INDEX(lk_legs,4))&lt;((((2*IF(circ_int,0,eq_c2/2))+(PI()*(s_0+3*s_r+IF(circ_int,eq_c1/2,0))/2))+2*IF(circ_int,0,eq_c1/2))+(PI()*(s_0+3*s_r+IF(circ_int,eq_c1/2,0))/2)),IF(circ_int,0,eq_c2/2)+(s_0+3*s_r+IF(circ_int,eq_c1/2,0))*SIN(PI()/2+(((43+0.5)*(4*IF(circ_int,0,eq_c1/2)+4*IF(circ_int,0,eq_c2/2)+2*PI()*(s_0+3*s_r+IF(circ_int,eq_c1/2,0)))/INDEX(lk_legs,4))-(((2*IF(circ_int,0,eq_c2/2))+(PI()*(s_0+3*s_r+IF(circ_int,eq_c1/2,0))/2))+2*IF(circ_int,0,eq_c1/2)))/(s_0+3*s_r+IF(circ_int,eq_c1/2,0))),IF(((43+0.5)*(4*IF(circ_int,0,eq_c1/2)+4*IF(circ_int,0,eq_c2/2)+2*PI()*(s_0+3*s_r+IF(circ_int,eq_c1/2,0)))/INDEX(lk_legs,4))&lt;(((((2*IF(circ_int,0,eq_c2/2))+(PI()*(s_0+3*s_r+IF(circ_int,eq_c1/2,0))/2))+2*IF(circ_int,0,eq_c1/2))+(PI()*(s_0+3*s_r+IF(circ_int,eq_c1/2,0))/2))+2*IF(circ_int,0,eq_c2/2)),IF(circ_int,0,eq_c2/2)-(((43+0.5)*(4*IF(circ_int,0,eq_c1/2)+4*IF(circ_int,0,eq_c2/2)+2*PI()*(s_0+3*s_r+IF(circ_int,eq_c1/2,0)))/INDEX(lk_legs,4))-((((2*IF(circ_int,0,eq_c2/2))+(PI()*(s_0+3*s_r+IF(circ_int,eq_c1/2,0))/2))+2*IF(circ_int,0,eq_c1/2))+(PI()*(s_0+3*s_r+IF(circ_int,eq_c1/2,0))/2))),IF(((43+0.5)*(4*IF(circ_int,0,eq_c1/2)+4*IF(circ_int,0,eq_c2/2)+2*PI()*(s_0+3*s_r+IF(circ_int,eq_c1/2,0)))/INDEX(lk_legs,4))&lt;((((((2*IF(circ_int,0,eq_c2/2))+(PI()*(s_0+3*s_r+IF(circ_int,eq_c1/2,0))/2))+2*IF(circ_int,0,eq_c1/2))+(PI()*(s_0+3*s_r+IF(circ_int,eq_c1/2,0))/2))+2*IF(circ_int,0,eq_c2/2))+(PI()*(s_0+3*s_r+IF(circ_int,eq_c1/2,0))/2)),-IF(circ_int,0,eq_c2/2)+(s_0+3*s_r+IF(circ_int,eq_c1/2,0))*SIN(PI()+(((43+0.5)*(4*IF(circ_int,0,eq_c1/2)+4*IF(circ_int,0,eq_c2/2)+2*PI()*(s_0+3*s_r+IF(circ_int,eq_c1/2,0)))/INDEX(lk_legs,4))-(((((2*IF(circ_int,0,eq_c2/2))+(PI()*(s_0+3*s_r+IF(circ_int,eq_c1/2,0))/2))+2*IF(circ_int,0,eq_c1/2))+(PI()*(s_0+3*s_r+IF(circ_int,eq_c1/2,0))/2))+2*IF(circ_int,0,eq_c2/2)))/(s_0+3*s_r+IF(circ_int,eq_c1/2,0))),IF(((43+0.5)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(43+0.5)*(4*IF(circ_int,0,eq_c1/2)+4*IF(circ_int,0,eq_c2/2)+2*PI()*(s_0+3*s_r+IF(circ_int,eq_c1/2,0)))/INDEX(lk_legs,4))-(((((((2*IF(circ_int,0,eq_c2/2))+(PI()*(s_0+3*s_r+IF(circ_int,eq_c1/2,0))/2))+2*IF(circ_int,0,eq_c1/2))+(PI()*(s_0+3*s_r+IF(circ_int,eq_c1/2,0))/2))+2*IF(circ_int,0,eq_c2/2))+(PI()*(s_0+3*s_r+IF(circ_int,eq_c1/2,0))/2))+2*IF(circ_int,0,eq_c1/2)))/(s_0+3*s_r+IF(circ_int,eq_c1/2,0)))))))))),NA())</f>
        <v/>
      </c>
      <c r="BU46">
        <f>IF(AND(links_on,5&lt;=n_per),IF(circ_int,(g_ox)+(c_1/2+(s_0+4*s_r))*0.464723,CHOOSE(INDEX(lk_kind,5),(g_ox+eq_c1/2)+((s_0+4*s_r))*0.500000,0,eq_a1+eq_c1+(s_0+4*s_r),eq_a1+eq_c1+(s_0+4*s_r))),NA())</f>
        <v/>
      </c>
      <c r="BV46">
        <f>IF(AND(links_on,5&lt;=n_per),IF(circ_int,(g_oy)+(c_1/2+(s_0+4*s_r))*-0.885456,CHOOSE(INDEX(lk_kind,5),(g_oy-eq_c2/2)+((s_0+4*s_r))*-0.866025,g_oy-eq_c2/2-(s_0+4*s_r),0,0)),NA())</f>
        <v/>
      </c>
      <c r="BX46">
        <f>IF(AND(AND(links_on,5&lt;=n_per),INDEX(lk_kind,5)=1,43&lt;INDEX(lk_legs,5)),g_ox+IF(((43+0.5)*(4*IF(circ_int,0,eq_c1/2)+4*IF(circ_int,0,eq_c2/2)+2*PI()*(s_0+4*s_r+IF(circ_int,eq_c1/2,0)))/INDEX(lk_legs,5))&lt;(2*IF(circ_int,0,eq_c2/2)),IF(circ_int,0,eq_c1/2)+(s_0+4*s_r+IF(circ_int,eq_c1/2,0)),IF(((43+0.5)*(4*IF(circ_int,0,eq_c1/2)+4*IF(circ_int,0,eq_c2/2)+2*PI()*(s_0+4*s_r+IF(circ_int,eq_c1/2,0)))/INDEX(lk_legs,5))&lt;((2*IF(circ_int,0,eq_c2/2))+(PI()*(s_0+4*s_r+IF(circ_int,eq_c1/2,0))/2)),IF(circ_int,0,eq_c1/2)+(s_0+4*s_r+IF(circ_int,eq_c1/2,0))*COS((((43+0.5)*(4*IF(circ_int,0,eq_c1/2)+4*IF(circ_int,0,eq_c2/2)+2*PI()*(s_0+4*s_r+IF(circ_int,eq_c1/2,0)))/INDEX(lk_legs,5))-(2*IF(circ_int,0,eq_c2/2)))/(s_0+4*s_r+IF(circ_int,eq_c1/2,0))),IF(((43+0.5)*(4*IF(circ_int,0,eq_c1/2)+4*IF(circ_int,0,eq_c2/2)+2*PI()*(s_0+4*s_r+IF(circ_int,eq_c1/2,0)))/INDEX(lk_legs,5))&lt;(((2*IF(circ_int,0,eq_c2/2))+(PI()*(s_0+4*s_r+IF(circ_int,eq_c1/2,0))/2))+2*IF(circ_int,0,eq_c1/2)),IF(circ_int,0,eq_c1/2)-(((43+0.5)*(4*IF(circ_int,0,eq_c1/2)+4*IF(circ_int,0,eq_c2/2)+2*PI()*(s_0+4*s_r+IF(circ_int,eq_c1/2,0)))/INDEX(lk_legs,5))-((2*IF(circ_int,0,eq_c2/2))+(PI()*(s_0+4*s_r+IF(circ_int,eq_c1/2,0))/2))),IF(((43+0.5)*(4*IF(circ_int,0,eq_c1/2)+4*IF(circ_int,0,eq_c2/2)+2*PI()*(s_0+4*s_r+IF(circ_int,eq_c1/2,0)))/INDEX(lk_legs,5))&lt;((((2*IF(circ_int,0,eq_c2/2))+(PI()*(s_0+4*s_r+IF(circ_int,eq_c1/2,0))/2))+2*IF(circ_int,0,eq_c1/2))+(PI()*(s_0+4*s_r+IF(circ_int,eq_c1/2,0))/2)),-IF(circ_int,0,eq_c1/2)+(s_0+4*s_r+IF(circ_int,eq_c1/2,0))*COS(PI()/2+(((43+0.5)*(4*IF(circ_int,0,eq_c1/2)+4*IF(circ_int,0,eq_c2/2)+2*PI()*(s_0+4*s_r+IF(circ_int,eq_c1/2,0)))/INDEX(lk_legs,5))-(((2*IF(circ_int,0,eq_c2/2))+(PI()*(s_0+4*s_r+IF(circ_int,eq_c1/2,0))/2))+2*IF(circ_int,0,eq_c1/2)))/(s_0+4*s_r+IF(circ_int,eq_c1/2,0))),IF(((43+0.5)*(4*IF(circ_int,0,eq_c1/2)+4*IF(circ_int,0,eq_c2/2)+2*PI()*(s_0+4*s_r+IF(circ_int,eq_c1/2,0)))/INDEX(lk_legs,5))&lt;(((((2*IF(circ_int,0,eq_c2/2))+(PI()*(s_0+4*s_r+IF(circ_int,eq_c1/2,0))/2))+2*IF(circ_int,0,eq_c1/2))+(PI()*(s_0+4*s_r+IF(circ_int,eq_c1/2,0))/2))+2*IF(circ_int,0,eq_c2/2)),-IF(circ_int,0,eq_c1/2)-(s_0+4*s_r+IF(circ_int,eq_c1/2,0)),IF(((43+0.5)*(4*IF(circ_int,0,eq_c1/2)+4*IF(circ_int,0,eq_c2/2)+2*PI()*(s_0+4*s_r+IF(circ_int,eq_c1/2,0)))/INDEX(lk_legs,5))&lt;((((((2*IF(circ_int,0,eq_c2/2))+(PI()*(s_0+4*s_r+IF(circ_int,eq_c1/2,0))/2))+2*IF(circ_int,0,eq_c1/2))+(PI()*(s_0+4*s_r+IF(circ_int,eq_c1/2,0))/2))+2*IF(circ_int,0,eq_c2/2))+(PI()*(s_0+4*s_r+IF(circ_int,eq_c1/2,0))/2)),-IF(circ_int,0,eq_c1/2)+(s_0+4*s_r+IF(circ_int,eq_c1/2,0))*COS(PI()+(((43+0.5)*(4*IF(circ_int,0,eq_c1/2)+4*IF(circ_int,0,eq_c2/2)+2*PI()*(s_0+4*s_r+IF(circ_int,eq_c1/2,0)))/INDEX(lk_legs,5))-(((((2*IF(circ_int,0,eq_c2/2))+(PI()*(s_0+4*s_r+IF(circ_int,eq_c1/2,0))/2))+2*IF(circ_int,0,eq_c1/2))+(PI()*(s_0+4*s_r+IF(circ_int,eq_c1/2,0))/2))+2*IF(circ_int,0,eq_c2/2)))/(s_0+4*s_r+IF(circ_int,eq_c1/2,0))),IF(((43+0.5)*(4*IF(circ_int,0,eq_c1/2)+4*IF(circ_int,0,eq_c2/2)+2*PI()*(s_0+4*s_r+IF(circ_int,eq_c1/2,0)))/INDEX(lk_legs,5))&lt;(((((((2*IF(circ_int,0,eq_c2/2))+(PI()*(s_0+4*s_r+IF(circ_int,eq_c1/2,0))/2))+2*IF(circ_int,0,eq_c1/2))+(PI()*(s_0+4*s_r+IF(circ_int,eq_c1/2,0))/2))+2*IF(circ_int,0,eq_c2/2))+(PI()*(s_0+4*s_r+IF(circ_int,eq_c1/2,0))/2))+2*IF(circ_int,0,eq_c1/2)),-IF(circ_int,0,eq_c1/2)+(((43+0.5)*(4*IF(circ_int,0,eq_c1/2)+4*IF(circ_int,0,eq_c2/2)+2*PI()*(s_0+4*s_r+IF(circ_int,eq_c1/2,0)))/INDEX(lk_legs,5))-((((((2*IF(circ_int,0,eq_c2/2))+(PI()*(s_0+4*s_r+IF(circ_int,eq_c1/2,0))/2))+2*IF(circ_int,0,eq_c1/2))+(PI()*(s_0+4*s_r+IF(circ_int,eq_c1/2,0))/2))+2*IF(circ_int,0,eq_c2/2))+(PI()*(s_0+4*s_r+IF(circ_int,eq_c1/2,0))/2))),IF(circ_int,0,eq_c1/2)+(s_0+4*s_r+IF(circ_int,eq_c1/2,0))*COS(3*PI()/2+(((43+0.5)*(4*IF(circ_int,0,eq_c1/2)+4*IF(circ_int,0,eq_c2/2)+2*PI()*(s_0+4*s_r+IF(circ_int,eq_c1/2,0)))/INDEX(lk_legs,5))-(((((((2*IF(circ_int,0,eq_c2/2))+(PI()*(s_0+4*s_r+IF(circ_int,eq_c1/2,0))/2))+2*IF(circ_int,0,eq_c1/2))+(PI()*(s_0+4*s_r+IF(circ_int,eq_c1/2,0))/2))+2*IF(circ_int,0,eq_c2/2))+(PI()*(s_0+4*s_r+IF(circ_int,eq_c1/2,0))/2))+2*IF(circ_int,0,eq_c1/2)))/(s_0+4*s_r+IF(circ_int,eq_c1/2,0)))))))))),NA())</f>
        <v/>
      </c>
      <c r="BY46">
        <f>IF(AND(AND(links_on,5&lt;=n_per),INDEX(lk_kind,5)=1,43&lt;INDEX(lk_legs,5)),g_oy+IF(((43+0.5)*(4*IF(circ_int,0,eq_c1/2)+4*IF(circ_int,0,eq_c2/2)+2*PI()*(s_0+4*s_r+IF(circ_int,eq_c1/2,0)))/INDEX(lk_legs,5))&lt;(2*IF(circ_int,0,eq_c2/2)),-IF(circ_int,0,eq_c2/2)+((43+0.5)*(4*IF(circ_int,0,eq_c1/2)+4*IF(circ_int,0,eq_c2/2)+2*PI()*(s_0+4*s_r+IF(circ_int,eq_c1/2,0)))/INDEX(lk_legs,5)),IF(((43+0.5)*(4*IF(circ_int,0,eq_c1/2)+4*IF(circ_int,0,eq_c2/2)+2*PI()*(s_0+4*s_r+IF(circ_int,eq_c1/2,0)))/INDEX(lk_legs,5))&lt;((2*IF(circ_int,0,eq_c2/2))+(PI()*(s_0+4*s_r+IF(circ_int,eq_c1/2,0))/2)),IF(circ_int,0,eq_c2/2)+(s_0+4*s_r+IF(circ_int,eq_c1/2,0))*SIN((((43+0.5)*(4*IF(circ_int,0,eq_c1/2)+4*IF(circ_int,0,eq_c2/2)+2*PI()*(s_0+4*s_r+IF(circ_int,eq_c1/2,0)))/INDEX(lk_legs,5))-(2*IF(circ_int,0,eq_c2/2)))/(s_0+4*s_r+IF(circ_int,eq_c1/2,0))),IF(((43+0.5)*(4*IF(circ_int,0,eq_c1/2)+4*IF(circ_int,0,eq_c2/2)+2*PI()*(s_0+4*s_r+IF(circ_int,eq_c1/2,0)))/INDEX(lk_legs,5))&lt;(((2*IF(circ_int,0,eq_c2/2))+(PI()*(s_0+4*s_r+IF(circ_int,eq_c1/2,0))/2))+2*IF(circ_int,0,eq_c1/2)),IF(circ_int,0,eq_c2/2)+(s_0+4*s_r+IF(circ_int,eq_c1/2,0)),IF(((43+0.5)*(4*IF(circ_int,0,eq_c1/2)+4*IF(circ_int,0,eq_c2/2)+2*PI()*(s_0+4*s_r+IF(circ_int,eq_c1/2,0)))/INDEX(lk_legs,5))&lt;((((2*IF(circ_int,0,eq_c2/2))+(PI()*(s_0+4*s_r+IF(circ_int,eq_c1/2,0))/2))+2*IF(circ_int,0,eq_c1/2))+(PI()*(s_0+4*s_r+IF(circ_int,eq_c1/2,0))/2)),IF(circ_int,0,eq_c2/2)+(s_0+4*s_r+IF(circ_int,eq_c1/2,0))*SIN(PI()/2+(((43+0.5)*(4*IF(circ_int,0,eq_c1/2)+4*IF(circ_int,0,eq_c2/2)+2*PI()*(s_0+4*s_r+IF(circ_int,eq_c1/2,0)))/INDEX(lk_legs,5))-(((2*IF(circ_int,0,eq_c2/2))+(PI()*(s_0+4*s_r+IF(circ_int,eq_c1/2,0))/2))+2*IF(circ_int,0,eq_c1/2)))/(s_0+4*s_r+IF(circ_int,eq_c1/2,0))),IF(((43+0.5)*(4*IF(circ_int,0,eq_c1/2)+4*IF(circ_int,0,eq_c2/2)+2*PI()*(s_0+4*s_r+IF(circ_int,eq_c1/2,0)))/INDEX(lk_legs,5))&lt;(((((2*IF(circ_int,0,eq_c2/2))+(PI()*(s_0+4*s_r+IF(circ_int,eq_c1/2,0))/2))+2*IF(circ_int,0,eq_c1/2))+(PI()*(s_0+4*s_r+IF(circ_int,eq_c1/2,0))/2))+2*IF(circ_int,0,eq_c2/2)),IF(circ_int,0,eq_c2/2)-(((43+0.5)*(4*IF(circ_int,0,eq_c1/2)+4*IF(circ_int,0,eq_c2/2)+2*PI()*(s_0+4*s_r+IF(circ_int,eq_c1/2,0)))/INDEX(lk_legs,5))-((((2*IF(circ_int,0,eq_c2/2))+(PI()*(s_0+4*s_r+IF(circ_int,eq_c1/2,0))/2))+2*IF(circ_int,0,eq_c1/2))+(PI()*(s_0+4*s_r+IF(circ_int,eq_c1/2,0))/2))),IF(((43+0.5)*(4*IF(circ_int,0,eq_c1/2)+4*IF(circ_int,0,eq_c2/2)+2*PI()*(s_0+4*s_r+IF(circ_int,eq_c1/2,0)))/INDEX(lk_legs,5))&lt;((((((2*IF(circ_int,0,eq_c2/2))+(PI()*(s_0+4*s_r+IF(circ_int,eq_c1/2,0))/2))+2*IF(circ_int,0,eq_c1/2))+(PI()*(s_0+4*s_r+IF(circ_int,eq_c1/2,0))/2))+2*IF(circ_int,0,eq_c2/2))+(PI()*(s_0+4*s_r+IF(circ_int,eq_c1/2,0))/2)),-IF(circ_int,0,eq_c2/2)+(s_0+4*s_r+IF(circ_int,eq_c1/2,0))*SIN(PI()+(((43+0.5)*(4*IF(circ_int,0,eq_c1/2)+4*IF(circ_int,0,eq_c2/2)+2*PI()*(s_0+4*s_r+IF(circ_int,eq_c1/2,0)))/INDEX(lk_legs,5))-(((((2*IF(circ_int,0,eq_c2/2))+(PI()*(s_0+4*s_r+IF(circ_int,eq_c1/2,0))/2))+2*IF(circ_int,0,eq_c1/2))+(PI()*(s_0+4*s_r+IF(circ_int,eq_c1/2,0))/2))+2*IF(circ_int,0,eq_c2/2)))/(s_0+4*s_r+IF(circ_int,eq_c1/2,0))),IF(((43+0.5)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(43+0.5)*(4*IF(circ_int,0,eq_c1/2)+4*IF(circ_int,0,eq_c2/2)+2*PI()*(s_0+4*s_r+IF(circ_int,eq_c1/2,0)))/INDEX(lk_legs,5))-(((((((2*IF(circ_int,0,eq_c2/2))+(PI()*(s_0+4*s_r+IF(circ_int,eq_c1/2,0))/2))+2*IF(circ_int,0,eq_c1/2))+(PI()*(s_0+4*s_r+IF(circ_int,eq_c1/2,0))/2))+2*IF(circ_int,0,eq_c2/2))+(PI()*(s_0+4*s_r+IF(circ_int,eq_c1/2,0))/2))+2*IF(circ_int,0,eq_c1/2)))/(s_0+4*s_r+IF(circ_int,eq_c1/2,0)))))))))),NA())</f>
        <v/>
      </c>
      <c r="CA46">
        <f>IF(AND(links_on,6&lt;=n_per),IF(circ_int,(g_ox)+(c_1/2+(s_0+5*s_r))*0.464723,CHOOSE(INDEX(lk_kind,6),(g_ox+eq_c1/2)+((s_0+5*s_r))*0.500000,0,eq_a1+eq_c1+(s_0+5*s_r),eq_a1+eq_c1+(s_0+5*s_r))),NA())</f>
        <v/>
      </c>
      <c r="CB46">
        <f>IF(AND(links_on,6&lt;=n_per),IF(circ_int,(g_oy)+(c_1/2+(s_0+5*s_r))*-0.885456,CHOOSE(INDEX(lk_kind,6),(g_oy-eq_c2/2)+((s_0+5*s_r))*-0.866025,g_oy-eq_c2/2-(s_0+5*s_r),0,0)),NA())</f>
        <v/>
      </c>
      <c r="CD46">
        <f>IF(AND(AND(links_on,6&lt;=n_per),INDEX(lk_kind,6)=1,43&lt;INDEX(lk_legs,6)),g_ox+IF(((43+0.5)*(4*IF(circ_int,0,eq_c1/2)+4*IF(circ_int,0,eq_c2/2)+2*PI()*(s_0+5*s_r+IF(circ_int,eq_c1/2,0)))/INDEX(lk_legs,6))&lt;(2*IF(circ_int,0,eq_c2/2)),IF(circ_int,0,eq_c1/2)+(s_0+5*s_r+IF(circ_int,eq_c1/2,0)),IF(((43+0.5)*(4*IF(circ_int,0,eq_c1/2)+4*IF(circ_int,0,eq_c2/2)+2*PI()*(s_0+5*s_r+IF(circ_int,eq_c1/2,0)))/INDEX(lk_legs,6))&lt;((2*IF(circ_int,0,eq_c2/2))+(PI()*(s_0+5*s_r+IF(circ_int,eq_c1/2,0))/2)),IF(circ_int,0,eq_c1/2)+(s_0+5*s_r+IF(circ_int,eq_c1/2,0))*COS((((43+0.5)*(4*IF(circ_int,0,eq_c1/2)+4*IF(circ_int,0,eq_c2/2)+2*PI()*(s_0+5*s_r+IF(circ_int,eq_c1/2,0)))/INDEX(lk_legs,6))-(2*IF(circ_int,0,eq_c2/2)))/(s_0+5*s_r+IF(circ_int,eq_c1/2,0))),IF(((43+0.5)*(4*IF(circ_int,0,eq_c1/2)+4*IF(circ_int,0,eq_c2/2)+2*PI()*(s_0+5*s_r+IF(circ_int,eq_c1/2,0)))/INDEX(lk_legs,6))&lt;(((2*IF(circ_int,0,eq_c2/2))+(PI()*(s_0+5*s_r+IF(circ_int,eq_c1/2,0))/2))+2*IF(circ_int,0,eq_c1/2)),IF(circ_int,0,eq_c1/2)-(((43+0.5)*(4*IF(circ_int,0,eq_c1/2)+4*IF(circ_int,0,eq_c2/2)+2*PI()*(s_0+5*s_r+IF(circ_int,eq_c1/2,0)))/INDEX(lk_legs,6))-((2*IF(circ_int,0,eq_c2/2))+(PI()*(s_0+5*s_r+IF(circ_int,eq_c1/2,0))/2))),IF(((43+0.5)*(4*IF(circ_int,0,eq_c1/2)+4*IF(circ_int,0,eq_c2/2)+2*PI()*(s_0+5*s_r+IF(circ_int,eq_c1/2,0)))/INDEX(lk_legs,6))&lt;((((2*IF(circ_int,0,eq_c2/2))+(PI()*(s_0+5*s_r+IF(circ_int,eq_c1/2,0))/2))+2*IF(circ_int,0,eq_c1/2))+(PI()*(s_0+5*s_r+IF(circ_int,eq_c1/2,0))/2)),-IF(circ_int,0,eq_c1/2)+(s_0+5*s_r+IF(circ_int,eq_c1/2,0))*COS(PI()/2+(((43+0.5)*(4*IF(circ_int,0,eq_c1/2)+4*IF(circ_int,0,eq_c2/2)+2*PI()*(s_0+5*s_r+IF(circ_int,eq_c1/2,0)))/INDEX(lk_legs,6))-(((2*IF(circ_int,0,eq_c2/2))+(PI()*(s_0+5*s_r+IF(circ_int,eq_c1/2,0))/2))+2*IF(circ_int,0,eq_c1/2)))/(s_0+5*s_r+IF(circ_int,eq_c1/2,0))),IF(((43+0.5)*(4*IF(circ_int,0,eq_c1/2)+4*IF(circ_int,0,eq_c2/2)+2*PI()*(s_0+5*s_r+IF(circ_int,eq_c1/2,0)))/INDEX(lk_legs,6))&lt;(((((2*IF(circ_int,0,eq_c2/2))+(PI()*(s_0+5*s_r+IF(circ_int,eq_c1/2,0))/2))+2*IF(circ_int,0,eq_c1/2))+(PI()*(s_0+5*s_r+IF(circ_int,eq_c1/2,0))/2))+2*IF(circ_int,0,eq_c2/2)),-IF(circ_int,0,eq_c1/2)-(s_0+5*s_r+IF(circ_int,eq_c1/2,0)),IF(((43+0.5)*(4*IF(circ_int,0,eq_c1/2)+4*IF(circ_int,0,eq_c2/2)+2*PI()*(s_0+5*s_r+IF(circ_int,eq_c1/2,0)))/INDEX(lk_legs,6))&lt;((((((2*IF(circ_int,0,eq_c2/2))+(PI()*(s_0+5*s_r+IF(circ_int,eq_c1/2,0))/2))+2*IF(circ_int,0,eq_c1/2))+(PI()*(s_0+5*s_r+IF(circ_int,eq_c1/2,0))/2))+2*IF(circ_int,0,eq_c2/2))+(PI()*(s_0+5*s_r+IF(circ_int,eq_c1/2,0))/2)),-IF(circ_int,0,eq_c1/2)+(s_0+5*s_r+IF(circ_int,eq_c1/2,0))*COS(PI()+(((43+0.5)*(4*IF(circ_int,0,eq_c1/2)+4*IF(circ_int,0,eq_c2/2)+2*PI()*(s_0+5*s_r+IF(circ_int,eq_c1/2,0)))/INDEX(lk_legs,6))-(((((2*IF(circ_int,0,eq_c2/2))+(PI()*(s_0+5*s_r+IF(circ_int,eq_c1/2,0))/2))+2*IF(circ_int,0,eq_c1/2))+(PI()*(s_0+5*s_r+IF(circ_int,eq_c1/2,0))/2))+2*IF(circ_int,0,eq_c2/2)))/(s_0+5*s_r+IF(circ_int,eq_c1/2,0))),IF(((43+0.5)*(4*IF(circ_int,0,eq_c1/2)+4*IF(circ_int,0,eq_c2/2)+2*PI()*(s_0+5*s_r+IF(circ_int,eq_c1/2,0)))/INDEX(lk_legs,6))&lt;(((((((2*IF(circ_int,0,eq_c2/2))+(PI()*(s_0+5*s_r+IF(circ_int,eq_c1/2,0))/2))+2*IF(circ_int,0,eq_c1/2))+(PI()*(s_0+5*s_r+IF(circ_int,eq_c1/2,0))/2))+2*IF(circ_int,0,eq_c2/2))+(PI()*(s_0+5*s_r+IF(circ_int,eq_c1/2,0))/2))+2*IF(circ_int,0,eq_c1/2)),-IF(circ_int,0,eq_c1/2)+(((43+0.5)*(4*IF(circ_int,0,eq_c1/2)+4*IF(circ_int,0,eq_c2/2)+2*PI()*(s_0+5*s_r+IF(circ_int,eq_c1/2,0)))/INDEX(lk_legs,6))-((((((2*IF(circ_int,0,eq_c2/2))+(PI()*(s_0+5*s_r+IF(circ_int,eq_c1/2,0))/2))+2*IF(circ_int,0,eq_c1/2))+(PI()*(s_0+5*s_r+IF(circ_int,eq_c1/2,0))/2))+2*IF(circ_int,0,eq_c2/2))+(PI()*(s_0+5*s_r+IF(circ_int,eq_c1/2,0))/2))),IF(circ_int,0,eq_c1/2)+(s_0+5*s_r+IF(circ_int,eq_c1/2,0))*COS(3*PI()/2+(((43+0.5)*(4*IF(circ_int,0,eq_c1/2)+4*IF(circ_int,0,eq_c2/2)+2*PI()*(s_0+5*s_r+IF(circ_int,eq_c1/2,0)))/INDEX(lk_legs,6))-(((((((2*IF(circ_int,0,eq_c2/2))+(PI()*(s_0+5*s_r+IF(circ_int,eq_c1/2,0))/2))+2*IF(circ_int,0,eq_c1/2))+(PI()*(s_0+5*s_r+IF(circ_int,eq_c1/2,0))/2))+2*IF(circ_int,0,eq_c2/2))+(PI()*(s_0+5*s_r+IF(circ_int,eq_c1/2,0))/2))+2*IF(circ_int,0,eq_c1/2)))/(s_0+5*s_r+IF(circ_int,eq_c1/2,0)))))))))),NA())</f>
        <v/>
      </c>
      <c r="CE46">
        <f>IF(AND(AND(links_on,6&lt;=n_per),INDEX(lk_kind,6)=1,43&lt;INDEX(lk_legs,6)),g_oy+IF(((43+0.5)*(4*IF(circ_int,0,eq_c1/2)+4*IF(circ_int,0,eq_c2/2)+2*PI()*(s_0+5*s_r+IF(circ_int,eq_c1/2,0)))/INDEX(lk_legs,6))&lt;(2*IF(circ_int,0,eq_c2/2)),-IF(circ_int,0,eq_c2/2)+((43+0.5)*(4*IF(circ_int,0,eq_c1/2)+4*IF(circ_int,0,eq_c2/2)+2*PI()*(s_0+5*s_r+IF(circ_int,eq_c1/2,0)))/INDEX(lk_legs,6)),IF(((43+0.5)*(4*IF(circ_int,0,eq_c1/2)+4*IF(circ_int,0,eq_c2/2)+2*PI()*(s_0+5*s_r+IF(circ_int,eq_c1/2,0)))/INDEX(lk_legs,6))&lt;((2*IF(circ_int,0,eq_c2/2))+(PI()*(s_0+5*s_r+IF(circ_int,eq_c1/2,0))/2)),IF(circ_int,0,eq_c2/2)+(s_0+5*s_r+IF(circ_int,eq_c1/2,0))*SIN((((43+0.5)*(4*IF(circ_int,0,eq_c1/2)+4*IF(circ_int,0,eq_c2/2)+2*PI()*(s_0+5*s_r+IF(circ_int,eq_c1/2,0)))/INDEX(lk_legs,6))-(2*IF(circ_int,0,eq_c2/2)))/(s_0+5*s_r+IF(circ_int,eq_c1/2,0))),IF(((43+0.5)*(4*IF(circ_int,0,eq_c1/2)+4*IF(circ_int,0,eq_c2/2)+2*PI()*(s_0+5*s_r+IF(circ_int,eq_c1/2,0)))/INDEX(lk_legs,6))&lt;(((2*IF(circ_int,0,eq_c2/2))+(PI()*(s_0+5*s_r+IF(circ_int,eq_c1/2,0))/2))+2*IF(circ_int,0,eq_c1/2)),IF(circ_int,0,eq_c2/2)+(s_0+5*s_r+IF(circ_int,eq_c1/2,0)),IF(((43+0.5)*(4*IF(circ_int,0,eq_c1/2)+4*IF(circ_int,0,eq_c2/2)+2*PI()*(s_0+5*s_r+IF(circ_int,eq_c1/2,0)))/INDEX(lk_legs,6))&lt;((((2*IF(circ_int,0,eq_c2/2))+(PI()*(s_0+5*s_r+IF(circ_int,eq_c1/2,0))/2))+2*IF(circ_int,0,eq_c1/2))+(PI()*(s_0+5*s_r+IF(circ_int,eq_c1/2,0))/2)),IF(circ_int,0,eq_c2/2)+(s_0+5*s_r+IF(circ_int,eq_c1/2,0))*SIN(PI()/2+(((43+0.5)*(4*IF(circ_int,0,eq_c1/2)+4*IF(circ_int,0,eq_c2/2)+2*PI()*(s_0+5*s_r+IF(circ_int,eq_c1/2,0)))/INDEX(lk_legs,6))-(((2*IF(circ_int,0,eq_c2/2))+(PI()*(s_0+5*s_r+IF(circ_int,eq_c1/2,0))/2))+2*IF(circ_int,0,eq_c1/2)))/(s_0+5*s_r+IF(circ_int,eq_c1/2,0))),IF(((43+0.5)*(4*IF(circ_int,0,eq_c1/2)+4*IF(circ_int,0,eq_c2/2)+2*PI()*(s_0+5*s_r+IF(circ_int,eq_c1/2,0)))/INDEX(lk_legs,6))&lt;(((((2*IF(circ_int,0,eq_c2/2))+(PI()*(s_0+5*s_r+IF(circ_int,eq_c1/2,0))/2))+2*IF(circ_int,0,eq_c1/2))+(PI()*(s_0+5*s_r+IF(circ_int,eq_c1/2,0))/2))+2*IF(circ_int,0,eq_c2/2)),IF(circ_int,0,eq_c2/2)-(((43+0.5)*(4*IF(circ_int,0,eq_c1/2)+4*IF(circ_int,0,eq_c2/2)+2*PI()*(s_0+5*s_r+IF(circ_int,eq_c1/2,0)))/INDEX(lk_legs,6))-((((2*IF(circ_int,0,eq_c2/2))+(PI()*(s_0+5*s_r+IF(circ_int,eq_c1/2,0))/2))+2*IF(circ_int,0,eq_c1/2))+(PI()*(s_0+5*s_r+IF(circ_int,eq_c1/2,0))/2))),IF(((43+0.5)*(4*IF(circ_int,0,eq_c1/2)+4*IF(circ_int,0,eq_c2/2)+2*PI()*(s_0+5*s_r+IF(circ_int,eq_c1/2,0)))/INDEX(lk_legs,6))&lt;((((((2*IF(circ_int,0,eq_c2/2))+(PI()*(s_0+5*s_r+IF(circ_int,eq_c1/2,0))/2))+2*IF(circ_int,0,eq_c1/2))+(PI()*(s_0+5*s_r+IF(circ_int,eq_c1/2,0))/2))+2*IF(circ_int,0,eq_c2/2))+(PI()*(s_0+5*s_r+IF(circ_int,eq_c1/2,0))/2)),-IF(circ_int,0,eq_c2/2)+(s_0+5*s_r+IF(circ_int,eq_c1/2,0))*SIN(PI()+(((43+0.5)*(4*IF(circ_int,0,eq_c1/2)+4*IF(circ_int,0,eq_c2/2)+2*PI()*(s_0+5*s_r+IF(circ_int,eq_c1/2,0)))/INDEX(lk_legs,6))-(((((2*IF(circ_int,0,eq_c2/2))+(PI()*(s_0+5*s_r+IF(circ_int,eq_c1/2,0))/2))+2*IF(circ_int,0,eq_c1/2))+(PI()*(s_0+5*s_r+IF(circ_int,eq_c1/2,0))/2))+2*IF(circ_int,0,eq_c2/2)))/(s_0+5*s_r+IF(circ_int,eq_c1/2,0))),IF(((43+0.5)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(43+0.5)*(4*IF(circ_int,0,eq_c1/2)+4*IF(circ_int,0,eq_c2/2)+2*PI()*(s_0+5*s_r+IF(circ_int,eq_c1/2,0)))/INDEX(lk_legs,6))-(((((((2*IF(circ_int,0,eq_c2/2))+(PI()*(s_0+5*s_r+IF(circ_int,eq_c1/2,0))/2))+2*IF(circ_int,0,eq_c1/2))+(PI()*(s_0+5*s_r+IF(circ_int,eq_c1/2,0))/2))+2*IF(circ_int,0,eq_c2/2))+(PI()*(s_0+5*s_r+IF(circ_int,eq_c1/2,0))/2))+2*IF(circ_int,0,eq_c1/2)))/(s_0+5*s_r+IF(circ_int,eq_c1/2,0)))))))))),NA())</f>
        <v/>
      </c>
      <c r="CG46">
        <f>IF(AND(links_on,7&lt;=n_per),IF(circ_int,(g_ox)+(c_1/2+(s_0+6*s_r))*0.464723,CHOOSE(INDEX(lk_kind,7),(g_ox+eq_c1/2)+((s_0+6*s_r))*0.500000,0,eq_a1+eq_c1+(s_0+6*s_r),eq_a1+eq_c1+(s_0+6*s_r))),NA())</f>
        <v/>
      </c>
      <c r="CH46">
        <f>IF(AND(links_on,7&lt;=n_per),IF(circ_int,(g_oy)+(c_1/2+(s_0+6*s_r))*-0.885456,CHOOSE(INDEX(lk_kind,7),(g_oy-eq_c2/2)+((s_0+6*s_r))*-0.866025,g_oy-eq_c2/2-(s_0+6*s_r),0,0)),NA())</f>
        <v/>
      </c>
      <c r="CJ46">
        <f>IF(AND(AND(links_on,7&lt;=n_per),INDEX(lk_kind,7)=1,43&lt;INDEX(lk_legs,7)),g_ox+IF(((43+0.5)*(4*IF(circ_int,0,eq_c1/2)+4*IF(circ_int,0,eq_c2/2)+2*PI()*(s_0+6*s_r+IF(circ_int,eq_c1/2,0)))/INDEX(lk_legs,7))&lt;(2*IF(circ_int,0,eq_c2/2)),IF(circ_int,0,eq_c1/2)+(s_0+6*s_r+IF(circ_int,eq_c1/2,0)),IF(((43+0.5)*(4*IF(circ_int,0,eq_c1/2)+4*IF(circ_int,0,eq_c2/2)+2*PI()*(s_0+6*s_r+IF(circ_int,eq_c1/2,0)))/INDEX(lk_legs,7))&lt;((2*IF(circ_int,0,eq_c2/2))+(PI()*(s_0+6*s_r+IF(circ_int,eq_c1/2,0))/2)),IF(circ_int,0,eq_c1/2)+(s_0+6*s_r+IF(circ_int,eq_c1/2,0))*COS((((43+0.5)*(4*IF(circ_int,0,eq_c1/2)+4*IF(circ_int,0,eq_c2/2)+2*PI()*(s_0+6*s_r+IF(circ_int,eq_c1/2,0)))/INDEX(lk_legs,7))-(2*IF(circ_int,0,eq_c2/2)))/(s_0+6*s_r+IF(circ_int,eq_c1/2,0))),IF(((43+0.5)*(4*IF(circ_int,0,eq_c1/2)+4*IF(circ_int,0,eq_c2/2)+2*PI()*(s_0+6*s_r+IF(circ_int,eq_c1/2,0)))/INDEX(lk_legs,7))&lt;(((2*IF(circ_int,0,eq_c2/2))+(PI()*(s_0+6*s_r+IF(circ_int,eq_c1/2,0))/2))+2*IF(circ_int,0,eq_c1/2)),IF(circ_int,0,eq_c1/2)-(((43+0.5)*(4*IF(circ_int,0,eq_c1/2)+4*IF(circ_int,0,eq_c2/2)+2*PI()*(s_0+6*s_r+IF(circ_int,eq_c1/2,0)))/INDEX(lk_legs,7))-((2*IF(circ_int,0,eq_c2/2))+(PI()*(s_0+6*s_r+IF(circ_int,eq_c1/2,0))/2))),IF(((43+0.5)*(4*IF(circ_int,0,eq_c1/2)+4*IF(circ_int,0,eq_c2/2)+2*PI()*(s_0+6*s_r+IF(circ_int,eq_c1/2,0)))/INDEX(lk_legs,7))&lt;((((2*IF(circ_int,0,eq_c2/2))+(PI()*(s_0+6*s_r+IF(circ_int,eq_c1/2,0))/2))+2*IF(circ_int,0,eq_c1/2))+(PI()*(s_0+6*s_r+IF(circ_int,eq_c1/2,0))/2)),-IF(circ_int,0,eq_c1/2)+(s_0+6*s_r+IF(circ_int,eq_c1/2,0))*COS(PI()/2+(((43+0.5)*(4*IF(circ_int,0,eq_c1/2)+4*IF(circ_int,0,eq_c2/2)+2*PI()*(s_0+6*s_r+IF(circ_int,eq_c1/2,0)))/INDEX(lk_legs,7))-(((2*IF(circ_int,0,eq_c2/2))+(PI()*(s_0+6*s_r+IF(circ_int,eq_c1/2,0))/2))+2*IF(circ_int,0,eq_c1/2)))/(s_0+6*s_r+IF(circ_int,eq_c1/2,0))),IF(((43+0.5)*(4*IF(circ_int,0,eq_c1/2)+4*IF(circ_int,0,eq_c2/2)+2*PI()*(s_0+6*s_r+IF(circ_int,eq_c1/2,0)))/INDEX(lk_legs,7))&lt;(((((2*IF(circ_int,0,eq_c2/2))+(PI()*(s_0+6*s_r+IF(circ_int,eq_c1/2,0))/2))+2*IF(circ_int,0,eq_c1/2))+(PI()*(s_0+6*s_r+IF(circ_int,eq_c1/2,0))/2))+2*IF(circ_int,0,eq_c2/2)),-IF(circ_int,0,eq_c1/2)-(s_0+6*s_r+IF(circ_int,eq_c1/2,0)),IF(((43+0.5)*(4*IF(circ_int,0,eq_c1/2)+4*IF(circ_int,0,eq_c2/2)+2*PI()*(s_0+6*s_r+IF(circ_int,eq_c1/2,0)))/INDEX(lk_legs,7))&lt;((((((2*IF(circ_int,0,eq_c2/2))+(PI()*(s_0+6*s_r+IF(circ_int,eq_c1/2,0))/2))+2*IF(circ_int,0,eq_c1/2))+(PI()*(s_0+6*s_r+IF(circ_int,eq_c1/2,0))/2))+2*IF(circ_int,0,eq_c2/2))+(PI()*(s_0+6*s_r+IF(circ_int,eq_c1/2,0))/2)),-IF(circ_int,0,eq_c1/2)+(s_0+6*s_r+IF(circ_int,eq_c1/2,0))*COS(PI()+(((43+0.5)*(4*IF(circ_int,0,eq_c1/2)+4*IF(circ_int,0,eq_c2/2)+2*PI()*(s_0+6*s_r+IF(circ_int,eq_c1/2,0)))/INDEX(lk_legs,7))-(((((2*IF(circ_int,0,eq_c2/2))+(PI()*(s_0+6*s_r+IF(circ_int,eq_c1/2,0))/2))+2*IF(circ_int,0,eq_c1/2))+(PI()*(s_0+6*s_r+IF(circ_int,eq_c1/2,0))/2))+2*IF(circ_int,0,eq_c2/2)))/(s_0+6*s_r+IF(circ_int,eq_c1/2,0))),IF(((43+0.5)*(4*IF(circ_int,0,eq_c1/2)+4*IF(circ_int,0,eq_c2/2)+2*PI()*(s_0+6*s_r+IF(circ_int,eq_c1/2,0)))/INDEX(lk_legs,7))&lt;(((((((2*IF(circ_int,0,eq_c2/2))+(PI()*(s_0+6*s_r+IF(circ_int,eq_c1/2,0))/2))+2*IF(circ_int,0,eq_c1/2))+(PI()*(s_0+6*s_r+IF(circ_int,eq_c1/2,0))/2))+2*IF(circ_int,0,eq_c2/2))+(PI()*(s_0+6*s_r+IF(circ_int,eq_c1/2,0))/2))+2*IF(circ_int,0,eq_c1/2)),-IF(circ_int,0,eq_c1/2)+(((43+0.5)*(4*IF(circ_int,0,eq_c1/2)+4*IF(circ_int,0,eq_c2/2)+2*PI()*(s_0+6*s_r+IF(circ_int,eq_c1/2,0)))/INDEX(lk_legs,7))-((((((2*IF(circ_int,0,eq_c2/2))+(PI()*(s_0+6*s_r+IF(circ_int,eq_c1/2,0))/2))+2*IF(circ_int,0,eq_c1/2))+(PI()*(s_0+6*s_r+IF(circ_int,eq_c1/2,0))/2))+2*IF(circ_int,0,eq_c2/2))+(PI()*(s_0+6*s_r+IF(circ_int,eq_c1/2,0))/2))),IF(circ_int,0,eq_c1/2)+(s_0+6*s_r+IF(circ_int,eq_c1/2,0))*COS(3*PI()/2+(((43+0.5)*(4*IF(circ_int,0,eq_c1/2)+4*IF(circ_int,0,eq_c2/2)+2*PI()*(s_0+6*s_r+IF(circ_int,eq_c1/2,0)))/INDEX(lk_legs,7))-(((((((2*IF(circ_int,0,eq_c2/2))+(PI()*(s_0+6*s_r+IF(circ_int,eq_c1/2,0))/2))+2*IF(circ_int,0,eq_c1/2))+(PI()*(s_0+6*s_r+IF(circ_int,eq_c1/2,0))/2))+2*IF(circ_int,0,eq_c2/2))+(PI()*(s_0+6*s_r+IF(circ_int,eq_c1/2,0))/2))+2*IF(circ_int,0,eq_c1/2)))/(s_0+6*s_r+IF(circ_int,eq_c1/2,0)))))))))),NA())</f>
        <v/>
      </c>
      <c r="CK46">
        <f>IF(AND(AND(links_on,7&lt;=n_per),INDEX(lk_kind,7)=1,43&lt;INDEX(lk_legs,7)),g_oy+IF(((43+0.5)*(4*IF(circ_int,0,eq_c1/2)+4*IF(circ_int,0,eq_c2/2)+2*PI()*(s_0+6*s_r+IF(circ_int,eq_c1/2,0)))/INDEX(lk_legs,7))&lt;(2*IF(circ_int,0,eq_c2/2)),-IF(circ_int,0,eq_c2/2)+((43+0.5)*(4*IF(circ_int,0,eq_c1/2)+4*IF(circ_int,0,eq_c2/2)+2*PI()*(s_0+6*s_r+IF(circ_int,eq_c1/2,0)))/INDEX(lk_legs,7)),IF(((43+0.5)*(4*IF(circ_int,0,eq_c1/2)+4*IF(circ_int,0,eq_c2/2)+2*PI()*(s_0+6*s_r+IF(circ_int,eq_c1/2,0)))/INDEX(lk_legs,7))&lt;((2*IF(circ_int,0,eq_c2/2))+(PI()*(s_0+6*s_r+IF(circ_int,eq_c1/2,0))/2)),IF(circ_int,0,eq_c2/2)+(s_0+6*s_r+IF(circ_int,eq_c1/2,0))*SIN((((43+0.5)*(4*IF(circ_int,0,eq_c1/2)+4*IF(circ_int,0,eq_c2/2)+2*PI()*(s_0+6*s_r+IF(circ_int,eq_c1/2,0)))/INDEX(lk_legs,7))-(2*IF(circ_int,0,eq_c2/2)))/(s_0+6*s_r+IF(circ_int,eq_c1/2,0))),IF(((43+0.5)*(4*IF(circ_int,0,eq_c1/2)+4*IF(circ_int,0,eq_c2/2)+2*PI()*(s_0+6*s_r+IF(circ_int,eq_c1/2,0)))/INDEX(lk_legs,7))&lt;(((2*IF(circ_int,0,eq_c2/2))+(PI()*(s_0+6*s_r+IF(circ_int,eq_c1/2,0))/2))+2*IF(circ_int,0,eq_c1/2)),IF(circ_int,0,eq_c2/2)+(s_0+6*s_r+IF(circ_int,eq_c1/2,0)),IF(((43+0.5)*(4*IF(circ_int,0,eq_c1/2)+4*IF(circ_int,0,eq_c2/2)+2*PI()*(s_0+6*s_r+IF(circ_int,eq_c1/2,0)))/INDEX(lk_legs,7))&lt;((((2*IF(circ_int,0,eq_c2/2))+(PI()*(s_0+6*s_r+IF(circ_int,eq_c1/2,0))/2))+2*IF(circ_int,0,eq_c1/2))+(PI()*(s_0+6*s_r+IF(circ_int,eq_c1/2,0))/2)),IF(circ_int,0,eq_c2/2)+(s_0+6*s_r+IF(circ_int,eq_c1/2,0))*SIN(PI()/2+(((43+0.5)*(4*IF(circ_int,0,eq_c1/2)+4*IF(circ_int,0,eq_c2/2)+2*PI()*(s_0+6*s_r+IF(circ_int,eq_c1/2,0)))/INDEX(lk_legs,7))-(((2*IF(circ_int,0,eq_c2/2))+(PI()*(s_0+6*s_r+IF(circ_int,eq_c1/2,0))/2))+2*IF(circ_int,0,eq_c1/2)))/(s_0+6*s_r+IF(circ_int,eq_c1/2,0))),IF(((43+0.5)*(4*IF(circ_int,0,eq_c1/2)+4*IF(circ_int,0,eq_c2/2)+2*PI()*(s_0+6*s_r+IF(circ_int,eq_c1/2,0)))/INDEX(lk_legs,7))&lt;(((((2*IF(circ_int,0,eq_c2/2))+(PI()*(s_0+6*s_r+IF(circ_int,eq_c1/2,0))/2))+2*IF(circ_int,0,eq_c1/2))+(PI()*(s_0+6*s_r+IF(circ_int,eq_c1/2,0))/2))+2*IF(circ_int,0,eq_c2/2)),IF(circ_int,0,eq_c2/2)-(((43+0.5)*(4*IF(circ_int,0,eq_c1/2)+4*IF(circ_int,0,eq_c2/2)+2*PI()*(s_0+6*s_r+IF(circ_int,eq_c1/2,0)))/INDEX(lk_legs,7))-((((2*IF(circ_int,0,eq_c2/2))+(PI()*(s_0+6*s_r+IF(circ_int,eq_c1/2,0))/2))+2*IF(circ_int,0,eq_c1/2))+(PI()*(s_0+6*s_r+IF(circ_int,eq_c1/2,0))/2))),IF(((43+0.5)*(4*IF(circ_int,0,eq_c1/2)+4*IF(circ_int,0,eq_c2/2)+2*PI()*(s_0+6*s_r+IF(circ_int,eq_c1/2,0)))/INDEX(lk_legs,7))&lt;((((((2*IF(circ_int,0,eq_c2/2))+(PI()*(s_0+6*s_r+IF(circ_int,eq_c1/2,0))/2))+2*IF(circ_int,0,eq_c1/2))+(PI()*(s_0+6*s_r+IF(circ_int,eq_c1/2,0))/2))+2*IF(circ_int,0,eq_c2/2))+(PI()*(s_0+6*s_r+IF(circ_int,eq_c1/2,0))/2)),-IF(circ_int,0,eq_c2/2)+(s_0+6*s_r+IF(circ_int,eq_c1/2,0))*SIN(PI()+(((43+0.5)*(4*IF(circ_int,0,eq_c1/2)+4*IF(circ_int,0,eq_c2/2)+2*PI()*(s_0+6*s_r+IF(circ_int,eq_c1/2,0)))/INDEX(lk_legs,7))-(((((2*IF(circ_int,0,eq_c2/2))+(PI()*(s_0+6*s_r+IF(circ_int,eq_c1/2,0))/2))+2*IF(circ_int,0,eq_c1/2))+(PI()*(s_0+6*s_r+IF(circ_int,eq_c1/2,0))/2))+2*IF(circ_int,0,eq_c2/2)))/(s_0+6*s_r+IF(circ_int,eq_c1/2,0))),IF(((43+0.5)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(43+0.5)*(4*IF(circ_int,0,eq_c1/2)+4*IF(circ_int,0,eq_c2/2)+2*PI()*(s_0+6*s_r+IF(circ_int,eq_c1/2,0)))/INDEX(lk_legs,7))-(((((((2*IF(circ_int,0,eq_c2/2))+(PI()*(s_0+6*s_r+IF(circ_int,eq_c1/2,0))/2))+2*IF(circ_int,0,eq_c1/2))+(PI()*(s_0+6*s_r+IF(circ_int,eq_c1/2,0))/2))+2*IF(circ_int,0,eq_c2/2))+(PI()*(s_0+6*s_r+IF(circ_int,eq_c1/2,0))/2))+2*IF(circ_int,0,eq_c1/2)))/(s_0+6*s_r+IF(circ_int,eq_c1/2,0)))))))))),NA())</f>
        <v/>
      </c>
      <c r="CM46">
        <f>IF(AND(links_on,8&lt;=n_per),IF(circ_int,(g_ox)+(c_1/2+(s_0+7*s_r))*0.464723,CHOOSE(INDEX(lk_kind,8),(g_ox+eq_c1/2)+((s_0+7*s_r))*0.500000,0,eq_a1+eq_c1+(s_0+7*s_r),eq_a1+eq_c1+(s_0+7*s_r))),NA())</f>
        <v/>
      </c>
      <c r="CN46">
        <f>IF(AND(links_on,8&lt;=n_per),IF(circ_int,(g_oy)+(c_1/2+(s_0+7*s_r))*-0.885456,CHOOSE(INDEX(lk_kind,8),(g_oy-eq_c2/2)+((s_0+7*s_r))*-0.866025,g_oy-eq_c2/2-(s_0+7*s_r),0,0)),NA())</f>
        <v/>
      </c>
      <c r="CP46">
        <f>IF(AND(AND(links_on,8&lt;=n_per),INDEX(lk_kind,8)=1,43&lt;INDEX(lk_legs,8)),g_ox+IF(((43+0.5)*(4*IF(circ_int,0,eq_c1/2)+4*IF(circ_int,0,eq_c2/2)+2*PI()*(s_0+7*s_r+IF(circ_int,eq_c1/2,0)))/INDEX(lk_legs,8))&lt;(2*IF(circ_int,0,eq_c2/2)),IF(circ_int,0,eq_c1/2)+(s_0+7*s_r+IF(circ_int,eq_c1/2,0)),IF(((43+0.5)*(4*IF(circ_int,0,eq_c1/2)+4*IF(circ_int,0,eq_c2/2)+2*PI()*(s_0+7*s_r+IF(circ_int,eq_c1/2,0)))/INDEX(lk_legs,8))&lt;((2*IF(circ_int,0,eq_c2/2))+(PI()*(s_0+7*s_r+IF(circ_int,eq_c1/2,0))/2)),IF(circ_int,0,eq_c1/2)+(s_0+7*s_r+IF(circ_int,eq_c1/2,0))*COS((((43+0.5)*(4*IF(circ_int,0,eq_c1/2)+4*IF(circ_int,0,eq_c2/2)+2*PI()*(s_0+7*s_r+IF(circ_int,eq_c1/2,0)))/INDEX(lk_legs,8))-(2*IF(circ_int,0,eq_c2/2)))/(s_0+7*s_r+IF(circ_int,eq_c1/2,0))),IF(((43+0.5)*(4*IF(circ_int,0,eq_c1/2)+4*IF(circ_int,0,eq_c2/2)+2*PI()*(s_0+7*s_r+IF(circ_int,eq_c1/2,0)))/INDEX(lk_legs,8))&lt;(((2*IF(circ_int,0,eq_c2/2))+(PI()*(s_0+7*s_r+IF(circ_int,eq_c1/2,0))/2))+2*IF(circ_int,0,eq_c1/2)),IF(circ_int,0,eq_c1/2)-(((43+0.5)*(4*IF(circ_int,0,eq_c1/2)+4*IF(circ_int,0,eq_c2/2)+2*PI()*(s_0+7*s_r+IF(circ_int,eq_c1/2,0)))/INDEX(lk_legs,8))-((2*IF(circ_int,0,eq_c2/2))+(PI()*(s_0+7*s_r+IF(circ_int,eq_c1/2,0))/2))),IF(((43+0.5)*(4*IF(circ_int,0,eq_c1/2)+4*IF(circ_int,0,eq_c2/2)+2*PI()*(s_0+7*s_r+IF(circ_int,eq_c1/2,0)))/INDEX(lk_legs,8))&lt;((((2*IF(circ_int,0,eq_c2/2))+(PI()*(s_0+7*s_r+IF(circ_int,eq_c1/2,0))/2))+2*IF(circ_int,0,eq_c1/2))+(PI()*(s_0+7*s_r+IF(circ_int,eq_c1/2,0))/2)),-IF(circ_int,0,eq_c1/2)+(s_0+7*s_r+IF(circ_int,eq_c1/2,0))*COS(PI()/2+(((43+0.5)*(4*IF(circ_int,0,eq_c1/2)+4*IF(circ_int,0,eq_c2/2)+2*PI()*(s_0+7*s_r+IF(circ_int,eq_c1/2,0)))/INDEX(lk_legs,8))-(((2*IF(circ_int,0,eq_c2/2))+(PI()*(s_0+7*s_r+IF(circ_int,eq_c1/2,0))/2))+2*IF(circ_int,0,eq_c1/2)))/(s_0+7*s_r+IF(circ_int,eq_c1/2,0))),IF(((43+0.5)*(4*IF(circ_int,0,eq_c1/2)+4*IF(circ_int,0,eq_c2/2)+2*PI()*(s_0+7*s_r+IF(circ_int,eq_c1/2,0)))/INDEX(lk_legs,8))&lt;(((((2*IF(circ_int,0,eq_c2/2))+(PI()*(s_0+7*s_r+IF(circ_int,eq_c1/2,0))/2))+2*IF(circ_int,0,eq_c1/2))+(PI()*(s_0+7*s_r+IF(circ_int,eq_c1/2,0))/2))+2*IF(circ_int,0,eq_c2/2)),-IF(circ_int,0,eq_c1/2)-(s_0+7*s_r+IF(circ_int,eq_c1/2,0)),IF(((43+0.5)*(4*IF(circ_int,0,eq_c1/2)+4*IF(circ_int,0,eq_c2/2)+2*PI()*(s_0+7*s_r+IF(circ_int,eq_c1/2,0)))/INDEX(lk_legs,8))&lt;((((((2*IF(circ_int,0,eq_c2/2))+(PI()*(s_0+7*s_r+IF(circ_int,eq_c1/2,0))/2))+2*IF(circ_int,0,eq_c1/2))+(PI()*(s_0+7*s_r+IF(circ_int,eq_c1/2,0))/2))+2*IF(circ_int,0,eq_c2/2))+(PI()*(s_0+7*s_r+IF(circ_int,eq_c1/2,0))/2)),-IF(circ_int,0,eq_c1/2)+(s_0+7*s_r+IF(circ_int,eq_c1/2,0))*COS(PI()+(((43+0.5)*(4*IF(circ_int,0,eq_c1/2)+4*IF(circ_int,0,eq_c2/2)+2*PI()*(s_0+7*s_r+IF(circ_int,eq_c1/2,0)))/INDEX(lk_legs,8))-(((((2*IF(circ_int,0,eq_c2/2))+(PI()*(s_0+7*s_r+IF(circ_int,eq_c1/2,0))/2))+2*IF(circ_int,0,eq_c1/2))+(PI()*(s_0+7*s_r+IF(circ_int,eq_c1/2,0))/2))+2*IF(circ_int,0,eq_c2/2)))/(s_0+7*s_r+IF(circ_int,eq_c1/2,0))),IF(((43+0.5)*(4*IF(circ_int,0,eq_c1/2)+4*IF(circ_int,0,eq_c2/2)+2*PI()*(s_0+7*s_r+IF(circ_int,eq_c1/2,0)))/INDEX(lk_legs,8))&lt;(((((((2*IF(circ_int,0,eq_c2/2))+(PI()*(s_0+7*s_r+IF(circ_int,eq_c1/2,0))/2))+2*IF(circ_int,0,eq_c1/2))+(PI()*(s_0+7*s_r+IF(circ_int,eq_c1/2,0))/2))+2*IF(circ_int,0,eq_c2/2))+(PI()*(s_0+7*s_r+IF(circ_int,eq_c1/2,0))/2))+2*IF(circ_int,0,eq_c1/2)),-IF(circ_int,0,eq_c1/2)+(((43+0.5)*(4*IF(circ_int,0,eq_c1/2)+4*IF(circ_int,0,eq_c2/2)+2*PI()*(s_0+7*s_r+IF(circ_int,eq_c1/2,0)))/INDEX(lk_legs,8))-((((((2*IF(circ_int,0,eq_c2/2))+(PI()*(s_0+7*s_r+IF(circ_int,eq_c1/2,0))/2))+2*IF(circ_int,0,eq_c1/2))+(PI()*(s_0+7*s_r+IF(circ_int,eq_c1/2,0))/2))+2*IF(circ_int,0,eq_c2/2))+(PI()*(s_0+7*s_r+IF(circ_int,eq_c1/2,0))/2))),IF(circ_int,0,eq_c1/2)+(s_0+7*s_r+IF(circ_int,eq_c1/2,0))*COS(3*PI()/2+(((43+0.5)*(4*IF(circ_int,0,eq_c1/2)+4*IF(circ_int,0,eq_c2/2)+2*PI()*(s_0+7*s_r+IF(circ_int,eq_c1/2,0)))/INDEX(lk_legs,8))-(((((((2*IF(circ_int,0,eq_c2/2))+(PI()*(s_0+7*s_r+IF(circ_int,eq_c1/2,0))/2))+2*IF(circ_int,0,eq_c1/2))+(PI()*(s_0+7*s_r+IF(circ_int,eq_c1/2,0))/2))+2*IF(circ_int,0,eq_c2/2))+(PI()*(s_0+7*s_r+IF(circ_int,eq_c1/2,0))/2))+2*IF(circ_int,0,eq_c1/2)))/(s_0+7*s_r+IF(circ_int,eq_c1/2,0)))))))))),NA())</f>
        <v/>
      </c>
      <c r="CQ46">
        <f>IF(AND(AND(links_on,8&lt;=n_per),INDEX(lk_kind,8)=1,43&lt;INDEX(lk_legs,8)),g_oy+IF(((43+0.5)*(4*IF(circ_int,0,eq_c1/2)+4*IF(circ_int,0,eq_c2/2)+2*PI()*(s_0+7*s_r+IF(circ_int,eq_c1/2,0)))/INDEX(lk_legs,8))&lt;(2*IF(circ_int,0,eq_c2/2)),-IF(circ_int,0,eq_c2/2)+((43+0.5)*(4*IF(circ_int,0,eq_c1/2)+4*IF(circ_int,0,eq_c2/2)+2*PI()*(s_0+7*s_r+IF(circ_int,eq_c1/2,0)))/INDEX(lk_legs,8)),IF(((43+0.5)*(4*IF(circ_int,0,eq_c1/2)+4*IF(circ_int,0,eq_c2/2)+2*PI()*(s_0+7*s_r+IF(circ_int,eq_c1/2,0)))/INDEX(lk_legs,8))&lt;((2*IF(circ_int,0,eq_c2/2))+(PI()*(s_0+7*s_r+IF(circ_int,eq_c1/2,0))/2)),IF(circ_int,0,eq_c2/2)+(s_0+7*s_r+IF(circ_int,eq_c1/2,0))*SIN((((43+0.5)*(4*IF(circ_int,0,eq_c1/2)+4*IF(circ_int,0,eq_c2/2)+2*PI()*(s_0+7*s_r+IF(circ_int,eq_c1/2,0)))/INDEX(lk_legs,8))-(2*IF(circ_int,0,eq_c2/2)))/(s_0+7*s_r+IF(circ_int,eq_c1/2,0))),IF(((43+0.5)*(4*IF(circ_int,0,eq_c1/2)+4*IF(circ_int,0,eq_c2/2)+2*PI()*(s_0+7*s_r+IF(circ_int,eq_c1/2,0)))/INDEX(lk_legs,8))&lt;(((2*IF(circ_int,0,eq_c2/2))+(PI()*(s_0+7*s_r+IF(circ_int,eq_c1/2,0))/2))+2*IF(circ_int,0,eq_c1/2)),IF(circ_int,0,eq_c2/2)+(s_0+7*s_r+IF(circ_int,eq_c1/2,0)),IF(((43+0.5)*(4*IF(circ_int,0,eq_c1/2)+4*IF(circ_int,0,eq_c2/2)+2*PI()*(s_0+7*s_r+IF(circ_int,eq_c1/2,0)))/INDEX(lk_legs,8))&lt;((((2*IF(circ_int,0,eq_c2/2))+(PI()*(s_0+7*s_r+IF(circ_int,eq_c1/2,0))/2))+2*IF(circ_int,0,eq_c1/2))+(PI()*(s_0+7*s_r+IF(circ_int,eq_c1/2,0))/2)),IF(circ_int,0,eq_c2/2)+(s_0+7*s_r+IF(circ_int,eq_c1/2,0))*SIN(PI()/2+(((43+0.5)*(4*IF(circ_int,0,eq_c1/2)+4*IF(circ_int,0,eq_c2/2)+2*PI()*(s_0+7*s_r+IF(circ_int,eq_c1/2,0)))/INDEX(lk_legs,8))-(((2*IF(circ_int,0,eq_c2/2))+(PI()*(s_0+7*s_r+IF(circ_int,eq_c1/2,0))/2))+2*IF(circ_int,0,eq_c1/2)))/(s_0+7*s_r+IF(circ_int,eq_c1/2,0))),IF(((43+0.5)*(4*IF(circ_int,0,eq_c1/2)+4*IF(circ_int,0,eq_c2/2)+2*PI()*(s_0+7*s_r+IF(circ_int,eq_c1/2,0)))/INDEX(lk_legs,8))&lt;(((((2*IF(circ_int,0,eq_c2/2))+(PI()*(s_0+7*s_r+IF(circ_int,eq_c1/2,0))/2))+2*IF(circ_int,0,eq_c1/2))+(PI()*(s_0+7*s_r+IF(circ_int,eq_c1/2,0))/2))+2*IF(circ_int,0,eq_c2/2)),IF(circ_int,0,eq_c2/2)-(((43+0.5)*(4*IF(circ_int,0,eq_c1/2)+4*IF(circ_int,0,eq_c2/2)+2*PI()*(s_0+7*s_r+IF(circ_int,eq_c1/2,0)))/INDEX(lk_legs,8))-((((2*IF(circ_int,0,eq_c2/2))+(PI()*(s_0+7*s_r+IF(circ_int,eq_c1/2,0))/2))+2*IF(circ_int,0,eq_c1/2))+(PI()*(s_0+7*s_r+IF(circ_int,eq_c1/2,0))/2))),IF(((43+0.5)*(4*IF(circ_int,0,eq_c1/2)+4*IF(circ_int,0,eq_c2/2)+2*PI()*(s_0+7*s_r+IF(circ_int,eq_c1/2,0)))/INDEX(lk_legs,8))&lt;((((((2*IF(circ_int,0,eq_c2/2))+(PI()*(s_0+7*s_r+IF(circ_int,eq_c1/2,0))/2))+2*IF(circ_int,0,eq_c1/2))+(PI()*(s_0+7*s_r+IF(circ_int,eq_c1/2,0))/2))+2*IF(circ_int,0,eq_c2/2))+(PI()*(s_0+7*s_r+IF(circ_int,eq_c1/2,0))/2)),-IF(circ_int,0,eq_c2/2)+(s_0+7*s_r+IF(circ_int,eq_c1/2,0))*SIN(PI()+(((43+0.5)*(4*IF(circ_int,0,eq_c1/2)+4*IF(circ_int,0,eq_c2/2)+2*PI()*(s_0+7*s_r+IF(circ_int,eq_c1/2,0)))/INDEX(lk_legs,8))-(((((2*IF(circ_int,0,eq_c2/2))+(PI()*(s_0+7*s_r+IF(circ_int,eq_c1/2,0))/2))+2*IF(circ_int,0,eq_c1/2))+(PI()*(s_0+7*s_r+IF(circ_int,eq_c1/2,0))/2))+2*IF(circ_int,0,eq_c2/2)))/(s_0+7*s_r+IF(circ_int,eq_c1/2,0))),IF(((43+0.5)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(43+0.5)*(4*IF(circ_int,0,eq_c1/2)+4*IF(circ_int,0,eq_c2/2)+2*PI()*(s_0+7*s_r+IF(circ_int,eq_c1/2,0)))/INDEX(lk_legs,8))-(((((((2*IF(circ_int,0,eq_c2/2))+(PI()*(s_0+7*s_r+IF(circ_int,eq_c1/2,0))/2))+2*IF(circ_int,0,eq_c1/2))+(PI()*(s_0+7*s_r+IF(circ_int,eq_c1/2,0))/2))+2*IF(circ_int,0,eq_c2/2))+(PI()*(s_0+7*s_r+IF(circ_int,eq_c1/2,0))/2))+2*IF(circ_int,0,eq_c1/2)))/(s_0+7*s_r+IF(circ_int,eq_c1/2,0)))))))))),NA())</f>
        <v/>
      </c>
      <c r="CS46">
        <f>IF(AND(links_on,9&lt;=n_per),IF(circ_int,(g_ox)+(c_1/2+(s_0+8*s_r))*0.464723,CHOOSE(INDEX(lk_kind,9),(g_ox+eq_c1/2)+((s_0+8*s_r))*0.500000,0,eq_a1+eq_c1+(s_0+8*s_r),eq_a1+eq_c1+(s_0+8*s_r))),NA())</f>
        <v/>
      </c>
      <c r="CT46">
        <f>IF(AND(links_on,9&lt;=n_per),IF(circ_int,(g_oy)+(c_1/2+(s_0+8*s_r))*-0.885456,CHOOSE(INDEX(lk_kind,9),(g_oy-eq_c2/2)+((s_0+8*s_r))*-0.866025,g_oy-eq_c2/2-(s_0+8*s_r),0,0)),NA())</f>
        <v/>
      </c>
      <c r="CV46">
        <f>IF(AND(AND(links_on,9&lt;=n_per),INDEX(lk_kind,9)=1,43&lt;INDEX(lk_legs,9)),g_ox+IF(((43+0.5)*(4*IF(circ_int,0,eq_c1/2)+4*IF(circ_int,0,eq_c2/2)+2*PI()*(s_0+8*s_r+IF(circ_int,eq_c1/2,0)))/INDEX(lk_legs,9))&lt;(2*IF(circ_int,0,eq_c2/2)),IF(circ_int,0,eq_c1/2)+(s_0+8*s_r+IF(circ_int,eq_c1/2,0)),IF(((43+0.5)*(4*IF(circ_int,0,eq_c1/2)+4*IF(circ_int,0,eq_c2/2)+2*PI()*(s_0+8*s_r+IF(circ_int,eq_c1/2,0)))/INDEX(lk_legs,9))&lt;((2*IF(circ_int,0,eq_c2/2))+(PI()*(s_0+8*s_r+IF(circ_int,eq_c1/2,0))/2)),IF(circ_int,0,eq_c1/2)+(s_0+8*s_r+IF(circ_int,eq_c1/2,0))*COS((((43+0.5)*(4*IF(circ_int,0,eq_c1/2)+4*IF(circ_int,0,eq_c2/2)+2*PI()*(s_0+8*s_r+IF(circ_int,eq_c1/2,0)))/INDEX(lk_legs,9))-(2*IF(circ_int,0,eq_c2/2)))/(s_0+8*s_r+IF(circ_int,eq_c1/2,0))),IF(((43+0.5)*(4*IF(circ_int,0,eq_c1/2)+4*IF(circ_int,0,eq_c2/2)+2*PI()*(s_0+8*s_r+IF(circ_int,eq_c1/2,0)))/INDEX(lk_legs,9))&lt;(((2*IF(circ_int,0,eq_c2/2))+(PI()*(s_0+8*s_r+IF(circ_int,eq_c1/2,0))/2))+2*IF(circ_int,0,eq_c1/2)),IF(circ_int,0,eq_c1/2)-(((43+0.5)*(4*IF(circ_int,0,eq_c1/2)+4*IF(circ_int,0,eq_c2/2)+2*PI()*(s_0+8*s_r+IF(circ_int,eq_c1/2,0)))/INDEX(lk_legs,9))-((2*IF(circ_int,0,eq_c2/2))+(PI()*(s_0+8*s_r+IF(circ_int,eq_c1/2,0))/2))),IF(((43+0.5)*(4*IF(circ_int,0,eq_c1/2)+4*IF(circ_int,0,eq_c2/2)+2*PI()*(s_0+8*s_r+IF(circ_int,eq_c1/2,0)))/INDEX(lk_legs,9))&lt;((((2*IF(circ_int,0,eq_c2/2))+(PI()*(s_0+8*s_r+IF(circ_int,eq_c1/2,0))/2))+2*IF(circ_int,0,eq_c1/2))+(PI()*(s_0+8*s_r+IF(circ_int,eq_c1/2,0))/2)),-IF(circ_int,0,eq_c1/2)+(s_0+8*s_r+IF(circ_int,eq_c1/2,0))*COS(PI()/2+(((43+0.5)*(4*IF(circ_int,0,eq_c1/2)+4*IF(circ_int,0,eq_c2/2)+2*PI()*(s_0+8*s_r+IF(circ_int,eq_c1/2,0)))/INDEX(lk_legs,9))-(((2*IF(circ_int,0,eq_c2/2))+(PI()*(s_0+8*s_r+IF(circ_int,eq_c1/2,0))/2))+2*IF(circ_int,0,eq_c1/2)))/(s_0+8*s_r+IF(circ_int,eq_c1/2,0))),IF(((43+0.5)*(4*IF(circ_int,0,eq_c1/2)+4*IF(circ_int,0,eq_c2/2)+2*PI()*(s_0+8*s_r+IF(circ_int,eq_c1/2,0)))/INDEX(lk_legs,9))&lt;(((((2*IF(circ_int,0,eq_c2/2))+(PI()*(s_0+8*s_r+IF(circ_int,eq_c1/2,0))/2))+2*IF(circ_int,0,eq_c1/2))+(PI()*(s_0+8*s_r+IF(circ_int,eq_c1/2,0))/2))+2*IF(circ_int,0,eq_c2/2)),-IF(circ_int,0,eq_c1/2)-(s_0+8*s_r+IF(circ_int,eq_c1/2,0)),IF(((43+0.5)*(4*IF(circ_int,0,eq_c1/2)+4*IF(circ_int,0,eq_c2/2)+2*PI()*(s_0+8*s_r+IF(circ_int,eq_c1/2,0)))/INDEX(lk_legs,9))&lt;((((((2*IF(circ_int,0,eq_c2/2))+(PI()*(s_0+8*s_r+IF(circ_int,eq_c1/2,0))/2))+2*IF(circ_int,0,eq_c1/2))+(PI()*(s_0+8*s_r+IF(circ_int,eq_c1/2,0))/2))+2*IF(circ_int,0,eq_c2/2))+(PI()*(s_0+8*s_r+IF(circ_int,eq_c1/2,0))/2)),-IF(circ_int,0,eq_c1/2)+(s_0+8*s_r+IF(circ_int,eq_c1/2,0))*COS(PI()+(((43+0.5)*(4*IF(circ_int,0,eq_c1/2)+4*IF(circ_int,0,eq_c2/2)+2*PI()*(s_0+8*s_r+IF(circ_int,eq_c1/2,0)))/INDEX(lk_legs,9))-(((((2*IF(circ_int,0,eq_c2/2))+(PI()*(s_0+8*s_r+IF(circ_int,eq_c1/2,0))/2))+2*IF(circ_int,0,eq_c1/2))+(PI()*(s_0+8*s_r+IF(circ_int,eq_c1/2,0))/2))+2*IF(circ_int,0,eq_c2/2)))/(s_0+8*s_r+IF(circ_int,eq_c1/2,0))),IF(((43+0.5)*(4*IF(circ_int,0,eq_c1/2)+4*IF(circ_int,0,eq_c2/2)+2*PI()*(s_0+8*s_r+IF(circ_int,eq_c1/2,0)))/INDEX(lk_legs,9))&lt;(((((((2*IF(circ_int,0,eq_c2/2))+(PI()*(s_0+8*s_r+IF(circ_int,eq_c1/2,0))/2))+2*IF(circ_int,0,eq_c1/2))+(PI()*(s_0+8*s_r+IF(circ_int,eq_c1/2,0))/2))+2*IF(circ_int,0,eq_c2/2))+(PI()*(s_0+8*s_r+IF(circ_int,eq_c1/2,0))/2))+2*IF(circ_int,0,eq_c1/2)),-IF(circ_int,0,eq_c1/2)+(((43+0.5)*(4*IF(circ_int,0,eq_c1/2)+4*IF(circ_int,0,eq_c2/2)+2*PI()*(s_0+8*s_r+IF(circ_int,eq_c1/2,0)))/INDEX(lk_legs,9))-((((((2*IF(circ_int,0,eq_c2/2))+(PI()*(s_0+8*s_r+IF(circ_int,eq_c1/2,0))/2))+2*IF(circ_int,0,eq_c1/2))+(PI()*(s_0+8*s_r+IF(circ_int,eq_c1/2,0))/2))+2*IF(circ_int,0,eq_c2/2))+(PI()*(s_0+8*s_r+IF(circ_int,eq_c1/2,0))/2))),IF(circ_int,0,eq_c1/2)+(s_0+8*s_r+IF(circ_int,eq_c1/2,0))*COS(3*PI()/2+(((43+0.5)*(4*IF(circ_int,0,eq_c1/2)+4*IF(circ_int,0,eq_c2/2)+2*PI()*(s_0+8*s_r+IF(circ_int,eq_c1/2,0)))/INDEX(lk_legs,9))-(((((((2*IF(circ_int,0,eq_c2/2))+(PI()*(s_0+8*s_r+IF(circ_int,eq_c1/2,0))/2))+2*IF(circ_int,0,eq_c1/2))+(PI()*(s_0+8*s_r+IF(circ_int,eq_c1/2,0))/2))+2*IF(circ_int,0,eq_c2/2))+(PI()*(s_0+8*s_r+IF(circ_int,eq_c1/2,0))/2))+2*IF(circ_int,0,eq_c1/2)))/(s_0+8*s_r+IF(circ_int,eq_c1/2,0)))))))))),NA())</f>
        <v/>
      </c>
      <c r="CW46">
        <f>IF(AND(AND(links_on,9&lt;=n_per),INDEX(lk_kind,9)=1,43&lt;INDEX(lk_legs,9)),g_oy+IF(((43+0.5)*(4*IF(circ_int,0,eq_c1/2)+4*IF(circ_int,0,eq_c2/2)+2*PI()*(s_0+8*s_r+IF(circ_int,eq_c1/2,0)))/INDEX(lk_legs,9))&lt;(2*IF(circ_int,0,eq_c2/2)),-IF(circ_int,0,eq_c2/2)+((43+0.5)*(4*IF(circ_int,0,eq_c1/2)+4*IF(circ_int,0,eq_c2/2)+2*PI()*(s_0+8*s_r+IF(circ_int,eq_c1/2,0)))/INDEX(lk_legs,9)),IF(((43+0.5)*(4*IF(circ_int,0,eq_c1/2)+4*IF(circ_int,0,eq_c2/2)+2*PI()*(s_0+8*s_r+IF(circ_int,eq_c1/2,0)))/INDEX(lk_legs,9))&lt;((2*IF(circ_int,0,eq_c2/2))+(PI()*(s_0+8*s_r+IF(circ_int,eq_c1/2,0))/2)),IF(circ_int,0,eq_c2/2)+(s_0+8*s_r+IF(circ_int,eq_c1/2,0))*SIN((((43+0.5)*(4*IF(circ_int,0,eq_c1/2)+4*IF(circ_int,0,eq_c2/2)+2*PI()*(s_0+8*s_r+IF(circ_int,eq_c1/2,0)))/INDEX(lk_legs,9))-(2*IF(circ_int,0,eq_c2/2)))/(s_0+8*s_r+IF(circ_int,eq_c1/2,0))),IF(((43+0.5)*(4*IF(circ_int,0,eq_c1/2)+4*IF(circ_int,0,eq_c2/2)+2*PI()*(s_0+8*s_r+IF(circ_int,eq_c1/2,0)))/INDEX(lk_legs,9))&lt;(((2*IF(circ_int,0,eq_c2/2))+(PI()*(s_0+8*s_r+IF(circ_int,eq_c1/2,0))/2))+2*IF(circ_int,0,eq_c1/2)),IF(circ_int,0,eq_c2/2)+(s_0+8*s_r+IF(circ_int,eq_c1/2,0)),IF(((43+0.5)*(4*IF(circ_int,0,eq_c1/2)+4*IF(circ_int,0,eq_c2/2)+2*PI()*(s_0+8*s_r+IF(circ_int,eq_c1/2,0)))/INDEX(lk_legs,9))&lt;((((2*IF(circ_int,0,eq_c2/2))+(PI()*(s_0+8*s_r+IF(circ_int,eq_c1/2,0))/2))+2*IF(circ_int,0,eq_c1/2))+(PI()*(s_0+8*s_r+IF(circ_int,eq_c1/2,0))/2)),IF(circ_int,0,eq_c2/2)+(s_0+8*s_r+IF(circ_int,eq_c1/2,0))*SIN(PI()/2+(((43+0.5)*(4*IF(circ_int,0,eq_c1/2)+4*IF(circ_int,0,eq_c2/2)+2*PI()*(s_0+8*s_r+IF(circ_int,eq_c1/2,0)))/INDEX(lk_legs,9))-(((2*IF(circ_int,0,eq_c2/2))+(PI()*(s_0+8*s_r+IF(circ_int,eq_c1/2,0))/2))+2*IF(circ_int,0,eq_c1/2)))/(s_0+8*s_r+IF(circ_int,eq_c1/2,0))),IF(((43+0.5)*(4*IF(circ_int,0,eq_c1/2)+4*IF(circ_int,0,eq_c2/2)+2*PI()*(s_0+8*s_r+IF(circ_int,eq_c1/2,0)))/INDEX(lk_legs,9))&lt;(((((2*IF(circ_int,0,eq_c2/2))+(PI()*(s_0+8*s_r+IF(circ_int,eq_c1/2,0))/2))+2*IF(circ_int,0,eq_c1/2))+(PI()*(s_0+8*s_r+IF(circ_int,eq_c1/2,0))/2))+2*IF(circ_int,0,eq_c2/2)),IF(circ_int,0,eq_c2/2)-(((43+0.5)*(4*IF(circ_int,0,eq_c1/2)+4*IF(circ_int,0,eq_c2/2)+2*PI()*(s_0+8*s_r+IF(circ_int,eq_c1/2,0)))/INDEX(lk_legs,9))-((((2*IF(circ_int,0,eq_c2/2))+(PI()*(s_0+8*s_r+IF(circ_int,eq_c1/2,0))/2))+2*IF(circ_int,0,eq_c1/2))+(PI()*(s_0+8*s_r+IF(circ_int,eq_c1/2,0))/2))),IF(((43+0.5)*(4*IF(circ_int,0,eq_c1/2)+4*IF(circ_int,0,eq_c2/2)+2*PI()*(s_0+8*s_r+IF(circ_int,eq_c1/2,0)))/INDEX(lk_legs,9))&lt;((((((2*IF(circ_int,0,eq_c2/2))+(PI()*(s_0+8*s_r+IF(circ_int,eq_c1/2,0))/2))+2*IF(circ_int,0,eq_c1/2))+(PI()*(s_0+8*s_r+IF(circ_int,eq_c1/2,0))/2))+2*IF(circ_int,0,eq_c2/2))+(PI()*(s_0+8*s_r+IF(circ_int,eq_c1/2,0))/2)),-IF(circ_int,0,eq_c2/2)+(s_0+8*s_r+IF(circ_int,eq_c1/2,0))*SIN(PI()+(((43+0.5)*(4*IF(circ_int,0,eq_c1/2)+4*IF(circ_int,0,eq_c2/2)+2*PI()*(s_0+8*s_r+IF(circ_int,eq_c1/2,0)))/INDEX(lk_legs,9))-(((((2*IF(circ_int,0,eq_c2/2))+(PI()*(s_0+8*s_r+IF(circ_int,eq_c1/2,0))/2))+2*IF(circ_int,0,eq_c1/2))+(PI()*(s_0+8*s_r+IF(circ_int,eq_c1/2,0))/2))+2*IF(circ_int,0,eq_c2/2)))/(s_0+8*s_r+IF(circ_int,eq_c1/2,0))),IF(((43+0.5)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(43+0.5)*(4*IF(circ_int,0,eq_c1/2)+4*IF(circ_int,0,eq_c2/2)+2*PI()*(s_0+8*s_r+IF(circ_int,eq_c1/2,0)))/INDEX(lk_legs,9))-(((((((2*IF(circ_int,0,eq_c2/2))+(PI()*(s_0+8*s_r+IF(circ_int,eq_c1/2,0))/2))+2*IF(circ_int,0,eq_c1/2))+(PI()*(s_0+8*s_r+IF(circ_int,eq_c1/2,0))/2))+2*IF(circ_int,0,eq_c2/2))+(PI()*(s_0+8*s_r+IF(circ_int,eq_c1/2,0))/2))+2*IF(circ_int,0,eq_c1/2)))/(s_0+8*s_r+IF(circ_int,eq_c1/2,0)))))))))),NA())</f>
        <v/>
      </c>
      <c r="CY46">
        <f>IF(AND(links_on,10&lt;=n_per),IF(circ_int,(g_ox)+(c_1/2+(s_0+9*s_r))*0.464723,CHOOSE(INDEX(lk_kind,10),(g_ox+eq_c1/2)+((s_0+9*s_r))*0.500000,0,eq_a1+eq_c1+(s_0+9*s_r),eq_a1+eq_c1+(s_0+9*s_r))),NA())</f>
        <v/>
      </c>
      <c r="CZ46">
        <f>IF(AND(links_on,10&lt;=n_per),IF(circ_int,(g_oy)+(c_1/2+(s_0+9*s_r))*-0.885456,CHOOSE(INDEX(lk_kind,10),(g_oy-eq_c2/2)+((s_0+9*s_r))*-0.866025,g_oy-eq_c2/2-(s_0+9*s_r),0,0)),NA())</f>
        <v/>
      </c>
      <c r="DB46">
        <f>IF(AND(AND(links_on,10&lt;=n_per),INDEX(lk_kind,10)=1,43&lt;INDEX(lk_legs,10)),g_ox+IF(((43+0.5)*(4*IF(circ_int,0,eq_c1/2)+4*IF(circ_int,0,eq_c2/2)+2*PI()*(s_0+9*s_r+IF(circ_int,eq_c1/2,0)))/INDEX(lk_legs,10))&lt;(2*IF(circ_int,0,eq_c2/2)),IF(circ_int,0,eq_c1/2)+(s_0+9*s_r+IF(circ_int,eq_c1/2,0)),IF(((43+0.5)*(4*IF(circ_int,0,eq_c1/2)+4*IF(circ_int,0,eq_c2/2)+2*PI()*(s_0+9*s_r+IF(circ_int,eq_c1/2,0)))/INDEX(lk_legs,10))&lt;((2*IF(circ_int,0,eq_c2/2))+(PI()*(s_0+9*s_r+IF(circ_int,eq_c1/2,0))/2)),IF(circ_int,0,eq_c1/2)+(s_0+9*s_r+IF(circ_int,eq_c1/2,0))*COS((((43+0.5)*(4*IF(circ_int,0,eq_c1/2)+4*IF(circ_int,0,eq_c2/2)+2*PI()*(s_0+9*s_r+IF(circ_int,eq_c1/2,0)))/INDEX(lk_legs,10))-(2*IF(circ_int,0,eq_c2/2)))/(s_0+9*s_r+IF(circ_int,eq_c1/2,0))),IF(((43+0.5)*(4*IF(circ_int,0,eq_c1/2)+4*IF(circ_int,0,eq_c2/2)+2*PI()*(s_0+9*s_r+IF(circ_int,eq_c1/2,0)))/INDEX(lk_legs,10))&lt;(((2*IF(circ_int,0,eq_c2/2))+(PI()*(s_0+9*s_r+IF(circ_int,eq_c1/2,0))/2))+2*IF(circ_int,0,eq_c1/2)),IF(circ_int,0,eq_c1/2)-(((43+0.5)*(4*IF(circ_int,0,eq_c1/2)+4*IF(circ_int,0,eq_c2/2)+2*PI()*(s_0+9*s_r+IF(circ_int,eq_c1/2,0)))/INDEX(lk_legs,10))-((2*IF(circ_int,0,eq_c2/2))+(PI()*(s_0+9*s_r+IF(circ_int,eq_c1/2,0))/2))),IF(((43+0.5)*(4*IF(circ_int,0,eq_c1/2)+4*IF(circ_int,0,eq_c2/2)+2*PI()*(s_0+9*s_r+IF(circ_int,eq_c1/2,0)))/INDEX(lk_legs,10))&lt;((((2*IF(circ_int,0,eq_c2/2))+(PI()*(s_0+9*s_r+IF(circ_int,eq_c1/2,0))/2))+2*IF(circ_int,0,eq_c1/2))+(PI()*(s_0+9*s_r+IF(circ_int,eq_c1/2,0))/2)),-IF(circ_int,0,eq_c1/2)+(s_0+9*s_r+IF(circ_int,eq_c1/2,0))*COS(PI()/2+(((43+0.5)*(4*IF(circ_int,0,eq_c1/2)+4*IF(circ_int,0,eq_c2/2)+2*PI()*(s_0+9*s_r+IF(circ_int,eq_c1/2,0)))/INDEX(lk_legs,10))-(((2*IF(circ_int,0,eq_c2/2))+(PI()*(s_0+9*s_r+IF(circ_int,eq_c1/2,0))/2))+2*IF(circ_int,0,eq_c1/2)))/(s_0+9*s_r+IF(circ_int,eq_c1/2,0))),IF(((43+0.5)*(4*IF(circ_int,0,eq_c1/2)+4*IF(circ_int,0,eq_c2/2)+2*PI()*(s_0+9*s_r+IF(circ_int,eq_c1/2,0)))/INDEX(lk_legs,10))&lt;(((((2*IF(circ_int,0,eq_c2/2))+(PI()*(s_0+9*s_r+IF(circ_int,eq_c1/2,0))/2))+2*IF(circ_int,0,eq_c1/2))+(PI()*(s_0+9*s_r+IF(circ_int,eq_c1/2,0))/2))+2*IF(circ_int,0,eq_c2/2)),-IF(circ_int,0,eq_c1/2)-(s_0+9*s_r+IF(circ_int,eq_c1/2,0)),IF(((43+0.5)*(4*IF(circ_int,0,eq_c1/2)+4*IF(circ_int,0,eq_c2/2)+2*PI()*(s_0+9*s_r+IF(circ_int,eq_c1/2,0)))/INDEX(lk_legs,10))&lt;((((((2*IF(circ_int,0,eq_c2/2))+(PI()*(s_0+9*s_r+IF(circ_int,eq_c1/2,0))/2))+2*IF(circ_int,0,eq_c1/2))+(PI()*(s_0+9*s_r+IF(circ_int,eq_c1/2,0))/2))+2*IF(circ_int,0,eq_c2/2))+(PI()*(s_0+9*s_r+IF(circ_int,eq_c1/2,0))/2)),-IF(circ_int,0,eq_c1/2)+(s_0+9*s_r+IF(circ_int,eq_c1/2,0))*COS(PI()+(((43+0.5)*(4*IF(circ_int,0,eq_c1/2)+4*IF(circ_int,0,eq_c2/2)+2*PI()*(s_0+9*s_r+IF(circ_int,eq_c1/2,0)))/INDEX(lk_legs,10))-(((((2*IF(circ_int,0,eq_c2/2))+(PI()*(s_0+9*s_r+IF(circ_int,eq_c1/2,0))/2))+2*IF(circ_int,0,eq_c1/2))+(PI()*(s_0+9*s_r+IF(circ_int,eq_c1/2,0))/2))+2*IF(circ_int,0,eq_c2/2)))/(s_0+9*s_r+IF(circ_int,eq_c1/2,0))),IF(((43+0.5)*(4*IF(circ_int,0,eq_c1/2)+4*IF(circ_int,0,eq_c2/2)+2*PI()*(s_0+9*s_r+IF(circ_int,eq_c1/2,0)))/INDEX(lk_legs,10))&lt;(((((((2*IF(circ_int,0,eq_c2/2))+(PI()*(s_0+9*s_r+IF(circ_int,eq_c1/2,0))/2))+2*IF(circ_int,0,eq_c1/2))+(PI()*(s_0+9*s_r+IF(circ_int,eq_c1/2,0))/2))+2*IF(circ_int,0,eq_c2/2))+(PI()*(s_0+9*s_r+IF(circ_int,eq_c1/2,0))/2))+2*IF(circ_int,0,eq_c1/2)),-IF(circ_int,0,eq_c1/2)+(((43+0.5)*(4*IF(circ_int,0,eq_c1/2)+4*IF(circ_int,0,eq_c2/2)+2*PI()*(s_0+9*s_r+IF(circ_int,eq_c1/2,0)))/INDEX(lk_legs,10))-((((((2*IF(circ_int,0,eq_c2/2))+(PI()*(s_0+9*s_r+IF(circ_int,eq_c1/2,0))/2))+2*IF(circ_int,0,eq_c1/2))+(PI()*(s_0+9*s_r+IF(circ_int,eq_c1/2,0))/2))+2*IF(circ_int,0,eq_c2/2))+(PI()*(s_0+9*s_r+IF(circ_int,eq_c1/2,0))/2))),IF(circ_int,0,eq_c1/2)+(s_0+9*s_r+IF(circ_int,eq_c1/2,0))*COS(3*PI()/2+(((43+0.5)*(4*IF(circ_int,0,eq_c1/2)+4*IF(circ_int,0,eq_c2/2)+2*PI()*(s_0+9*s_r+IF(circ_int,eq_c1/2,0)))/INDEX(lk_legs,10))-(((((((2*IF(circ_int,0,eq_c2/2))+(PI()*(s_0+9*s_r+IF(circ_int,eq_c1/2,0))/2))+2*IF(circ_int,0,eq_c1/2))+(PI()*(s_0+9*s_r+IF(circ_int,eq_c1/2,0))/2))+2*IF(circ_int,0,eq_c2/2))+(PI()*(s_0+9*s_r+IF(circ_int,eq_c1/2,0))/2))+2*IF(circ_int,0,eq_c1/2)))/(s_0+9*s_r+IF(circ_int,eq_c1/2,0)))))))))),NA())</f>
        <v/>
      </c>
      <c r="DC46">
        <f>IF(AND(AND(links_on,10&lt;=n_per),INDEX(lk_kind,10)=1,43&lt;INDEX(lk_legs,10)),g_oy+IF(((43+0.5)*(4*IF(circ_int,0,eq_c1/2)+4*IF(circ_int,0,eq_c2/2)+2*PI()*(s_0+9*s_r+IF(circ_int,eq_c1/2,0)))/INDEX(lk_legs,10))&lt;(2*IF(circ_int,0,eq_c2/2)),-IF(circ_int,0,eq_c2/2)+((43+0.5)*(4*IF(circ_int,0,eq_c1/2)+4*IF(circ_int,0,eq_c2/2)+2*PI()*(s_0+9*s_r+IF(circ_int,eq_c1/2,0)))/INDEX(lk_legs,10)),IF(((43+0.5)*(4*IF(circ_int,0,eq_c1/2)+4*IF(circ_int,0,eq_c2/2)+2*PI()*(s_0+9*s_r+IF(circ_int,eq_c1/2,0)))/INDEX(lk_legs,10))&lt;((2*IF(circ_int,0,eq_c2/2))+(PI()*(s_0+9*s_r+IF(circ_int,eq_c1/2,0))/2)),IF(circ_int,0,eq_c2/2)+(s_0+9*s_r+IF(circ_int,eq_c1/2,0))*SIN((((43+0.5)*(4*IF(circ_int,0,eq_c1/2)+4*IF(circ_int,0,eq_c2/2)+2*PI()*(s_0+9*s_r+IF(circ_int,eq_c1/2,0)))/INDEX(lk_legs,10))-(2*IF(circ_int,0,eq_c2/2)))/(s_0+9*s_r+IF(circ_int,eq_c1/2,0))),IF(((43+0.5)*(4*IF(circ_int,0,eq_c1/2)+4*IF(circ_int,0,eq_c2/2)+2*PI()*(s_0+9*s_r+IF(circ_int,eq_c1/2,0)))/INDEX(lk_legs,10))&lt;(((2*IF(circ_int,0,eq_c2/2))+(PI()*(s_0+9*s_r+IF(circ_int,eq_c1/2,0))/2))+2*IF(circ_int,0,eq_c1/2)),IF(circ_int,0,eq_c2/2)+(s_0+9*s_r+IF(circ_int,eq_c1/2,0)),IF(((43+0.5)*(4*IF(circ_int,0,eq_c1/2)+4*IF(circ_int,0,eq_c2/2)+2*PI()*(s_0+9*s_r+IF(circ_int,eq_c1/2,0)))/INDEX(lk_legs,10))&lt;((((2*IF(circ_int,0,eq_c2/2))+(PI()*(s_0+9*s_r+IF(circ_int,eq_c1/2,0))/2))+2*IF(circ_int,0,eq_c1/2))+(PI()*(s_0+9*s_r+IF(circ_int,eq_c1/2,0))/2)),IF(circ_int,0,eq_c2/2)+(s_0+9*s_r+IF(circ_int,eq_c1/2,0))*SIN(PI()/2+(((43+0.5)*(4*IF(circ_int,0,eq_c1/2)+4*IF(circ_int,0,eq_c2/2)+2*PI()*(s_0+9*s_r+IF(circ_int,eq_c1/2,0)))/INDEX(lk_legs,10))-(((2*IF(circ_int,0,eq_c2/2))+(PI()*(s_0+9*s_r+IF(circ_int,eq_c1/2,0))/2))+2*IF(circ_int,0,eq_c1/2)))/(s_0+9*s_r+IF(circ_int,eq_c1/2,0))),IF(((43+0.5)*(4*IF(circ_int,0,eq_c1/2)+4*IF(circ_int,0,eq_c2/2)+2*PI()*(s_0+9*s_r+IF(circ_int,eq_c1/2,0)))/INDEX(lk_legs,10))&lt;(((((2*IF(circ_int,0,eq_c2/2))+(PI()*(s_0+9*s_r+IF(circ_int,eq_c1/2,0))/2))+2*IF(circ_int,0,eq_c1/2))+(PI()*(s_0+9*s_r+IF(circ_int,eq_c1/2,0))/2))+2*IF(circ_int,0,eq_c2/2)),IF(circ_int,0,eq_c2/2)-(((43+0.5)*(4*IF(circ_int,0,eq_c1/2)+4*IF(circ_int,0,eq_c2/2)+2*PI()*(s_0+9*s_r+IF(circ_int,eq_c1/2,0)))/INDEX(lk_legs,10))-((((2*IF(circ_int,0,eq_c2/2))+(PI()*(s_0+9*s_r+IF(circ_int,eq_c1/2,0))/2))+2*IF(circ_int,0,eq_c1/2))+(PI()*(s_0+9*s_r+IF(circ_int,eq_c1/2,0))/2))),IF(((43+0.5)*(4*IF(circ_int,0,eq_c1/2)+4*IF(circ_int,0,eq_c2/2)+2*PI()*(s_0+9*s_r+IF(circ_int,eq_c1/2,0)))/INDEX(lk_legs,10))&lt;((((((2*IF(circ_int,0,eq_c2/2))+(PI()*(s_0+9*s_r+IF(circ_int,eq_c1/2,0))/2))+2*IF(circ_int,0,eq_c1/2))+(PI()*(s_0+9*s_r+IF(circ_int,eq_c1/2,0))/2))+2*IF(circ_int,0,eq_c2/2))+(PI()*(s_0+9*s_r+IF(circ_int,eq_c1/2,0))/2)),-IF(circ_int,0,eq_c2/2)+(s_0+9*s_r+IF(circ_int,eq_c1/2,0))*SIN(PI()+(((43+0.5)*(4*IF(circ_int,0,eq_c1/2)+4*IF(circ_int,0,eq_c2/2)+2*PI()*(s_0+9*s_r+IF(circ_int,eq_c1/2,0)))/INDEX(lk_legs,10))-(((((2*IF(circ_int,0,eq_c2/2))+(PI()*(s_0+9*s_r+IF(circ_int,eq_c1/2,0))/2))+2*IF(circ_int,0,eq_c1/2))+(PI()*(s_0+9*s_r+IF(circ_int,eq_c1/2,0))/2))+2*IF(circ_int,0,eq_c2/2)))/(s_0+9*s_r+IF(circ_int,eq_c1/2,0))),IF(((43+0.5)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(43+0.5)*(4*IF(circ_int,0,eq_c1/2)+4*IF(circ_int,0,eq_c2/2)+2*PI()*(s_0+9*s_r+IF(circ_int,eq_c1/2,0)))/INDEX(lk_legs,10))-(((((((2*IF(circ_int,0,eq_c2/2))+(PI()*(s_0+9*s_r+IF(circ_int,eq_c1/2,0))/2))+2*IF(circ_int,0,eq_c1/2))+(PI()*(s_0+9*s_r+IF(circ_int,eq_c1/2,0))/2))+2*IF(circ_int,0,eq_c2/2))+(PI()*(s_0+9*s_r+IF(circ_int,eq_c1/2,0))/2))+2*IF(circ_int,0,eq_c1/2)))/(s_0+9*s_r+IF(circ_int,eq_c1/2,0)))))))))),NA())</f>
        <v/>
      </c>
      <c r="DE46">
        <f>IF(AND(links_on,11&lt;=n_per),IF(circ_int,(g_ox)+(c_1/2+(s_0+10*s_r))*0.464723,CHOOSE(INDEX(lk_kind,11),(g_ox+eq_c1/2)+((s_0+10*s_r))*0.500000,0,eq_a1+eq_c1+(s_0+10*s_r),eq_a1+eq_c1+(s_0+10*s_r))),NA())</f>
        <v/>
      </c>
      <c r="DF46">
        <f>IF(AND(links_on,11&lt;=n_per),IF(circ_int,(g_oy)+(c_1/2+(s_0+10*s_r))*-0.885456,CHOOSE(INDEX(lk_kind,11),(g_oy-eq_c2/2)+((s_0+10*s_r))*-0.866025,g_oy-eq_c2/2-(s_0+10*s_r),0,0)),NA())</f>
        <v/>
      </c>
      <c r="DH46">
        <f>IF(AND(AND(links_on,11&lt;=n_per),INDEX(lk_kind,11)=1,43&lt;INDEX(lk_legs,11)),g_ox+IF(((43+0.5)*(4*IF(circ_int,0,eq_c1/2)+4*IF(circ_int,0,eq_c2/2)+2*PI()*(s_0+10*s_r+IF(circ_int,eq_c1/2,0)))/INDEX(lk_legs,11))&lt;(2*IF(circ_int,0,eq_c2/2)),IF(circ_int,0,eq_c1/2)+(s_0+10*s_r+IF(circ_int,eq_c1/2,0)),IF(((43+0.5)*(4*IF(circ_int,0,eq_c1/2)+4*IF(circ_int,0,eq_c2/2)+2*PI()*(s_0+10*s_r+IF(circ_int,eq_c1/2,0)))/INDEX(lk_legs,11))&lt;((2*IF(circ_int,0,eq_c2/2))+(PI()*(s_0+10*s_r+IF(circ_int,eq_c1/2,0))/2)),IF(circ_int,0,eq_c1/2)+(s_0+10*s_r+IF(circ_int,eq_c1/2,0))*COS((((43+0.5)*(4*IF(circ_int,0,eq_c1/2)+4*IF(circ_int,0,eq_c2/2)+2*PI()*(s_0+10*s_r+IF(circ_int,eq_c1/2,0)))/INDEX(lk_legs,11))-(2*IF(circ_int,0,eq_c2/2)))/(s_0+10*s_r+IF(circ_int,eq_c1/2,0))),IF(((43+0.5)*(4*IF(circ_int,0,eq_c1/2)+4*IF(circ_int,0,eq_c2/2)+2*PI()*(s_0+10*s_r+IF(circ_int,eq_c1/2,0)))/INDEX(lk_legs,11))&lt;(((2*IF(circ_int,0,eq_c2/2))+(PI()*(s_0+10*s_r+IF(circ_int,eq_c1/2,0))/2))+2*IF(circ_int,0,eq_c1/2)),IF(circ_int,0,eq_c1/2)-(((43+0.5)*(4*IF(circ_int,0,eq_c1/2)+4*IF(circ_int,0,eq_c2/2)+2*PI()*(s_0+10*s_r+IF(circ_int,eq_c1/2,0)))/INDEX(lk_legs,11))-((2*IF(circ_int,0,eq_c2/2))+(PI()*(s_0+10*s_r+IF(circ_int,eq_c1/2,0))/2))),IF(((43+0.5)*(4*IF(circ_int,0,eq_c1/2)+4*IF(circ_int,0,eq_c2/2)+2*PI()*(s_0+10*s_r+IF(circ_int,eq_c1/2,0)))/INDEX(lk_legs,11))&lt;((((2*IF(circ_int,0,eq_c2/2))+(PI()*(s_0+10*s_r+IF(circ_int,eq_c1/2,0))/2))+2*IF(circ_int,0,eq_c1/2))+(PI()*(s_0+10*s_r+IF(circ_int,eq_c1/2,0))/2)),-IF(circ_int,0,eq_c1/2)+(s_0+10*s_r+IF(circ_int,eq_c1/2,0))*COS(PI()/2+(((43+0.5)*(4*IF(circ_int,0,eq_c1/2)+4*IF(circ_int,0,eq_c2/2)+2*PI()*(s_0+10*s_r+IF(circ_int,eq_c1/2,0)))/INDEX(lk_legs,11))-(((2*IF(circ_int,0,eq_c2/2))+(PI()*(s_0+10*s_r+IF(circ_int,eq_c1/2,0))/2))+2*IF(circ_int,0,eq_c1/2)))/(s_0+10*s_r+IF(circ_int,eq_c1/2,0))),IF(((43+0.5)*(4*IF(circ_int,0,eq_c1/2)+4*IF(circ_int,0,eq_c2/2)+2*PI()*(s_0+10*s_r+IF(circ_int,eq_c1/2,0)))/INDEX(lk_legs,11))&lt;(((((2*IF(circ_int,0,eq_c2/2))+(PI()*(s_0+10*s_r+IF(circ_int,eq_c1/2,0))/2))+2*IF(circ_int,0,eq_c1/2))+(PI()*(s_0+10*s_r+IF(circ_int,eq_c1/2,0))/2))+2*IF(circ_int,0,eq_c2/2)),-IF(circ_int,0,eq_c1/2)-(s_0+10*s_r+IF(circ_int,eq_c1/2,0)),IF(((43+0.5)*(4*IF(circ_int,0,eq_c1/2)+4*IF(circ_int,0,eq_c2/2)+2*PI()*(s_0+10*s_r+IF(circ_int,eq_c1/2,0)))/INDEX(lk_legs,11))&lt;((((((2*IF(circ_int,0,eq_c2/2))+(PI()*(s_0+10*s_r+IF(circ_int,eq_c1/2,0))/2))+2*IF(circ_int,0,eq_c1/2))+(PI()*(s_0+10*s_r+IF(circ_int,eq_c1/2,0))/2))+2*IF(circ_int,0,eq_c2/2))+(PI()*(s_0+10*s_r+IF(circ_int,eq_c1/2,0))/2)),-IF(circ_int,0,eq_c1/2)+(s_0+10*s_r+IF(circ_int,eq_c1/2,0))*COS(PI()+(((43+0.5)*(4*IF(circ_int,0,eq_c1/2)+4*IF(circ_int,0,eq_c2/2)+2*PI()*(s_0+10*s_r+IF(circ_int,eq_c1/2,0)))/INDEX(lk_legs,11))-(((((2*IF(circ_int,0,eq_c2/2))+(PI()*(s_0+10*s_r+IF(circ_int,eq_c1/2,0))/2))+2*IF(circ_int,0,eq_c1/2))+(PI()*(s_0+10*s_r+IF(circ_int,eq_c1/2,0))/2))+2*IF(circ_int,0,eq_c2/2)))/(s_0+10*s_r+IF(circ_int,eq_c1/2,0))),IF(((43+0.5)*(4*IF(circ_int,0,eq_c1/2)+4*IF(circ_int,0,eq_c2/2)+2*PI()*(s_0+10*s_r+IF(circ_int,eq_c1/2,0)))/INDEX(lk_legs,11))&lt;(((((((2*IF(circ_int,0,eq_c2/2))+(PI()*(s_0+10*s_r+IF(circ_int,eq_c1/2,0))/2))+2*IF(circ_int,0,eq_c1/2))+(PI()*(s_0+10*s_r+IF(circ_int,eq_c1/2,0))/2))+2*IF(circ_int,0,eq_c2/2))+(PI()*(s_0+10*s_r+IF(circ_int,eq_c1/2,0))/2))+2*IF(circ_int,0,eq_c1/2)),-IF(circ_int,0,eq_c1/2)+(((43+0.5)*(4*IF(circ_int,0,eq_c1/2)+4*IF(circ_int,0,eq_c2/2)+2*PI()*(s_0+10*s_r+IF(circ_int,eq_c1/2,0)))/INDEX(lk_legs,11))-((((((2*IF(circ_int,0,eq_c2/2))+(PI()*(s_0+10*s_r+IF(circ_int,eq_c1/2,0))/2))+2*IF(circ_int,0,eq_c1/2))+(PI()*(s_0+10*s_r+IF(circ_int,eq_c1/2,0))/2))+2*IF(circ_int,0,eq_c2/2))+(PI()*(s_0+10*s_r+IF(circ_int,eq_c1/2,0))/2))),IF(circ_int,0,eq_c1/2)+(s_0+10*s_r+IF(circ_int,eq_c1/2,0))*COS(3*PI()/2+(((43+0.5)*(4*IF(circ_int,0,eq_c1/2)+4*IF(circ_int,0,eq_c2/2)+2*PI()*(s_0+10*s_r+IF(circ_int,eq_c1/2,0)))/INDEX(lk_legs,11))-(((((((2*IF(circ_int,0,eq_c2/2))+(PI()*(s_0+10*s_r+IF(circ_int,eq_c1/2,0))/2))+2*IF(circ_int,0,eq_c1/2))+(PI()*(s_0+10*s_r+IF(circ_int,eq_c1/2,0))/2))+2*IF(circ_int,0,eq_c2/2))+(PI()*(s_0+10*s_r+IF(circ_int,eq_c1/2,0))/2))+2*IF(circ_int,0,eq_c1/2)))/(s_0+10*s_r+IF(circ_int,eq_c1/2,0)))))))))),NA())</f>
        <v/>
      </c>
      <c r="DI46">
        <f>IF(AND(AND(links_on,11&lt;=n_per),INDEX(lk_kind,11)=1,43&lt;INDEX(lk_legs,11)),g_oy+IF(((43+0.5)*(4*IF(circ_int,0,eq_c1/2)+4*IF(circ_int,0,eq_c2/2)+2*PI()*(s_0+10*s_r+IF(circ_int,eq_c1/2,0)))/INDEX(lk_legs,11))&lt;(2*IF(circ_int,0,eq_c2/2)),-IF(circ_int,0,eq_c2/2)+((43+0.5)*(4*IF(circ_int,0,eq_c1/2)+4*IF(circ_int,0,eq_c2/2)+2*PI()*(s_0+10*s_r+IF(circ_int,eq_c1/2,0)))/INDEX(lk_legs,11)),IF(((43+0.5)*(4*IF(circ_int,0,eq_c1/2)+4*IF(circ_int,0,eq_c2/2)+2*PI()*(s_0+10*s_r+IF(circ_int,eq_c1/2,0)))/INDEX(lk_legs,11))&lt;((2*IF(circ_int,0,eq_c2/2))+(PI()*(s_0+10*s_r+IF(circ_int,eq_c1/2,0))/2)),IF(circ_int,0,eq_c2/2)+(s_0+10*s_r+IF(circ_int,eq_c1/2,0))*SIN((((43+0.5)*(4*IF(circ_int,0,eq_c1/2)+4*IF(circ_int,0,eq_c2/2)+2*PI()*(s_0+10*s_r+IF(circ_int,eq_c1/2,0)))/INDEX(lk_legs,11))-(2*IF(circ_int,0,eq_c2/2)))/(s_0+10*s_r+IF(circ_int,eq_c1/2,0))),IF(((43+0.5)*(4*IF(circ_int,0,eq_c1/2)+4*IF(circ_int,0,eq_c2/2)+2*PI()*(s_0+10*s_r+IF(circ_int,eq_c1/2,0)))/INDEX(lk_legs,11))&lt;(((2*IF(circ_int,0,eq_c2/2))+(PI()*(s_0+10*s_r+IF(circ_int,eq_c1/2,0))/2))+2*IF(circ_int,0,eq_c1/2)),IF(circ_int,0,eq_c2/2)+(s_0+10*s_r+IF(circ_int,eq_c1/2,0)),IF(((43+0.5)*(4*IF(circ_int,0,eq_c1/2)+4*IF(circ_int,0,eq_c2/2)+2*PI()*(s_0+10*s_r+IF(circ_int,eq_c1/2,0)))/INDEX(lk_legs,11))&lt;((((2*IF(circ_int,0,eq_c2/2))+(PI()*(s_0+10*s_r+IF(circ_int,eq_c1/2,0))/2))+2*IF(circ_int,0,eq_c1/2))+(PI()*(s_0+10*s_r+IF(circ_int,eq_c1/2,0))/2)),IF(circ_int,0,eq_c2/2)+(s_0+10*s_r+IF(circ_int,eq_c1/2,0))*SIN(PI()/2+(((43+0.5)*(4*IF(circ_int,0,eq_c1/2)+4*IF(circ_int,0,eq_c2/2)+2*PI()*(s_0+10*s_r+IF(circ_int,eq_c1/2,0)))/INDEX(lk_legs,11))-(((2*IF(circ_int,0,eq_c2/2))+(PI()*(s_0+10*s_r+IF(circ_int,eq_c1/2,0))/2))+2*IF(circ_int,0,eq_c1/2)))/(s_0+10*s_r+IF(circ_int,eq_c1/2,0))),IF(((43+0.5)*(4*IF(circ_int,0,eq_c1/2)+4*IF(circ_int,0,eq_c2/2)+2*PI()*(s_0+10*s_r+IF(circ_int,eq_c1/2,0)))/INDEX(lk_legs,11))&lt;(((((2*IF(circ_int,0,eq_c2/2))+(PI()*(s_0+10*s_r+IF(circ_int,eq_c1/2,0))/2))+2*IF(circ_int,0,eq_c1/2))+(PI()*(s_0+10*s_r+IF(circ_int,eq_c1/2,0))/2))+2*IF(circ_int,0,eq_c2/2)),IF(circ_int,0,eq_c2/2)-(((43+0.5)*(4*IF(circ_int,0,eq_c1/2)+4*IF(circ_int,0,eq_c2/2)+2*PI()*(s_0+10*s_r+IF(circ_int,eq_c1/2,0)))/INDEX(lk_legs,11))-((((2*IF(circ_int,0,eq_c2/2))+(PI()*(s_0+10*s_r+IF(circ_int,eq_c1/2,0))/2))+2*IF(circ_int,0,eq_c1/2))+(PI()*(s_0+10*s_r+IF(circ_int,eq_c1/2,0))/2))),IF(((43+0.5)*(4*IF(circ_int,0,eq_c1/2)+4*IF(circ_int,0,eq_c2/2)+2*PI()*(s_0+10*s_r+IF(circ_int,eq_c1/2,0)))/INDEX(lk_legs,11))&lt;((((((2*IF(circ_int,0,eq_c2/2))+(PI()*(s_0+10*s_r+IF(circ_int,eq_c1/2,0))/2))+2*IF(circ_int,0,eq_c1/2))+(PI()*(s_0+10*s_r+IF(circ_int,eq_c1/2,0))/2))+2*IF(circ_int,0,eq_c2/2))+(PI()*(s_0+10*s_r+IF(circ_int,eq_c1/2,0))/2)),-IF(circ_int,0,eq_c2/2)+(s_0+10*s_r+IF(circ_int,eq_c1/2,0))*SIN(PI()+(((43+0.5)*(4*IF(circ_int,0,eq_c1/2)+4*IF(circ_int,0,eq_c2/2)+2*PI()*(s_0+10*s_r+IF(circ_int,eq_c1/2,0)))/INDEX(lk_legs,11))-(((((2*IF(circ_int,0,eq_c2/2))+(PI()*(s_0+10*s_r+IF(circ_int,eq_c1/2,0))/2))+2*IF(circ_int,0,eq_c1/2))+(PI()*(s_0+10*s_r+IF(circ_int,eq_c1/2,0))/2))+2*IF(circ_int,0,eq_c2/2)))/(s_0+10*s_r+IF(circ_int,eq_c1/2,0))),IF(((43+0.5)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(43+0.5)*(4*IF(circ_int,0,eq_c1/2)+4*IF(circ_int,0,eq_c2/2)+2*PI()*(s_0+10*s_r+IF(circ_int,eq_c1/2,0)))/INDEX(lk_legs,11))-(((((((2*IF(circ_int,0,eq_c2/2))+(PI()*(s_0+10*s_r+IF(circ_int,eq_c1/2,0))/2))+2*IF(circ_int,0,eq_c1/2))+(PI()*(s_0+10*s_r+IF(circ_int,eq_c1/2,0))/2))+2*IF(circ_int,0,eq_c2/2))+(PI()*(s_0+10*s_r+IF(circ_int,eq_c1/2,0))/2))+2*IF(circ_int,0,eq_c1/2)))/(s_0+10*s_r+IF(circ_int,eq_c1/2,0)))))))))),NA())</f>
        <v/>
      </c>
      <c r="DK46">
        <f>IF(AND(links_on,12&lt;=n_per),IF(circ_int,(g_ox)+(c_1/2+(s_0+11*s_r))*0.464723,CHOOSE(INDEX(lk_kind,12),(g_ox+eq_c1/2)+((s_0+11*s_r))*0.500000,0,eq_a1+eq_c1+(s_0+11*s_r),eq_a1+eq_c1+(s_0+11*s_r))),NA())</f>
        <v/>
      </c>
      <c r="DL46">
        <f>IF(AND(links_on,12&lt;=n_per),IF(circ_int,(g_oy)+(c_1/2+(s_0+11*s_r))*-0.885456,CHOOSE(INDEX(lk_kind,12),(g_oy-eq_c2/2)+((s_0+11*s_r))*-0.866025,g_oy-eq_c2/2-(s_0+11*s_r),0,0)),NA())</f>
        <v/>
      </c>
      <c r="DN46">
        <f>IF(AND(AND(links_on,12&lt;=n_per),INDEX(lk_kind,12)=1,43&lt;INDEX(lk_legs,12)),g_ox+IF(((43+0.5)*(4*IF(circ_int,0,eq_c1/2)+4*IF(circ_int,0,eq_c2/2)+2*PI()*(s_0+11*s_r+IF(circ_int,eq_c1/2,0)))/INDEX(lk_legs,12))&lt;(2*IF(circ_int,0,eq_c2/2)),IF(circ_int,0,eq_c1/2)+(s_0+11*s_r+IF(circ_int,eq_c1/2,0)),IF(((43+0.5)*(4*IF(circ_int,0,eq_c1/2)+4*IF(circ_int,0,eq_c2/2)+2*PI()*(s_0+11*s_r+IF(circ_int,eq_c1/2,0)))/INDEX(lk_legs,12))&lt;((2*IF(circ_int,0,eq_c2/2))+(PI()*(s_0+11*s_r+IF(circ_int,eq_c1/2,0))/2)),IF(circ_int,0,eq_c1/2)+(s_0+11*s_r+IF(circ_int,eq_c1/2,0))*COS((((43+0.5)*(4*IF(circ_int,0,eq_c1/2)+4*IF(circ_int,0,eq_c2/2)+2*PI()*(s_0+11*s_r+IF(circ_int,eq_c1/2,0)))/INDEX(lk_legs,12))-(2*IF(circ_int,0,eq_c2/2)))/(s_0+11*s_r+IF(circ_int,eq_c1/2,0))),IF(((43+0.5)*(4*IF(circ_int,0,eq_c1/2)+4*IF(circ_int,0,eq_c2/2)+2*PI()*(s_0+11*s_r+IF(circ_int,eq_c1/2,0)))/INDEX(lk_legs,12))&lt;(((2*IF(circ_int,0,eq_c2/2))+(PI()*(s_0+11*s_r+IF(circ_int,eq_c1/2,0))/2))+2*IF(circ_int,0,eq_c1/2)),IF(circ_int,0,eq_c1/2)-(((43+0.5)*(4*IF(circ_int,0,eq_c1/2)+4*IF(circ_int,0,eq_c2/2)+2*PI()*(s_0+11*s_r+IF(circ_int,eq_c1/2,0)))/INDEX(lk_legs,12))-((2*IF(circ_int,0,eq_c2/2))+(PI()*(s_0+11*s_r+IF(circ_int,eq_c1/2,0))/2))),IF(((43+0.5)*(4*IF(circ_int,0,eq_c1/2)+4*IF(circ_int,0,eq_c2/2)+2*PI()*(s_0+11*s_r+IF(circ_int,eq_c1/2,0)))/INDEX(lk_legs,12))&lt;((((2*IF(circ_int,0,eq_c2/2))+(PI()*(s_0+11*s_r+IF(circ_int,eq_c1/2,0))/2))+2*IF(circ_int,0,eq_c1/2))+(PI()*(s_0+11*s_r+IF(circ_int,eq_c1/2,0))/2)),-IF(circ_int,0,eq_c1/2)+(s_0+11*s_r+IF(circ_int,eq_c1/2,0))*COS(PI()/2+(((43+0.5)*(4*IF(circ_int,0,eq_c1/2)+4*IF(circ_int,0,eq_c2/2)+2*PI()*(s_0+11*s_r+IF(circ_int,eq_c1/2,0)))/INDEX(lk_legs,12))-(((2*IF(circ_int,0,eq_c2/2))+(PI()*(s_0+11*s_r+IF(circ_int,eq_c1/2,0))/2))+2*IF(circ_int,0,eq_c1/2)))/(s_0+11*s_r+IF(circ_int,eq_c1/2,0))),IF(((43+0.5)*(4*IF(circ_int,0,eq_c1/2)+4*IF(circ_int,0,eq_c2/2)+2*PI()*(s_0+11*s_r+IF(circ_int,eq_c1/2,0)))/INDEX(lk_legs,12))&lt;(((((2*IF(circ_int,0,eq_c2/2))+(PI()*(s_0+11*s_r+IF(circ_int,eq_c1/2,0))/2))+2*IF(circ_int,0,eq_c1/2))+(PI()*(s_0+11*s_r+IF(circ_int,eq_c1/2,0))/2))+2*IF(circ_int,0,eq_c2/2)),-IF(circ_int,0,eq_c1/2)-(s_0+11*s_r+IF(circ_int,eq_c1/2,0)),IF(((43+0.5)*(4*IF(circ_int,0,eq_c1/2)+4*IF(circ_int,0,eq_c2/2)+2*PI()*(s_0+11*s_r+IF(circ_int,eq_c1/2,0)))/INDEX(lk_legs,12))&lt;((((((2*IF(circ_int,0,eq_c2/2))+(PI()*(s_0+11*s_r+IF(circ_int,eq_c1/2,0))/2))+2*IF(circ_int,0,eq_c1/2))+(PI()*(s_0+11*s_r+IF(circ_int,eq_c1/2,0))/2))+2*IF(circ_int,0,eq_c2/2))+(PI()*(s_0+11*s_r+IF(circ_int,eq_c1/2,0))/2)),-IF(circ_int,0,eq_c1/2)+(s_0+11*s_r+IF(circ_int,eq_c1/2,0))*COS(PI()+(((43+0.5)*(4*IF(circ_int,0,eq_c1/2)+4*IF(circ_int,0,eq_c2/2)+2*PI()*(s_0+11*s_r+IF(circ_int,eq_c1/2,0)))/INDEX(lk_legs,12))-(((((2*IF(circ_int,0,eq_c2/2))+(PI()*(s_0+11*s_r+IF(circ_int,eq_c1/2,0))/2))+2*IF(circ_int,0,eq_c1/2))+(PI()*(s_0+11*s_r+IF(circ_int,eq_c1/2,0))/2))+2*IF(circ_int,0,eq_c2/2)))/(s_0+11*s_r+IF(circ_int,eq_c1/2,0))),IF(((43+0.5)*(4*IF(circ_int,0,eq_c1/2)+4*IF(circ_int,0,eq_c2/2)+2*PI()*(s_0+11*s_r+IF(circ_int,eq_c1/2,0)))/INDEX(lk_legs,12))&lt;(((((((2*IF(circ_int,0,eq_c2/2))+(PI()*(s_0+11*s_r+IF(circ_int,eq_c1/2,0))/2))+2*IF(circ_int,0,eq_c1/2))+(PI()*(s_0+11*s_r+IF(circ_int,eq_c1/2,0))/2))+2*IF(circ_int,0,eq_c2/2))+(PI()*(s_0+11*s_r+IF(circ_int,eq_c1/2,0))/2))+2*IF(circ_int,0,eq_c1/2)),-IF(circ_int,0,eq_c1/2)+(((43+0.5)*(4*IF(circ_int,0,eq_c1/2)+4*IF(circ_int,0,eq_c2/2)+2*PI()*(s_0+11*s_r+IF(circ_int,eq_c1/2,0)))/INDEX(lk_legs,12))-((((((2*IF(circ_int,0,eq_c2/2))+(PI()*(s_0+11*s_r+IF(circ_int,eq_c1/2,0))/2))+2*IF(circ_int,0,eq_c1/2))+(PI()*(s_0+11*s_r+IF(circ_int,eq_c1/2,0))/2))+2*IF(circ_int,0,eq_c2/2))+(PI()*(s_0+11*s_r+IF(circ_int,eq_c1/2,0))/2))),IF(circ_int,0,eq_c1/2)+(s_0+11*s_r+IF(circ_int,eq_c1/2,0))*COS(3*PI()/2+(((43+0.5)*(4*IF(circ_int,0,eq_c1/2)+4*IF(circ_int,0,eq_c2/2)+2*PI()*(s_0+11*s_r+IF(circ_int,eq_c1/2,0)))/INDEX(lk_legs,12))-(((((((2*IF(circ_int,0,eq_c2/2))+(PI()*(s_0+11*s_r+IF(circ_int,eq_c1/2,0))/2))+2*IF(circ_int,0,eq_c1/2))+(PI()*(s_0+11*s_r+IF(circ_int,eq_c1/2,0))/2))+2*IF(circ_int,0,eq_c2/2))+(PI()*(s_0+11*s_r+IF(circ_int,eq_c1/2,0))/2))+2*IF(circ_int,0,eq_c1/2)))/(s_0+11*s_r+IF(circ_int,eq_c1/2,0)))))))))),NA())</f>
        <v/>
      </c>
      <c r="DO46">
        <f>IF(AND(AND(links_on,12&lt;=n_per),INDEX(lk_kind,12)=1,43&lt;INDEX(lk_legs,12)),g_oy+IF(((43+0.5)*(4*IF(circ_int,0,eq_c1/2)+4*IF(circ_int,0,eq_c2/2)+2*PI()*(s_0+11*s_r+IF(circ_int,eq_c1/2,0)))/INDEX(lk_legs,12))&lt;(2*IF(circ_int,0,eq_c2/2)),-IF(circ_int,0,eq_c2/2)+((43+0.5)*(4*IF(circ_int,0,eq_c1/2)+4*IF(circ_int,0,eq_c2/2)+2*PI()*(s_0+11*s_r+IF(circ_int,eq_c1/2,0)))/INDEX(lk_legs,12)),IF(((43+0.5)*(4*IF(circ_int,0,eq_c1/2)+4*IF(circ_int,0,eq_c2/2)+2*PI()*(s_0+11*s_r+IF(circ_int,eq_c1/2,0)))/INDEX(lk_legs,12))&lt;((2*IF(circ_int,0,eq_c2/2))+(PI()*(s_0+11*s_r+IF(circ_int,eq_c1/2,0))/2)),IF(circ_int,0,eq_c2/2)+(s_0+11*s_r+IF(circ_int,eq_c1/2,0))*SIN((((43+0.5)*(4*IF(circ_int,0,eq_c1/2)+4*IF(circ_int,0,eq_c2/2)+2*PI()*(s_0+11*s_r+IF(circ_int,eq_c1/2,0)))/INDEX(lk_legs,12))-(2*IF(circ_int,0,eq_c2/2)))/(s_0+11*s_r+IF(circ_int,eq_c1/2,0))),IF(((43+0.5)*(4*IF(circ_int,0,eq_c1/2)+4*IF(circ_int,0,eq_c2/2)+2*PI()*(s_0+11*s_r+IF(circ_int,eq_c1/2,0)))/INDEX(lk_legs,12))&lt;(((2*IF(circ_int,0,eq_c2/2))+(PI()*(s_0+11*s_r+IF(circ_int,eq_c1/2,0))/2))+2*IF(circ_int,0,eq_c1/2)),IF(circ_int,0,eq_c2/2)+(s_0+11*s_r+IF(circ_int,eq_c1/2,0)),IF(((43+0.5)*(4*IF(circ_int,0,eq_c1/2)+4*IF(circ_int,0,eq_c2/2)+2*PI()*(s_0+11*s_r+IF(circ_int,eq_c1/2,0)))/INDEX(lk_legs,12))&lt;((((2*IF(circ_int,0,eq_c2/2))+(PI()*(s_0+11*s_r+IF(circ_int,eq_c1/2,0))/2))+2*IF(circ_int,0,eq_c1/2))+(PI()*(s_0+11*s_r+IF(circ_int,eq_c1/2,0))/2)),IF(circ_int,0,eq_c2/2)+(s_0+11*s_r+IF(circ_int,eq_c1/2,0))*SIN(PI()/2+(((43+0.5)*(4*IF(circ_int,0,eq_c1/2)+4*IF(circ_int,0,eq_c2/2)+2*PI()*(s_0+11*s_r+IF(circ_int,eq_c1/2,0)))/INDEX(lk_legs,12))-(((2*IF(circ_int,0,eq_c2/2))+(PI()*(s_0+11*s_r+IF(circ_int,eq_c1/2,0))/2))+2*IF(circ_int,0,eq_c1/2)))/(s_0+11*s_r+IF(circ_int,eq_c1/2,0))),IF(((43+0.5)*(4*IF(circ_int,0,eq_c1/2)+4*IF(circ_int,0,eq_c2/2)+2*PI()*(s_0+11*s_r+IF(circ_int,eq_c1/2,0)))/INDEX(lk_legs,12))&lt;(((((2*IF(circ_int,0,eq_c2/2))+(PI()*(s_0+11*s_r+IF(circ_int,eq_c1/2,0))/2))+2*IF(circ_int,0,eq_c1/2))+(PI()*(s_0+11*s_r+IF(circ_int,eq_c1/2,0))/2))+2*IF(circ_int,0,eq_c2/2)),IF(circ_int,0,eq_c2/2)-(((43+0.5)*(4*IF(circ_int,0,eq_c1/2)+4*IF(circ_int,0,eq_c2/2)+2*PI()*(s_0+11*s_r+IF(circ_int,eq_c1/2,0)))/INDEX(lk_legs,12))-((((2*IF(circ_int,0,eq_c2/2))+(PI()*(s_0+11*s_r+IF(circ_int,eq_c1/2,0))/2))+2*IF(circ_int,0,eq_c1/2))+(PI()*(s_0+11*s_r+IF(circ_int,eq_c1/2,0))/2))),IF(((43+0.5)*(4*IF(circ_int,0,eq_c1/2)+4*IF(circ_int,0,eq_c2/2)+2*PI()*(s_0+11*s_r+IF(circ_int,eq_c1/2,0)))/INDEX(lk_legs,12))&lt;((((((2*IF(circ_int,0,eq_c2/2))+(PI()*(s_0+11*s_r+IF(circ_int,eq_c1/2,0))/2))+2*IF(circ_int,0,eq_c1/2))+(PI()*(s_0+11*s_r+IF(circ_int,eq_c1/2,0))/2))+2*IF(circ_int,0,eq_c2/2))+(PI()*(s_0+11*s_r+IF(circ_int,eq_c1/2,0))/2)),-IF(circ_int,0,eq_c2/2)+(s_0+11*s_r+IF(circ_int,eq_c1/2,0))*SIN(PI()+(((43+0.5)*(4*IF(circ_int,0,eq_c1/2)+4*IF(circ_int,0,eq_c2/2)+2*PI()*(s_0+11*s_r+IF(circ_int,eq_c1/2,0)))/INDEX(lk_legs,12))-(((((2*IF(circ_int,0,eq_c2/2))+(PI()*(s_0+11*s_r+IF(circ_int,eq_c1/2,0))/2))+2*IF(circ_int,0,eq_c1/2))+(PI()*(s_0+11*s_r+IF(circ_int,eq_c1/2,0))/2))+2*IF(circ_int,0,eq_c2/2)))/(s_0+11*s_r+IF(circ_int,eq_c1/2,0))),IF(((43+0.5)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(43+0.5)*(4*IF(circ_int,0,eq_c1/2)+4*IF(circ_int,0,eq_c2/2)+2*PI()*(s_0+11*s_r+IF(circ_int,eq_c1/2,0)))/INDEX(lk_legs,12))-(((((((2*IF(circ_int,0,eq_c2/2))+(PI()*(s_0+11*s_r+IF(circ_int,eq_c1/2,0))/2))+2*IF(circ_int,0,eq_c1/2))+(PI()*(s_0+11*s_r+IF(circ_int,eq_c1/2,0))/2))+2*IF(circ_int,0,eq_c2/2))+(PI()*(s_0+11*s_r+IF(circ_int,eq_c1/2,0))/2))+2*IF(circ_int,0,eq_c1/2)))/(s_0+11*s_r+IF(circ_int,eq_c1/2,0)))))))))),NA())</f>
        <v/>
      </c>
    </row>
    <row r="47">
      <c r="A47">
        <f>IF(shape="Circular",(g_ox)+(c_1/2+0)*0.568065,CHOOSE(1,(g_ox+eq_c1/2)+(0)*0.608761,0,eq_a1+eq_c1+0,eq_a1+eq_c1+0))</f>
        <v/>
      </c>
      <c r="B47">
        <f>IF(shape="Circular",(g_oy)+(c_1/2+0)*-0.822984,CHOOSE(1,(g_oy-eq_c2/2)+(0)*-0.793353,g_oy-eq_c2/2-0,0,0))</f>
        <v/>
      </c>
      <c r="D47">
        <f>IF(circ_int,(g_ox)+(c_1/2+2*d_eff)*0.568065,CHOOSE(geo_idx,(g_ox+eq_c1/2)+(2*d_eff)*0.608761,0,eq_a1+eq_c1+2*d_eff,eq_a1+eq_c1+2*d_eff))</f>
        <v/>
      </c>
      <c r="E47">
        <f>IF(circ_int,(g_oy)+(c_1/2+2*d_eff)*-0.822984,CHOOSE(geo_idx,(g_oy-eq_c2/2)+(2*d_eff)*-0.793353,g_oy-eq_c2/2-2*d_eff,0,0))</f>
        <v/>
      </c>
      <c r="G47">
        <f>IF(AND(inputs_ok,punch_ok,A_sw&gt;0),IF(circ_int,(g_ox)+(c_1/2+r_out)*0.568065,CHOOSE(kind_out,(g_ox+eq_c1/2)+(r_out)*0.608761,0,eq_a1+eq_c1+r_out,eq_a1+eq_c1+r_out)),NA())</f>
        <v/>
      </c>
      <c r="H47">
        <f>IF(AND(inputs_ok,punch_ok,A_sw&gt;0),IF(circ_int,(g_oy)+(c_1/2+r_out)*-0.822984,CHOOSE(kind_out,(g_oy-eq_c2/2)+(r_out)*-0.793353,g_oy-eq_c2/2-r_out,0,0)),NA())</f>
        <v/>
      </c>
      <c r="AW47">
        <f>IF(AND(links_on,1&lt;=n_per),IF(circ_int,(g_ox)+(c_1/2+(s_0+0*s_r))*0.568065,CHOOSE(INDEX(lk_kind,1),(g_ox+eq_c1/2)+((s_0+0*s_r))*0.608761,0,eq_a1+eq_c1+(s_0+0*s_r),eq_a1+eq_c1+(s_0+0*s_r))),NA())</f>
        <v/>
      </c>
      <c r="AX47">
        <f>IF(AND(links_on,1&lt;=n_per),IF(circ_int,(g_oy)+(c_1/2+(s_0+0*s_r))*-0.822984,CHOOSE(INDEX(lk_kind,1),(g_oy-eq_c2/2)+((s_0+0*s_r))*-0.793353,g_oy-eq_c2/2-(s_0+0*s_r),0,0)),NA())</f>
        <v/>
      </c>
      <c r="AZ47">
        <f>IF(AND(AND(links_on,1&lt;=n_per),INDEX(lk_kind,1)=1,44&lt;INDEX(lk_legs,1)),g_ox+IF(((44+0.5)*(4*IF(circ_int,0,eq_c1/2)+4*IF(circ_int,0,eq_c2/2)+2*PI()*(s_0+0*s_r+IF(circ_int,eq_c1/2,0)))/INDEX(lk_legs,1))&lt;(2*IF(circ_int,0,eq_c2/2)),IF(circ_int,0,eq_c1/2)+(s_0+0*s_r+IF(circ_int,eq_c1/2,0)),IF(((44+0.5)*(4*IF(circ_int,0,eq_c1/2)+4*IF(circ_int,0,eq_c2/2)+2*PI()*(s_0+0*s_r+IF(circ_int,eq_c1/2,0)))/INDEX(lk_legs,1))&lt;((2*IF(circ_int,0,eq_c2/2))+(PI()*(s_0+0*s_r+IF(circ_int,eq_c1/2,0))/2)),IF(circ_int,0,eq_c1/2)+(s_0+0*s_r+IF(circ_int,eq_c1/2,0))*COS((((44+0.5)*(4*IF(circ_int,0,eq_c1/2)+4*IF(circ_int,0,eq_c2/2)+2*PI()*(s_0+0*s_r+IF(circ_int,eq_c1/2,0)))/INDEX(lk_legs,1))-(2*IF(circ_int,0,eq_c2/2)))/(s_0+0*s_r+IF(circ_int,eq_c1/2,0))),IF(((44+0.5)*(4*IF(circ_int,0,eq_c1/2)+4*IF(circ_int,0,eq_c2/2)+2*PI()*(s_0+0*s_r+IF(circ_int,eq_c1/2,0)))/INDEX(lk_legs,1))&lt;(((2*IF(circ_int,0,eq_c2/2))+(PI()*(s_0+0*s_r+IF(circ_int,eq_c1/2,0))/2))+2*IF(circ_int,0,eq_c1/2)),IF(circ_int,0,eq_c1/2)-(((44+0.5)*(4*IF(circ_int,0,eq_c1/2)+4*IF(circ_int,0,eq_c2/2)+2*PI()*(s_0+0*s_r+IF(circ_int,eq_c1/2,0)))/INDEX(lk_legs,1))-((2*IF(circ_int,0,eq_c2/2))+(PI()*(s_0+0*s_r+IF(circ_int,eq_c1/2,0))/2))),IF(((44+0.5)*(4*IF(circ_int,0,eq_c1/2)+4*IF(circ_int,0,eq_c2/2)+2*PI()*(s_0+0*s_r+IF(circ_int,eq_c1/2,0)))/INDEX(lk_legs,1))&lt;((((2*IF(circ_int,0,eq_c2/2))+(PI()*(s_0+0*s_r+IF(circ_int,eq_c1/2,0))/2))+2*IF(circ_int,0,eq_c1/2))+(PI()*(s_0+0*s_r+IF(circ_int,eq_c1/2,0))/2)),-IF(circ_int,0,eq_c1/2)+(s_0+0*s_r+IF(circ_int,eq_c1/2,0))*COS(PI()/2+(((44+0.5)*(4*IF(circ_int,0,eq_c1/2)+4*IF(circ_int,0,eq_c2/2)+2*PI()*(s_0+0*s_r+IF(circ_int,eq_c1/2,0)))/INDEX(lk_legs,1))-(((2*IF(circ_int,0,eq_c2/2))+(PI()*(s_0+0*s_r+IF(circ_int,eq_c1/2,0))/2))+2*IF(circ_int,0,eq_c1/2)))/(s_0+0*s_r+IF(circ_int,eq_c1/2,0))),IF(((44+0.5)*(4*IF(circ_int,0,eq_c1/2)+4*IF(circ_int,0,eq_c2/2)+2*PI()*(s_0+0*s_r+IF(circ_int,eq_c1/2,0)))/INDEX(lk_legs,1))&lt;(((((2*IF(circ_int,0,eq_c2/2))+(PI()*(s_0+0*s_r+IF(circ_int,eq_c1/2,0))/2))+2*IF(circ_int,0,eq_c1/2))+(PI()*(s_0+0*s_r+IF(circ_int,eq_c1/2,0))/2))+2*IF(circ_int,0,eq_c2/2)),-IF(circ_int,0,eq_c1/2)-(s_0+0*s_r+IF(circ_int,eq_c1/2,0)),IF(((44+0.5)*(4*IF(circ_int,0,eq_c1/2)+4*IF(circ_int,0,eq_c2/2)+2*PI()*(s_0+0*s_r+IF(circ_int,eq_c1/2,0)))/INDEX(lk_legs,1))&lt;((((((2*IF(circ_int,0,eq_c2/2))+(PI()*(s_0+0*s_r+IF(circ_int,eq_c1/2,0))/2))+2*IF(circ_int,0,eq_c1/2))+(PI()*(s_0+0*s_r+IF(circ_int,eq_c1/2,0))/2))+2*IF(circ_int,0,eq_c2/2))+(PI()*(s_0+0*s_r+IF(circ_int,eq_c1/2,0))/2)),-IF(circ_int,0,eq_c1/2)+(s_0+0*s_r+IF(circ_int,eq_c1/2,0))*COS(PI()+(((44+0.5)*(4*IF(circ_int,0,eq_c1/2)+4*IF(circ_int,0,eq_c2/2)+2*PI()*(s_0+0*s_r+IF(circ_int,eq_c1/2,0)))/INDEX(lk_legs,1))-(((((2*IF(circ_int,0,eq_c2/2))+(PI()*(s_0+0*s_r+IF(circ_int,eq_c1/2,0))/2))+2*IF(circ_int,0,eq_c1/2))+(PI()*(s_0+0*s_r+IF(circ_int,eq_c1/2,0))/2))+2*IF(circ_int,0,eq_c2/2)))/(s_0+0*s_r+IF(circ_int,eq_c1/2,0))),IF(((44+0.5)*(4*IF(circ_int,0,eq_c1/2)+4*IF(circ_int,0,eq_c2/2)+2*PI()*(s_0+0*s_r+IF(circ_int,eq_c1/2,0)))/INDEX(lk_legs,1))&lt;(((((((2*IF(circ_int,0,eq_c2/2))+(PI()*(s_0+0*s_r+IF(circ_int,eq_c1/2,0))/2))+2*IF(circ_int,0,eq_c1/2))+(PI()*(s_0+0*s_r+IF(circ_int,eq_c1/2,0))/2))+2*IF(circ_int,0,eq_c2/2))+(PI()*(s_0+0*s_r+IF(circ_int,eq_c1/2,0))/2))+2*IF(circ_int,0,eq_c1/2)),-IF(circ_int,0,eq_c1/2)+(((44+0.5)*(4*IF(circ_int,0,eq_c1/2)+4*IF(circ_int,0,eq_c2/2)+2*PI()*(s_0+0*s_r+IF(circ_int,eq_c1/2,0)))/INDEX(lk_legs,1))-((((((2*IF(circ_int,0,eq_c2/2))+(PI()*(s_0+0*s_r+IF(circ_int,eq_c1/2,0))/2))+2*IF(circ_int,0,eq_c1/2))+(PI()*(s_0+0*s_r+IF(circ_int,eq_c1/2,0))/2))+2*IF(circ_int,0,eq_c2/2))+(PI()*(s_0+0*s_r+IF(circ_int,eq_c1/2,0))/2))),IF(circ_int,0,eq_c1/2)+(s_0+0*s_r+IF(circ_int,eq_c1/2,0))*COS(3*PI()/2+(((44+0.5)*(4*IF(circ_int,0,eq_c1/2)+4*IF(circ_int,0,eq_c2/2)+2*PI()*(s_0+0*s_r+IF(circ_int,eq_c1/2,0)))/INDEX(lk_legs,1))-(((((((2*IF(circ_int,0,eq_c2/2))+(PI()*(s_0+0*s_r+IF(circ_int,eq_c1/2,0))/2))+2*IF(circ_int,0,eq_c1/2))+(PI()*(s_0+0*s_r+IF(circ_int,eq_c1/2,0))/2))+2*IF(circ_int,0,eq_c2/2))+(PI()*(s_0+0*s_r+IF(circ_int,eq_c1/2,0))/2))+2*IF(circ_int,0,eq_c1/2)))/(s_0+0*s_r+IF(circ_int,eq_c1/2,0)))))))))),NA())</f>
        <v/>
      </c>
      <c r="BA47">
        <f>IF(AND(AND(links_on,1&lt;=n_per),INDEX(lk_kind,1)=1,44&lt;INDEX(lk_legs,1)),g_oy+IF(((44+0.5)*(4*IF(circ_int,0,eq_c1/2)+4*IF(circ_int,0,eq_c2/2)+2*PI()*(s_0+0*s_r+IF(circ_int,eq_c1/2,0)))/INDEX(lk_legs,1))&lt;(2*IF(circ_int,0,eq_c2/2)),-IF(circ_int,0,eq_c2/2)+((44+0.5)*(4*IF(circ_int,0,eq_c1/2)+4*IF(circ_int,0,eq_c2/2)+2*PI()*(s_0+0*s_r+IF(circ_int,eq_c1/2,0)))/INDEX(lk_legs,1)),IF(((44+0.5)*(4*IF(circ_int,0,eq_c1/2)+4*IF(circ_int,0,eq_c2/2)+2*PI()*(s_0+0*s_r+IF(circ_int,eq_c1/2,0)))/INDEX(lk_legs,1))&lt;((2*IF(circ_int,0,eq_c2/2))+(PI()*(s_0+0*s_r+IF(circ_int,eq_c1/2,0))/2)),IF(circ_int,0,eq_c2/2)+(s_0+0*s_r+IF(circ_int,eq_c1/2,0))*SIN((((44+0.5)*(4*IF(circ_int,0,eq_c1/2)+4*IF(circ_int,0,eq_c2/2)+2*PI()*(s_0+0*s_r+IF(circ_int,eq_c1/2,0)))/INDEX(lk_legs,1))-(2*IF(circ_int,0,eq_c2/2)))/(s_0+0*s_r+IF(circ_int,eq_c1/2,0))),IF(((44+0.5)*(4*IF(circ_int,0,eq_c1/2)+4*IF(circ_int,0,eq_c2/2)+2*PI()*(s_0+0*s_r+IF(circ_int,eq_c1/2,0)))/INDEX(lk_legs,1))&lt;(((2*IF(circ_int,0,eq_c2/2))+(PI()*(s_0+0*s_r+IF(circ_int,eq_c1/2,0))/2))+2*IF(circ_int,0,eq_c1/2)),IF(circ_int,0,eq_c2/2)+(s_0+0*s_r+IF(circ_int,eq_c1/2,0)),IF(((44+0.5)*(4*IF(circ_int,0,eq_c1/2)+4*IF(circ_int,0,eq_c2/2)+2*PI()*(s_0+0*s_r+IF(circ_int,eq_c1/2,0)))/INDEX(lk_legs,1))&lt;((((2*IF(circ_int,0,eq_c2/2))+(PI()*(s_0+0*s_r+IF(circ_int,eq_c1/2,0))/2))+2*IF(circ_int,0,eq_c1/2))+(PI()*(s_0+0*s_r+IF(circ_int,eq_c1/2,0))/2)),IF(circ_int,0,eq_c2/2)+(s_0+0*s_r+IF(circ_int,eq_c1/2,0))*SIN(PI()/2+(((44+0.5)*(4*IF(circ_int,0,eq_c1/2)+4*IF(circ_int,0,eq_c2/2)+2*PI()*(s_0+0*s_r+IF(circ_int,eq_c1/2,0)))/INDEX(lk_legs,1))-(((2*IF(circ_int,0,eq_c2/2))+(PI()*(s_0+0*s_r+IF(circ_int,eq_c1/2,0))/2))+2*IF(circ_int,0,eq_c1/2)))/(s_0+0*s_r+IF(circ_int,eq_c1/2,0))),IF(((44+0.5)*(4*IF(circ_int,0,eq_c1/2)+4*IF(circ_int,0,eq_c2/2)+2*PI()*(s_0+0*s_r+IF(circ_int,eq_c1/2,0)))/INDEX(lk_legs,1))&lt;(((((2*IF(circ_int,0,eq_c2/2))+(PI()*(s_0+0*s_r+IF(circ_int,eq_c1/2,0))/2))+2*IF(circ_int,0,eq_c1/2))+(PI()*(s_0+0*s_r+IF(circ_int,eq_c1/2,0))/2))+2*IF(circ_int,0,eq_c2/2)),IF(circ_int,0,eq_c2/2)-(((44+0.5)*(4*IF(circ_int,0,eq_c1/2)+4*IF(circ_int,0,eq_c2/2)+2*PI()*(s_0+0*s_r+IF(circ_int,eq_c1/2,0)))/INDEX(lk_legs,1))-((((2*IF(circ_int,0,eq_c2/2))+(PI()*(s_0+0*s_r+IF(circ_int,eq_c1/2,0))/2))+2*IF(circ_int,0,eq_c1/2))+(PI()*(s_0+0*s_r+IF(circ_int,eq_c1/2,0))/2))),IF(((44+0.5)*(4*IF(circ_int,0,eq_c1/2)+4*IF(circ_int,0,eq_c2/2)+2*PI()*(s_0+0*s_r+IF(circ_int,eq_c1/2,0)))/INDEX(lk_legs,1))&lt;((((((2*IF(circ_int,0,eq_c2/2))+(PI()*(s_0+0*s_r+IF(circ_int,eq_c1/2,0))/2))+2*IF(circ_int,0,eq_c1/2))+(PI()*(s_0+0*s_r+IF(circ_int,eq_c1/2,0))/2))+2*IF(circ_int,0,eq_c2/2))+(PI()*(s_0+0*s_r+IF(circ_int,eq_c1/2,0))/2)),-IF(circ_int,0,eq_c2/2)+(s_0+0*s_r+IF(circ_int,eq_c1/2,0))*SIN(PI()+(((44+0.5)*(4*IF(circ_int,0,eq_c1/2)+4*IF(circ_int,0,eq_c2/2)+2*PI()*(s_0+0*s_r+IF(circ_int,eq_c1/2,0)))/INDEX(lk_legs,1))-(((((2*IF(circ_int,0,eq_c2/2))+(PI()*(s_0+0*s_r+IF(circ_int,eq_c1/2,0))/2))+2*IF(circ_int,0,eq_c1/2))+(PI()*(s_0+0*s_r+IF(circ_int,eq_c1/2,0))/2))+2*IF(circ_int,0,eq_c2/2)))/(s_0+0*s_r+IF(circ_int,eq_c1/2,0))),IF(((44+0.5)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(44+0.5)*(4*IF(circ_int,0,eq_c1/2)+4*IF(circ_int,0,eq_c2/2)+2*PI()*(s_0+0*s_r+IF(circ_int,eq_c1/2,0)))/INDEX(lk_legs,1))-(((((((2*IF(circ_int,0,eq_c2/2))+(PI()*(s_0+0*s_r+IF(circ_int,eq_c1/2,0))/2))+2*IF(circ_int,0,eq_c1/2))+(PI()*(s_0+0*s_r+IF(circ_int,eq_c1/2,0))/2))+2*IF(circ_int,0,eq_c2/2))+(PI()*(s_0+0*s_r+IF(circ_int,eq_c1/2,0))/2))+2*IF(circ_int,0,eq_c1/2)))/(s_0+0*s_r+IF(circ_int,eq_c1/2,0)))))))))),NA())</f>
        <v/>
      </c>
      <c r="BC47">
        <f>IF(AND(links_on,2&lt;=n_per),IF(circ_int,(g_ox)+(c_1/2+(s_0+1*s_r))*0.568065,CHOOSE(INDEX(lk_kind,2),(g_ox+eq_c1/2)+((s_0+1*s_r))*0.608761,0,eq_a1+eq_c1+(s_0+1*s_r),eq_a1+eq_c1+(s_0+1*s_r))),NA())</f>
        <v/>
      </c>
      <c r="BD47">
        <f>IF(AND(links_on,2&lt;=n_per),IF(circ_int,(g_oy)+(c_1/2+(s_0+1*s_r))*-0.822984,CHOOSE(INDEX(lk_kind,2),(g_oy-eq_c2/2)+((s_0+1*s_r))*-0.793353,g_oy-eq_c2/2-(s_0+1*s_r),0,0)),NA())</f>
        <v/>
      </c>
      <c r="BF47">
        <f>IF(AND(AND(links_on,2&lt;=n_per),INDEX(lk_kind,2)=1,44&lt;INDEX(lk_legs,2)),g_ox+IF(((44+0.5)*(4*IF(circ_int,0,eq_c1/2)+4*IF(circ_int,0,eq_c2/2)+2*PI()*(s_0+1*s_r+IF(circ_int,eq_c1/2,0)))/INDEX(lk_legs,2))&lt;(2*IF(circ_int,0,eq_c2/2)),IF(circ_int,0,eq_c1/2)+(s_0+1*s_r+IF(circ_int,eq_c1/2,0)),IF(((44+0.5)*(4*IF(circ_int,0,eq_c1/2)+4*IF(circ_int,0,eq_c2/2)+2*PI()*(s_0+1*s_r+IF(circ_int,eq_c1/2,0)))/INDEX(lk_legs,2))&lt;((2*IF(circ_int,0,eq_c2/2))+(PI()*(s_0+1*s_r+IF(circ_int,eq_c1/2,0))/2)),IF(circ_int,0,eq_c1/2)+(s_0+1*s_r+IF(circ_int,eq_c1/2,0))*COS((((44+0.5)*(4*IF(circ_int,0,eq_c1/2)+4*IF(circ_int,0,eq_c2/2)+2*PI()*(s_0+1*s_r+IF(circ_int,eq_c1/2,0)))/INDEX(lk_legs,2))-(2*IF(circ_int,0,eq_c2/2)))/(s_0+1*s_r+IF(circ_int,eq_c1/2,0))),IF(((44+0.5)*(4*IF(circ_int,0,eq_c1/2)+4*IF(circ_int,0,eq_c2/2)+2*PI()*(s_0+1*s_r+IF(circ_int,eq_c1/2,0)))/INDEX(lk_legs,2))&lt;(((2*IF(circ_int,0,eq_c2/2))+(PI()*(s_0+1*s_r+IF(circ_int,eq_c1/2,0))/2))+2*IF(circ_int,0,eq_c1/2)),IF(circ_int,0,eq_c1/2)-(((44+0.5)*(4*IF(circ_int,0,eq_c1/2)+4*IF(circ_int,0,eq_c2/2)+2*PI()*(s_0+1*s_r+IF(circ_int,eq_c1/2,0)))/INDEX(lk_legs,2))-((2*IF(circ_int,0,eq_c2/2))+(PI()*(s_0+1*s_r+IF(circ_int,eq_c1/2,0))/2))),IF(((44+0.5)*(4*IF(circ_int,0,eq_c1/2)+4*IF(circ_int,0,eq_c2/2)+2*PI()*(s_0+1*s_r+IF(circ_int,eq_c1/2,0)))/INDEX(lk_legs,2))&lt;((((2*IF(circ_int,0,eq_c2/2))+(PI()*(s_0+1*s_r+IF(circ_int,eq_c1/2,0))/2))+2*IF(circ_int,0,eq_c1/2))+(PI()*(s_0+1*s_r+IF(circ_int,eq_c1/2,0))/2)),-IF(circ_int,0,eq_c1/2)+(s_0+1*s_r+IF(circ_int,eq_c1/2,0))*COS(PI()/2+(((44+0.5)*(4*IF(circ_int,0,eq_c1/2)+4*IF(circ_int,0,eq_c2/2)+2*PI()*(s_0+1*s_r+IF(circ_int,eq_c1/2,0)))/INDEX(lk_legs,2))-(((2*IF(circ_int,0,eq_c2/2))+(PI()*(s_0+1*s_r+IF(circ_int,eq_c1/2,0))/2))+2*IF(circ_int,0,eq_c1/2)))/(s_0+1*s_r+IF(circ_int,eq_c1/2,0))),IF(((44+0.5)*(4*IF(circ_int,0,eq_c1/2)+4*IF(circ_int,0,eq_c2/2)+2*PI()*(s_0+1*s_r+IF(circ_int,eq_c1/2,0)))/INDEX(lk_legs,2))&lt;(((((2*IF(circ_int,0,eq_c2/2))+(PI()*(s_0+1*s_r+IF(circ_int,eq_c1/2,0))/2))+2*IF(circ_int,0,eq_c1/2))+(PI()*(s_0+1*s_r+IF(circ_int,eq_c1/2,0))/2))+2*IF(circ_int,0,eq_c2/2)),-IF(circ_int,0,eq_c1/2)-(s_0+1*s_r+IF(circ_int,eq_c1/2,0)),IF(((44+0.5)*(4*IF(circ_int,0,eq_c1/2)+4*IF(circ_int,0,eq_c2/2)+2*PI()*(s_0+1*s_r+IF(circ_int,eq_c1/2,0)))/INDEX(lk_legs,2))&lt;((((((2*IF(circ_int,0,eq_c2/2))+(PI()*(s_0+1*s_r+IF(circ_int,eq_c1/2,0))/2))+2*IF(circ_int,0,eq_c1/2))+(PI()*(s_0+1*s_r+IF(circ_int,eq_c1/2,0))/2))+2*IF(circ_int,0,eq_c2/2))+(PI()*(s_0+1*s_r+IF(circ_int,eq_c1/2,0))/2)),-IF(circ_int,0,eq_c1/2)+(s_0+1*s_r+IF(circ_int,eq_c1/2,0))*COS(PI()+(((44+0.5)*(4*IF(circ_int,0,eq_c1/2)+4*IF(circ_int,0,eq_c2/2)+2*PI()*(s_0+1*s_r+IF(circ_int,eq_c1/2,0)))/INDEX(lk_legs,2))-(((((2*IF(circ_int,0,eq_c2/2))+(PI()*(s_0+1*s_r+IF(circ_int,eq_c1/2,0))/2))+2*IF(circ_int,0,eq_c1/2))+(PI()*(s_0+1*s_r+IF(circ_int,eq_c1/2,0))/2))+2*IF(circ_int,0,eq_c2/2)))/(s_0+1*s_r+IF(circ_int,eq_c1/2,0))),IF(((44+0.5)*(4*IF(circ_int,0,eq_c1/2)+4*IF(circ_int,0,eq_c2/2)+2*PI()*(s_0+1*s_r+IF(circ_int,eq_c1/2,0)))/INDEX(lk_legs,2))&lt;(((((((2*IF(circ_int,0,eq_c2/2))+(PI()*(s_0+1*s_r+IF(circ_int,eq_c1/2,0))/2))+2*IF(circ_int,0,eq_c1/2))+(PI()*(s_0+1*s_r+IF(circ_int,eq_c1/2,0))/2))+2*IF(circ_int,0,eq_c2/2))+(PI()*(s_0+1*s_r+IF(circ_int,eq_c1/2,0))/2))+2*IF(circ_int,0,eq_c1/2)),-IF(circ_int,0,eq_c1/2)+(((44+0.5)*(4*IF(circ_int,0,eq_c1/2)+4*IF(circ_int,0,eq_c2/2)+2*PI()*(s_0+1*s_r+IF(circ_int,eq_c1/2,0)))/INDEX(lk_legs,2))-((((((2*IF(circ_int,0,eq_c2/2))+(PI()*(s_0+1*s_r+IF(circ_int,eq_c1/2,0))/2))+2*IF(circ_int,0,eq_c1/2))+(PI()*(s_0+1*s_r+IF(circ_int,eq_c1/2,0))/2))+2*IF(circ_int,0,eq_c2/2))+(PI()*(s_0+1*s_r+IF(circ_int,eq_c1/2,0))/2))),IF(circ_int,0,eq_c1/2)+(s_0+1*s_r+IF(circ_int,eq_c1/2,0))*COS(3*PI()/2+(((44+0.5)*(4*IF(circ_int,0,eq_c1/2)+4*IF(circ_int,0,eq_c2/2)+2*PI()*(s_0+1*s_r+IF(circ_int,eq_c1/2,0)))/INDEX(lk_legs,2))-(((((((2*IF(circ_int,0,eq_c2/2))+(PI()*(s_0+1*s_r+IF(circ_int,eq_c1/2,0))/2))+2*IF(circ_int,0,eq_c1/2))+(PI()*(s_0+1*s_r+IF(circ_int,eq_c1/2,0))/2))+2*IF(circ_int,0,eq_c2/2))+(PI()*(s_0+1*s_r+IF(circ_int,eq_c1/2,0))/2))+2*IF(circ_int,0,eq_c1/2)))/(s_0+1*s_r+IF(circ_int,eq_c1/2,0)))))))))),NA())</f>
        <v/>
      </c>
      <c r="BG47">
        <f>IF(AND(AND(links_on,2&lt;=n_per),INDEX(lk_kind,2)=1,44&lt;INDEX(lk_legs,2)),g_oy+IF(((44+0.5)*(4*IF(circ_int,0,eq_c1/2)+4*IF(circ_int,0,eq_c2/2)+2*PI()*(s_0+1*s_r+IF(circ_int,eq_c1/2,0)))/INDEX(lk_legs,2))&lt;(2*IF(circ_int,0,eq_c2/2)),-IF(circ_int,0,eq_c2/2)+((44+0.5)*(4*IF(circ_int,0,eq_c1/2)+4*IF(circ_int,0,eq_c2/2)+2*PI()*(s_0+1*s_r+IF(circ_int,eq_c1/2,0)))/INDEX(lk_legs,2)),IF(((44+0.5)*(4*IF(circ_int,0,eq_c1/2)+4*IF(circ_int,0,eq_c2/2)+2*PI()*(s_0+1*s_r+IF(circ_int,eq_c1/2,0)))/INDEX(lk_legs,2))&lt;((2*IF(circ_int,0,eq_c2/2))+(PI()*(s_0+1*s_r+IF(circ_int,eq_c1/2,0))/2)),IF(circ_int,0,eq_c2/2)+(s_0+1*s_r+IF(circ_int,eq_c1/2,0))*SIN((((44+0.5)*(4*IF(circ_int,0,eq_c1/2)+4*IF(circ_int,0,eq_c2/2)+2*PI()*(s_0+1*s_r+IF(circ_int,eq_c1/2,0)))/INDEX(lk_legs,2))-(2*IF(circ_int,0,eq_c2/2)))/(s_0+1*s_r+IF(circ_int,eq_c1/2,0))),IF(((44+0.5)*(4*IF(circ_int,0,eq_c1/2)+4*IF(circ_int,0,eq_c2/2)+2*PI()*(s_0+1*s_r+IF(circ_int,eq_c1/2,0)))/INDEX(lk_legs,2))&lt;(((2*IF(circ_int,0,eq_c2/2))+(PI()*(s_0+1*s_r+IF(circ_int,eq_c1/2,0))/2))+2*IF(circ_int,0,eq_c1/2)),IF(circ_int,0,eq_c2/2)+(s_0+1*s_r+IF(circ_int,eq_c1/2,0)),IF(((44+0.5)*(4*IF(circ_int,0,eq_c1/2)+4*IF(circ_int,0,eq_c2/2)+2*PI()*(s_0+1*s_r+IF(circ_int,eq_c1/2,0)))/INDEX(lk_legs,2))&lt;((((2*IF(circ_int,0,eq_c2/2))+(PI()*(s_0+1*s_r+IF(circ_int,eq_c1/2,0))/2))+2*IF(circ_int,0,eq_c1/2))+(PI()*(s_0+1*s_r+IF(circ_int,eq_c1/2,0))/2)),IF(circ_int,0,eq_c2/2)+(s_0+1*s_r+IF(circ_int,eq_c1/2,0))*SIN(PI()/2+(((44+0.5)*(4*IF(circ_int,0,eq_c1/2)+4*IF(circ_int,0,eq_c2/2)+2*PI()*(s_0+1*s_r+IF(circ_int,eq_c1/2,0)))/INDEX(lk_legs,2))-(((2*IF(circ_int,0,eq_c2/2))+(PI()*(s_0+1*s_r+IF(circ_int,eq_c1/2,0))/2))+2*IF(circ_int,0,eq_c1/2)))/(s_0+1*s_r+IF(circ_int,eq_c1/2,0))),IF(((44+0.5)*(4*IF(circ_int,0,eq_c1/2)+4*IF(circ_int,0,eq_c2/2)+2*PI()*(s_0+1*s_r+IF(circ_int,eq_c1/2,0)))/INDEX(lk_legs,2))&lt;(((((2*IF(circ_int,0,eq_c2/2))+(PI()*(s_0+1*s_r+IF(circ_int,eq_c1/2,0))/2))+2*IF(circ_int,0,eq_c1/2))+(PI()*(s_0+1*s_r+IF(circ_int,eq_c1/2,0))/2))+2*IF(circ_int,0,eq_c2/2)),IF(circ_int,0,eq_c2/2)-(((44+0.5)*(4*IF(circ_int,0,eq_c1/2)+4*IF(circ_int,0,eq_c2/2)+2*PI()*(s_0+1*s_r+IF(circ_int,eq_c1/2,0)))/INDEX(lk_legs,2))-((((2*IF(circ_int,0,eq_c2/2))+(PI()*(s_0+1*s_r+IF(circ_int,eq_c1/2,0))/2))+2*IF(circ_int,0,eq_c1/2))+(PI()*(s_0+1*s_r+IF(circ_int,eq_c1/2,0))/2))),IF(((44+0.5)*(4*IF(circ_int,0,eq_c1/2)+4*IF(circ_int,0,eq_c2/2)+2*PI()*(s_0+1*s_r+IF(circ_int,eq_c1/2,0)))/INDEX(lk_legs,2))&lt;((((((2*IF(circ_int,0,eq_c2/2))+(PI()*(s_0+1*s_r+IF(circ_int,eq_c1/2,0))/2))+2*IF(circ_int,0,eq_c1/2))+(PI()*(s_0+1*s_r+IF(circ_int,eq_c1/2,0))/2))+2*IF(circ_int,0,eq_c2/2))+(PI()*(s_0+1*s_r+IF(circ_int,eq_c1/2,0))/2)),-IF(circ_int,0,eq_c2/2)+(s_0+1*s_r+IF(circ_int,eq_c1/2,0))*SIN(PI()+(((44+0.5)*(4*IF(circ_int,0,eq_c1/2)+4*IF(circ_int,0,eq_c2/2)+2*PI()*(s_0+1*s_r+IF(circ_int,eq_c1/2,0)))/INDEX(lk_legs,2))-(((((2*IF(circ_int,0,eq_c2/2))+(PI()*(s_0+1*s_r+IF(circ_int,eq_c1/2,0))/2))+2*IF(circ_int,0,eq_c1/2))+(PI()*(s_0+1*s_r+IF(circ_int,eq_c1/2,0))/2))+2*IF(circ_int,0,eq_c2/2)))/(s_0+1*s_r+IF(circ_int,eq_c1/2,0))),IF(((44+0.5)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(44+0.5)*(4*IF(circ_int,0,eq_c1/2)+4*IF(circ_int,0,eq_c2/2)+2*PI()*(s_0+1*s_r+IF(circ_int,eq_c1/2,0)))/INDEX(lk_legs,2))-(((((((2*IF(circ_int,0,eq_c2/2))+(PI()*(s_0+1*s_r+IF(circ_int,eq_c1/2,0))/2))+2*IF(circ_int,0,eq_c1/2))+(PI()*(s_0+1*s_r+IF(circ_int,eq_c1/2,0))/2))+2*IF(circ_int,0,eq_c2/2))+(PI()*(s_0+1*s_r+IF(circ_int,eq_c1/2,0))/2))+2*IF(circ_int,0,eq_c1/2)))/(s_0+1*s_r+IF(circ_int,eq_c1/2,0)))))))))),NA())</f>
        <v/>
      </c>
      <c r="BI47">
        <f>IF(AND(links_on,3&lt;=n_per),IF(circ_int,(g_ox)+(c_1/2+(s_0+2*s_r))*0.568065,CHOOSE(INDEX(lk_kind,3),(g_ox+eq_c1/2)+((s_0+2*s_r))*0.608761,0,eq_a1+eq_c1+(s_0+2*s_r),eq_a1+eq_c1+(s_0+2*s_r))),NA())</f>
        <v/>
      </c>
      <c r="BJ47">
        <f>IF(AND(links_on,3&lt;=n_per),IF(circ_int,(g_oy)+(c_1/2+(s_0+2*s_r))*-0.822984,CHOOSE(INDEX(lk_kind,3),(g_oy-eq_c2/2)+((s_0+2*s_r))*-0.793353,g_oy-eq_c2/2-(s_0+2*s_r),0,0)),NA())</f>
        <v/>
      </c>
      <c r="BL47">
        <f>IF(AND(AND(links_on,3&lt;=n_per),INDEX(lk_kind,3)=1,44&lt;INDEX(lk_legs,3)),g_ox+IF(((44+0.5)*(4*IF(circ_int,0,eq_c1/2)+4*IF(circ_int,0,eq_c2/2)+2*PI()*(s_0+2*s_r+IF(circ_int,eq_c1/2,0)))/INDEX(lk_legs,3))&lt;(2*IF(circ_int,0,eq_c2/2)),IF(circ_int,0,eq_c1/2)+(s_0+2*s_r+IF(circ_int,eq_c1/2,0)),IF(((44+0.5)*(4*IF(circ_int,0,eq_c1/2)+4*IF(circ_int,0,eq_c2/2)+2*PI()*(s_0+2*s_r+IF(circ_int,eq_c1/2,0)))/INDEX(lk_legs,3))&lt;((2*IF(circ_int,0,eq_c2/2))+(PI()*(s_0+2*s_r+IF(circ_int,eq_c1/2,0))/2)),IF(circ_int,0,eq_c1/2)+(s_0+2*s_r+IF(circ_int,eq_c1/2,0))*COS((((44+0.5)*(4*IF(circ_int,0,eq_c1/2)+4*IF(circ_int,0,eq_c2/2)+2*PI()*(s_0+2*s_r+IF(circ_int,eq_c1/2,0)))/INDEX(lk_legs,3))-(2*IF(circ_int,0,eq_c2/2)))/(s_0+2*s_r+IF(circ_int,eq_c1/2,0))),IF(((44+0.5)*(4*IF(circ_int,0,eq_c1/2)+4*IF(circ_int,0,eq_c2/2)+2*PI()*(s_0+2*s_r+IF(circ_int,eq_c1/2,0)))/INDEX(lk_legs,3))&lt;(((2*IF(circ_int,0,eq_c2/2))+(PI()*(s_0+2*s_r+IF(circ_int,eq_c1/2,0))/2))+2*IF(circ_int,0,eq_c1/2)),IF(circ_int,0,eq_c1/2)-(((44+0.5)*(4*IF(circ_int,0,eq_c1/2)+4*IF(circ_int,0,eq_c2/2)+2*PI()*(s_0+2*s_r+IF(circ_int,eq_c1/2,0)))/INDEX(lk_legs,3))-((2*IF(circ_int,0,eq_c2/2))+(PI()*(s_0+2*s_r+IF(circ_int,eq_c1/2,0))/2))),IF(((44+0.5)*(4*IF(circ_int,0,eq_c1/2)+4*IF(circ_int,0,eq_c2/2)+2*PI()*(s_0+2*s_r+IF(circ_int,eq_c1/2,0)))/INDEX(lk_legs,3))&lt;((((2*IF(circ_int,0,eq_c2/2))+(PI()*(s_0+2*s_r+IF(circ_int,eq_c1/2,0))/2))+2*IF(circ_int,0,eq_c1/2))+(PI()*(s_0+2*s_r+IF(circ_int,eq_c1/2,0))/2)),-IF(circ_int,0,eq_c1/2)+(s_0+2*s_r+IF(circ_int,eq_c1/2,0))*COS(PI()/2+(((44+0.5)*(4*IF(circ_int,0,eq_c1/2)+4*IF(circ_int,0,eq_c2/2)+2*PI()*(s_0+2*s_r+IF(circ_int,eq_c1/2,0)))/INDEX(lk_legs,3))-(((2*IF(circ_int,0,eq_c2/2))+(PI()*(s_0+2*s_r+IF(circ_int,eq_c1/2,0))/2))+2*IF(circ_int,0,eq_c1/2)))/(s_0+2*s_r+IF(circ_int,eq_c1/2,0))),IF(((44+0.5)*(4*IF(circ_int,0,eq_c1/2)+4*IF(circ_int,0,eq_c2/2)+2*PI()*(s_0+2*s_r+IF(circ_int,eq_c1/2,0)))/INDEX(lk_legs,3))&lt;(((((2*IF(circ_int,0,eq_c2/2))+(PI()*(s_0+2*s_r+IF(circ_int,eq_c1/2,0))/2))+2*IF(circ_int,0,eq_c1/2))+(PI()*(s_0+2*s_r+IF(circ_int,eq_c1/2,0))/2))+2*IF(circ_int,0,eq_c2/2)),-IF(circ_int,0,eq_c1/2)-(s_0+2*s_r+IF(circ_int,eq_c1/2,0)),IF(((44+0.5)*(4*IF(circ_int,0,eq_c1/2)+4*IF(circ_int,0,eq_c2/2)+2*PI()*(s_0+2*s_r+IF(circ_int,eq_c1/2,0)))/INDEX(lk_legs,3))&lt;((((((2*IF(circ_int,0,eq_c2/2))+(PI()*(s_0+2*s_r+IF(circ_int,eq_c1/2,0))/2))+2*IF(circ_int,0,eq_c1/2))+(PI()*(s_0+2*s_r+IF(circ_int,eq_c1/2,0))/2))+2*IF(circ_int,0,eq_c2/2))+(PI()*(s_0+2*s_r+IF(circ_int,eq_c1/2,0))/2)),-IF(circ_int,0,eq_c1/2)+(s_0+2*s_r+IF(circ_int,eq_c1/2,0))*COS(PI()+(((44+0.5)*(4*IF(circ_int,0,eq_c1/2)+4*IF(circ_int,0,eq_c2/2)+2*PI()*(s_0+2*s_r+IF(circ_int,eq_c1/2,0)))/INDEX(lk_legs,3))-(((((2*IF(circ_int,0,eq_c2/2))+(PI()*(s_0+2*s_r+IF(circ_int,eq_c1/2,0))/2))+2*IF(circ_int,0,eq_c1/2))+(PI()*(s_0+2*s_r+IF(circ_int,eq_c1/2,0))/2))+2*IF(circ_int,0,eq_c2/2)))/(s_0+2*s_r+IF(circ_int,eq_c1/2,0))),IF(((44+0.5)*(4*IF(circ_int,0,eq_c1/2)+4*IF(circ_int,0,eq_c2/2)+2*PI()*(s_0+2*s_r+IF(circ_int,eq_c1/2,0)))/INDEX(lk_legs,3))&lt;(((((((2*IF(circ_int,0,eq_c2/2))+(PI()*(s_0+2*s_r+IF(circ_int,eq_c1/2,0))/2))+2*IF(circ_int,0,eq_c1/2))+(PI()*(s_0+2*s_r+IF(circ_int,eq_c1/2,0))/2))+2*IF(circ_int,0,eq_c2/2))+(PI()*(s_0+2*s_r+IF(circ_int,eq_c1/2,0))/2))+2*IF(circ_int,0,eq_c1/2)),-IF(circ_int,0,eq_c1/2)+(((44+0.5)*(4*IF(circ_int,0,eq_c1/2)+4*IF(circ_int,0,eq_c2/2)+2*PI()*(s_0+2*s_r+IF(circ_int,eq_c1/2,0)))/INDEX(lk_legs,3))-((((((2*IF(circ_int,0,eq_c2/2))+(PI()*(s_0+2*s_r+IF(circ_int,eq_c1/2,0))/2))+2*IF(circ_int,0,eq_c1/2))+(PI()*(s_0+2*s_r+IF(circ_int,eq_c1/2,0))/2))+2*IF(circ_int,0,eq_c2/2))+(PI()*(s_0+2*s_r+IF(circ_int,eq_c1/2,0))/2))),IF(circ_int,0,eq_c1/2)+(s_0+2*s_r+IF(circ_int,eq_c1/2,0))*COS(3*PI()/2+(((44+0.5)*(4*IF(circ_int,0,eq_c1/2)+4*IF(circ_int,0,eq_c2/2)+2*PI()*(s_0+2*s_r+IF(circ_int,eq_c1/2,0)))/INDEX(lk_legs,3))-(((((((2*IF(circ_int,0,eq_c2/2))+(PI()*(s_0+2*s_r+IF(circ_int,eq_c1/2,0))/2))+2*IF(circ_int,0,eq_c1/2))+(PI()*(s_0+2*s_r+IF(circ_int,eq_c1/2,0))/2))+2*IF(circ_int,0,eq_c2/2))+(PI()*(s_0+2*s_r+IF(circ_int,eq_c1/2,0))/2))+2*IF(circ_int,0,eq_c1/2)))/(s_0+2*s_r+IF(circ_int,eq_c1/2,0)))))))))),NA())</f>
        <v/>
      </c>
      <c r="BM47">
        <f>IF(AND(AND(links_on,3&lt;=n_per),INDEX(lk_kind,3)=1,44&lt;INDEX(lk_legs,3)),g_oy+IF(((44+0.5)*(4*IF(circ_int,0,eq_c1/2)+4*IF(circ_int,0,eq_c2/2)+2*PI()*(s_0+2*s_r+IF(circ_int,eq_c1/2,0)))/INDEX(lk_legs,3))&lt;(2*IF(circ_int,0,eq_c2/2)),-IF(circ_int,0,eq_c2/2)+((44+0.5)*(4*IF(circ_int,0,eq_c1/2)+4*IF(circ_int,0,eq_c2/2)+2*PI()*(s_0+2*s_r+IF(circ_int,eq_c1/2,0)))/INDEX(lk_legs,3)),IF(((44+0.5)*(4*IF(circ_int,0,eq_c1/2)+4*IF(circ_int,0,eq_c2/2)+2*PI()*(s_0+2*s_r+IF(circ_int,eq_c1/2,0)))/INDEX(lk_legs,3))&lt;((2*IF(circ_int,0,eq_c2/2))+(PI()*(s_0+2*s_r+IF(circ_int,eq_c1/2,0))/2)),IF(circ_int,0,eq_c2/2)+(s_0+2*s_r+IF(circ_int,eq_c1/2,0))*SIN((((44+0.5)*(4*IF(circ_int,0,eq_c1/2)+4*IF(circ_int,0,eq_c2/2)+2*PI()*(s_0+2*s_r+IF(circ_int,eq_c1/2,0)))/INDEX(lk_legs,3))-(2*IF(circ_int,0,eq_c2/2)))/(s_0+2*s_r+IF(circ_int,eq_c1/2,0))),IF(((44+0.5)*(4*IF(circ_int,0,eq_c1/2)+4*IF(circ_int,0,eq_c2/2)+2*PI()*(s_0+2*s_r+IF(circ_int,eq_c1/2,0)))/INDEX(lk_legs,3))&lt;(((2*IF(circ_int,0,eq_c2/2))+(PI()*(s_0+2*s_r+IF(circ_int,eq_c1/2,0))/2))+2*IF(circ_int,0,eq_c1/2)),IF(circ_int,0,eq_c2/2)+(s_0+2*s_r+IF(circ_int,eq_c1/2,0)),IF(((44+0.5)*(4*IF(circ_int,0,eq_c1/2)+4*IF(circ_int,0,eq_c2/2)+2*PI()*(s_0+2*s_r+IF(circ_int,eq_c1/2,0)))/INDEX(lk_legs,3))&lt;((((2*IF(circ_int,0,eq_c2/2))+(PI()*(s_0+2*s_r+IF(circ_int,eq_c1/2,0))/2))+2*IF(circ_int,0,eq_c1/2))+(PI()*(s_0+2*s_r+IF(circ_int,eq_c1/2,0))/2)),IF(circ_int,0,eq_c2/2)+(s_0+2*s_r+IF(circ_int,eq_c1/2,0))*SIN(PI()/2+(((44+0.5)*(4*IF(circ_int,0,eq_c1/2)+4*IF(circ_int,0,eq_c2/2)+2*PI()*(s_0+2*s_r+IF(circ_int,eq_c1/2,0)))/INDEX(lk_legs,3))-(((2*IF(circ_int,0,eq_c2/2))+(PI()*(s_0+2*s_r+IF(circ_int,eq_c1/2,0))/2))+2*IF(circ_int,0,eq_c1/2)))/(s_0+2*s_r+IF(circ_int,eq_c1/2,0))),IF(((44+0.5)*(4*IF(circ_int,0,eq_c1/2)+4*IF(circ_int,0,eq_c2/2)+2*PI()*(s_0+2*s_r+IF(circ_int,eq_c1/2,0)))/INDEX(lk_legs,3))&lt;(((((2*IF(circ_int,0,eq_c2/2))+(PI()*(s_0+2*s_r+IF(circ_int,eq_c1/2,0))/2))+2*IF(circ_int,0,eq_c1/2))+(PI()*(s_0+2*s_r+IF(circ_int,eq_c1/2,0))/2))+2*IF(circ_int,0,eq_c2/2)),IF(circ_int,0,eq_c2/2)-(((44+0.5)*(4*IF(circ_int,0,eq_c1/2)+4*IF(circ_int,0,eq_c2/2)+2*PI()*(s_0+2*s_r+IF(circ_int,eq_c1/2,0)))/INDEX(lk_legs,3))-((((2*IF(circ_int,0,eq_c2/2))+(PI()*(s_0+2*s_r+IF(circ_int,eq_c1/2,0))/2))+2*IF(circ_int,0,eq_c1/2))+(PI()*(s_0+2*s_r+IF(circ_int,eq_c1/2,0))/2))),IF(((44+0.5)*(4*IF(circ_int,0,eq_c1/2)+4*IF(circ_int,0,eq_c2/2)+2*PI()*(s_0+2*s_r+IF(circ_int,eq_c1/2,0)))/INDEX(lk_legs,3))&lt;((((((2*IF(circ_int,0,eq_c2/2))+(PI()*(s_0+2*s_r+IF(circ_int,eq_c1/2,0))/2))+2*IF(circ_int,0,eq_c1/2))+(PI()*(s_0+2*s_r+IF(circ_int,eq_c1/2,0))/2))+2*IF(circ_int,0,eq_c2/2))+(PI()*(s_0+2*s_r+IF(circ_int,eq_c1/2,0))/2)),-IF(circ_int,0,eq_c2/2)+(s_0+2*s_r+IF(circ_int,eq_c1/2,0))*SIN(PI()+(((44+0.5)*(4*IF(circ_int,0,eq_c1/2)+4*IF(circ_int,0,eq_c2/2)+2*PI()*(s_0+2*s_r+IF(circ_int,eq_c1/2,0)))/INDEX(lk_legs,3))-(((((2*IF(circ_int,0,eq_c2/2))+(PI()*(s_0+2*s_r+IF(circ_int,eq_c1/2,0))/2))+2*IF(circ_int,0,eq_c1/2))+(PI()*(s_0+2*s_r+IF(circ_int,eq_c1/2,0))/2))+2*IF(circ_int,0,eq_c2/2)))/(s_0+2*s_r+IF(circ_int,eq_c1/2,0))),IF(((44+0.5)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(44+0.5)*(4*IF(circ_int,0,eq_c1/2)+4*IF(circ_int,0,eq_c2/2)+2*PI()*(s_0+2*s_r+IF(circ_int,eq_c1/2,0)))/INDEX(lk_legs,3))-(((((((2*IF(circ_int,0,eq_c2/2))+(PI()*(s_0+2*s_r+IF(circ_int,eq_c1/2,0))/2))+2*IF(circ_int,0,eq_c1/2))+(PI()*(s_0+2*s_r+IF(circ_int,eq_c1/2,0))/2))+2*IF(circ_int,0,eq_c2/2))+(PI()*(s_0+2*s_r+IF(circ_int,eq_c1/2,0))/2))+2*IF(circ_int,0,eq_c1/2)))/(s_0+2*s_r+IF(circ_int,eq_c1/2,0)))))))))),NA())</f>
        <v/>
      </c>
      <c r="BO47">
        <f>IF(AND(links_on,4&lt;=n_per),IF(circ_int,(g_ox)+(c_1/2+(s_0+3*s_r))*0.568065,CHOOSE(INDEX(lk_kind,4),(g_ox+eq_c1/2)+((s_0+3*s_r))*0.608761,0,eq_a1+eq_c1+(s_0+3*s_r),eq_a1+eq_c1+(s_0+3*s_r))),NA())</f>
        <v/>
      </c>
      <c r="BP47">
        <f>IF(AND(links_on,4&lt;=n_per),IF(circ_int,(g_oy)+(c_1/2+(s_0+3*s_r))*-0.822984,CHOOSE(INDEX(lk_kind,4),(g_oy-eq_c2/2)+((s_0+3*s_r))*-0.793353,g_oy-eq_c2/2-(s_0+3*s_r),0,0)),NA())</f>
        <v/>
      </c>
      <c r="BR47">
        <f>IF(AND(AND(links_on,4&lt;=n_per),INDEX(lk_kind,4)=1,44&lt;INDEX(lk_legs,4)),g_ox+IF(((44+0.5)*(4*IF(circ_int,0,eq_c1/2)+4*IF(circ_int,0,eq_c2/2)+2*PI()*(s_0+3*s_r+IF(circ_int,eq_c1/2,0)))/INDEX(lk_legs,4))&lt;(2*IF(circ_int,0,eq_c2/2)),IF(circ_int,0,eq_c1/2)+(s_0+3*s_r+IF(circ_int,eq_c1/2,0)),IF(((44+0.5)*(4*IF(circ_int,0,eq_c1/2)+4*IF(circ_int,0,eq_c2/2)+2*PI()*(s_0+3*s_r+IF(circ_int,eq_c1/2,0)))/INDEX(lk_legs,4))&lt;((2*IF(circ_int,0,eq_c2/2))+(PI()*(s_0+3*s_r+IF(circ_int,eq_c1/2,0))/2)),IF(circ_int,0,eq_c1/2)+(s_0+3*s_r+IF(circ_int,eq_c1/2,0))*COS((((44+0.5)*(4*IF(circ_int,0,eq_c1/2)+4*IF(circ_int,0,eq_c2/2)+2*PI()*(s_0+3*s_r+IF(circ_int,eq_c1/2,0)))/INDEX(lk_legs,4))-(2*IF(circ_int,0,eq_c2/2)))/(s_0+3*s_r+IF(circ_int,eq_c1/2,0))),IF(((44+0.5)*(4*IF(circ_int,0,eq_c1/2)+4*IF(circ_int,0,eq_c2/2)+2*PI()*(s_0+3*s_r+IF(circ_int,eq_c1/2,0)))/INDEX(lk_legs,4))&lt;(((2*IF(circ_int,0,eq_c2/2))+(PI()*(s_0+3*s_r+IF(circ_int,eq_c1/2,0))/2))+2*IF(circ_int,0,eq_c1/2)),IF(circ_int,0,eq_c1/2)-(((44+0.5)*(4*IF(circ_int,0,eq_c1/2)+4*IF(circ_int,0,eq_c2/2)+2*PI()*(s_0+3*s_r+IF(circ_int,eq_c1/2,0)))/INDEX(lk_legs,4))-((2*IF(circ_int,0,eq_c2/2))+(PI()*(s_0+3*s_r+IF(circ_int,eq_c1/2,0))/2))),IF(((44+0.5)*(4*IF(circ_int,0,eq_c1/2)+4*IF(circ_int,0,eq_c2/2)+2*PI()*(s_0+3*s_r+IF(circ_int,eq_c1/2,0)))/INDEX(lk_legs,4))&lt;((((2*IF(circ_int,0,eq_c2/2))+(PI()*(s_0+3*s_r+IF(circ_int,eq_c1/2,0))/2))+2*IF(circ_int,0,eq_c1/2))+(PI()*(s_0+3*s_r+IF(circ_int,eq_c1/2,0))/2)),-IF(circ_int,0,eq_c1/2)+(s_0+3*s_r+IF(circ_int,eq_c1/2,0))*COS(PI()/2+(((44+0.5)*(4*IF(circ_int,0,eq_c1/2)+4*IF(circ_int,0,eq_c2/2)+2*PI()*(s_0+3*s_r+IF(circ_int,eq_c1/2,0)))/INDEX(lk_legs,4))-(((2*IF(circ_int,0,eq_c2/2))+(PI()*(s_0+3*s_r+IF(circ_int,eq_c1/2,0))/2))+2*IF(circ_int,0,eq_c1/2)))/(s_0+3*s_r+IF(circ_int,eq_c1/2,0))),IF(((44+0.5)*(4*IF(circ_int,0,eq_c1/2)+4*IF(circ_int,0,eq_c2/2)+2*PI()*(s_0+3*s_r+IF(circ_int,eq_c1/2,0)))/INDEX(lk_legs,4))&lt;(((((2*IF(circ_int,0,eq_c2/2))+(PI()*(s_0+3*s_r+IF(circ_int,eq_c1/2,0))/2))+2*IF(circ_int,0,eq_c1/2))+(PI()*(s_0+3*s_r+IF(circ_int,eq_c1/2,0))/2))+2*IF(circ_int,0,eq_c2/2)),-IF(circ_int,0,eq_c1/2)-(s_0+3*s_r+IF(circ_int,eq_c1/2,0)),IF(((44+0.5)*(4*IF(circ_int,0,eq_c1/2)+4*IF(circ_int,0,eq_c2/2)+2*PI()*(s_0+3*s_r+IF(circ_int,eq_c1/2,0)))/INDEX(lk_legs,4))&lt;((((((2*IF(circ_int,0,eq_c2/2))+(PI()*(s_0+3*s_r+IF(circ_int,eq_c1/2,0))/2))+2*IF(circ_int,0,eq_c1/2))+(PI()*(s_0+3*s_r+IF(circ_int,eq_c1/2,0))/2))+2*IF(circ_int,0,eq_c2/2))+(PI()*(s_0+3*s_r+IF(circ_int,eq_c1/2,0))/2)),-IF(circ_int,0,eq_c1/2)+(s_0+3*s_r+IF(circ_int,eq_c1/2,0))*COS(PI()+(((44+0.5)*(4*IF(circ_int,0,eq_c1/2)+4*IF(circ_int,0,eq_c2/2)+2*PI()*(s_0+3*s_r+IF(circ_int,eq_c1/2,0)))/INDEX(lk_legs,4))-(((((2*IF(circ_int,0,eq_c2/2))+(PI()*(s_0+3*s_r+IF(circ_int,eq_c1/2,0))/2))+2*IF(circ_int,0,eq_c1/2))+(PI()*(s_0+3*s_r+IF(circ_int,eq_c1/2,0))/2))+2*IF(circ_int,0,eq_c2/2)))/(s_0+3*s_r+IF(circ_int,eq_c1/2,0))),IF(((44+0.5)*(4*IF(circ_int,0,eq_c1/2)+4*IF(circ_int,0,eq_c2/2)+2*PI()*(s_0+3*s_r+IF(circ_int,eq_c1/2,0)))/INDEX(lk_legs,4))&lt;(((((((2*IF(circ_int,0,eq_c2/2))+(PI()*(s_0+3*s_r+IF(circ_int,eq_c1/2,0))/2))+2*IF(circ_int,0,eq_c1/2))+(PI()*(s_0+3*s_r+IF(circ_int,eq_c1/2,0))/2))+2*IF(circ_int,0,eq_c2/2))+(PI()*(s_0+3*s_r+IF(circ_int,eq_c1/2,0))/2))+2*IF(circ_int,0,eq_c1/2)),-IF(circ_int,0,eq_c1/2)+(((44+0.5)*(4*IF(circ_int,0,eq_c1/2)+4*IF(circ_int,0,eq_c2/2)+2*PI()*(s_0+3*s_r+IF(circ_int,eq_c1/2,0)))/INDEX(lk_legs,4))-((((((2*IF(circ_int,0,eq_c2/2))+(PI()*(s_0+3*s_r+IF(circ_int,eq_c1/2,0))/2))+2*IF(circ_int,0,eq_c1/2))+(PI()*(s_0+3*s_r+IF(circ_int,eq_c1/2,0))/2))+2*IF(circ_int,0,eq_c2/2))+(PI()*(s_0+3*s_r+IF(circ_int,eq_c1/2,0))/2))),IF(circ_int,0,eq_c1/2)+(s_0+3*s_r+IF(circ_int,eq_c1/2,0))*COS(3*PI()/2+(((44+0.5)*(4*IF(circ_int,0,eq_c1/2)+4*IF(circ_int,0,eq_c2/2)+2*PI()*(s_0+3*s_r+IF(circ_int,eq_c1/2,0)))/INDEX(lk_legs,4))-(((((((2*IF(circ_int,0,eq_c2/2))+(PI()*(s_0+3*s_r+IF(circ_int,eq_c1/2,0))/2))+2*IF(circ_int,0,eq_c1/2))+(PI()*(s_0+3*s_r+IF(circ_int,eq_c1/2,0))/2))+2*IF(circ_int,0,eq_c2/2))+(PI()*(s_0+3*s_r+IF(circ_int,eq_c1/2,0))/2))+2*IF(circ_int,0,eq_c1/2)))/(s_0+3*s_r+IF(circ_int,eq_c1/2,0)))))))))),NA())</f>
        <v/>
      </c>
      <c r="BS47">
        <f>IF(AND(AND(links_on,4&lt;=n_per),INDEX(lk_kind,4)=1,44&lt;INDEX(lk_legs,4)),g_oy+IF(((44+0.5)*(4*IF(circ_int,0,eq_c1/2)+4*IF(circ_int,0,eq_c2/2)+2*PI()*(s_0+3*s_r+IF(circ_int,eq_c1/2,0)))/INDEX(lk_legs,4))&lt;(2*IF(circ_int,0,eq_c2/2)),-IF(circ_int,0,eq_c2/2)+((44+0.5)*(4*IF(circ_int,0,eq_c1/2)+4*IF(circ_int,0,eq_c2/2)+2*PI()*(s_0+3*s_r+IF(circ_int,eq_c1/2,0)))/INDEX(lk_legs,4)),IF(((44+0.5)*(4*IF(circ_int,0,eq_c1/2)+4*IF(circ_int,0,eq_c2/2)+2*PI()*(s_0+3*s_r+IF(circ_int,eq_c1/2,0)))/INDEX(lk_legs,4))&lt;((2*IF(circ_int,0,eq_c2/2))+(PI()*(s_0+3*s_r+IF(circ_int,eq_c1/2,0))/2)),IF(circ_int,0,eq_c2/2)+(s_0+3*s_r+IF(circ_int,eq_c1/2,0))*SIN((((44+0.5)*(4*IF(circ_int,0,eq_c1/2)+4*IF(circ_int,0,eq_c2/2)+2*PI()*(s_0+3*s_r+IF(circ_int,eq_c1/2,0)))/INDEX(lk_legs,4))-(2*IF(circ_int,0,eq_c2/2)))/(s_0+3*s_r+IF(circ_int,eq_c1/2,0))),IF(((44+0.5)*(4*IF(circ_int,0,eq_c1/2)+4*IF(circ_int,0,eq_c2/2)+2*PI()*(s_0+3*s_r+IF(circ_int,eq_c1/2,0)))/INDEX(lk_legs,4))&lt;(((2*IF(circ_int,0,eq_c2/2))+(PI()*(s_0+3*s_r+IF(circ_int,eq_c1/2,0))/2))+2*IF(circ_int,0,eq_c1/2)),IF(circ_int,0,eq_c2/2)+(s_0+3*s_r+IF(circ_int,eq_c1/2,0)),IF(((44+0.5)*(4*IF(circ_int,0,eq_c1/2)+4*IF(circ_int,0,eq_c2/2)+2*PI()*(s_0+3*s_r+IF(circ_int,eq_c1/2,0)))/INDEX(lk_legs,4))&lt;((((2*IF(circ_int,0,eq_c2/2))+(PI()*(s_0+3*s_r+IF(circ_int,eq_c1/2,0))/2))+2*IF(circ_int,0,eq_c1/2))+(PI()*(s_0+3*s_r+IF(circ_int,eq_c1/2,0))/2)),IF(circ_int,0,eq_c2/2)+(s_0+3*s_r+IF(circ_int,eq_c1/2,0))*SIN(PI()/2+(((44+0.5)*(4*IF(circ_int,0,eq_c1/2)+4*IF(circ_int,0,eq_c2/2)+2*PI()*(s_0+3*s_r+IF(circ_int,eq_c1/2,0)))/INDEX(lk_legs,4))-(((2*IF(circ_int,0,eq_c2/2))+(PI()*(s_0+3*s_r+IF(circ_int,eq_c1/2,0))/2))+2*IF(circ_int,0,eq_c1/2)))/(s_0+3*s_r+IF(circ_int,eq_c1/2,0))),IF(((44+0.5)*(4*IF(circ_int,0,eq_c1/2)+4*IF(circ_int,0,eq_c2/2)+2*PI()*(s_0+3*s_r+IF(circ_int,eq_c1/2,0)))/INDEX(lk_legs,4))&lt;(((((2*IF(circ_int,0,eq_c2/2))+(PI()*(s_0+3*s_r+IF(circ_int,eq_c1/2,0))/2))+2*IF(circ_int,0,eq_c1/2))+(PI()*(s_0+3*s_r+IF(circ_int,eq_c1/2,0))/2))+2*IF(circ_int,0,eq_c2/2)),IF(circ_int,0,eq_c2/2)-(((44+0.5)*(4*IF(circ_int,0,eq_c1/2)+4*IF(circ_int,0,eq_c2/2)+2*PI()*(s_0+3*s_r+IF(circ_int,eq_c1/2,0)))/INDEX(lk_legs,4))-((((2*IF(circ_int,0,eq_c2/2))+(PI()*(s_0+3*s_r+IF(circ_int,eq_c1/2,0))/2))+2*IF(circ_int,0,eq_c1/2))+(PI()*(s_0+3*s_r+IF(circ_int,eq_c1/2,0))/2))),IF(((44+0.5)*(4*IF(circ_int,0,eq_c1/2)+4*IF(circ_int,0,eq_c2/2)+2*PI()*(s_0+3*s_r+IF(circ_int,eq_c1/2,0)))/INDEX(lk_legs,4))&lt;((((((2*IF(circ_int,0,eq_c2/2))+(PI()*(s_0+3*s_r+IF(circ_int,eq_c1/2,0))/2))+2*IF(circ_int,0,eq_c1/2))+(PI()*(s_0+3*s_r+IF(circ_int,eq_c1/2,0))/2))+2*IF(circ_int,0,eq_c2/2))+(PI()*(s_0+3*s_r+IF(circ_int,eq_c1/2,0))/2)),-IF(circ_int,0,eq_c2/2)+(s_0+3*s_r+IF(circ_int,eq_c1/2,0))*SIN(PI()+(((44+0.5)*(4*IF(circ_int,0,eq_c1/2)+4*IF(circ_int,0,eq_c2/2)+2*PI()*(s_0+3*s_r+IF(circ_int,eq_c1/2,0)))/INDEX(lk_legs,4))-(((((2*IF(circ_int,0,eq_c2/2))+(PI()*(s_0+3*s_r+IF(circ_int,eq_c1/2,0))/2))+2*IF(circ_int,0,eq_c1/2))+(PI()*(s_0+3*s_r+IF(circ_int,eq_c1/2,0))/2))+2*IF(circ_int,0,eq_c2/2)))/(s_0+3*s_r+IF(circ_int,eq_c1/2,0))),IF(((44+0.5)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(44+0.5)*(4*IF(circ_int,0,eq_c1/2)+4*IF(circ_int,0,eq_c2/2)+2*PI()*(s_0+3*s_r+IF(circ_int,eq_c1/2,0)))/INDEX(lk_legs,4))-(((((((2*IF(circ_int,0,eq_c2/2))+(PI()*(s_0+3*s_r+IF(circ_int,eq_c1/2,0))/2))+2*IF(circ_int,0,eq_c1/2))+(PI()*(s_0+3*s_r+IF(circ_int,eq_c1/2,0))/2))+2*IF(circ_int,0,eq_c2/2))+(PI()*(s_0+3*s_r+IF(circ_int,eq_c1/2,0))/2))+2*IF(circ_int,0,eq_c1/2)))/(s_0+3*s_r+IF(circ_int,eq_c1/2,0)))))))))),NA())</f>
        <v/>
      </c>
      <c r="BU47">
        <f>IF(AND(links_on,5&lt;=n_per),IF(circ_int,(g_ox)+(c_1/2+(s_0+4*s_r))*0.568065,CHOOSE(INDEX(lk_kind,5),(g_ox+eq_c1/2)+((s_0+4*s_r))*0.608761,0,eq_a1+eq_c1+(s_0+4*s_r),eq_a1+eq_c1+(s_0+4*s_r))),NA())</f>
        <v/>
      </c>
      <c r="BV47">
        <f>IF(AND(links_on,5&lt;=n_per),IF(circ_int,(g_oy)+(c_1/2+(s_0+4*s_r))*-0.822984,CHOOSE(INDEX(lk_kind,5),(g_oy-eq_c2/2)+((s_0+4*s_r))*-0.793353,g_oy-eq_c2/2-(s_0+4*s_r),0,0)),NA())</f>
        <v/>
      </c>
      <c r="BX47">
        <f>IF(AND(AND(links_on,5&lt;=n_per),INDEX(lk_kind,5)=1,44&lt;INDEX(lk_legs,5)),g_ox+IF(((44+0.5)*(4*IF(circ_int,0,eq_c1/2)+4*IF(circ_int,0,eq_c2/2)+2*PI()*(s_0+4*s_r+IF(circ_int,eq_c1/2,0)))/INDEX(lk_legs,5))&lt;(2*IF(circ_int,0,eq_c2/2)),IF(circ_int,0,eq_c1/2)+(s_0+4*s_r+IF(circ_int,eq_c1/2,0)),IF(((44+0.5)*(4*IF(circ_int,0,eq_c1/2)+4*IF(circ_int,0,eq_c2/2)+2*PI()*(s_0+4*s_r+IF(circ_int,eq_c1/2,0)))/INDEX(lk_legs,5))&lt;((2*IF(circ_int,0,eq_c2/2))+(PI()*(s_0+4*s_r+IF(circ_int,eq_c1/2,0))/2)),IF(circ_int,0,eq_c1/2)+(s_0+4*s_r+IF(circ_int,eq_c1/2,0))*COS((((44+0.5)*(4*IF(circ_int,0,eq_c1/2)+4*IF(circ_int,0,eq_c2/2)+2*PI()*(s_0+4*s_r+IF(circ_int,eq_c1/2,0)))/INDEX(lk_legs,5))-(2*IF(circ_int,0,eq_c2/2)))/(s_0+4*s_r+IF(circ_int,eq_c1/2,0))),IF(((44+0.5)*(4*IF(circ_int,0,eq_c1/2)+4*IF(circ_int,0,eq_c2/2)+2*PI()*(s_0+4*s_r+IF(circ_int,eq_c1/2,0)))/INDEX(lk_legs,5))&lt;(((2*IF(circ_int,0,eq_c2/2))+(PI()*(s_0+4*s_r+IF(circ_int,eq_c1/2,0))/2))+2*IF(circ_int,0,eq_c1/2)),IF(circ_int,0,eq_c1/2)-(((44+0.5)*(4*IF(circ_int,0,eq_c1/2)+4*IF(circ_int,0,eq_c2/2)+2*PI()*(s_0+4*s_r+IF(circ_int,eq_c1/2,0)))/INDEX(lk_legs,5))-((2*IF(circ_int,0,eq_c2/2))+(PI()*(s_0+4*s_r+IF(circ_int,eq_c1/2,0))/2))),IF(((44+0.5)*(4*IF(circ_int,0,eq_c1/2)+4*IF(circ_int,0,eq_c2/2)+2*PI()*(s_0+4*s_r+IF(circ_int,eq_c1/2,0)))/INDEX(lk_legs,5))&lt;((((2*IF(circ_int,0,eq_c2/2))+(PI()*(s_0+4*s_r+IF(circ_int,eq_c1/2,0))/2))+2*IF(circ_int,0,eq_c1/2))+(PI()*(s_0+4*s_r+IF(circ_int,eq_c1/2,0))/2)),-IF(circ_int,0,eq_c1/2)+(s_0+4*s_r+IF(circ_int,eq_c1/2,0))*COS(PI()/2+(((44+0.5)*(4*IF(circ_int,0,eq_c1/2)+4*IF(circ_int,0,eq_c2/2)+2*PI()*(s_0+4*s_r+IF(circ_int,eq_c1/2,0)))/INDEX(lk_legs,5))-(((2*IF(circ_int,0,eq_c2/2))+(PI()*(s_0+4*s_r+IF(circ_int,eq_c1/2,0))/2))+2*IF(circ_int,0,eq_c1/2)))/(s_0+4*s_r+IF(circ_int,eq_c1/2,0))),IF(((44+0.5)*(4*IF(circ_int,0,eq_c1/2)+4*IF(circ_int,0,eq_c2/2)+2*PI()*(s_0+4*s_r+IF(circ_int,eq_c1/2,0)))/INDEX(lk_legs,5))&lt;(((((2*IF(circ_int,0,eq_c2/2))+(PI()*(s_0+4*s_r+IF(circ_int,eq_c1/2,0))/2))+2*IF(circ_int,0,eq_c1/2))+(PI()*(s_0+4*s_r+IF(circ_int,eq_c1/2,0))/2))+2*IF(circ_int,0,eq_c2/2)),-IF(circ_int,0,eq_c1/2)-(s_0+4*s_r+IF(circ_int,eq_c1/2,0)),IF(((44+0.5)*(4*IF(circ_int,0,eq_c1/2)+4*IF(circ_int,0,eq_c2/2)+2*PI()*(s_0+4*s_r+IF(circ_int,eq_c1/2,0)))/INDEX(lk_legs,5))&lt;((((((2*IF(circ_int,0,eq_c2/2))+(PI()*(s_0+4*s_r+IF(circ_int,eq_c1/2,0))/2))+2*IF(circ_int,0,eq_c1/2))+(PI()*(s_0+4*s_r+IF(circ_int,eq_c1/2,0))/2))+2*IF(circ_int,0,eq_c2/2))+(PI()*(s_0+4*s_r+IF(circ_int,eq_c1/2,0))/2)),-IF(circ_int,0,eq_c1/2)+(s_0+4*s_r+IF(circ_int,eq_c1/2,0))*COS(PI()+(((44+0.5)*(4*IF(circ_int,0,eq_c1/2)+4*IF(circ_int,0,eq_c2/2)+2*PI()*(s_0+4*s_r+IF(circ_int,eq_c1/2,0)))/INDEX(lk_legs,5))-(((((2*IF(circ_int,0,eq_c2/2))+(PI()*(s_0+4*s_r+IF(circ_int,eq_c1/2,0))/2))+2*IF(circ_int,0,eq_c1/2))+(PI()*(s_0+4*s_r+IF(circ_int,eq_c1/2,0))/2))+2*IF(circ_int,0,eq_c2/2)))/(s_0+4*s_r+IF(circ_int,eq_c1/2,0))),IF(((44+0.5)*(4*IF(circ_int,0,eq_c1/2)+4*IF(circ_int,0,eq_c2/2)+2*PI()*(s_0+4*s_r+IF(circ_int,eq_c1/2,0)))/INDEX(lk_legs,5))&lt;(((((((2*IF(circ_int,0,eq_c2/2))+(PI()*(s_0+4*s_r+IF(circ_int,eq_c1/2,0))/2))+2*IF(circ_int,0,eq_c1/2))+(PI()*(s_0+4*s_r+IF(circ_int,eq_c1/2,0))/2))+2*IF(circ_int,0,eq_c2/2))+(PI()*(s_0+4*s_r+IF(circ_int,eq_c1/2,0))/2))+2*IF(circ_int,0,eq_c1/2)),-IF(circ_int,0,eq_c1/2)+(((44+0.5)*(4*IF(circ_int,0,eq_c1/2)+4*IF(circ_int,0,eq_c2/2)+2*PI()*(s_0+4*s_r+IF(circ_int,eq_c1/2,0)))/INDEX(lk_legs,5))-((((((2*IF(circ_int,0,eq_c2/2))+(PI()*(s_0+4*s_r+IF(circ_int,eq_c1/2,0))/2))+2*IF(circ_int,0,eq_c1/2))+(PI()*(s_0+4*s_r+IF(circ_int,eq_c1/2,0))/2))+2*IF(circ_int,0,eq_c2/2))+(PI()*(s_0+4*s_r+IF(circ_int,eq_c1/2,0))/2))),IF(circ_int,0,eq_c1/2)+(s_0+4*s_r+IF(circ_int,eq_c1/2,0))*COS(3*PI()/2+(((44+0.5)*(4*IF(circ_int,0,eq_c1/2)+4*IF(circ_int,0,eq_c2/2)+2*PI()*(s_0+4*s_r+IF(circ_int,eq_c1/2,0)))/INDEX(lk_legs,5))-(((((((2*IF(circ_int,0,eq_c2/2))+(PI()*(s_0+4*s_r+IF(circ_int,eq_c1/2,0))/2))+2*IF(circ_int,0,eq_c1/2))+(PI()*(s_0+4*s_r+IF(circ_int,eq_c1/2,0))/2))+2*IF(circ_int,0,eq_c2/2))+(PI()*(s_0+4*s_r+IF(circ_int,eq_c1/2,0))/2))+2*IF(circ_int,0,eq_c1/2)))/(s_0+4*s_r+IF(circ_int,eq_c1/2,0)))))))))),NA())</f>
        <v/>
      </c>
      <c r="BY47">
        <f>IF(AND(AND(links_on,5&lt;=n_per),INDEX(lk_kind,5)=1,44&lt;INDEX(lk_legs,5)),g_oy+IF(((44+0.5)*(4*IF(circ_int,0,eq_c1/2)+4*IF(circ_int,0,eq_c2/2)+2*PI()*(s_0+4*s_r+IF(circ_int,eq_c1/2,0)))/INDEX(lk_legs,5))&lt;(2*IF(circ_int,0,eq_c2/2)),-IF(circ_int,0,eq_c2/2)+((44+0.5)*(4*IF(circ_int,0,eq_c1/2)+4*IF(circ_int,0,eq_c2/2)+2*PI()*(s_0+4*s_r+IF(circ_int,eq_c1/2,0)))/INDEX(lk_legs,5)),IF(((44+0.5)*(4*IF(circ_int,0,eq_c1/2)+4*IF(circ_int,0,eq_c2/2)+2*PI()*(s_0+4*s_r+IF(circ_int,eq_c1/2,0)))/INDEX(lk_legs,5))&lt;((2*IF(circ_int,0,eq_c2/2))+(PI()*(s_0+4*s_r+IF(circ_int,eq_c1/2,0))/2)),IF(circ_int,0,eq_c2/2)+(s_0+4*s_r+IF(circ_int,eq_c1/2,0))*SIN((((44+0.5)*(4*IF(circ_int,0,eq_c1/2)+4*IF(circ_int,0,eq_c2/2)+2*PI()*(s_0+4*s_r+IF(circ_int,eq_c1/2,0)))/INDEX(lk_legs,5))-(2*IF(circ_int,0,eq_c2/2)))/(s_0+4*s_r+IF(circ_int,eq_c1/2,0))),IF(((44+0.5)*(4*IF(circ_int,0,eq_c1/2)+4*IF(circ_int,0,eq_c2/2)+2*PI()*(s_0+4*s_r+IF(circ_int,eq_c1/2,0)))/INDEX(lk_legs,5))&lt;(((2*IF(circ_int,0,eq_c2/2))+(PI()*(s_0+4*s_r+IF(circ_int,eq_c1/2,0))/2))+2*IF(circ_int,0,eq_c1/2)),IF(circ_int,0,eq_c2/2)+(s_0+4*s_r+IF(circ_int,eq_c1/2,0)),IF(((44+0.5)*(4*IF(circ_int,0,eq_c1/2)+4*IF(circ_int,0,eq_c2/2)+2*PI()*(s_0+4*s_r+IF(circ_int,eq_c1/2,0)))/INDEX(lk_legs,5))&lt;((((2*IF(circ_int,0,eq_c2/2))+(PI()*(s_0+4*s_r+IF(circ_int,eq_c1/2,0))/2))+2*IF(circ_int,0,eq_c1/2))+(PI()*(s_0+4*s_r+IF(circ_int,eq_c1/2,0))/2)),IF(circ_int,0,eq_c2/2)+(s_0+4*s_r+IF(circ_int,eq_c1/2,0))*SIN(PI()/2+(((44+0.5)*(4*IF(circ_int,0,eq_c1/2)+4*IF(circ_int,0,eq_c2/2)+2*PI()*(s_0+4*s_r+IF(circ_int,eq_c1/2,0)))/INDEX(lk_legs,5))-(((2*IF(circ_int,0,eq_c2/2))+(PI()*(s_0+4*s_r+IF(circ_int,eq_c1/2,0))/2))+2*IF(circ_int,0,eq_c1/2)))/(s_0+4*s_r+IF(circ_int,eq_c1/2,0))),IF(((44+0.5)*(4*IF(circ_int,0,eq_c1/2)+4*IF(circ_int,0,eq_c2/2)+2*PI()*(s_0+4*s_r+IF(circ_int,eq_c1/2,0)))/INDEX(lk_legs,5))&lt;(((((2*IF(circ_int,0,eq_c2/2))+(PI()*(s_0+4*s_r+IF(circ_int,eq_c1/2,0))/2))+2*IF(circ_int,0,eq_c1/2))+(PI()*(s_0+4*s_r+IF(circ_int,eq_c1/2,0))/2))+2*IF(circ_int,0,eq_c2/2)),IF(circ_int,0,eq_c2/2)-(((44+0.5)*(4*IF(circ_int,0,eq_c1/2)+4*IF(circ_int,0,eq_c2/2)+2*PI()*(s_0+4*s_r+IF(circ_int,eq_c1/2,0)))/INDEX(lk_legs,5))-((((2*IF(circ_int,0,eq_c2/2))+(PI()*(s_0+4*s_r+IF(circ_int,eq_c1/2,0))/2))+2*IF(circ_int,0,eq_c1/2))+(PI()*(s_0+4*s_r+IF(circ_int,eq_c1/2,0))/2))),IF(((44+0.5)*(4*IF(circ_int,0,eq_c1/2)+4*IF(circ_int,0,eq_c2/2)+2*PI()*(s_0+4*s_r+IF(circ_int,eq_c1/2,0)))/INDEX(lk_legs,5))&lt;((((((2*IF(circ_int,0,eq_c2/2))+(PI()*(s_0+4*s_r+IF(circ_int,eq_c1/2,0))/2))+2*IF(circ_int,0,eq_c1/2))+(PI()*(s_0+4*s_r+IF(circ_int,eq_c1/2,0))/2))+2*IF(circ_int,0,eq_c2/2))+(PI()*(s_0+4*s_r+IF(circ_int,eq_c1/2,0))/2)),-IF(circ_int,0,eq_c2/2)+(s_0+4*s_r+IF(circ_int,eq_c1/2,0))*SIN(PI()+(((44+0.5)*(4*IF(circ_int,0,eq_c1/2)+4*IF(circ_int,0,eq_c2/2)+2*PI()*(s_0+4*s_r+IF(circ_int,eq_c1/2,0)))/INDEX(lk_legs,5))-(((((2*IF(circ_int,0,eq_c2/2))+(PI()*(s_0+4*s_r+IF(circ_int,eq_c1/2,0))/2))+2*IF(circ_int,0,eq_c1/2))+(PI()*(s_0+4*s_r+IF(circ_int,eq_c1/2,0))/2))+2*IF(circ_int,0,eq_c2/2)))/(s_0+4*s_r+IF(circ_int,eq_c1/2,0))),IF(((44+0.5)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(44+0.5)*(4*IF(circ_int,0,eq_c1/2)+4*IF(circ_int,0,eq_c2/2)+2*PI()*(s_0+4*s_r+IF(circ_int,eq_c1/2,0)))/INDEX(lk_legs,5))-(((((((2*IF(circ_int,0,eq_c2/2))+(PI()*(s_0+4*s_r+IF(circ_int,eq_c1/2,0))/2))+2*IF(circ_int,0,eq_c1/2))+(PI()*(s_0+4*s_r+IF(circ_int,eq_c1/2,0))/2))+2*IF(circ_int,0,eq_c2/2))+(PI()*(s_0+4*s_r+IF(circ_int,eq_c1/2,0))/2))+2*IF(circ_int,0,eq_c1/2)))/(s_0+4*s_r+IF(circ_int,eq_c1/2,0)))))))))),NA())</f>
        <v/>
      </c>
      <c r="CA47">
        <f>IF(AND(links_on,6&lt;=n_per),IF(circ_int,(g_ox)+(c_1/2+(s_0+5*s_r))*0.568065,CHOOSE(INDEX(lk_kind,6),(g_ox+eq_c1/2)+((s_0+5*s_r))*0.608761,0,eq_a1+eq_c1+(s_0+5*s_r),eq_a1+eq_c1+(s_0+5*s_r))),NA())</f>
        <v/>
      </c>
      <c r="CB47">
        <f>IF(AND(links_on,6&lt;=n_per),IF(circ_int,(g_oy)+(c_1/2+(s_0+5*s_r))*-0.822984,CHOOSE(INDEX(lk_kind,6),(g_oy-eq_c2/2)+((s_0+5*s_r))*-0.793353,g_oy-eq_c2/2-(s_0+5*s_r),0,0)),NA())</f>
        <v/>
      </c>
      <c r="CD47">
        <f>IF(AND(AND(links_on,6&lt;=n_per),INDEX(lk_kind,6)=1,44&lt;INDEX(lk_legs,6)),g_ox+IF(((44+0.5)*(4*IF(circ_int,0,eq_c1/2)+4*IF(circ_int,0,eq_c2/2)+2*PI()*(s_0+5*s_r+IF(circ_int,eq_c1/2,0)))/INDEX(lk_legs,6))&lt;(2*IF(circ_int,0,eq_c2/2)),IF(circ_int,0,eq_c1/2)+(s_0+5*s_r+IF(circ_int,eq_c1/2,0)),IF(((44+0.5)*(4*IF(circ_int,0,eq_c1/2)+4*IF(circ_int,0,eq_c2/2)+2*PI()*(s_0+5*s_r+IF(circ_int,eq_c1/2,0)))/INDEX(lk_legs,6))&lt;((2*IF(circ_int,0,eq_c2/2))+(PI()*(s_0+5*s_r+IF(circ_int,eq_c1/2,0))/2)),IF(circ_int,0,eq_c1/2)+(s_0+5*s_r+IF(circ_int,eq_c1/2,0))*COS((((44+0.5)*(4*IF(circ_int,0,eq_c1/2)+4*IF(circ_int,0,eq_c2/2)+2*PI()*(s_0+5*s_r+IF(circ_int,eq_c1/2,0)))/INDEX(lk_legs,6))-(2*IF(circ_int,0,eq_c2/2)))/(s_0+5*s_r+IF(circ_int,eq_c1/2,0))),IF(((44+0.5)*(4*IF(circ_int,0,eq_c1/2)+4*IF(circ_int,0,eq_c2/2)+2*PI()*(s_0+5*s_r+IF(circ_int,eq_c1/2,0)))/INDEX(lk_legs,6))&lt;(((2*IF(circ_int,0,eq_c2/2))+(PI()*(s_0+5*s_r+IF(circ_int,eq_c1/2,0))/2))+2*IF(circ_int,0,eq_c1/2)),IF(circ_int,0,eq_c1/2)-(((44+0.5)*(4*IF(circ_int,0,eq_c1/2)+4*IF(circ_int,0,eq_c2/2)+2*PI()*(s_0+5*s_r+IF(circ_int,eq_c1/2,0)))/INDEX(lk_legs,6))-((2*IF(circ_int,0,eq_c2/2))+(PI()*(s_0+5*s_r+IF(circ_int,eq_c1/2,0))/2))),IF(((44+0.5)*(4*IF(circ_int,0,eq_c1/2)+4*IF(circ_int,0,eq_c2/2)+2*PI()*(s_0+5*s_r+IF(circ_int,eq_c1/2,0)))/INDEX(lk_legs,6))&lt;((((2*IF(circ_int,0,eq_c2/2))+(PI()*(s_0+5*s_r+IF(circ_int,eq_c1/2,0))/2))+2*IF(circ_int,0,eq_c1/2))+(PI()*(s_0+5*s_r+IF(circ_int,eq_c1/2,0))/2)),-IF(circ_int,0,eq_c1/2)+(s_0+5*s_r+IF(circ_int,eq_c1/2,0))*COS(PI()/2+(((44+0.5)*(4*IF(circ_int,0,eq_c1/2)+4*IF(circ_int,0,eq_c2/2)+2*PI()*(s_0+5*s_r+IF(circ_int,eq_c1/2,0)))/INDEX(lk_legs,6))-(((2*IF(circ_int,0,eq_c2/2))+(PI()*(s_0+5*s_r+IF(circ_int,eq_c1/2,0))/2))+2*IF(circ_int,0,eq_c1/2)))/(s_0+5*s_r+IF(circ_int,eq_c1/2,0))),IF(((44+0.5)*(4*IF(circ_int,0,eq_c1/2)+4*IF(circ_int,0,eq_c2/2)+2*PI()*(s_0+5*s_r+IF(circ_int,eq_c1/2,0)))/INDEX(lk_legs,6))&lt;(((((2*IF(circ_int,0,eq_c2/2))+(PI()*(s_0+5*s_r+IF(circ_int,eq_c1/2,0))/2))+2*IF(circ_int,0,eq_c1/2))+(PI()*(s_0+5*s_r+IF(circ_int,eq_c1/2,0))/2))+2*IF(circ_int,0,eq_c2/2)),-IF(circ_int,0,eq_c1/2)-(s_0+5*s_r+IF(circ_int,eq_c1/2,0)),IF(((44+0.5)*(4*IF(circ_int,0,eq_c1/2)+4*IF(circ_int,0,eq_c2/2)+2*PI()*(s_0+5*s_r+IF(circ_int,eq_c1/2,0)))/INDEX(lk_legs,6))&lt;((((((2*IF(circ_int,0,eq_c2/2))+(PI()*(s_0+5*s_r+IF(circ_int,eq_c1/2,0))/2))+2*IF(circ_int,0,eq_c1/2))+(PI()*(s_0+5*s_r+IF(circ_int,eq_c1/2,0))/2))+2*IF(circ_int,0,eq_c2/2))+(PI()*(s_0+5*s_r+IF(circ_int,eq_c1/2,0))/2)),-IF(circ_int,0,eq_c1/2)+(s_0+5*s_r+IF(circ_int,eq_c1/2,0))*COS(PI()+(((44+0.5)*(4*IF(circ_int,0,eq_c1/2)+4*IF(circ_int,0,eq_c2/2)+2*PI()*(s_0+5*s_r+IF(circ_int,eq_c1/2,0)))/INDEX(lk_legs,6))-(((((2*IF(circ_int,0,eq_c2/2))+(PI()*(s_0+5*s_r+IF(circ_int,eq_c1/2,0))/2))+2*IF(circ_int,0,eq_c1/2))+(PI()*(s_0+5*s_r+IF(circ_int,eq_c1/2,0))/2))+2*IF(circ_int,0,eq_c2/2)))/(s_0+5*s_r+IF(circ_int,eq_c1/2,0))),IF(((44+0.5)*(4*IF(circ_int,0,eq_c1/2)+4*IF(circ_int,0,eq_c2/2)+2*PI()*(s_0+5*s_r+IF(circ_int,eq_c1/2,0)))/INDEX(lk_legs,6))&lt;(((((((2*IF(circ_int,0,eq_c2/2))+(PI()*(s_0+5*s_r+IF(circ_int,eq_c1/2,0))/2))+2*IF(circ_int,0,eq_c1/2))+(PI()*(s_0+5*s_r+IF(circ_int,eq_c1/2,0))/2))+2*IF(circ_int,0,eq_c2/2))+(PI()*(s_0+5*s_r+IF(circ_int,eq_c1/2,0))/2))+2*IF(circ_int,0,eq_c1/2)),-IF(circ_int,0,eq_c1/2)+(((44+0.5)*(4*IF(circ_int,0,eq_c1/2)+4*IF(circ_int,0,eq_c2/2)+2*PI()*(s_0+5*s_r+IF(circ_int,eq_c1/2,0)))/INDEX(lk_legs,6))-((((((2*IF(circ_int,0,eq_c2/2))+(PI()*(s_0+5*s_r+IF(circ_int,eq_c1/2,0))/2))+2*IF(circ_int,0,eq_c1/2))+(PI()*(s_0+5*s_r+IF(circ_int,eq_c1/2,0))/2))+2*IF(circ_int,0,eq_c2/2))+(PI()*(s_0+5*s_r+IF(circ_int,eq_c1/2,0))/2))),IF(circ_int,0,eq_c1/2)+(s_0+5*s_r+IF(circ_int,eq_c1/2,0))*COS(3*PI()/2+(((44+0.5)*(4*IF(circ_int,0,eq_c1/2)+4*IF(circ_int,0,eq_c2/2)+2*PI()*(s_0+5*s_r+IF(circ_int,eq_c1/2,0)))/INDEX(lk_legs,6))-(((((((2*IF(circ_int,0,eq_c2/2))+(PI()*(s_0+5*s_r+IF(circ_int,eq_c1/2,0))/2))+2*IF(circ_int,0,eq_c1/2))+(PI()*(s_0+5*s_r+IF(circ_int,eq_c1/2,0))/2))+2*IF(circ_int,0,eq_c2/2))+(PI()*(s_0+5*s_r+IF(circ_int,eq_c1/2,0))/2))+2*IF(circ_int,0,eq_c1/2)))/(s_0+5*s_r+IF(circ_int,eq_c1/2,0)))))))))),NA())</f>
        <v/>
      </c>
      <c r="CE47">
        <f>IF(AND(AND(links_on,6&lt;=n_per),INDEX(lk_kind,6)=1,44&lt;INDEX(lk_legs,6)),g_oy+IF(((44+0.5)*(4*IF(circ_int,0,eq_c1/2)+4*IF(circ_int,0,eq_c2/2)+2*PI()*(s_0+5*s_r+IF(circ_int,eq_c1/2,0)))/INDEX(lk_legs,6))&lt;(2*IF(circ_int,0,eq_c2/2)),-IF(circ_int,0,eq_c2/2)+((44+0.5)*(4*IF(circ_int,0,eq_c1/2)+4*IF(circ_int,0,eq_c2/2)+2*PI()*(s_0+5*s_r+IF(circ_int,eq_c1/2,0)))/INDEX(lk_legs,6)),IF(((44+0.5)*(4*IF(circ_int,0,eq_c1/2)+4*IF(circ_int,0,eq_c2/2)+2*PI()*(s_0+5*s_r+IF(circ_int,eq_c1/2,0)))/INDEX(lk_legs,6))&lt;((2*IF(circ_int,0,eq_c2/2))+(PI()*(s_0+5*s_r+IF(circ_int,eq_c1/2,0))/2)),IF(circ_int,0,eq_c2/2)+(s_0+5*s_r+IF(circ_int,eq_c1/2,0))*SIN((((44+0.5)*(4*IF(circ_int,0,eq_c1/2)+4*IF(circ_int,0,eq_c2/2)+2*PI()*(s_0+5*s_r+IF(circ_int,eq_c1/2,0)))/INDEX(lk_legs,6))-(2*IF(circ_int,0,eq_c2/2)))/(s_0+5*s_r+IF(circ_int,eq_c1/2,0))),IF(((44+0.5)*(4*IF(circ_int,0,eq_c1/2)+4*IF(circ_int,0,eq_c2/2)+2*PI()*(s_0+5*s_r+IF(circ_int,eq_c1/2,0)))/INDEX(lk_legs,6))&lt;(((2*IF(circ_int,0,eq_c2/2))+(PI()*(s_0+5*s_r+IF(circ_int,eq_c1/2,0))/2))+2*IF(circ_int,0,eq_c1/2)),IF(circ_int,0,eq_c2/2)+(s_0+5*s_r+IF(circ_int,eq_c1/2,0)),IF(((44+0.5)*(4*IF(circ_int,0,eq_c1/2)+4*IF(circ_int,0,eq_c2/2)+2*PI()*(s_0+5*s_r+IF(circ_int,eq_c1/2,0)))/INDEX(lk_legs,6))&lt;((((2*IF(circ_int,0,eq_c2/2))+(PI()*(s_0+5*s_r+IF(circ_int,eq_c1/2,0))/2))+2*IF(circ_int,0,eq_c1/2))+(PI()*(s_0+5*s_r+IF(circ_int,eq_c1/2,0))/2)),IF(circ_int,0,eq_c2/2)+(s_0+5*s_r+IF(circ_int,eq_c1/2,0))*SIN(PI()/2+(((44+0.5)*(4*IF(circ_int,0,eq_c1/2)+4*IF(circ_int,0,eq_c2/2)+2*PI()*(s_0+5*s_r+IF(circ_int,eq_c1/2,0)))/INDEX(lk_legs,6))-(((2*IF(circ_int,0,eq_c2/2))+(PI()*(s_0+5*s_r+IF(circ_int,eq_c1/2,0))/2))+2*IF(circ_int,0,eq_c1/2)))/(s_0+5*s_r+IF(circ_int,eq_c1/2,0))),IF(((44+0.5)*(4*IF(circ_int,0,eq_c1/2)+4*IF(circ_int,0,eq_c2/2)+2*PI()*(s_0+5*s_r+IF(circ_int,eq_c1/2,0)))/INDEX(lk_legs,6))&lt;(((((2*IF(circ_int,0,eq_c2/2))+(PI()*(s_0+5*s_r+IF(circ_int,eq_c1/2,0))/2))+2*IF(circ_int,0,eq_c1/2))+(PI()*(s_0+5*s_r+IF(circ_int,eq_c1/2,0))/2))+2*IF(circ_int,0,eq_c2/2)),IF(circ_int,0,eq_c2/2)-(((44+0.5)*(4*IF(circ_int,0,eq_c1/2)+4*IF(circ_int,0,eq_c2/2)+2*PI()*(s_0+5*s_r+IF(circ_int,eq_c1/2,0)))/INDEX(lk_legs,6))-((((2*IF(circ_int,0,eq_c2/2))+(PI()*(s_0+5*s_r+IF(circ_int,eq_c1/2,0))/2))+2*IF(circ_int,0,eq_c1/2))+(PI()*(s_0+5*s_r+IF(circ_int,eq_c1/2,0))/2))),IF(((44+0.5)*(4*IF(circ_int,0,eq_c1/2)+4*IF(circ_int,0,eq_c2/2)+2*PI()*(s_0+5*s_r+IF(circ_int,eq_c1/2,0)))/INDEX(lk_legs,6))&lt;((((((2*IF(circ_int,0,eq_c2/2))+(PI()*(s_0+5*s_r+IF(circ_int,eq_c1/2,0))/2))+2*IF(circ_int,0,eq_c1/2))+(PI()*(s_0+5*s_r+IF(circ_int,eq_c1/2,0))/2))+2*IF(circ_int,0,eq_c2/2))+(PI()*(s_0+5*s_r+IF(circ_int,eq_c1/2,0))/2)),-IF(circ_int,0,eq_c2/2)+(s_0+5*s_r+IF(circ_int,eq_c1/2,0))*SIN(PI()+(((44+0.5)*(4*IF(circ_int,0,eq_c1/2)+4*IF(circ_int,0,eq_c2/2)+2*PI()*(s_0+5*s_r+IF(circ_int,eq_c1/2,0)))/INDEX(lk_legs,6))-(((((2*IF(circ_int,0,eq_c2/2))+(PI()*(s_0+5*s_r+IF(circ_int,eq_c1/2,0))/2))+2*IF(circ_int,0,eq_c1/2))+(PI()*(s_0+5*s_r+IF(circ_int,eq_c1/2,0))/2))+2*IF(circ_int,0,eq_c2/2)))/(s_0+5*s_r+IF(circ_int,eq_c1/2,0))),IF(((44+0.5)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(44+0.5)*(4*IF(circ_int,0,eq_c1/2)+4*IF(circ_int,0,eq_c2/2)+2*PI()*(s_0+5*s_r+IF(circ_int,eq_c1/2,0)))/INDEX(lk_legs,6))-(((((((2*IF(circ_int,0,eq_c2/2))+(PI()*(s_0+5*s_r+IF(circ_int,eq_c1/2,0))/2))+2*IF(circ_int,0,eq_c1/2))+(PI()*(s_0+5*s_r+IF(circ_int,eq_c1/2,0))/2))+2*IF(circ_int,0,eq_c2/2))+(PI()*(s_0+5*s_r+IF(circ_int,eq_c1/2,0))/2))+2*IF(circ_int,0,eq_c1/2)))/(s_0+5*s_r+IF(circ_int,eq_c1/2,0)))))))))),NA())</f>
        <v/>
      </c>
      <c r="CG47">
        <f>IF(AND(links_on,7&lt;=n_per),IF(circ_int,(g_ox)+(c_1/2+(s_0+6*s_r))*0.568065,CHOOSE(INDEX(lk_kind,7),(g_ox+eq_c1/2)+((s_0+6*s_r))*0.608761,0,eq_a1+eq_c1+(s_0+6*s_r),eq_a1+eq_c1+(s_0+6*s_r))),NA())</f>
        <v/>
      </c>
      <c r="CH47">
        <f>IF(AND(links_on,7&lt;=n_per),IF(circ_int,(g_oy)+(c_1/2+(s_0+6*s_r))*-0.822984,CHOOSE(INDEX(lk_kind,7),(g_oy-eq_c2/2)+((s_0+6*s_r))*-0.793353,g_oy-eq_c2/2-(s_0+6*s_r),0,0)),NA())</f>
        <v/>
      </c>
      <c r="CJ47">
        <f>IF(AND(AND(links_on,7&lt;=n_per),INDEX(lk_kind,7)=1,44&lt;INDEX(lk_legs,7)),g_ox+IF(((44+0.5)*(4*IF(circ_int,0,eq_c1/2)+4*IF(circ_int,0,eq_c2/2)+2*PI()*(s_0+6*s_r+IF(circ_int,eq_c1/2,0)))/INDEX(lk_legs,7))&lt;(2*IF(circ_int,0,eq_c2/2)),IF(circ_int,0,eq_c1/2)+(s_0+6*s_r+IF(circ_int,eq_c1/2,0)),IF(((44+0.5)*(4*IF(circ_int,0,eq_c1/2)+4*IF(circ_int,0,eq_c2/2)+2*PI()*(s_0+6*s_r+IF(circ_int,eq_c1/2,0)))/INDEX(lk_legs,7))&lt;((2*IF(circ_int,0,eq_c2/2))+(PI()*(s_0+6*s_r+IF(circ_int,eq_c1/2,0))/2)),IF(circ_int,0,eq_c1/2)+(s_0+6*s_r+IF(circ_int,eq_c1/2,0))*COS((((44+0.5)*(4*IF(circ_int,0,eq_c1/2)+4*IF(circ_int,0,eq_c2/2)+2*PI()*(s_0+6*s_r+IF(circ_int,eq_c1/2,0)))/INDEX(lk_legs,7))-(2*IF(circ_int,0,eq_c2/2)))/(s_0+6*s_r+IF(circ_int,eq_c1/2,0))),IF(((44+0.5)*(4*IF(circ_int,0,eq_c1/2)+4*IF(circ_int,0,eq_c2/2)+2*PI()*(s_0+6*s_r+IF(circ_int,eq_c1/2,0)))/INDEX(lk_legs,7))&lt;(((2*IF(circ_int,0,eq_c2/2))+(PI()*(s_0+6*s_r+IF(circ_int,eq_c1/2,0))/2))+2*IF(circ_int,0,eq_c1/2)),IF(circ_int,0,eq_c1/2)-(((44+0.5)*(4*IF(circ_int,0,eq_c1/2)+4*IF(circ_int,0,eq_c2/2)+2*PI()*(s_0+6*s_r+IF(circ_int,eq_c1/2,0)))/INDEX(lk_legs,7))-((2*IF(circ_int,0,eq_c2/2))+(PI()*(s_0+6*s_r+IF(circ_int,eq_c1/2,0))/2))),IF(((44+0.5)*(4*IF(circ_int,0,eq_c1/2)+4*IF(circ_int,0,eq_c2/2)+2*PI()*(s_0+6*s_r+IF(circ_int,eq_c1/2,0)))/INDEX(lk_legs,7))&lt;((((2*IF(circ_int,0,eq_c2/2))+(PI()*(s_0+6*s_r+IF(circ_int,eq_c1/2,0))/2))+2*IF(circ_int,0,eq_c1/2))+(PI()*(s_0+6*s_r+IF(circ_int,eq_c1/2,0))/2)),-IF(circ_int,0,eq_c1/2)+(s_0+6*s_r+IF(circ_int,eq_c1/2,0))*COS(PI()/2+(((44+0.5)*(4*IF(circ_int,0,eq_c1/2)+4*IF(circ_int,0,eq_c2/2)+2*PI()*(s_0+6*s_r+IF(circ_int,eq_c1/2,0)))/INDEX(lk_legs,7))-(((2*IF(circ_int,0,eq_c2/2))+(PI()*(s_0+6*s_r+IF(circ_int,eq_c1/2,0))/2))+2*IF(circ_int,0,eq_c1/2)))/(s_0+6*s_r+IF(circ_int,eq_c1/2,0))),IF(((44+0.5)*(4*IF(circ_int,0,eq_c1/2)+4*IF(circ_int,0,eq_c2/2)+2*PI()*(s_0+6*s_r+IF(circ_int,eq_c1/2,0)))/INDEX(lk_legs,7))&lt;(((((2*IF(circ_int,0,eq_c2/2))+(PI()*(s_0+6*s_r+IF(circ_int,eq_c1/2,0))/2))+2*IF(circ_int,0,eq_c1/2))+(PI()*(s_0+6*s_r+IF(circ_int,eq_c1/2,0))/2))+2*IF(circ_int,0,eq_c2/2)),-IF(circ_int,0,eq_c1/2)-(s_0+6*s_r+IF(circ_int,eq_c1/2,0)),IF(((44+0.5)*(4*IF(circ_int,0,eq_c1/2)+4*IF(circ_int,0,eq_c2/2)+2*PI()*(s_0+6*s_r+IF(circ_int,eq_c1/2,0)))/INDEX(lk_legs,7))&lt;((((((2*IF(circ_int,0,eq_c2/2))+(PI()*(s_0+6*s_r+IF(circ_int,eq_c1/2,0))/2))+2*IF(circ_int,0,eq_c1/2))+(PI()*(s_0+6*s_r+IF(circ_int,eq_c1/2,0))/2))+2*IF(circ_int,0,eq_c2/2))+(PI()*(s_0+6*s_r+IF(circ_int,eq_c1/2,0))/2)),-IF(circ_int,0,eq_c1/2)+(s_0+6*s_r+IF(circ_int,eq_c1/2,0))*COS(PI()+(((44+0.5)*(4*IF(circ_int,0,eq_c1/2)+4*IF(circ_int,0,eq_c2/2)+2*PI()*(s_0+6*s_r+IF(circ_int,eq_c1/2,0)))/INDEX(lk_legs,7))-(((((2*IF(circ_int,0,eq_c2/2))+(PI()*(s_0+6*s_r+IF(circ_int,eq_c1/2,0))/2))+2*IF(circ_int,0,eq_c1/2))+(PI()*(s_0+6*s_r+IF(circ_int,eq_c1/2,0))/2))+2*IF(circ_int,0,eq_c2/2)))/(s_0+6*s_r+IF(circ_int,eq_c1/2,0))),IF(((44+0.5)*(4*IF(circ_int,0,eq_c1/2)+4*IF(circ_int,0,eq_c2/2)+2*PI()*(s_0+6*s_r+IF(circ_int,eq_c1/2,0)))/INDEX(lk_legs,7))&lt;(((((((2*IF(circ_int,0,eq_c2/2))+(PI()*(s_0+6*s_r+IF(circ_int,eq_c1/2,0))/2))+2*IF(circ_int,0,eq_c1/2))+(PI()*(s_0+6*s_r+IF(circ_int,eq_c1/2,0))/2))+2*IF(circ_int,0,eq_c2/2))+(PI()*(s_0+6*s_r+IF(circ_int,eq_c1/2,0))/2))+2*IF(circ_int,0,eq_c1/2)),-IF(circ_int,0,eq_c1/2)+(((44+0.5)*(4*IF(circ_int,0,eq_c1/2)+4*IF(circ_int,0,eq_c2/2)+2*PI()*(s_0+6*s_r+IF(circ_int,eq_c1/2,0)))/INDEX(lk_legs,7))-((((((2*IF(circ_int,0,eq_c2/2))+(PI()*(s_0+6*s_r+IF(circ_int,eq_c1/2,0))/2))+2*IF(circ_int,0,eq_c1/2))+(PI()*(s_0+6*s_r+IF(circ_int,eq_c1/2,0))/2))+2*IF(circ_int,0,eq_c2/2))+(PI()*(s_0+6*s_r+IF(circ_int,eq_c1/2,0))/2))),IF(circ_int,0,eq_c1/2)+(s_0+6*s_r+IF(circ_int,eq_c1/2,0))*COS(3*PI()/2+(((44+0.5)*(4*IF(circ_int,0,eq_c1/2)+4*IF(circ_int,0,eq_c2/2)+2*PI()*(s_0+6*s_r+IF(circ_int,eq_c1/2,0)))/INDEX(lk_legs,7))-(((((((2*IF(circ_int,0,eq_c2/2))+(PI()*(s_0+6*s_r+IF(circ_int,eq_c1/2,0))/2))+2*IF(circ_int,0,eq_c1/2))+(PI()*(s_0+6*s_r+IF(circ_int,eq_c1/2,0))/2))+2*IF(circ_int,0,eq_c2/2))+(PI()*(s_0+6*s_r+IF(circ_int,eq_c1/2,0))/2))+2*IF(circ_int,0,eq_c1/2)))/(s_0+6*s_r+IF(circ_int,eq_c1/2,0)))))))))),NA())</f>
        <v/>
      </c>
      <c r="CK47">
        <f>IF(AND(AND(links_on,7&lt;=n_per),INDEX(lk_kind,7)=1,44&lt;INDEX(lk_legs,7)),g_oy+IF(((44+0.5)*(4*IF(circ_int,0,eq_c1/2)+4*IF(circ_int,0,eq_c2/2)+2*PI()*(s_0+6*s_r+IF(circ_int,eq_c1/2,0)))/INDEX(lk_legs,7))&lt;(2*IF(circ_int,0,eq_c2/2)),-IF(circ_int,0,eq_c2/2)+((44+0.5)*(4*IF(circ_int,0,eq_c1/2)+4*IF(circ_int,0,eq_c2/2)+2*PI()*(s_0+6*s_r+IF(circ_int,eq_c1/2,0)))/INDEX(lk_legs,7)),IF(((44+0.5)*(4*IF(circ_int,0,eq_c1/2)+4*IF(circ_int,0,eq_c2/2)+2*PI()*(s_0+6*s_r+IF(circ_int,eq_c1/2,0)))/INDEX(lk_legs,7))&lt;((2*IF(circ_int,0,eq_c2/2))+(PI()*(s_0+6*s_r+IF(circ_int,eq_c1/2,0))/2)),IF(circ_int,0,eq_c2/2)+(s_0+6*s_r+IF(circ_int,eq_c1/2,0))*SIN((((44+0.5)*(4*IF(circ_int,0,eq_c1/2)+4*IF(circ_int,0,eq_c2/2)+2*PI()*(s_0+6*s_r+IF(circ_int,eq_c1/2,0)))/INDEX(lk_legs,7))-(2*IF(circ_int,0,eq_c2/2)))/(s_0+6*s_r+IF(circ_int,eq_c1/2,0))),IF(((44+0.5)*(4*IF(circ_int,0,eq_c1/2)+4*IF(circ_int,0,eq_c2/2)+2*PI()*(s_0+6*s_r+IF(circ_int,eq_c1/2,0)))/INDEX(lk_legs,7))&lt;(((2*IF(circ_int,0,eq_c2/2))+(PI()*(s_0+6*s_r+IF(circ_int,eq_c1/2,0))/2))+2*IF(circ_int,0,eq_c1/2)),IF(circ_int,0,eq_c2/2)+(s_0+6*s_r+IF(circ_int,eq_c1/2,0)),IF(((44+0.5)*(4*IF(circ_int,0,eq_c1/2)+4*IF(circ_int,0,eq_c2/2)+2*PI()*(s_0+6*s_r+IF(circ_int,eq_c1/2,0)))/INDEX(lk_legs,7))&lt;((((2*IF(circ_int,0,eq_c2/2))+(PI()*(s_0+6*s_r+IF(circ_int,eq_c1/2,0))/2))+2*IF(circ_int,0,eq_c1/2))+(PI()*(s_0+6*s_r+IF(circ_int,eq_c1/2,0))/2)),IF(circ_int,0,eq_c2/2)+(s_0+6*s_r+IF(circ_int,eq_c1/2,0))*SIN(PI()/2+(((44+0.5)*(4*IF(circ_int,0,eq_c1/2)+4*IF(circ_int,0,eq_c2/2)+2*PI()*(s_0+6*s_r+IF(circ_int,eq_c1/2,0)))/INDEX(lk_legs,7))-(((2*IF(circ_int,0,eq_c2/2))+(PI()*(s_0+6*s_r+IF(circ_int,eq_c1/2,0))/2))+2*IF(circ_int,0,eq_c1/2)))/(s_0+6*s_r+IF(circ_int,eq_c1/2,0))),IF(((44+0.5)*(4*IF(circ_int,0,eq_c1/2)+4*IF(circ_int,0,eq_c2/2)+2*PI()*(s_0+6*s_r+IF(circ_int,eq_c1/2,0)))/INDEX(lk_legs,7))&lt;(((((2*IF(circ_int,0,eq_c2/2))+(PI()*(s_0+6*s_r+IF(circ_int,eq_c1/2,0))/2))+2*IF(circ_int,0,eq_c1/2))+(PI()*(s_0+6*s_r+IF(circ_int,eq_c1/2,0))/2))+2*IF(circ_int,0,eq_c2/2)),IF(circ_int,0,eq_c2/2)-(((44+0.5)*(4*IF(circ_int,0,eq_c1/2)+4*IF(circ_int,0,eq_c2/2)+2*PI()*(s_0+6*s_r+IF(circ_int,eq_c1/2,0)))/INDEX(lk_legs,7))-((((2*IF(circ_int,0,eq_c2/2))+(PI()*(s_0+6*s_r+IF(circ_int,eq_c1/2,0))/2))+2*IF(circ_int,0,eq_c1/2))+(PI()*(s_0+6*s_r+IF(circ_int,eq_c1/2,0))/2))),IF(((44+0.5)*(4*IF(circ_int,0,eq_c1/2)+4*IF(circ_int,0,eq_c2/2)+2*PI()*(s_0+6*s_r+IF(circ_int,eq_c1/2,0)))/INDEX(lk_legs,7))&lt;((((((2*IF(circ_int,0,eq_c2/2))+(PI()*(s_0+6*s_r+IF(circ_int,eq_c1/2,0))/2))+2*IF(circ_int,0,eq_c1/2))+(PI()*(s_0+6*s_r+IF(circ_int,eq_c1/2,0))/2))+2*IF(circ_int,0,eq_c2/2))+(PI()*(s_0+6*s_r+IF(circ_int,eq_c1/2,0))/2)),-IF(circ_int,0,eq_c2/2)+(s_0+6*s_r+IF(circ_int,eq_c1/2,0))*SIN(PI()+(((44+0.5)*(4*IF(circ_int,0,eq_c1/2)+4*IF(circ_int,0,eq_c2/2)+2*PI()*(s_0+6*s_r+IF(circ_int,eq_c1/2,0)))/INDEX(lk_legs,7))-(((((2*IF(circ_int,0,eq_c2/2))+(PI()*(s_0+6*s_r+IF(circ_int,eq_c1/2,0))/2))+2*IF(circ_int,0,eq_c1/2))+(PI()*(s_0+6*s_r+IF(circ_int,eq_c1/2,0))/2))+2*IF(circ_int,0,eq_c2/2)))/(s_0+6*s_r+IF(circ_int,eq_c1/2,0))),IF(((44+0.5)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(44+0.5)*(4*IF(circ_int,0,eq_c1/2)+4*IF(circ_int,0,eq_c2/2)+2*PI()*(s_0+6*s_r+IF(circ_int,eq_c1/2,0)))/INDEX(lk_legs,7))-(((((((2*IF(circ_int,0,eq_c2/2))+(PI()*(s_0+6*s_r+IF(circ_int,eq_c1/2,0))/2))+2*IF(circ_int,0,eq_c1/2))+(PI()*(s_0+6*s_r+IF(circ_int,eq_c1/2,0))/2))+2*IF(circ_int,0,eq_c2/2))+(PI()*(s_0+6*s_r+IF(circ_int,eq_c1/2,0))/2))+2*IF(circ_int,0,eq_c1/2)))/(s_0+6*s_r+IF(circ_int,eq_c1/2,0)))))))))),NA())</f>
        <v/>
      </c>
      <c r="CM47">
        <f>IF(AND(links_on,8&lt;=n_per),IF(circ_int,(g_ox)+(c_1/2+(s_0+7*s_r))*0.568065,CHOOSE(INDEX(lk_kind,8),(g_ox+eq_c1/2)+((s_0+7*s_r))*0.608761,0,eq_a1+eq_c1+(s_0+7*s_r),eq_a1+eq_c1+(s_0+7*s_r))),NA())</f>
        <v/>
      </c>
      <c r="CN47">
        <f>IF(AND(links_on,8&lt;=n_per),IF(circ_int,(g_oy)+(c_1/2+(s_0+7*s_r))*-0.822984,CHOOSE(INDEX(lk_kind,8),(g_oy-eq_c2/2)+((s_0+7*s_r))*-0.793353,g_oy-eq_c2/2-(s_0+7*s_r),0,0)),NA())</f>
        <v/>
      </c>
      <c r="CP47">
        <f>IF(AND(AND(links_on,8&lt;=n_per),INDEX(lk_kind,8)=1,44&lt;INDEX(lk_legs,8)),g_ox+IF(((44+0.5)*(4*IF(circ_int,0,eq_c1/2)+4*IF(circ_int,0,eq_c2/2)+2*PI()*(s_0+7*s_r+IF(circ_int,eq_c1/2,0)))/INDEX(lk_legs,8))&lt;(2*IF(circ_int,0,eq_c2/2)),IF(circ_int,0,eq_c1/2)+(s_0+7*s_r+IF(circ_int,eq_c1/2,0)),IF(((44+0.5)*(4*IF(circ_int,0,eq_c1/2)+4*IF(circ_int,0,eq_c2/2)+2*PI()*(s_0+7*s_r+IF(circ_int,eq_c1/2,0)))/INDEX(lk_legs,8))&lt;((2*IF(circ_int,0,eq_c2/2))+(PI()*(s_0+7*s_r+IF(circ_int,eq_c1/2,0))/2)),IF(circ_int,0,eq_c1/2)+(s_0+7*s_r+IF(circ_int,eq_c1/2,0))*COS((((44+0.5)*(4*IF(circ_int,0,eq_c1/2)+4*IF(circ_int,0,eq_c2/2)+2*PI()*(s_0+7*s_r+IF(circ_int,eq_c1/2,0)))/INDEX(lk_legs,8))-(2*IF(circ_int,0,eq_c2/2)))/(s_0+7*s_r+IF(circ_int,eq_c1/2,0))),IF(((44+0.5)*(4*IF(circ_int,0,eq_c1/2)+4*IF(circ_int,0,eq_c2/2)+2*PI()*(s_0+7*s_r+IF(circ_int,eq_c1/2,0)))/INDEX(lk_legs,8))&lt;(((2*IF(circ_int,0,eq_c2/2))+(PI()*(s_0+7*s_r+IF(circ_int,eq_c1/2,0))/2))+2*IF(circ_int,0,eq_c1/2)),IF(circ_int,0,eq_c1/2)-(((44+0.5)*(4*IF(circ_int,0,eq_c1/2)+4*IF(circ_int,0,eq_c2/2)+2*PI()*(s_0+7*s_r+IF(circ_int,eq_c1/2,0)))/INDEX(lk_legs,8))-((2*IF(circ_int,0,eq_c2/2))+(PI()*(s_0+7*s_r+IF(circ_int,eq_c1/2,0))/2))),IF(((44+0.5)*(4*IF(circ_int,0,eq_c1/2)+4*IF(circ_int,0,eq_c2/2)+2*PI()*(s_0+7*s_r+IF(circ_int,eq_c1/2,0)))/INDEX(lk_legs,8))&lt;((((2*IF(circ_int,0,eq_c2/2))+(PI()*(s_0+7*s_r+IF(circ_int,eq_c1/2,0))/2))+2*IF(circ_int,0,eq_c1/2))+(PI()*(s_0+7*s_r+IF(circ_int,eq_c1/2,0))/2)),-IF(circ_int,0,eq_c1/2)+(s_0+7*s_r+IF(circ_int,eq_c1/2,0))*COS(PI()/2+(((44+0.5)*(4*IF(circ_int,0,eq_c1/2)+4*IF(circ_int,0,eq_c2/2)+2*PI()*(s_0+7*s_r+IF(circ_int,eq_c1/2,0)))/INDEX(lk_legs,8))-(((2*IF(circ_int,0,eq_c2/2))+(PI()*(s_0+7*s_r+IF(circ_int,eq_c1/2,0))/2))+2*IF(circ_int,0,eq_c1/2)))/(s_0+7*s_r+IF(circ_int,eq_c1/2,0))),IF(((44+0.5)*(4*IF(circ_int,0,eq_c1/2)+4*IF(circ_int,0,eq_c2/2)+2*PI()*(s_0+7*s_r+IF(circ_int,eq_c1/2,0)))/INDEX(lk_legs,8))&lt;(((((2*IF(circ_int,0,eq_c2/2))+(PI()*(s_0+7*s_r+IF(circ_int,eq_c1/2,0))/2))+2*IF(circ_int,0,eq_c1/2))+(PI()*(s_0+7*s_r+IF(circ_int,eq_c1/2,0))/2))+2*IF(circ_int,0,eq_c2/2)),-IF(circ_int,0,eq_c1/2)-(s_0+7*s_r+IF(circ_int,eq_c1/2,0)),IF(((44+0.5)*(4*IF(circ_int,0,eq_c1/2)+4*IF(circ_int,0,eq_c2/2)+2*PI()*(s_0+7*s_r+IF(circ_int,eq_c1/2,0)))/INDEX(lk_legs,8))&lt;((((((2*IF(circ_int,0,eq_c2/2))+(PI()*(s_0+7*s_r+IF(circ_int,eq_c1/2,0))/2))+2*IF(circ_int,0,eq_c1/2))+(PI()*(s_0+7*s_r+IF(circ_int,eq_c1/2,0))/2))+2*IF(circ_int,0,eq_c2/2))+(PI()*(s_0+7*s_r+IF(circ_int,eq_c1/2,0))/2)),-IF(circ_int,0,eq_c1/2)+(s_0+7*s_r+IF(circ_int,eq_c1/2,0))*COS(PI()+(((44+0.5)*(4*IF(circ_int,0,eq_c1/2)+4*IF(circ_int,0,eq_c2/2)+2*PI()*(s_0+7*s_r+IF(circ_int,eq_c1/2,0)))/INDEX(lk_legs,8))-(((((2*IF(circ_int,0,eq_c2/2))+(PI()*(s_0+7*s_r+IF(circ_int,eq_c1/2,0))/2))+2*IF(circ_int,0,eq_c1/2))+(PI()*(s_0+7*s_r+IF(circ_int,eq_c1/2,0))/2))+2*IF(circ_int,0,eq_c2/2)))/(s_0+7*s_r+IF(circ_int,eq_c1/2,0))),IF(((44+0.5)*(4*IF(circ_int,0,eq_c1/2)+4*IF(circ_int,0,eq_c2/2)+2*PI()*(s_0+7*s_r+IF(circ_int,eq_c1/2,0)))/INDEX(lk_legs,8))&lt;(((((((2*IF(circ_int,0,eq_c2/2))+(PI()*(s_0+7*s_r+IF(circ_int,eq_c1/2,0))/2))+2*IF(circ_int,0,eq_c1/2))+(PI()*(s_0+7*s_r+IF(circ_int,eq_c1/2,0))/2))+2*IF(circ_int,0,eq_c2/2))+(PI()*(s_0+7*s_r+IF(circ_int,eq_c1/2,0))/2))+2*IF(circ_int,0,eq_c1/2)),-IF(circ_int,0,eq_c1/2)+(((44+0.5)*(4*IF(circ_int,0,eq_c1/2)+4*IF(circ_int,0,eq_c2/2)+2*PI()*(s_0+7*s_r+IF(circ_int,eq_c1/2,0)))/INDEX(lk_legs,8))-((((((2*IF(circ_int,0,eq_c2/2))+(PI()*(s_0+7*s_r+IF(circ_int,eq_c1/2,0))/2))+2*IF(circ_int,0,eq_c1/2))+(PI()*(s_0+7*s_r+IF(circ_int,eq_c1/2,0))/2))+2*IF(circ_int,0,eq_c2/2))+(PI()*(s_0+7*s_r+IF(circ_int,eq_c1/2,0))/2))),IF(circ_int,0,eq_c1/2)+(s_0+7*s_r+IF(circ_int,eq_c1/2,0))*COS(3*PI()/2+(((44+0.5)*(4*IF(circ_int,0,eq_c1/2)+4*IF(circ_int,0,eq_c2/2)+2*PI()*(s_0+7*s_r+IF(circ_int,eq_c1/2,0)))/INDEX(lk_legs,8))-(((((((2*IF(circ_int,0,eq_c2/2))+(PI()*(s_0+7*s_r+IF(circ_int,eq_c1/2,0))/2))+2*IF(circ_int,0,eq_c1/2))+(PI()*(s_0+7*s_r+IF(circ_int,eq_c1/2,0))/2))+2*IF(circ_int,0,eq_c2/2))+(PI()*(s_0+7*s_r+IF(circ_int,eq_c1/2,0))/2))+2*IF(circ_int,0,eq_c1/2)))/(s_0+7*s_r+IF(circ_int,eq_c1/2,0)))))))))),NA())</f>
        <v/>
      </c>
      <c r="CQ47">
        <f>IF(AND(AND(links_on,8&lt;=n_per),INDEX(lk_kind,8)=1,44&lt;INDEX(lk_legs,8)),g_oy+IF(((44+0.5)*(4*IF(circ_int,0,eq_c1/2)+4*IF(circ_int,0,eq_c2/2)+2*PI()*(s_0+7*s_r+IF(circ_int,eq_c1/2,0)))/INDEX(lk_legs,8))&lt;(2*IF(circ_int,0,eq_c2/2)),-IF(circ_int,0,eq_c2/2)+((44+0.5)*(4*IF(circ_int,0,eq_c1/2)+4*IF(circ_int,0,eq_c2/2)+2*PI()*(s_0+7*s_r+IF(circ_int,eq_c1/2,0)))/INDEX(lk_legs,8)),IF(((44+0.5)*(4*IF(circ_int,0,eq_c1/2)+4*IF(circ_int,0,eq_c2/2)+2*PI()*(s_0+7*s_r+IF(circ_int,eq_c1/2,0)))/INDEX(lk_legs,8))&lt;((2*IF(circ_int,0,eq_c2/2))+(PI()*(s_0+7*s_r+IF(circ_int,eq_c1/2,0))/2)),IF(circ_int,0,eq_c2/2)+(s_0+7*s_r+IF(circ_int,eq_c1/2,0))*SIN((((44+0.5)*(4*IF(circ_int,0,eq_c1/2)+4*IF(circ_int,0,eq_c2/2)+2*PI()*(s_0+7*s_r+IF(circ_int,eq_c1/2,0)))/INDEX(lk_legs,8))-(2*IF(circ_int,0,eq_c2/2)))/(s_0+7*s_r+IF(circ_int,eq_c1/2,0))),IF(((44+0.5)*(4*IF(circ_int,0,eq_c1/2)+4*IF(circ_int,0,eq_c2/2)+2*PI()*(s_0+7*s_r+IF(circ_int,eq_c1/2,0)))/INDEX(lk_legs,8))&lt;(((2*IF(circ_int,0,eq_c2/2))+(PI()*(s_0+7*s_r+IF(circ_int,eq_c1/2,0))/2))+2*IF(circ_int,0,eq_c1/2)),IF(circ_int,0,eq_c2/2)+(s_0+7*s_r+IF(circ_int,eq_c1/2,0)),IF(((44+0.5)*(4*IF(circ_int,0,eq_c1/2)+4*IF(circ_int,0,eq_c2/2)+2*PI()*(s_0+7*s_r+IF(circ_int,eq_c1/2,0)))/INDEX(lk_legs,8))&lt;((((2*IF(circ_int,0,eq_c2/2))+(PI()*(s_0+7*s_r+IF(circ_int,eq_c1/2,0))/2))+2*IF(circ_int,0,eq_c1/2))+(PI()*(s_0+7*s_r+IF(circ_int,eq_c1/2,0))/2)),IF(circ_int,0,eq_c2/2)+(s_0+7*s_r+IF(circ_int,eq_c1/2,0))*SIN(PI()/2+(((44+0.5)*(4*IF(circ_int,0,eq_c1/2)+4*IF(circ_int,0,eq_c2/2)+2*PI()*(s_0+7*s_r+IF(circ_int,eq_c1/2,0)))/INDEX(lk_legs,8))-(((2*IF(circ_int,0,eq_c2/2))+(PI()*(s_0+7*s_r+IF(circ_int,eq_c1/2,0))/2))+2*IF(circ_int,0,eq_c1/2)))/(s_0+7*s_r+IF(circ_int,eq_c1/2,0))),IF(((44+0.5)*(4*IF(circ_int,0,eq_c1/2)+4*IF(circ_int,0,eq_c2/2)+2*PI()*(s_0+7*s_r+IF(circ_int,eq_c1/2,0)))/INDEX(lk_legs,8))&lt;(((((2*IF(circ_int,0,eq_c2/2))+(PI()*(s_0+7*s_r+IF(circ_int,eq_c1/2,0))/2))+2*IF(circ_int,0,eq_c1/2))+(PI()*(s_0+7*s_r+IF(circ_int,eq_c1/2,0))/2))+2*IF(circ_int,0,eq_c2/2)),IF(circ_int,0,eq_c2/2)-(((44+0.5)*(4*IF(circ_int,0,eq_c1/2)+4*IF(circ_int,0,eq_c2/2)+2*PI()*(s_0+7*s_r+IF(circ_int,eq_c1/2,0)))/INDEX(lk_legs,8))-((((2*IF(circ_int,0,eq_c2/2))+(PI()*(s_0+7*s_r+IF(circ_int,eq_c1/2,0))/2))+2*IF(circ_int,0,eq_c1/2))+(PI()*(s_0+7*s_r+IF(circ_int,eq_c1/2,0))/2))),IF(((44+0.5)*(4*IF(circ_int,0,eq_c1/2)+4*IF(circ_int,0,eq_c2/2)+2*PI()*(s_0+7*s_r+IF(circ_int,eq_c1/2,0)))/INDEX(lk_legs,8))&lt;((((((2*IF(circ_int,0,eq_c2/2))+(PI()*(s_0+7*s_r+IF(circ_int,eq_c1/2,0))/2))+2*IF(circ_int,0,eq_c1/2))+(PI()*(s_0+7*s_r+IF(circ_int,eq_c1/2,0))/2))+2*IF(circ_int,0,eq_c2/2))+(PI()*(s_0+7*s_r+IF(circ_int,eq_c1/2,0))/2)),-IF(circ_int,0,eq_c2/2)+(s_0+7*s_r+IF(circ_int,eq_c1/2,0))*SIN(PI()+(((44+0.5)*(4*IF(circ_int,0,eq_c1/2)+4*IF(circ_int,0,eq_c2/2)+2*PI()*(s_0+7*s_r+IF(circ_int,eq_c1/2,0)))/INDEX(lk_legs,8))-(((((2*IF(circ_int,0,eq_c2/2))+(PI()*(s_0+7*s_r+IF(circ_int,eq_c1/2,0))/2))+2*IF(circ_int,0,eq_c1/2))+(PI()*(s_0+7*s_r+IF(circ_int,eq_c1/2,0))/2))+2*IF(circ_int,0,eq_c2/2)))/(s_0+7*s_r+IF(circ_int,eq_c1/2,0))),IF(((44+0.5)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(44+0.5)*(4*IF(circ_int,0,eq_c1/2)+4*IF(circ_int,0,eq_c2/2)+2*PI()*(s_0+7*s_r+IF(circ_int,eq_c1/2,0)))/INDEX(lk_legs,8))-(((((((2*IF(circ_int,0,eq_c2/2))+(PI()*(s_0+7*s_r+IF(circ_int,eq_c1/2,0))/2))+2*IF(circ_int,0,eq_c1/2))+(PI()*(s_0+7*s_r+IF(circ_int,eq_c1/2,0))/2))+2*IF(circ_int,0,eq_c2/2))+(PI()*(s_0+7*s_r+IF(circ_int,eq_c1/2,0))/2))+2*IF(circ_int,0,eq_c1/2)))/(s_0+7*s_r+IF(circ_int,eq_c1/2,0)))))))))),NA())</f>
        <v/>
      </c>
      <c r="CS47">
        <f>IF(AND(links_on,9&lt;=n_per),IF(circ_int,(g_ox)+(c_1/2+(s_0+8*s_r))*0.568065,CHOOSE(INDEX(lk_kind,9),(g_ox+eq_c1/2)+((s_0+8*s_r))*0.608761,0,eq_a1+eq_c1+(s_0+8*s_r),eq_a1+eq_c1+(s_0+8*s_r))),NA())</f>
        <v/>
      </c>
      <c r="CT47">
        <f>IF(AND(links_on,9&lt;=n_per),IF(circ_int,(g_oy)+(c_1/2+(s_0+8*s_r))*-0.822984,CHOOSE(INDEX(lk_kind,9),(g_oy-eq_c2/2)+((s_0+8*s_r))*-0.793353,g_oy-eq_c2/2-(s_0+8*s_r),0,0)),NA())</f>
        <v/>
      </c>
      <c r="CV47">
        <f>IF(AND(AND(links_on,9&lt;=n_per),INDEX(lk_kind,9)=1,44&lt;INDEX(lk_legs,9)),g_ox+IF(((44+0.5)*(4*IF(circ_int,0,eq_c1/2)+4*IF(circ_int,0,eq_c2/2)+2*PI()*(s_0+8*s_r+IF(circ_int,eq_c1/2,0)))/INDEX(lk_legs,9))&lt;(2*IF(circ_int,0,eq_c2/2)),IF(circ_int,0,eq_c1/2)+(s_0+8*s_r+IF(circ_int,eq_c1/2,0)),IF(((44+0.5)*(4*IF(circ_int,0,eq_c1/2)+4*IF(circ_int,0,eq_c2/2)+2*PI()*(s_0+8*s_r+IF(circ_int,eq_c1/2,0)))/INDEX(lk_legs,9))&lt;((2*IF(circ_int,0,eq_c2/2))+(PI()*(s_0+8*s_r+IF(circ_int,eq_c1/2,0))/2)),IF(circ_int,0,eq_c1/2)+(s_0+8*s_r+IF(circ_int,eq_c1/2,0))*COS((((44+0.5)*(4*IF(circ_int,0,eq_c1/2)+4*IF(circ_int,0,eq_c2/2)+2*PI()*(s_0+8*s_r+IF(circ_int,eq_c1/2,0)))/INDEX(lk_legs,9))-(2*IF(circ_int,0,eq_c2/2)))/(s_0+8*s_r+IF(circ_int,eq_c1/2,0))),IF(((44+0.5)*(4*IF(circ_int,0,eq_c1/2)+4*IF(circ_int,0,eq_c2/2)+2*PI()*(s_0+8*s_r+IF(circ_int,eq_c1/2,0)))/INDEX(lk_legs,9))&lt;(((2*IF(circ_int,0,eq_c2/2))+(PI()*(s_0+8*s_r+IF(circ_int,eq_c1/2,0))/2))+2*IF(circ_int,0,eq_c1/2)),IF(circ_int,0,eq_c1/2)-(((44+0.5)*(4*IF(circ_int,0,eq_c1/2)+4*IF(circ_int,0,eq_c2/2)+2*PI()*(s_0+8*s_r+IF(circ_int,eq_c1/2,0)))/INDEX(lk_legs,9))-((2*IF(circ_int,0,eq_c2/2))+(PI()*(s_0+8*s_r+IF(circ_int,eq_c1/2,0))/2))),IF(((44+0.5)*(4*IF(circ_int,0,eq_c1/2)+4*IF(circ_int,0,eq_c2/2)+2*PI()*(s_0+8*s_r+IF(circ_int,eq_c1/2,0)))/INDEX(lk_legs,9))&lt;((((2*IF(circ_int,0,eq_c2/2))+(PI()*(s_0+8*s_r+IF(circ_int,eq_c1/2,0))/2))+2*IF(circ_int,0,eq_c1/2))+(PI()*(s_0+8*s_r+IF(circ_int,eq_c1/2,0))/2)),-IF(circ_int,0,eq_c1/2)+(s_0+8*s_r+IF(circ_int,eq_c1/2,0))*COS(PI()/2+(((44+0.5)*(4*IF(circ_int,0,eq_c1/2)+4*IF(circ_int,0,eq_c2/2)+2*PI()*(s_0+8*s_r+IF(circ_int,eq_c1/2,0)))/INDEX(lk_legs,9))-(((2*IF(circ_int,0,eq_c2/2))+(PI()*(s_0+8*s_r+IF(circ_int,eq_c1/2,0))/2))+2*IF(circ_int,0,eq_c1/2)))/(s_0+8*s_r+IF(circ_int,eq_c1/2,0))),IF(((44+0.5)*(4*IF(circ_int,0,eq_c1/2)+4*IF(circ_int,0,eq_c2/2)+2*PI()*(s_0+8*s_r+IF(circ_int,eq_c1/2,0)))/INDEX(lk_legs,9))&lt;(((((2*IF(circ_int,0,eq_c2/2))+(PI()*(s_0+8*s_r+IF(circ_int,eq_c1/2,0))/2))+2*IF(circ_int,0,eq_c1/2))+(PI()*(s_0+8*s_r+IF(circ_int,eq_c1/2,0))/2))+2*IF(circ_int,0,eq_c2/2)),-IF(circ_int,0,eq_c1/2)-(s_0+8*s_r+IF(circ_int,eq_c1/2,0)),IF(((44+0.5)*(4*IF(circ_int,0,eq_c1/2)+4*IF(circ_int,0,eq_c2/2)+2*PI()*(s_0+8*s_r+IF(circ_int,eq_c1/2,0)))/INDEX(lk_legs,9))&lt;((((((2*IF(circ_int,0,eq_c2/2))+(PI()*(s_0+8*s_r+IF(circ_int,eq_c1/2,0))/2))+2*IF(circ_int,0,eq_c1/2))+(PI()*(s_0+8*s_r+IF(circ_int,eq_c1/2,0))/2))+2*IF(circ_int,0,eq_c2/2))+(PI()*(s_0+8*s_r+IF(circ_int,eq_c1/2,0))/2)),-IF(circ_int,0,eq_c1/2)+(s_0+8*s_r+IF(circ_int,eq_c1/2,0))*COS(PI()+(((44+0.5)*(4*IF(circ_int,0,eq_c1/2)+4*IF(circ_int,0,eq_c2/2)+2*PI()*(s_0+8*s_r+IF(circ_int,eq_c1/2,0)))/INDEX(lk_legs,9))-(((((2*IF(circ_int,0,eq_c2/2))+(PI()*(s_0+8*s_r+IF(circ_int,eq_c1/2,0))/2))+2*IF(circ_int,0,eq_c1/2))+(PI()*(s_0+8*s_r+IF(circ_int,eq_c1/2,0))/2))+2*IF(circ_int,0,eq_c2/2)))/(s_0+8*s_r+IF(circ_int,eq_c1/2,0))),IF(((44+0.5)*(4*IF(circ_int,0,eq_c1/2)+4*IF(circ_int,0,eq_c2/2)+2*PI()*(s_0+8*s_r+IF(circ_int,eq_c1/2,0)))/INDEX(lk_legs,9))&lt;(((((((2*IF(circ_int,0,eq_c2/2))+(PI()*(s_0+8*s_r+IF(circ_int,eq_c1/2,0))/2))+2*IF(circ_int,0,eq_c1/2))+(PI()*(s_0+8*s_r+IF(circ_int,eq_c1/2,0))/2))+2*IF(circ_int,0,eq_c2/2))+(PI()*(s_0+8*s_r+IF(circ_int,eq_c1/2,0))/2))+2*IF(circ_int,0,eq_c1/2)),-IF(circ_int,0,eq_c1/2)+(((44+0.5)*(4*IF(circ_int,0,eq_c1/2)+4*IF(circ_int,0,eq_c2/2)+2*PI()*(s_0+8*s_r+IF(circ_int,eq_c1/2,0)))/INDEX(lk_legs,9))-((((((2*IF(circ_int,0,eq_c2/2))+(PI()*(s_0+8*s_r+IF(circ_int,eq_c1/2,0))/2))+2*IF(circ_int,0,eq_c1/2))+(PI()*(s_0+8*s_r+IF(circ_int,eq_c1/2,0))/2))+2*IF(circ_int,0,eq_c2/2))+(PI()*(s_0+8*s_r+IF(circ_int,eq_c1/2,0))/2))),IF(circ_int,0,eq_c1/2)+(s_0+8*s_r+IF(circ_int,eq_c1/2,0))*COS(3*PI()/2+(((44+0.5)*(4*IF(circ_int,0,eq_c1/2)+4*IF(circ_int,0,eq_c2/2)+2*PI()*(s_0+8*s_r+IF(circ_int,eq_c1/2,0)))/INDEX(lk_legs,9))-(((((((2*IF(circ_int,0,eq_c2/2))+(PI()*(s_0+8*s_r+IF(circ_int,eq_c1/2,0))/2))+2*IF(circ_int,0,eq_c1/2))+(PI()*(s_0+8*s_r+IF(circ_int,eq_c1/2,0))/2))+2*IF(circ_int,0,eq_c2/2))+(PI()*(s_0+8*s_r+IF(circ_int,eq_c1/2,0))/2))+2*IF(circ_int,0,eq_c1/2)))/(s_0+8*s_r+IF(circ_int,eq_c1/2,0)))))))))),NA())</f>
        <v/>
      </c>
      <c r="CW47">
        <f>IF(AND(AND(links_on,9&lt;=n_per),INDEX(lk_kind,9)=1,44&lt;INDEX(lk_legs,9)),g_oy+IF(((44+0.5)*(4*IF(circ_int,0,eq_c1/2)+4*IF(circ_int,0,eq_c2/2)+2*PI()*(s_0+8*s_r+IF(circ_int,eq_c1/2,0)))/INDEX(lk_legs,9))&lt;(2*IF(circ_int,0,eq_c2/2)),-IF(circ_int,0,eq_c2/2)+((44+0.5)*(4*IF(circ_int,0,eq_c1/2)+4*IF(circ_int,0,eq_c2/2)+2*PI()*(s_0+8*s_r+IF(circ_int,eq_c1/2,0)))/INDEX(lk_legs,9)),IF(((44+0.5)*(4*IF(circ_int,0,eq_c1/2)+4*IF(circ_int,0,eq_c2/2)+2*PI()*(s_0+8*s_r+IF(circ_int,eq_c1/2,0)))/INDEX(lk_legs,9))&lt;((2*IF(circ_int,0,eq_c2/2))+(PI()*(s_0+8*s_r+IF(circ_int,eq_c1/2,0))/2)),IF(circ_int,0,eq_c2/2)+(s_0+8*s_r+IF(circ_int,eq_c1/2,0))*SIN((((44+0.5)*(4*IF(circ_int,0,eq_c1/2)+4*IF(circ_int,0,eq_c2/2)+2*PI()*(s_0+8*s_r+IF(circ_int,eq_c1/2,0)))/INDEX(lk_legs,9))-(2*IF(circ_int,0,eq_c2/2)))/(s_0+8*s_r+IF(circ_int,eq_c1/2,0))),IF(((44+0.5)*(4*IF(circ_int,0,eq_c1/2)+4*IF(circ_int,0,eq_c2/2)+2*PI()*(s_0+8*s_r+IF(circ_int,eq_c1/2,0)))/INDEX(lk_legs,9))&lt;(((2*IF(circ_int,0,eq_c2/2))+(PI()*(s_0+8*s_r+IF(circ_int,eq_c1/2,0))/2))+2*IF(circ_int,0,eq_c1/2)),IF(circ_int,0,eq_c2/2)+(s_0+8*s_r+IF(circ_int,eq_c1/2,0)),IF(((44+0.5)*(4*IF(circ_int,0,eq_c1/2)+4*IF(circ_int,0,eq_c2/2)+2*PI()*(s_0+8*s_r+IF(circ_int,eq_c1/2,0)))/INDEX(lk_legs,9))&lt;((((2*IF(circ_int,0,eq_c2/2))+(PI()*(s_0+8*s_r+IF(circ_int,eq_c1/2,0))/2))+2*IF(circ_int,0,eq_c1/2))+(PI()*(s_0+8*s_r+IF(circ_int,eq_c1/2,0))/2)),IF(circ_int,0,eq_c2/2)+(s_0+8*s_r+IF(circ_int,eq_c1/2,0))*SIN(PI()/2+(((44+0.5)*(4*IF(circ_int,0,eq_c1/2)+4*IF(circ_int,0,eq_c2/2)+2*PI()*(s_0+8*s_r+IF(circ_int,eq_c1/2,0)))/INDEX(lk_legs,9))-(((2*IF(circ_int,0,eq_c2/2))+(PI()*(s_0+8*s_r+IF(circ_int,eq_c1/2,0))/2))+2*IF(circ_int,0,eq_c1/2)))/(s_0+8*s_r+IF(circ_int,eq_c1/2,0))),IF(((44+0.5)*(4*IF(circ_int,0,eq_c1/2)+4*IF(circ_int,0,eq_c2/2)+2*PI()*(s_0+8*s_r+IF(circ_int,eq_c1/2,0)))/INDEX(lk_legs,9))&lt;(((((2*IF(circ_int,0,eq_c2/2))+(PI()*(s_0+8*s_r+IF(circ_int,eq_c1/2,0))/2))+2*IF(circ_int,0,eq_c1/2))+(PI()*(s_0+8*s_r+IF(circ_int,eq_c1/2,0))/2))+2*IF(circ_int,0,eq_c2/2)),IF(circ_int,0,eq_c2/2)-(((44+0.5)*(4*IF(circ_int,0,eq_c1/2)+4*IF(circ_int,0,eq_c2/2)+2*PI()*(s_0+8*s_r+IF(circ_int,eq_c1/2,0)))/INDEX(lk_legs,9))-((((2*IF(circ_int,0,eq_c2/2))+(PI()*(s_0+8*s_r+IF(circ_int,eq_c1/2,0))/2))+2*IF(circ_int,0,eq_c1/2))+(PI()*(s_0+8*s_r+IF(circ_int,eq_c1/2,0))/2))),IF(((44+0.5)*(4*IF(circ_int,0,eq_c1/2)+4*IF(circ_int,0,eq_c2/2)+2*PI()*(s_0+8*s_r+IF(circ_int,eq_c1/2,0)))/INDEX(lk_legs,9))&lt;((((((2*IF(circ_int,0,eq_c2/2))+(PI()*(s_0+8*s_r+IF(circ_int,eq_c1/2,0))/2))+2*IF(circ_int,0,eq_c1/2))+(PI()*(s_0+8*s_r+IF(circ_int,eq_c1/2,0))/2))+2*IF(circ_int,0,eq_c2/2))+(PI()*(s_0+8*s_r+IF(circ_int,eq_c1/2,0))/2)),-IF(circ_int,0,eq_c2/2)+(s_0+8*s_r+IF(circ_int,eq_c1/2,0))*SIN(PI()+(((44+0.5)*(4*IF(circ_int,0,eq_c1/2)+4*IF(circ_int,0,eq_c2/2)+2*PI()*(s_0+8*s_r+IF(circ_int,eq_c1/2,0)))/INDEX(lk_legs,9))-(((((2*IF(circ_int,0,eq_c2/2))+(PI()*(s_0+8*s_r+IF(circ_int,eq_c1/2,0))/2))+2*IF(circ_int,0,eq_c1/2))+(PI()*(s_0+8*s_r+IF(circ_int,eq_c1/2,0))/2))+2*IF(circ_int,0,eq_c2/2)))/(s_0+8*s_r+IF(circ_int,eq_c1/2,0))),IF(((44+0.5)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(44+0.5)*(4*IF(circ_int,0,eq_c1/2)+4*IF(circ_int,0,eq_c2/2)+2*PI()*(s_0+8*s_r+IF(circ_int,eq_c1/2,0)))/INDEX(lk_legs,9))-(((((((2*IF(circ_int,0,eq_c2/2))+(PI()*(s_0+8*s_r+IF(circ_int,eq_c1/2,0))/2))+2*IF(circ_int,0,eq_c1/2))+(PI()*(s_0+8*s_r+IF(circ_int,eq_c1/2,0))/2))+2*IF(circ_int,0,eq_c2/2))+(PI()*(s_0+8*s_r+IF(circ_int,eq_c1/2,0))/2))+2*IF(circ_int,0,eq_c1/2)))/(s_0+8*s_r+IF(circ_int,eq_c1/2,0)))))))))),NA())</f>
        <v/>
      </c>
      <c r="CY47">
        <f>IF(AND(links_on,10&lt;=n_per),IF(circ_int,(g_ox)+(c_1/2+(s_0+9*s_r))*0.568065,CHOOSE(INDEX(lk_kind,10),(g_ox+eq_c1/2)+((s_0+9*s_r))*0.608761,0,eq_a1+eq_c1+(s_0+9*s_r),eq_a1+eq_c1+(s_0+9*s_r))),NA())</f>
        <v/>
      </c>
      <c r="CZ47">
        <f>IF(AND(links_on,10&lt;=n_per),IF(circ_int,(g_oy)+(c_1/2+(s_0+9*s_r))*-0.822984,CHOOSE(INDEX(lk_kind,10),(g_oy-eq_c2/2)+((s_0+9*s_r))*-0.793353,g_oy-eq_c2/2-(s_0+9*s_r),0,0)),NA())</f>
        <v/>
      </c>
      <c r="DB47">
        <f>IF(AND(AND(links_on,10&lt;=n_per),INDEX(lk_kind,10)=1,44&lt;INDEX(lk_legs,10)),g_ox+IF(((44+0.5)*(4*IF(circ_int,0,eq_c1/2)+4*IF(circ_int,0,eq_c2/2)+2*PI()*(s_0+9*s_r+IF(circ_int,eq_c1/2,0)))/INDEX(lk_legs,10))&lt;(2*IF(circ_int,0,eq_c2/2)),IF(circ_int,0,eq_c1/2)+(s_0+9*s_r+IF(circ_int,eq_c1/2,0)),IF(((44+0.5)*(4*IF(circ_int,0,eq_c1/2)+4*IF(circ_int,0,eq_c2/2)+2*PI()*(s_0+9*s_r+IF(circ_int,eq_c1/2,0)))/INDEX(lk_legs,10))&lt;((2*IF(circ_int,0,eq_c2/2))+(PI()*(s_0+9*s_r+IF(circ_int,eq_c1/2,0))/2)),IF(circ_int,0,eq_c1/2)+(s_0+9*s_r+IF(circ_int,eq_c1/2,0))*COS((((44+0.5)*(4*IF(circ_int,0,eq_c1/2)+4*IF(circ_int,0,eq_c2/2)+2*PI()*(s_0+9*s_r+IF(circ_int,eq_c1/2,0)))/INDEX(lk_legs,10))-(2*IF(circ_int,0,eq_c2/2)))/(s_0+9*s_r+IF(circ_int,eq_c1/2,0))),IF(((44+0.5)*(4*IF(circ_int,0,eq_c1/2)+4*IF(circ_int,0,eq_c2/2)+2*PI()*(s_0+9*s_r+IF(circ_int,eq_c1/2,0)))/INDEX(lk_legs,10))&lt;(((2*IF(circ_int,0,eq_c2/2))+(PI()*(s_0+9*s_r+IF(circ_int,eq_c1/2,0))/2))+2*IF(circ_int,0,eq_c1/2)),IF(circ_int,0,eq_c1/2)-(((44+0.5)*(4*IF(circ_int,0,eq_c1/2)+4*IF(circ_int,0,eq_c2/2)+2*PI()*(s_0+9*s_r+IF(circ_int,eq_c1/2,0)))/INDEX(lk_legs,10))-((2*IF(circ_int,0,eq_c2/2))+(PI()*(s_0+9*s_r+IF(circ_int,eq_c1/2,0))/2))),IF(((44+0.5)*(4*IF(circ_int,0,eq_c1/2)+4*IF(circ_int,0,eq_c2/2)+2*PI()*(s_0+9*s_r+IF(circ_int,eq_c1/2,0)))/INDEX(lk_legs,10))&lt;((((2*IF(circ_int,0,eq_c2/2))+(PI()*(s_0+9*s_r+IF(circ_int,eq_c1/2,0))/2))+2*IF(circ_int,0,eq_c1/2))+(PI()*(s_0+9*s_r+IF(circ_int,eq_c1/2,0))/2)),-IF(circ_int,0,eq_c1/2)+(s_0+9*s_r+IF(circ_int,eq_c1/2,0))*COS(PI()/2+(((44+0.5)*(4*IF(circ_int,0,eq_c1/2)+4*IF(circ_int,0,eq_c2/2)+2*PI()*(s_0+9*s_r+IF(circ_int,eq_c1/2,0)))/INDEX(lk_legs,10))-(((2*IF(circ_int,0,eq_c2/2))+(PI()*(s_0+9*s_r+IF(circ_int,eq_c1/2,0))/2))+2*IF(circ_int,0,eq_c1/2)))/(s_0+9*s_r+IF(circ_int,eq_c1/2,0))),IF(((44+0.5)*(4*IF(circ_int,0,eq_c1/2)+4*IF(circ_int,0,eq_c2/2)+2*PI()*(s_0+9*s_r+IF(circ_int,eq_c1/2,0)))/INDEX(lk_legs,10))&lt;(((((2*IF(circ_int,0,eq_c2/2))+(PI()*(s_0+9*s_r+IF(circ_int,eq_c1/2,0))/2))+2*IF(circ_int,0,eq_c1/2))+(PI()*(s_0+9*s_r+IF(circ_int,eq_c1/2,0))/2))+2*IF(circ_int,0,eq_c2/2)),-IF(circ_int,0,eq_c1/2)-(s_0+9*s_r+IF(circ_int,eq_c1/2,0)),IF(((44+0.5)*(4*IF(circ_int,0,eq_c1/2)+4*IF(circ_int,0,eq_c2/2)+2*PI()*(s_0+9*s_r+IF(circ_int,eq_c1/2,0)))/INDEX(lk_legs,10))&lt;((((((2*IF(circ_int,0,eq_c2/2))+(PI()*(s_0+9*s_r+IF(circ_int,eq_c1/2,0))/2))+2*IF(circ_int,0,eq_c1/2))+(PI()*(s_0+9*s_r+IF(circ_int,eq_c1/2,0))/2))+2*IF(circ_int,0,eq_c2/2))+(PI()*(s_0+9*s_r+IF(circ_int,eq_c1/2,0))/2)),-IF(circ_int,0,eq_c1/2)+(s_0+9*s_r+IF(circ_int,eq_c1/2,0))*COS(PI()+(((44+0.5)*(4*IF(circ_int,0,eq_c1/2)+4*IF(circ_int,0,eq_c2/2)+2*PI()*(s_0+9*s_r+IF(circ_int,eq_c1/2,0)))/INDEX(lk_legs,10))-(((((2*IF(circ_int,0,eq_c2/2))+(PI()*(s_0+9*s_r+IF(circ_int,eq_c1/2,0))/2))+2*IF(circ_int,0,eq_c1/2))+(PI()*(s_0+9*s_r+IF(circ_int,eq_c1/2,0))/2))+2*IF(circ_int,0,eq_c2/2)))/(s_0+9*s_r+IF(circ_int,eq_c1/2,0))),IF(((44+0.5)*(4*IF(circ_int,0,eq_c1/2)+4*IF(circ_int,0,eq_c2/2)+2*PI()*(s_0+9*s_r+IF(circ_int,eq_c1/2,0)))/INDEX(lk_legs,10))&lt;(((((((2*IF(circ_int,0,eq_c2/2))+(PI()*(s_0+9*s_r+IF(circ_int,eq_c1/2,0))/2))+2*IF(circ_int,0,eq_c1/2))+(PI()*(s_0+9*s_r+IF(circ_int,eq_c1/2,0))/2))+2*IF(circ_int,0,eq_c2/2))+(PI()*(s_0+9*s_r+IF(circ_int,eq_c1/2,0))/2))+2*IF(circ_int,0,eq_c1/2)),-IF(circ_int,0,eq_c1/2)+(((44+0.5)*(4*IF(circ_int,0,eq_c1/2)+4*IF(circ_int,0,eq_c2/2)+2*PI()*(s_0+9*s_r+IF(circ_int,eq_c1/2,0)))/INDEX(lk_legs,10))-((((((2*IF(circ_int,0,eq_c2/2))+(PI()*(s_0+9*s_r+IF(circ_int,eq_c1/2,0))/2))+2*IF(circ_int,0,eq_c1/2))+(PI()*(s_0+9*s_r+IF(circ_int,eq_c1/2,0))/2))+2*IF(circ_int,0,eq_c2/2))+(PI()*(s_0+9*s_r+IF(circ_int,eq_c1/2,0))/2))),IF(circ_int,0,eq_c1/2)+(s_0+9*s_r+IF(circ_int,eq_c1/2,0))*COS(3*PI()/2+(((44+0.5)*(4*IF(circ_int,0,eq_c1/2)+4*IF(circ_int,0,eq_c2/2)+2*PI()*(s_0+9*s_r+IF(circ_int,eq_c1/2,0)))/INDEX(lk_legs,10))-(((((((2*IF(circ_int,0,eq_c2/2))+(PI()*(s_0+9*s_r+IF(circ_int,eq_c1/2,0))/2))+2*IF(circ_int,0,eq_c1/2))+(PI()*(s_0+9*s_r+IF(circ_int,eq_c1/2,0))/2))+2*IF(circ_int,0,eq_c2/2))+(PI()*(s_0+9*s_r+IF(circ_int,eq_c1/2,0))/2))+2*IF(circ_int,0,eq_c1/2)))/(s_0+9*s_r+IF(circ_int,eq_c1/2,0)))))))))),NA())</f>
        <v/>
      </c>
      <c r="DC47">
        <f>IF(AND(AND(links_on,10&lt;=n_per),INDEX(lk_kind,10)=1,44&lt;INDEX(lk_legs,10)),g_oy+IF(((44+0.5)*(4*IF(circ_int,0,eq_c1/2)+4*IF(circ_int,0,eq_c2/2)+2*PI()*(s_0+9*s_r+IF(circ_int,eq_c1/2,0)))/INDEX(lk_legs,10))&lt;(2*IF(circ_int,0,eq_c2/2)),-IF(circ_int,0,eq_c2/2)+((44+0.5)*(4*IF(circ_int,0,eq_c1/2)+4*IF(circ_int,0,eq_c2/2)+2*PI()*(s_0+9*s_r+IF(circ_int,eq_c1/2,0)))/INDEX(lk_legs,10)),IF(((44+0.5)*(4*IF(circ_int,0,eq_c1/2)+4*IF(circ_int,0,eq_c2/2)+2*PI()*(s_0+9*s_r+IF(circ_int,eq_c1/2,0)))/INDEX(lk_legs,10))&lt;((2*IF(circ_int,0,eq_c2/2))+(PI()*(s_0+9*s_r+IF(circ_int,eq_c1/2,0))/2)),IF(circ_int,0,eq_c2/2)+(s_0+9*s_r+IF(circ_int,eq_c1/2,0))*SIN((((44+0.5)*(4*IF(circ_int,0,eq_c1/2)+4*IF(circ_int,0,eq_c2/2)+2*PI()*(s_0+9*s_r+IF(circ_int,eq_c1/2,0)))/INDEX(lk_legs,10))-(2*IF(circ_int,0,eq_c2/2)))/(s_0+9*s_r+IF(circ_int,eq_c1/2,0))),IF(((44+0.5)*(4*IF(circ_int,0,eq_c1/2)+4*IF(circ_int,0,eq_c2/2)+2*PI()*(s_0+9*s_r+IF(circ_int,eq_c1/2,0)))/INDEX(lk_legs,10))&lt;(((2*IF(circ_int,0,eq_c2/2))+(PI()*(s_0+9*s_r+IF(circ_int,eq_c1/2,0))/2))+2*IF(circ_int,0,eq_c1/2)),IF(circ_int,0,eq_c2/2)+(s_0+9*s_r+IF(circ_int,eq_c1/2,0)),IF(((44+0.5)*(4*IF(circ_int,0,eq_c1/2)+4*IF(circ_int,0,eq_c2/2)+2*PI()*(s_0+9*s_r+IF(circ_int,eq_c1/2,0)))/INDEX(lk_legs,10))&lt;((((2*IF(circ_int,0,eq_c2/2))+(PI()*(s_0+9*s_r+IF(circ_int,eq_c1/2,0))/2))+2*IF(circ_int,0,eq_c1/2))+(PI()*(s_0+9*s_r+IF(circ_int,eq_c1/2,0))/2)),IF(circ_int,0,eq_c2/2)+(s_0+9*s_r+IF(circ_int,eq_c1/2,0))*SIN(PI()/2+(((44+0.5)*(4*IF(circ_int,0,eq_c1/2)+4*IF(circ_int,0,eq_c2/2)+2*PI()*(s_0+9*s_r+IF(circ_int,eq_c1/2,0)))/INDEX(lk_legs,10))-(((2*IF(circ_int,0,eq_c2/2))+(PI()*(s_0+9*s_r+IF(circ_int,eq_c1/2,0))/2))+2*IF(circ_int,0,eq_c1/2)))/(s_0+9*s_r+IF(circ_int,eq_c1/2,0))),IF(((44+0.5)*(4*IF(circ_int,0,eq_c1/2)+4*IF(circ_int,0,eq_c2/2)+2*PI()*(s_0+9*s_r+IF(circ_int,eq_c1/2,0)))/INDEX(lk_legs,10))&lt;(((((2*IF(circ_int,0,eq_c2/2))+(PI()*(s_0+9*s_r+IF(circ_int,eq_c1/2,0))/2))+2*IF(circ_int,0,eq_c1/2))+(PI()*(s_0+9*s_r+IF(circ_int,eq_c1/2,0))/2))+2*IF(circ_int,0,eq_c2/2)),IF(circ_int,0,eq_c2/2)-(((44+0.5)*(4*IF(circ_int,0,eq_c1/2)+4*IF(circ_int,0,eq_c2/2)+2*PI()*(s_0+9*s_r+IF(circ_int,eq_c1/2,0)))/INDEX(lk_legs,10))-((((2*IF(circ_int,0,eq_c2/2))+(PI()*(s_0+9*s_r+IF(circ_int,eq_c1/2,0))/2))+2*IF(circ_int,0,eq_c1/2))+(PI()*(s_0+9*s_r+IF(circ_int,eq_c1/2,0))/2))),IF(((44+0.5)*(4*IF(circ_int,0,eq_c1/2)+4*IF(circ_int,0,eq_c2/2)+2*PI()*(s_0+9*s_r+IF(circ_int,eq_c1/2,0)))/INDEX(lk_legs,10))&lt;((((((2*IF(circ_int,0,eq_c2/2))+(PI()*(s_0+9*s_r+IF(circ_int,eq_c1/2,0))/2))+2*IF(circ_int,0,eq_c1/2))+(PI()*(s_0+9*s_r+IF(circ_int,eq_c1/2,0))/2))+2*IF(circ_int,0,eq_c2/2))+(PI()*(s_0+9*s_r+IF(circ_int,eq_c1/2,0))/2)),-IF(circ_int,0,eq_c2/2)+(s_0+9*s_r+IF(circ_int,eq_c1/2,0))*SIN(PI()+(((44+0.5)*(4*IF(circ_int,0,eq_c1/2)+4*IF(circ_int,0,eq_c2/2)+2*PI()*(s_0+9*s_r+IF(circ_int,eq_c1/2,0)))/INDEX(lk_legs,10))-(((((2*IF(circ_int,0,eq_c2/2))+(PI()*(s_0+9*s_r+IF(circ_int,eq_c1/2,0))/2))+2*IF(circ_int,0,eq_c1/2))+(PI()*(s_0+9*s_r+IF(circ_int,eq_c1/2,0))/2))+2*IF(circ_int,0,eq_c2/2)))/(s_0+9*s_r+IF(circ_int,eq_c1/2,0))),IF(((44+0.5)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(44+0.5)*(4*IF(circ_int,0,eq_c1/2)+4*IF(circ_int,0,eq_c2/2)+2*PI()*(s_0+9*s_r+IF(circ_int,eq_c1/2,0)))/INDEX(lk_legs,10))-(((((((2*IF(circ_int,0,eq_c2/2))+(PI()*(s_0+9*s_r+IF(circ_int,eq_c1/2,0))/2))+2*IF(circ_int,0,eq_c1/2))+(PI()*(s_0+9*s_r+IF(circ_int,eq_c1/2,0))/2))+2*IF(circ_int,0,eq_c2/2))+(PI()*(s_0+9*s_r+IF(circ_int,eq_c1/2,0))/2))+2*IF(circ_int,0,eq_c1/2)))/(s_0+9*s_r+IF(circ_int,eq_c1/2,0)))))))))),NA())</f>
        <v/>
      </c>
      <c r="DE47">
        <f>IF(AND(links_on,11&lt;=n_per),IF(circ_int,(g_ox)+(c_1/2+(s_0+10*s_r))*0.568065,CHOOSE(INDEX(lk_kind,11),(g_ox+eq_c1/2)+((s_0+10*s_r))*0.608761,0,eq_a1+eq_c1+(s_0+10*s_r),eq_a1+eq_c1+(s_0+10*s_r))),NA())</f>
        <v/>
      </c>
      <c r="DF47">
        <f>IF(AND(links_on,11&lt;=n_per),IF(circ_int,(g_oy)+(c_1/2+(s_0+10*s_r))*-0.822984,CHOOSE(INDEX(lk_kind,11),(g_oy-eq_c2/2)+((s_0+10*s_r))*-0.793353,g_oy-eq_c2/2-(s_0+10*s_r),0,0)),NA())</f>
        <v/>
      </c>
      <c r="DH47">
        <f>IF(AND(AND(links_on,11&lt;=n_per),INDEX(lk_kind,11)=1,44&lt;INDEX(lk_legs,11)),g_ox+IF(((44+0.5)*(4*IF(circ_int,0,eq_c1/2)+4*IF(circ_int,0,eq_c2/2)+2*PI()*(s_0+10*s_r+IF(circ_int,eq_c1/2,0)))/INDEX(lk_legs,11))&lt;(2*IF(circ_int,0,eq_c2/2)),IF(circ_int,0,eq_c1/2)+(s_0+10*s_r+IF(circ_int,eq_c1/2,0)),IF(((44+0.5)*(4*IF(circ_int,0,eq_c1/2)+4*IF(circ_int,0,eq_c2/2)+2*PI()*(s_0+10*s_r+IF(circ_int,eq_c1/2,0)))/INDEX(lk_legs,11))&lt;((2*IF(circ_int,0,eq_c2/2))+(PI()*(s_0+10*s_r+IF(circ_int,eq_c1/2,0))/2)),IF(circ_int,0,eq_c1/2)+(s_0+10*s_r+IF(circ_int,eq_c1/2,0))*COS((((44+0.5)*(4*IF(circ_int,0,eq_c1/2)+4*IF(circ_int,0,eq_c2/2)+2*PI()*(s_0+10*s_r+IF(circ_int,eq_c1/2,0)))/INDEX(lk_legs,11))-(2*IF(circ_int,0,eq_c2/2)))/(s_0+10*s_r+IF(circ_int,eq_c1/2,0))),IF(((44+0.5)*(4*IF(circ_int,0,eq_c1/2)+4*IF(circ_int,0,eq_c2/2)+2*PI()*(s_0+10*s_r+IF(circ_int,eq_c1/2,0)))/INDEX(lk_legs,11))&lt;(((2*IF(circ_int,0,eq_c2/2))+(PI()*(s_0+10*s_r+IF(circ_int,eq_c1/2,0))/2))+2*IF(circ_int,0,eq_c1/2)),IF(circ_int,0,eq_c1/2)-(((44+0.5)*(4*IF(circ_int,0,eq_c1/2)+4*IF(circ_int,0,eq_c2/2)+2*PI()*(s_0+10*s_r+IF(circ_int,eq_c1/2,0)))/INDEX(lk_legs,11))-((2*IF(circ_int,0,eq_c2/2))+(PI()*(s_0+10*s_r+IF(circ_int,eq_c1/2,0))/2))),IF(((44+0.5)*(4*IF(circ_int,0,eq_c1/2)+4*IF(circ_int,0,eq_c2/2)+2*PI()*(s_0+10*s_r+IF(circ_int,eq_c1/2,0)))/INDEX(lk_legs,11))&lt;((((2*IF(circ_int,0,eq_c2/2))+(PI()*(s_0+10*s_r+IF(circ_int,eq_c1/2,0))/2))+2*IF(circ_int,0,eq_c1/2))+(PI()*(s_0+10*s_r+IF(circ_int,eq_c1/2,0))/2)),-IF(circ_int,0,eq_c1/2)+(s_0+10*s_r+IF(circ_int,eq_c1/2,0))*COS(PI()/2+(((44+0.5)*(4*IF(circ_int,0,eq_c1/2)+4*IF(circ_int,0,eq_c2/2)+2*PI()*(s_0+10*s_r+IF(circ_int,eq_c1/2,0)))/INDEX(lk_legs,11))-(((2*IF(circ_int,0,eq_c2/2))+(PI()*(s_0+10*s_r+IF(circ_int,eq_c1/2,0))/2))+2*IF(circ_int,0,eq_c1/2)))/(s_0+10*s_r+IF(circ_int,eq_c1/2,0))),IF(((44+0.5)*(4*IF(circ_int,0,eq_c1/2)+4*IF(circ_int,0,eq_c2/2)+2*PI()*(s_0+10*s_r+IF(circ_int,eq_c1/2,0)))/INDEX(lk_legs,11))&lt;(((((2*IF(circ_int,0,eq_c2/2))+(PI()*(s_0+10*s_r+IF(circ_int,eq_c1/2,0))/2))+2*IF(circ_int,0,eq_c1/2))+(PI()*(s_0+10*s_r+IF(circ_int,eq_c1/2,0))/2))+2*IF(circ_int,0,eq_c2/2)),-IF(circ_int,0,eq_c1/2)-(s_0+10*s_r+IF(circ_int,eq_c1/2,0)),IF(((44+0.5)*(4*IF(circ_int,0,eq_c1/2)+4*IF(circ_int,0,eq_c2/2)+2*PI()*(s_0+10*s_r+IF(circ_int,eq_c1/2,0)))/INDEX(lk_legs,11))&lt;((((((2*IF(circ_int,0,eq_c2/2))+(PI()*(s_0+10*s_r+IF(circ_int,eq_c1/2,0))/2))+2*IF(circ_int,0,eq_c1/2))+(PI()*(s_0+10*s_r+IF(circ_int,eq_c1/2,0))/2))+2*IF(circ_int,0,eq_c2/2))+(PI()*(s_0+10*s_r+IF(circ_int,eq_c1/2,0))/2)),-IF(circ_int,0,eq_c1/2)+(s_0+10*s_r+IF(circ_int,eq_c1/2,0))*COS(PI()+(((44+0.5)*(4*IF(circ_int,0,eq_c1/2)+4*IF(circ_int,0,eq_c2/2)+2*PI()*(s_0+10*s_r+IF(circ_int,eq_c1/2,0)))/INDEX(lk_legs,11))-(((((2*IF(circ_int,0,eq_c2/2))+(PI()*(s_0+10*s_r+IF(circ_int,eq_c1/2,0))/2))+2*IF(circ_int,0,eq_c1/2))+(PI()*(s_0+10*s_r+IF(circ_int,eq_c1/2,0))/2))+2*IF(circ_int,0,eq_c2/2)))/(s_0+10*s_r+IF(circ_int,eq_c1/2,0))),IF(((44+0.5)*(4*IF(circ_int,0,eq_c1/2)+4*IF(circ_int,0,eq_c2/2)+2*PI()*(s_0+10*s_r+IF(circ_int,eq_c1/2,0)))/INDEX(lk_legs,11))&lt;(((((((2*IF(circ_int,0,eq_c2/2))+(PI()*(s_0+10*s_r+IF(circ_int,eq_c1/2,0))/2))+2*IF(circ_int,0,eq_c1/2))+(PI()*(s_0+10*s_r+IF(circ_int,eq_c1/2,0))/2))+2*IF(circ_int,0,eq_c2/2))+(PI()*(s_0+10*s_r+IF(circ_int,eq_c1/2,0))/2))+2*IF(circ_int,0,eq_c1/2)),-IF(circ_int,0,eq_c1/2)+(((44+0.5)*(4*IF(circ_int,0,eq_c1/2)+4*IF(circ_int,0,eq_c2/2)+2*PI()*(s_0+10*s_r+IF(circ_int,eq_c1/2,0)))/INDEX(lk_legs,11))-((((((2*IF(circ_int,0,eq_c2/2))+(PI()*(s_0+10*s_r+IF(circ_int,eq_c1/2,0))/2))+2*IF(circ_int,0,eq_c1/2))+(PI()*(s_0+10*s_r+IF(circ_int,eq_c1/2,0))/2))+2*IF(circ_int,0,eq_c2/2))+(PI()*(s_0+10*s_r+IF(circ_int,eq_c1/2,0))/2))),IF(circ_int,0,eq_c1/2)+(s_0+10*s_r+IF(circ_int,eq_c1/2,0))*COS(3*PI()/2+(((44+0.5)*(4*IF(circ_int,0,eq_c1/2)+4*IF(circ_int,0,eq_c2/2)+2*PI()*(s_0+10*s_r+IF(circ_int,eq_c1/2,0)))/INDEX(lk_legs,11))-(((((((2*IF(circ_int,0,eq_c2/2))+(PI()*(s_0+10*s_r+IF(circ_int,eq_c1/2,0))/2))+2*IF(circ_int,0,eq_c1/2))+(PI()*(s_0+10*s_r+IF(circ_int,eq_c1/2,0))/2))+2*IF(circ_int,0,eq_c2/2))+(PI()*(s_0+10*s_r+IF(circ_int,eq_c1/2,0))/2))+2*IF(circ_int,0,eq_c1/2)))/(s_0+10*s_r+IF(circ_int,eq_c1/2,0)))))))))),NA())</f>
        <v/>
      </c>
      <c r="DI47">
        <f>IF(AND(AND(links_on,11&lt;=n_per),INDEX(lk_kind,11)=1,44&lt;INDEX(lk_legs,11)),g_oy+IF(((44+0.5)*(4*IF(circ_int,0,eq_c1/2)+4*IF(circ_int,0,eq_c2/2)+2*PI()*(s_0+10*s_r+IF(circ_int,eq_c1/2,0)))/INDEX(lk_legs,11))&lt;(2*IF(circ_int,0,eq_c2/2)),-IF(circ_int,0,eq_c2/2)+((44+0.5)*(4*IF(circ_int,0,eq_c1/2)+4*IF(circ_int,0,eq_c2/2)+2*PI()*(s_0+10*s_r+IF(circ_int,eq_c1/2,0)))/INDEX(lk_legs,11)),IF(((44+0.5)*(4*IF(circ_int,0,eq_c1/2)+4*IF(circ_int,0,eq_c2/2)+2*PI()*(s_0+10*s_r+IF(circ_int,eq_c1/2,0)))/INDEX(lk_legs,11))&lt;((2*IF(circ_int,0,eq_c2/2))+(PI()*(s_0+10*s_r+IF(circ_int,eq_c1/2,0))/2)),IF(circ_int,0,eq_c2/2)+(s_0+10*s_r+IF(circ_int,eq_c1/2,0))*SIN((((44+0.5)*(4*IF(circ_int,0,eq_c1/2)+4*IF(circ_int,0,eq_c2/2)+2*PI()*(s_0+10*s_r+IF(circ_int,eq_c1/2,0)))/INDEX(lk_legs,11))-(2*IF(circ_int,0,eq_c2/2)))/(s_0+10*s_r+IF(circ_int,eq_c1/2,0))),IF(((44+0.5)*(4*IF(circ_int,0,eq_c1/2)+4*IF(circ_int,0,eq_c2/2)+2*PI()*(s_0+10*s_r+IF(circ_int,eq_c1/2,0)))/INDEX(lk_legs,11))&lt;(((2*IF(circ_int,0,eq_c2/2))+(PI()*(s_0+10*s_r+IF(circ_int,eq_c1/2,0))/2))+2*IF(circ_int,0,eq_c1/2)),IF(circ_int,0,eq_c2/2)+(s_0+10*s_r+IF(circ_int,eq_c1/2,0)),IF(((44+0.5)*(4*IF(circ_int,0,eq_c1/2)+4*IF(circ_int,0,eq_c2/2)+2*PI()*(s_0+10*s_r+IF(circ_int,eq_c1/2,0)))/INDEX(lk_legs,11))&lt;((((2*IF(circ_int,0,eq_c2/2))+(PI()*(s_0+10*s_r+IF(circ_int,eq_c1/2,0))/2))+2*IF(circ_int,0,eq_c1/2))+(PI()*(s_0+10*s_r+IF(circ_int,eq_c1/2,0))/2)),IF(circ_int,0,eq_c2/2)+(s_0+10*s_r+IF(circ_int,eq_c1/2,0))*SIN(PI()/2+(((44+0.5)*(4*IF(circ_int,0,eq_c1/2)+4*IF(circ_int,0,eq_c2/2)+2*PI()*(s_0+10*s_r+IF(circ_int,eq_c1/2,0)))/INDEX(lk_legs,11))-(((2*IF(circ_int,0,eq_c2/2))+(PI()*(s_0+10*s_r+IF(circ_int,eq_c1/2,0))/2))+2*IF(circ_int,0,eq_c1/2)))/(s_0+10*s_r+IF(circ_int,eq_c1/2,0))),IF(((44+0.5)*(4*IF(circ_int,0,eq_c1/2)+4*IF(circ_int,0,eq_c2/2)+2*PI()*(s_0+10*s_r+IF(circ_int,eq_c1/2,0)))/INDEX(lk_legs,11))&lt;(((((2*IF(circ_int,0,eq_c2/2))+(PI()*(s_0+10*s_r+IF(circ_int,eq_c1/2,0))/2))+2*IF(circ_int,0,eq_c1/2))+(PI()*(s_0+10*s_r+IF(circ_int,eq_c1/2,0))/2))+2*IF(circ_int,0,eq_c2/2)),IF(circ_int,0,eq_c2/2)-(((44+0.5)*(4*IF(circ_int,0,eq_c1/2)+4*IF(circ_int,0,eq_c2/2)+2*PI()*(s_0+10*s_r+IF(circ_int,eq_c1/2,0)))/INDEX(lk_legs,11))-((((2*IF(circ_int,0,eq_c2/2))+(PI()*(s_0+10*s_r+IF(circ_int,eq_c1/2,0))/2))+2*IF(circ_int,0,eq_c1/2))+(PI()*(s_0+10*s_r+IF(circ_int,eq_c1/2,0))/2))),IF(((44+0.5)*(4*IF(circ_int,0,eq_c1/2)+4*IF(circ_int,0,eq_c2/2)+2*PI()*(s_0+10*s_r+IF(circ_int,eq_c1/2,0)))/INDEX(lk_legs,11))&lt;((((((2*IF(circ_int,0,eq_c2/2))+(PI()*(s_0+10*s_r+IF(circ_int,eq_c1/2,0))/2))+2*IF(circ_int,0,eq_c1/2))+(PI()*(s_0+10*s_r+IF(circ_int,eq_c1/2,0))/2))+2*IF(circ_int,0,eq_c2/2))+(PI()*(s_0+10*s_r+IF(circ_int,eq_c1/2,0))/2)),-IF(circ_int,0,eq_c2/2)+(s_0+10*s_r+IF(circ_int,eq_c1/2,0))*SIN(PI()+(((44+0.5)*(4*IF(circ_int,0,eq_c1/2)+4*IF(circ_int,0,eq_c2/2)+2*PI()*(s_0+10*s_r+IF(circ_int,eq_c1/2,0)))/INDEX(lk_legs,11))-(((((2*IF(circ_int,0,eq_c2/2))+(PI()*(s_0+10*s_r+IF(circ_int,eq_c1/2,0))/2))+2*IF(circ_int,0,eq_c1/2))+(PI()*(s_0+10*s_r+IF(circ_int,eq_c1/2,0))/2))+2*IF(circ_int,0,eq_c2/2)))/(s_0+10*s_r+IF(circ_int,eq_c1/2,0))),IF(((44+0.5)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(44+0.5)*(4*IF(circ_int,0,eq_c1/2)+4*IF(circ_int,0,eq_c2/2)+2*PI()*(s_0+10*s_r+IF(circ_int,eq_c1/2,0)))/INDEX(lk_legs,11))-(((((((2*IF(circ_int,0,eq_c2/2))+(PI()*(s_0+10*s_r+IF(circ_int,eq_c1/2,0))/2))+2*IF(circ_int,0,eq_c1/2))+(PI()*(s_0+10*s_r+IF(circ_int,eq_c1/2,0))/2))+2*IF(circ_int,0,eq_c2/2))+(PI()*(s_0+10*s_r+IF(circ_int,eq_c1/2,0))/2))+2*IF(circ_int,0,eq_c1/2)))/(s_0+10*s_r+IF(circ_int,eq_c1/2,0)))))))))),NA())</f>
        <v/>
      </c>
      <c r="DK47">
        <f>IF(AND(links_on,12&lt;=n_per),IF(circ_int,(g_ox)+(c_1/2+(s_0+11*s_r))*0.568065,CHOOSE(INDEX(lk_kind,12),(g_ox+eq_c1/2)+((s_0+11*s_r))*0.608761,0,eq_a1+eq_c1+(s_0+11*s_r),eq_a1+eq_c1+(s_0+11*s_r))),NA())</f>
        <v/>
      </c>
      <c r="DL47">
        <f>IF(AND(links_on,12&lt;=n_per),IF(circ_int,(g_oy)+(c_1/2+(s_0+11*s_r))*-0.822984,CHOOSE(INDEX(lk_kind,12),(g_oy-eq_c2/2)+((s_0+11*s_r))*-0.793353,g_oy-eq_c2/2-(s_0+11*s_r),0,0)),NA())</f>
        <v/>
      </c>
      <c r="DN47">
        <f>IF(AND(AND(links_on,12&lt;=n_per),INDEX(lk_kind,12)=1,44&lt;INDEX(lk_legs,12)),g_ox+IF(((44+0.5)*(4*IF(circ_int,0,eq_c1/2)+4*IF(circ_int,0,eq_c2/2)+2*PI()*(s_0+11*s_r+IF(circ_int,eq_c1/2,0)))/INDEX(lk_legs,12))&lt;(2*IF(circ_int,0,eq_c2/2)),IF(circ_int,0,eq_c1/2)+(s_0+11*s_r+IF(circ_int,eq_c1/2,0)),IF(((44+0.5)*(4*IF(circ_int,0,eq_c1/2)+4*IF(circ_int,0,eq_c2/2)+2*PI()*(s_0+11*s_r+IF(circ_int,eq_c1/2,0)))/INDEX(lk_legs,12))&lt;((2*IF(circ_int,0,eq_c2/2))+(PI()*(s_0+11*s_r+IF(circ_int,eq_c1/2,0))/2)),IF(circ_int,0,eq_c1/2)+(s_0+11*s_r+IF(circ_int,eq_c1/2,0))*COS((((44+0.5)*(4*IF(circ_int,0,eq_c1/2)+4*IF(circ_int,0,eq_c2/2)+2*PI()*(s_0+11*s_r+IF(circ_int,eq_c1/2,0)))/INDEX(lk_legs,12))-(2*IF(circ_int,0,eq_c2/2)))/(s_0+11*s_r+IF(circ_int,eq_c1/2,0))),IF(((44+0.5)*(4*IF(circ_int,0,eq_c1/2)+4*IF(circ_int,0,eq_c2/2)+2*PI()*(s_0+11*s_r+IF(circ_int,eq_c1/2,0)))/INDEX(lk_legs,12))&lt;(((2*IF(circ_int,0,eq_c2/2))+(PI()*(s_0+11*s_r+IF(circ_int,eq_c1/2,0))/2))+2*IF(circ_int,0,eq_c1/2)),IF(circ_int,0,eq_c1/2)-(((44+0.5)*(4*IF(circ_int,0,eq_c1/2)+4*IF(circ_int,0,eq_c2/2)+2*PI()*(s_0+11*s_r+IF(circ_int,eq_c1/2,0)))/INDEX(lk_legs,12))-((2*IF(circ_int,0,eq_c2/2))+(PI()*(s_0+11*s_r+IF(circ_int,eq_c1/2,0))/2))),IF(((44+0.5)*(4*IF(circ_int,0,eq_c1/2)+4*IF(circ_int,0,eq_c2/2)+2*PI()*(s_0+11*s_r+IF(circ_int,eq_c1/2,0)))/INDEX(lk_legs,12))&lt;((((2*IF(circ_int,0,eq_c2/2))+(PI()*(s_0+11*s_r+IF(circ_int,eq_c1/2,0))/2))+2*IF(circ_int,0,eq_c1/2))+(PI()*(s_0+11*s_r+IF(circ_int,eq_c1/2,0))/2)),-IF(circ_int,0,eq_c1/2)+(s_0+11*s_r+IF(circ_int,eq_c1/2,0))*COS(PI()/2+(((44+0.5)*(4*IF(circ_int,0,eq_c1/2)+4*IF(circ_int,0,eq_c2/2)+2*PI()*(s_0+11*s_r+IF(circ_int,eq_c1/2,0)))/INDEX(lk_legs,12))-(((2*IF(circ_int,0,eq_c2/2))+(PI()*(s_0+11*s_r+IF(circ_int,eq_c1/2,0))/2))+2*IF(circ_int,0,eq_c1/2)))/(s_0+11*s_r+IF(circ_int,eq_c1/2,0))),IF(((44+0.5)*(4*IF(circ_int,0,eq_c1/2)+4*IF(circ_int,0,eq_c2/2)+2*PI()*(s_0+11*s_r+IF(circ_int,eq_c1/2,0)))/INDEX(lk_legs,12))&lt;(((((2*IF(circ_int,0,eq_c2/2))+(PI()*(s_0+11*s_r+IF(circ_int,eq_c1/2,0))/2))+2*IF(circ_int,0,eq_c1/2))+(PI()*(s_0+11*s_r+IF(circ_int,eq_c1/2,0))/2))+2*IF(circ_int,0,eq_c2/2)),-IF(circ_int,0,eq_c1/2)-(s_0+11*s_r+IF(circ_int,eq_c1/2,0)),IF(((44+0.5)*(4*IF(circ_int,0,eq_c1/2)+4*IF(circ_int,0,eq_c2/2)+2*PI()*(s_0+11*s_r+IF(circ_int,eq_c1/2,0)))/INDEX(lk_legs,12))&lt;((((((2*IF(circ_int,0,eq_c2/2))+(PI()*(s_0+11*s_r+IF(circ_int,eq_c1/2,0))/2))+2*IF(circ_int,0,eq_c1/2))+(PI()*(s_0+11*s_r+IF(circ_int,eq_c1/2,0))/2))+2*IF(circ_int,0,eq_c2/2))+(PI()*(s_0+11*s_r+IF(circ_int,eq_c1/2,0))/2)),-IF(circ_int,0,eq_c1/2)+(s_0+11*s_r+IF(circ_int,eq_c1/2,0))*COS(PI()+(((44+0.5)*(4*IF(circ_int,0,eq_c1/2)+4*IF(circ_int,0,eq_c2/2)+2*PI()*(s_0+11*s_r+IF(circ_int,eq_c1/2,0)))/INDEX(lk_legs,12))-(((((2*IF(circ_int,0,eq_c2/2))+(PI()*(s_0+11*s_r+IF(circ_int,eq_c1/2,0))/2))+2*IF(circ_int,0,eq_c1/2))+(PI()*(s_0+11*s_r+IF(circ_int,eq_c1/2,0))/2))+2*IF(circ_int,0,eq_c2/2)))/(s_0+11*s_r+IF(circ_int,eq_c1/2,0))),IF(((44+0.5)*(4*IF(circ_int,0,eq_c1/2)+4*IF(circ_int,0,eq_c2/2)+2*PI()*(s_0+11*s_r+IF(circ_int,eq_c1/2,0)))/INDEX(lk_legs,12))&lt;(((((((2*IF(circ_int,0,eq_c2/2))+(PI()*(s_0+11*s_r+IF(circ_int,eq_c1/2,0))/2))+2*IF(circ_int,0,eq_c1/2))+(PI()*(s_0+11*s_r+IF(circ_int,eq_c1/2,0))/2))+2*IF(circ_int,0,eq_c2/2))+(PI()*(s_0+11*s_r+IF(circ_int,eq_c1/2,0))/2))+2*IF(circ_int,0,eq_c1/2)),-IF(circ_int,0,eq_c1/2)+(((44+0.5)*(4*IF(circ_int,0,eq_c1/2)+4*IF(circ_int,0,eq_c2/2)+2*PI()*(s_0+11*s_r+IF(circ_int,eq_c1/2,0)))/INDEX(lk_legs,12))-((((((2*IF(circ_int,0,eq_c2/2))+(PI()*(s_0+11*s_r+IF(circ_int,eq_c1/2,0))/2))+2*IF(circ_int,0,eq_c1/2))+(PI()*(s_0+11*s_r+IF(circ_int,eq_c1/2,0))/2))+2*IF(circ_int,0,eq_c2/2))+(PI()*(s_0+11*s_r+IF(circ_int,eq_c1/2,0))/2))),IF(circ_int,0,eq_c1/2)+(s_0+11*s_r+IF(circ_int,eq_c1/2,0))*COS(3*PI()/2+(((44+0.5)*(4*IF(circ_int,0,eq_c1/2)+4*IF(circ_int,0,eq_c2/2)+2*PI()*(s_0+11*s_r+IF(circ_int,eq_c1/2,0)))/INDEX(lk_legs,12))-(((((((2*IF(circ_int,0,eq_c2/2))+(PI()*(s_0+11*s_r+IF(circ_int,eq_c1/2,0))/2))+2*IF(circ_int,0,eq_c1/2))+(PI()*(s_0+11*s_r+IF(circ_int,eq_c1/2,0))/2))+2*IF(circ_int,0,eq_c2/2))+(PI()*(s_0+11*s_r+IF(circ_int,eq_c1/2,0))/2))+2*IF(circ_int,0,eq_c1/2)))/(s_0+11*s_r+IF(circ_int,eq_c1/2,0)))))))))),NA())</f>
        <v/>
      </c>
      <c r="DO47">
        <f>IF(AND(AND(links_on,12&lt;=n_per),INDEX(lk_kind,12)=1,44&lt;INDEX(lk_legs,12)),g_oy+IF(((44+0.5)*(4*IF(circ_int,0,eq_c1/2)+4*IF(circ_int,0,eq_c2/2)+2*PI()*(s_0+11*s_r+IF(circ_int,eq_c1/2,0)))/INDEX(lk_legs,12))&lt;(2*IF(circ_int,0,eq_c2/2)),-IF(circ_int,0,eq_c2/2)+((44+0.5)*(4*IF(circ_int,0,eq_c1/2)+4*IF(circ_int,0,eq_c2/2)+2*PI()*(s_0+11*s_r+IF(circ_int,eq_c1/2,0)))/INDEX(lk_legs,12)),IF(((44+0.5)*(4*IF(circ_int,0,eq_c1/2)+4*IF(circ_int,0,eq_c2/2)+2*PI()*(s_0+11*s_r+IF(circ_int,eq_c1/2,0)))/INDEX(lk_legs,12))&lt;((2*IF(circ_int,0,eq_c2/2))+(PI()*(s_0+11*s_r+IF(circ_int,eq_c1/2,0))/2)),IF(circ_int,0,eq_c2/2)+(s_0+11*s_r+IF(circ_int,eq_c1/2,0))*SIN((((44+0.5)*(4*IF(circ_int,0,eq_c1/2)+4*IF(circ_int,0,eq_c2/2)+2*PI()*(s_0+11*s_r+IF(circ_int,eq_c1/2,0)))/INDEX(lk_legs,12))-(2*IF(circ_int,0,eq_c2/2)))/(s_0+11*s_r+IF(circ_int,eq_c1/2,0))),IF(((44+0.5)*(4*IF(circ_int,0,eq_c1/2)+4*IF(circ_int,0,eq_c2/2)+2*PI()*(s_0+11*s_r+IF(circ_int,eq_c1/2,0)))/INDEX(lk_legs,12))&lt;(((2*IF(circ_int,0,eq_c2/2))+(PI()*(s_0+11*s_r+IF(circ_int,eq_c1/2,0))/2))+2*IF(circ_int,0,eq_c1/2)),IF(circ_int,0,eq_c2/2)+(s_0+11*s_r+IF(circ_int,eq_c1/2,0)),IF(((44+0.5)*(4*IF(circ_int,0,eq_c1/2)+4*IF(circ_int,0,eq_c2/2)+2*PI()*(s_0+11*s_r+IF(circ_int,eq_c1/2,0)))/INDEX(lk_legs,12))&lt;((((2*IF(circ_int,0,eq_c2/2))+(PI()*(s_0+11*s_r+IF(circ_int,eq_c1/2,0))/2))+2*IF(circ_int,0,eq_c1/2))+(PI()*(s_0+11*s_r+IF(circ_int,eq_c1/2,0))/2)),IF(circ_int,0,eq_c2/2)+(s_0+11*s_r+IF(circ_int,eq_c1/2,0))*SIN(PI()/2+(((44+0.5)*(4*IF(circ_int,0,eq_c1/2)+4*IF(circ_int,0,eq_c2/2)+2*PI()*(s_0+11*s_r+IF(circ_int,eq_c1/2,0)))/INDEX(lk_legs,12))-(((2*IF(circ_int,0,eq_c2/2))+(PI()*(s_0+11*s_r+IF(circ_int,eq_c1/2,0))/2))+2*IF(circ_int,0,eq_c1/2)))/(s_0+11*s_r+IF(circ_int,eq_c1/2,0))),IF(((44+0.5)*(4*IF(circ_int,0,eq_c1/2)+4*IF(circ_int,0,eq_c2/2)+2*PI()*(s_0+11*s_r+IF(circ_int,eq_c1/2,0)))/INDEX(lk_legs,12))&lt;(((((2*IF(circ_int,0,eq_c2/2))+(PI()*(s_0+11*s_r+IF(circ_int,eq_c1/2,0))/2))+2*IF(circ_int,0,eq_c1/2))+(PI()*(s_0+11*s_r+IF(circ_int,eq_c1/2,0))/2))+2*IF(circ_int,0,eq_c2/2)),IF(circ_int,0,eq_c2/2)-(((44+0.5)*(4*IF(circ_int,0,eq_c1/2)+4*IF(circ_int,0,eq_c2/2)+2*PI()*(s_0+11*s_r+IF(circ_int,eq_c1/2,0)))/INDEX(lk_legs,12))-((((2*IF(circ_int,0,eq_c2/2))+(PI()*(s_0+11*s_r+IF(circ_int,eq_c1/2,0))/2))+2*IF(circ_int,0,eq_c1/2))+(PI()*(s_0+11*s_r+IF(circ_int,eq_c1/2,0))/2))),IF(((44+0.5)*(4*IF(circ_int,0,eq_c1/2)+4*IF(circ_int,0,eq_c2/2)+2*PI()*(s_0+11*s_r+IF(circ_int,eq_c1/2,0)))/INDEX(lk_legs,12))&lt;((((((2*IF(circ_int,0,eq_c2/2))+(PI()*(s_0+11*s_r+IF(circ_int,eq_c1/2,0))/2))+2*IF(circ_int,0,eq_c1/2))+(PI()*(s_0+11*s_r+IF(circ_int,eq_c1/2,0))/2))+2*IF(circ_int,0,eq_c2/2))+(PI()*(s_0+11*s_r+IF(circ_int,eq_c1/2,0))/2)),-IF(circ_int,0,eq_c2/2)+(s_0+11*s_r+IF(circ_int,eq_c1/2,0))*SIN(PI()+(((44+0.5)*(4*IF(circ_int,0,eq_c1/2)+4*IF(circ_int,0,eq_c2/2)+2*PI()*(s_0+11*s_r+IF(circ_int,eq_c1/2,0)))/INDEX(lk_legs,12))-(((((2*IF(circ_int,0,eq_c2/2))+(PI()*(s_0+11*s_r+IF(circ_int,eq_c1/2,0))/2))+2*IF(circ_int,0,eq_c1/2))+(PI()*(s_0+11*s_r+IF(circ_int,eq_c1/2,0))/2))+2*IF(circ_int,0,eq_c2/2)))/(s_0+11*s_r+IF(circ_int,eq_c1/2,0))),IF(((44+0.5)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(44+0.5)*(4*IF(circ_int,0,eq_c1/2)+4*IF(circ_int,0,eq_c2/2)+2*PI()*(s_0+11*s_r+IF(circ_int,eq_c1/2,0)))/INDEX(lk_legs,12))-(((((((2*IF(circ_int,0,eq_c2/2))+(PI()*(s_0+11*s_r+IF(circ_int,eq_c1/2,0))/2))+2*IF(circ_int,0,eq_c1/2))+(PI()*(s_0+11*s_r+IF(circ_int,eq_c1/2,0))/2))+2*IF(circ_int,0,eq_c2/2))+(PI()*(s_0+11*s_r+IF(circ_int,eq_c1/2,0))/2))+2*IF(circ_int,0,eq_c1/2)))/(s_0+11*s_r+IF(circ_int,eq_c1/2,0)))))))))),NA())</f>
        <v/>
      </c>
    </row>
    <row r="48">
      <c r="A48">
        <f>IF(shape="Circular",(g_ox)+(c_1/2+0)*0.663123,CHOOSE(1,(g_ox+eq_c1/2)+(0)*0.707107,0,eq_a1+eq_c1+0,eq_a1+eq_c1+0))</f>
        <v/>
      </c>
      <c r="B48">
        <f>IF(shape="Circular",(g_oy)+(c_1/2+0)*-0.748511,CHOOSE(1,(g_oy-eq_c2/2)+(0)*-0.707107,g_oy-eq_c2/2-0,0,0))</f>
        <v/>
      </c>
      <c r="D48">
        <f>IF(circ_int,(g_ox)+(c_1/2+2*d_eff)*0.663123,CHOOSE(geo_idx,(g_ox+eq_c1/2)+(2*d_eff)*0.707107,0,eq_a1+eq_c1+2*d_eff,eq_a1+eq_c1+2*d_eff))</f>
        <v/>
      </c>
      <c r="E48">
        <f>IF(circ_int,(g_oy)+(c_1/2+2*d_eff)*-0.748511,CHOOSE(geo_idx,(g_oy-eq_c2/2)+(2*d_eff)*-0.707107,g_oy-eq_c2/2-2*d_eff,0,0))</f>
        <v/>
      </c>
      <c r="G48">
        <f>IF(AND(inputs_ok,punch_ok,A_sw&gt;0),IF(circ_int,(g_ox)+(c_1/2+r_out)*0.663123,CHOOSE(kind_out,(g_ox+eq_c1/2)+(r_out)*0.707107,0,eq_a1+eq_c1+r_out,eq_a1+eq_c1+r_out)),NA())</f>
        <v/>
      </c>
      <c r="H48">
        <f>IF(AND(inputs_ok,punch_ok,A_sw&gt;0),IF(circ_int,(g_oy)+(c_1/2+r_out)*-0.748511,CHOOSE(kind_out,(g_oy-eq_c2/2)+(r_out)*-0.707107,g_oy-eq_c2/2-r_out,0,0)),NA())</f>
        <v/>
      </c>
      <c r="AW48">
        <f>IF(AND(links_on,1&lt;=n_per),IF(circ_int,(g_ox)+(c_1/2+(s_0+0*s_r))*0.663123,CHOOSE(INDEX(lk_kind,1),(g_ox+eq_c1/2)+((s_0+0*s_r))*0.707107,0,eq_a1+eq_c1+(s_0+0*s_r),eq_a1+eq_c1+(s_0+0*s_r))),NA())</f>
        <v/>
      </c>
      <c r="AX48">
        <f>IF(AND(links_on,1&lt;=n_per),IF(circ_int,(g_oy)+(c_1/2+(s_0+0*s_r))*-0.748511,CHOOSE(INDEX(lk_kind,1),(g_oy-eq_c2/2)+((s_0+0*s_r))*-0.707107,g_oy-eq_c2/2-(s_0+0*s_r),0,0)),NA())</f>
        <v/>
      </c>
      <c r="AZ48">
        <f>IF(AND(AND(links_on,1&lt;=n_per),INDEX(lk_kind,1)=1,45&lt;INDEX(lk_legs,1)),g_ox+IF(((45+0.5)*(4*IF(circ_int,0,eq_c1/2)+4*IF(circ_int,0,eq_c2/2)+2*PI()*(s_0+0*s_r+IF(circ_int,eq_c1/2,0)))/INDEX(lk_legs,1))&lt;(2*IF(circ_int,0,eq_c2/2)),IF(circ_int,0,eq_c1/2)+(s_0+0*s_r+IF(circ_int,eq_c1/2,0)),IF(((45+0.5)*(4*IF(circ_int,0,eq_c1/2)+4*IF(circ_int,0,eq_c2/2)+2*PI()*(s_0+0*s_r+IF(circ_int,eq_c1/2,0)))/INDEX(lk_legs,1))&lt;((2*IF(circ_int,0,eq_c2/2))+(PI()*(s_0+0*s_r+IF(circ_int,eq_c1/2,0))/2)),IF(circ_int,0,eq_c1/2)+(s_0+0*s_r+IF(circ_int,eq_c1/2,0))*COS((((45+0.5)*(4*IF(circ_int,0,eq_c1/2)+4*IF(circ_int,0,eq_c2/2)+2*PI()*(s_0+0*s_r+IF(circ_int,eq_c1/2,0)))/INDEX(lk_legs,1))-(2*IF(circ_int,0,eq_c2/2)))/(s_0+0*s_r+IF(circ_int,eq_c1/2,0))),IF(((45+0.5)*(4*IF(circ_int,0,eq_c1/2)+4*IF(circ_int,0,eq_c2/2)+2*PI()*(s_0+0*s_r+IF(circ_int,eq_c1/2,0)))/INDEX(lk_legs,1))&lt;(((2*IF(circ_int,0,eq_c2/2))+(PI()*(s_0+0*s_r+IF(circ_int,eq_c1/2,0))/2))+2*IF(circ_int,0,eq_c1/2)),IF(circ_int,0,eq_c1/2)-(((45+0.5)*(4*IF(circ_int,0,eq_c1/2)+4*IF(circ_int,0,eq_c2/2)+2*PI()*(s_0+0*s_r+IF(circ_int,eq_c1/2,0)))/INDEX(lk_legs,1))-((2*IF(circ_int,0,eq_c2/2))+(PI()*(s_0+0*s_r+IF(circ_int,eq_c1/2,0))/2))),IF(((45+0.5)*(4*IF(circ_int,0,eq_c1/2)+4*IF(circ_int,0,eq_c2/2)+2*PI()*(s_0+0*s_r+IF(circ_int,eq_c1/2,0)))/INDEX(lk_legs,1))&lt;((((2*IF(circ_int,0,eq_c2/2))+(PI()*(s_0+0*s_r+IF(circ_int,eq_c1/2,0))/2))+2*IF(circ_int,0,eq_c1/2))+(PI()*(s_0+0*s_r+IF(circ_int,eq_c1/2,0))/2)),-IF(circ_int,0,eq_c1/2)+(s_0+0*s_r+IF(circ_int,eq_c1/2,0))*COS(PI()/2+(((45+0.5)*(4*IF(circ_int,0,eq_c1/2)+4*IF(circ_int,0,eq_c2/2)+2*PI()*(s_0+0*s_r+IF(circ_int,eq_c1/2,0)))/INDEX(lk_legs,1))-(((2*IF(circ_int,0,eq_c2/2))+(PI()*(s_0+0*s_r+IF(circ_int,eq_c1/2,0))/2))+2*IF(circ_int,0,eq_c1/2)))/(s_0+0*s_r+IF(circ_int,eq_c1/2,0))),IF(((45+0.5)*(4*IF(circ_int,0,eq_c1/2)+4*IF(circ_int,0,eq_c2/2)+2*PI()*(s_0+0*s_r+IF(circ_int,eq_c1/2,0)))/INDEX(lk_legs,1))&lt;(((((2*IF(circ_int,0,eq_c2/2))+(PI()*(s_0+0*s_r+IF(circ_int,eq_c1/2,0))/2))+2*IF(circ_int,0,eq_c1/2))+(PI()*(s_0+0*s_r+IF(circ_int,eq_c1/2,0))/2))+2*IF(circ_int,0,eq_c2/2)),-IF(circ_int,0,eq_c1/2)-(s_0+0*s_r+IF(circ_int,eq_c1/2,0)),IF(((45+0.5)*(4*IF(circ_int,0,eq_c1/2)+4*IF(circ_int,0,eq_c2/2)+2*PI()*(s_0+0*s_r+IF(circ_int,eq_c1/2,0)))/INDEX(lk_legs,1))&lt;((((((2*IF(circ_int,0,eq_c2/2))+(PI()*(s_0+0*s_r+IF(circ_int,eq_c1/2,0))/2))+2*IF(circ_int,0,eq_c1/2))+(PI()*(s_0+0*s_r+IF(circ_int,eq_c1/2,0))/2))+2*IF(circ_int,0,eq_c2/2))+(PI()*(s_0+0*s_r+IF(circ_int,eq_c1/2,0))/2)),-IF(circ_int,0,eq_c1/2)+(s_0+0*s_r+IF(circ_int,eq_c1/2,0))*COS(PI()+(((45+0.5)*(4*IF(circ_int,0,eq_c1/2)+4*IF(circ_int,0,eq_c2/2)+2*PI()*(s_0+0*s_r+IF(circ_int,eq_c1/2,0)))/INDEX(lk_legs,1))-(((((2*IF(circ_int,0,eq_c2/2))+(PI()*(s_0+0*s_r+IF(circ_int,eq_c1/2,0))/2))+2*IF(circ_int,0,eq_c1/2))+(PI()*(s_0+0*s_r+IF(circ_int,eq_c1/2,0))/2))+2*IF(circ_int,0,eq_c2/2)))/(s_0+0*s_r+IF(circ_int,eq_c1/2,0))),IF(((45+0.5)*(4*IF(circ_int,0,eq_c1/2)+4*IF(circ_int,0,eq_c2/2)+2*PI()*(s_0+0*s_r+IF(circ_int,eq_c1/2,0)))/INDEX(lk_legs,1))&lt;(((((((2*IF(circ_int,0,eq_c2/2))+(PI()*(s_0+0*s_r+IF(circ_int,eq_c1/2,0))/2))+2*IF(circ_int,0,eq_c1/2))+(PI()*(s_0+0*s_r+IF(circ_int,eq_c1/2,0))/2))+2*IF(circ_int,0,eq_c2/2))+(PI()*(s_0+0*s_r+IF(circ_int,eq_c1/2,0))/2))+2*IF(circ_int,0,eq_c1/2)),-IF(circ_int,0,eq_c1/2)+(((45+0.5)*(4*IF(circ_int,0,eq_c1/2)+4*IF(circ_int,0,eq_c2/2)+2*PI()*(s_0+0*s_r+IF(circ_int,eq_c1/2,0)))/INDEX(lk_legs,1))-((((((2*IF(circ_int,0,eq_c2/2))+(PI()*(s_0+0*s_r+IF(circ_int,eq_c1/2,0))/2))+2*IF(circ_int,0,eq_c1/2))+(PI()*(s_0+0*s_r+IF(circ_int,eq_c1/2,0))/2))+2*IF(circ_int,0,eq_c2/2))+(PI()*(s_0+0*s_r+IF(circ_int,eq_c1/2,0))/2))),IF(circ_int,0,eq_c1/2)+(s_0+0*s_r+IF(circ_int,eq_c1/2,0))*COS(3*PI()/2+(((45+0.5)*(4*IF(circ_int,0,eq_c1/2)+4*IF(circ_int,0,eq_c2/2)+2*PI()*(s_0+0*s_r+IF(circ_int,eq_c1/2,0)))/INDEX(lk_legs,1))-(((((((2*IF(circ_int,0,eq_c2/2))+(PI()*(s_0+0*s_r+IF(circ_int,eq_c1/2,0))/2))+2*IF(circ_int,0,eq_c1/2))+(PI()*(s_0+0*s_r+IF(circ_int,eq_c1/2,0))/2))+2*IF(circ_int,0,eq_c2/2))+(PI()*(s_0+0*s_r+IF(circ_int,eq_c1/2,0))/2))+2*IF(circ_int,0,eq_c1/2)))/(s_0+0*s_r+IF(circ_int,eq_c1/2,0)))))))))),NA())</f>
        <v/>
      </c>
      <c r="BA48">
        <f>IF(AND(AND(links_on,1&lt;=n_per),INDEX(lk_kind,1)=1,45&lt;INDEX(lk_legs,1)),g_oy+IF(((45+0.5)*(4*IF(circ_int,0,eq_c1/2)+4*IF(circ_int,0,eq_c2/2)+2*PI()*(s_0+0*s_r+IF(circ_int,eq_c1/2,0)))/INDEX(lk_legs,1))&lt;(2*IF(circ_int,0,eq_c2/2)),-IF(circ_int,0,eq_c2/2)+((45+0.5)*(4*IF(circ_int,0,eq_c1/2)+4*IF(circ_int,0,eq_c2/2)+2*PI()*(s_0+0*s_r+IF(circ_int,eq_c1/2,0)))/INDEX(lk_legs,1)),IF(((45+0.5)*(4*IF(circ_int,0,eq_c1/2)+4*IF(circ_int,0,eq_c2/2)+2*PI()*(s_0+0*s_r+IF(circ_int,eq_c1/2,0)))/INDEX(lk_legs,1))&lt;((2*IF(circ_int,0,eq_c2/2))+(PI()*(s_0+0*s_r+IF(circ_int,eq_c1/2,0))/2)),IF(circ_int,0,eq_c2/2)+(s_0+0*s_r+IF(circ_int,eq_c1/2,0))*SIN((((45+0.5)*(4*IF(circ_int,0,eq_c1/2)+4*IF(circ_int,0,eq_c2/2)+2*PI()*(s_0+0*s_r+IF(circ_int,eq_c1/2,0)))/INDEX(lk_legs,1))-(2*IF(circ_int,0,eq_c2/2)))/(s_0+0*s_r+IF(circ_int,eq_c1/2,0))),IF(((45+0.5)*(4*IF(circ_int,0,eq_c1/2)+4*IF(circ_int,0,eq_c2/2)+2*PI()*(s_0+0*s_r+IF(circ_int,eq_c1/2,0)))/INDEX(lk_legs,1))&lt;(((2*IF(circ_int,0,eq_c2/2))+(PI()*(s_0+0*s_r+IF(circ_int,eq_c1/2,0))/2))+2*IF(circ_int,0,eq_c1/2)),IF(circ_int,0,eq_c2/2)+(s_0+0*s_r+IF(circ_int,eq_c1/2,0)),IF(((45+0.5)*(4*IF(circ_int,0,eq_c1/2)+4*IF(circ_int,0,eq_c2/2)+2*PI()*(s_0+0*s_r+IF(circ_int,eq_c1/2,0)))/INDEX(lk_legs,1))&lt;((((2*IF(circ_int,0,eq_c2/2))+(PI()*(s_0+0*s_r+IF(circ_int,eq_c1/2,0))/2))+2*IF(circ_int,0,eq_c1/2))+(PI()*(s_0+0*s_r+IF(circ_int,eq_c1/2,0))/2)),IF(circ_int,0,eq_c2/2)+(s_0+0*s_r+IF(circ_int,eq_c1/2,0))*SIN(PI()/2+(((45+0.5)*(4*IF(circ_int,0,eq_c1/2)+4*IF(circ_int,0,eq_c2/2)+2*PI()*(s_0+0*s_r+IF(circ_int,eq_c1/2,0)))/INDEX(lk_legs,1))-(((2*IF(circ_int,0,eq_c2/2))+(PI()*(s_0+0*s_r+IF(circ_int,eq_c1/2,0))/2))+2*IF(circ_int,0,eq_c1/2)))/(s_0+0*s_r+IF(circ_int,eq_c1/2,0))),IF(((45+0.5)*(4*IF(circ_int,0,eq_c1/2)+4*IF(circ_int,0,eq_c2/2)+2*PI()*(s_0+0*s_r+IF(circ_int,eq_c1/2,0)))/INDEX(lk_legs,1))&lt;(((((2*IF(circ_int,0,eq_c2/2))+(PI()*(s_0+0*s_r+IF(circ_int,eq_c1/2,0))/2))+2*IF(circ_int,0,eq_c1/2))+(PI()*(s_0+0*s_r+IF(circ_int,eq_c1/2,0))/2))+2*IF(circ_int,0,eq_c2/2)),IF(circ_int,0,eq_c2/2)-(((45+0.5)*(4*IF(circ_int,0,eq_c1/2)+4*IF(circ_int,0,eq_c2/2)+2*PI()*(s_0+0*s_r+IF(circ_int,eq_c1/2,0)))/INDEX(lk_legs,1))-((((2*IF(circ_int,0,eq_c2/2))+(PI()*(s_0+0*s_r+IF(circ_int,eq_c1/2,0))/2))+2*IF(circ_int,0,eq_c1/2))+(PI()*(s_0+0*s_r+IF(circ_int,eq_c1/2,0))/2))),IF(((45+0.5)*(4*IF(circ_int,0,eq_c1/2)+4*IF(circ_int,0,eq_c2/2)+2*PI()*(s_0+0*s_r+IF(circ_int,eq_c1/2,0)))/INDEX(lk_legs,1))&lt;((((((2*IF(circ_int,0,eq_c2/2))+(PI()*(s_0+0*s_r+IF(circ_int,eq_c1/2,0))/2))+2*IF(circ_int,0,eq_c1/2))+(PI()*(s_0+0*s_r+IF(circ_int,eq_c1/2,0))/2))+2*IF(circ_int,0,eq_c2/2))+(PI()*(s_0+0*s_r+IF(circ_int,eq_c1/2,0))/2)),-IF(circ_int,0,eq_c2/2)+(s_0+0*s_r+IF(circ_int,eq_c1/2,0))*SIN(PI()+(((45+0.5)*(4*IF(circ_int,0,eq_c1/2)+4*IF(circ_int,0,eq_c2/2)+2*PI()*(s_0+0*s_r+IF(circ_int,eq_c1/2,0)))/INDEX(lk_legs,1))-(((((2*IF(circ_int,0,eq_c2/2))+(PI()*(s_0+0*s_r+IF(circ_int,eq_c1/2,0))/2))+2*IF(circ_int,0,eq_c1/2))+(PI()*(s_0+0*s_r+IF(circ_int,eq_c1/2,0))/2))+2*IF(circ_int,0,eq_c2/2)))/(s_0+0*s_r+IF(circ_int,eq_c1/2,0))),IF(((45+0.5)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(45+0.5)*(4*IF(circ_int,0,eq_c1/2)+4*IF(circ_int,0,eq_c2/2)+2*PI()*(s_0+0*s_r+IF(circ_int,eq_c1/2,0)))/INDEX(lk_legs,1))-(((((((2*IF(circ_int,0,eq_c2/2))+(PI()*(s_0+0*s_r+IF(circ_int,eq_c1/2,0))/2))+2*IF(circ_int,0,eq_c1/2))+(PI()*(s_0+0*s_r+IF(circ_int,eq_c1/2,0))/2))+2*IF(circ_int,0,eq_c2/2))+(PI()*(s_0+0*s_r+IF(circ_int,eq_c1/2,0))/2))+2*IF(circ_int,0,eq_c1/2)))/(s_0+0*s_r+IF(circ_int,eq_c1/2,0)))))))))),NA())</f>
        <v/>
      </c>
      <c r="BC48">
        <f>IF(AND(links_on,2&lt;=n_per),IF(circ_int,(g_ox)+(c_1/2+(s_0+1*s_r))*0.663123,CHOOSE(INDEX(lk_kind,2),(g_ox+eq_c1/2)+((s_0+1*s_r))*0.707107,0,eq_a1+eq_c1+(s_0+1*s_r),eq_a1+eq_c1+(s_0+1*s_r))),NA())</f>
        <v/>
      </c>
      <c r="BD48">
        <f>IF(AND(links_on,2&lt;=n_per),IF(circ_int,(g_oy)+(c_1/2+(s_0+1*s_r))*-0.748511,CHOOSE(INDEX(lk_kind,2),(g_oy-eq_c2/2)+((s_0+1*s_r))*-0.707107,g_oy-eq_c2/2-(s_0+1*s_r),0,0)),NA())</f>
        <v/>
      </c>
      <c r="BF48">
        <f>IF(AND(AND(links_on,2&lt;=n_per),INDEX(lk_kind,2)=1,45&lt;INDEX(lk_legs,2)),g_ox+IF(((45+0.5)*(4*IF(circ_int,0,eq_c1/2)+4*IF(circ_int,0,eq_c2/2)+2*PI()*(s_0+1*s_r+IF(circ_int,eq_c1/2,0)))/INDEX(lk_legs,2))&lt;(2*IF(circ_int,0,eq_c2/2)),IF(circ_int,0,eq_c1/2)+(s_0+1*s_r+IF(circ_int,eq_c1/2,0)),IF(((45+0.5)*(4*IF(circ_int,0,eq_c1/2)+4*IF(circ_int,0,eq_c2/2)+2*PI()*(s_0+1*s_r+IF(circ_int,eq_c1/2,0)))/INDEX(lk_legs,2))&lt;((2*IF(circ_int,0,eq_c2/2))+(PI()*(s_0+1*s_r+IF(circ_int,eq_c1/2,0))/2)),IF(circ_int,0,eq_c1/2)+(s_0+1*s_r+IF(circ_int,eq_c1/2,0))*COS((((45+0.5)*(4*IF(circ_int,0,eq_c1/2)+4*IF(circ_int,0,eq_c2/2)+2*PI()*(s_0+1*s_r+IF(circ_int,eq_c1/2,0)))/INDEX(lk_legs,2))-(2*IF(circ_int,0,eq_c2/2)))/(s_0+1*s_r+IF(circ_int,eq_c1/2,0))),IF(((45+0.5)*(4*IF(circ_int,0,eq_c1/2)+4*IF(circ_int,0,eq_c2/2)+2*PI()*(s_0+1*s_r+IF(circ_int,eq_c1/2,0)))/INDEX(lk_legs,2))&lt;(((2*IF(circ_int,0,eq_c2/2))+(PI()*(s_0+1*s_r+IF(circ_int,eq_c1/2,0))/2))+2*IF(circ_int,0,eq_c1/2)),IF(circ_int,0,eq_c1/2)-(((45+0.5)*(4*IF(circ_int,0,eq_c1/2)+4*IF(circ_int,0,eq_c2/2)+2*PI()*(s_0+1*s_r+IF(circ_int,eq_c1/2,0)))/INDEX(lk_legs,2))-((2*IF(circ_int,0,eq_c2/2))+(PI()*(s_0+1*s_r+IF(circ_int,eq_c1/2,0))/2))),IF(((45+0.5)*(4*IF(circ_int,0,eq_c1/2)+4*IF(circ_int,0,eq_c2/2)+2*PI()*(s_0+1*s_r+IF(circ_int,eq_c1/2,0)))/INDEX(lk_legs,2))&lt;((((2*IF(circ_int,0,eq_c2/2))+(PI()*(s_0+1*s_r+IF(circ_int,eq_c1/2,0))/2))+2*IF(circ_int,0,eq_c1/2))+(PI()*(s_0+1*s_r+IF(circ_int,eq_c1/2,0))/2)),-IF(circ_int,0,eq_c1/2)+(s_0+1*s_r+IF(circ_int,eq_c1/2,0))*COS(PI()/2+(((45+0.5)*(4*IF(circ_int,0,eq_c1/2)+4*IF(circ_int,0,eq_c2/2)+2*PI()*(s_0+1*s_r+IF(circ_int,eq_c1/2,0)))/INDEX(lk_legs,2))-(((2*IF(circ_int,0,eq_c2/2))+(PI()*(s_0+1*s_r+IF(circ_int,eq_c1/2,0))/2))+2*IF(circ_int,0,eq_c1/2)))/(s_0+1*s_r+IF(circ_int,eq_c1/2,0))),IF(((45+0.5)*(4*IF(circ_int,0,eq_c1/2)+4*IF(circ_int,0,eq_c2/2)+2*PI()*(s_0+1*s_r+IF(circ_int,eq_c1/2,0)))/INDEX(lk_legs,2))&lt;(((((2*IF(circ_int,0,eq_c2/2))+(PI()*(s_0+1*s_r+IF(circ_int,eq_c1/2,0))/2))+2*IF(circ_int,0,eq_c1/2))+(PI()*(s_0+1*s_r+IF(circ_int,eq_c1/2,0))/2))+2*IF(circ_int,0,eq_c2/2)),-IF(circ_int,0,eq_c1/2)-(s_0+1*s_r+IF(circ_int,eq_c1/2,0)),IF(((45+0.5)*(4*IF(circ_int,0,eq_c1/2)+4*IF(circ_int,0,eq_c2/2)+2*PI()*(s_0+1*s_r+IF(circ_int,eq_c1/2,0)))/INDEX(lk_legs,2))&lt;((((((2*IF(circ_int,0,eq_c2/2))+(PI()*(s_0+1*s_r+IF(circ_int,eq_c1/2,0))/2))+2*IF(circ_int,0,eq_c1/2))+(PI()*(s_0+1*s_r+IF(circ_int,eq_c1/2,0))/2))+2*IF(circ_int,0,eq_c2/2))+(PI()*(s_0+1*s_r+IF(circ_int,eq_c1/2,0))/2)),-IF(circ_int,0,eq_c1/2)+(s_0+1*s_r+IF(circ_int,eq_c1/2,0))*COS(PI()+(((45+0.5)*(4*IF(circ_int,0,eq_c1/2)+4*IF(circ_int,0,eq_c2/2)+2*PI()*(s_0+1*s_r+IF(circ_int,eq_c1/2,0)))/INDEX(lk_legs,2))-(((((2*IF(circ_int,0,eq_c2/2))+(PI()*(s_0+1*s_r+IF(circ_int,eq_c1/2,0))/2))+2*IF(circ_int,0,eq_c1/2))+(PI()*(s_0+1*s_r+IF(circ_int,eq_c1/2,0))/2))+2*IF(circ_int,0,eq_c2/2)))/(s_0+1*s_r+IF(circ_int,eq_c1/2,0))),IF(((45+0.5)*(4*IF(circ_int,0,eq_c1/2)+4*IF(circ_int,0,eq_c2/2)+2*PI()*(s_0+1*s_r+IF(circ_int,eq_c1/2,0)))/INDEX(lk_legs,2))&lt;(((((((2*IF(circ_int,0,eq_c2/2))+(PI()*(s_0+1*s_r+IF(circ_int,eq_c1/2,0))/2))+2*IF(circ_int,0,eq_c1/2))+(PI()*(s_0+1*s_r+IF(circ_int,eq_c1/2,0))/2))+2*IF(circ_int,0,eq_c2/2))+(PI()*(s_0+1*s_r+IF(circ_int,eq_c1/2,0))/2))+2*IF(circ_int,0,eq_c1/2)),-IF(circ_int,0,eq_c1/2)+(((45+0.5)*(4*IF(circ_int,0,eq_c1/2)+4*IF(circ_int,0,eq_c2/2)+2*PI()*(s_0+1*s_r+IF(circ_int,eq_c1/2,0)))/INDEX(lk_legs,2))-((((((2*IF(circ_int,0,eq_c2/2))+(PI()*(s_0+1*s_r+IF(circ_int,eq_c1/2,0))/2))+2*IF(circ_int,0,eq_c1/2))+(PI()*(s_0+1*s_r+IF(circ_int,eq_c1/2,0))/2))+2*IF(circ_int,0,eq_c2/2))+(PI()*(s_0+1*s_r+IF(circ_int,eq_c1/2,0))/2))),IF(circ_int,0,eq_c1/2)+(s_0+1*s_r+IF(circ_int,eq_c1/2,0))*COS(3*PI()/2+(((45+0.5)*(4*IF(circ_int,0,eq_c1/2)+4*IF(circ_int,0,eq_c2/2)+2*PI()*(s_0+1*s_r+IF(circ_int,eq_c1/2,0)))/INDEX(lk_legs,2))-(((((((2*IF(circ_int,0,eq_c2/2))+(PI()*(s_0+1*s_r+IF(circ_int,eq_c1/2,0))/2))+2*IF(circ_int,0,eq_c1/2))+(PI()*(s_0+1*s_r+IF(circ_int,eq_c1/2,0))/2))+2*IF(circ_int,0,eq_c2/2))+(PI()*(s_0+1*s_r+IF(circ_int,eq_c1/2,0))/2))+2*IF(circ_int,0,eq_c1/2)))/(s_0+1*s_r+IF(circ_int,eq_c1/2,0)))))))))),NA())</f>
        <v/>
      </c>
      <c r="BG48">
        <f>IF(AND(AND(links_on,2&lt;=n_per),INDEX(lk_kind,2)=1,45&lt;INDEX(lk_legs,2)),g_oy+IF(((45+0.5)*(4*IF(circ_int,0,eq_c1/2)+4*IF(circ_int,0,eq_c2/2)+2*PI()*(s_0+1*s_r+IF(circ_int,eq_c1/2,0)))/INDEX(lk_legs,2))&lt;(2*IF(circ_int,0,eq_c2/2)),-IF(circ_int,0,eq_c2/2)+((45+0.5)*(4*IF(circ_int,0,eq_c1/2)+4*IF(circ_int,0,eq_c2/2)+2*PI()*(s_0+1*s_r+IF(circ_int,eq_c1/2,0)))/INDEX(lk_legs,2)),IF(((45+0.5)*(4*IF(circ_int,0,eq_c1/2)+4*IF(circ_int,0,eq_c2/2)+2*PI()*(s_0+1*s_r+IF(circ_int,eq_c1/2,0)))/INDEX(lk_legs,2))&lt;((2*IF(circ_int,0,eq_c2/2))+(PI()*(s_0+1*s_r+IF(circ_int,eq_c1/2,0))/2)),IF(circ_int,0,eq_c2/2)+(s_0+1*s_r+IF(circ_int,eq_c1/2,0))*SIN((((45+0.5)*(4*IF(circ_int,0,eq_c1/2)+4*IF(circ_int,0,eq_c2/2)+2*PI()*(s_0+1*s_r+IF(circ_int,eq_c1/2,0)))/INDEX(lk_legs,2))-(2*IF(circ_int,0,eq_c2/2)))/(s_0+1*s_r+IF(circ_int,eq_c1/2,0))),IF(((45+0.5)*(4*IF(circ_int,0,eq_c1/2)+4*IF(circ_int,0,eq_c2/2)+2*PI()*(s_0+1*s_r+IF(circ_int,eq_c1/2,0)))/INDEX(lk_legs,2))&lt;(((2*IF(circ_int,0,eq_c2/2))+(PI()*(s_0+1*s_r+IF(circ_int,eq_c1/2,0))/2))+2*IF(circ_int,0,eq_c1/2)),IF(circ_int,0,eq_c2/2)+(s_0+1*s_r+IF(circ_int,eq_c1/2,0)),IF(((45+0.5)*(4*IF(circ_int,0,eq_c1/2)+4*IF(circ_int,0,eq_c2/2)+2*PI()*(s_0+1*s_r+IF(circ_int,eq_c1/2,0)))/INDEX(lk_legs,2))&lt;((((2*IF(circ_int,0,eq_c2/2))+(PI()*(s_0+1*s_r+IF(circ_int,eq_c1/2,0))/2))+2*IF(circ_int,0,eq_c1/2))+(PI()*(s_0+1*s_r+IF(circ_int,eq_c1/2,0))/2)),IF(circ_int,0,eq_c2/2)+(s_0+1*s_r+IF(circ_int,eq_c1/2,0))*SIN(PI()/2+(((45+0.5)*(4*IF(circ_int,0,eq_c1/2)+4*IF(circ_int,0,eq_c2/2)+2*PI()*(s_0+1*s_r+IF(circ_int,eq_c1/2,0)))/INDEX(lk_legs,2))-(((2*IF(circ_int,0,eq_c2/2))+(PI()*(s_0+1*s_r+IF(circ_int,eq_c1/2,0))/2))+2*IF(circ_int,0,eq_c1/2)))/(s_0+1*s_r+IF(circ_int,eq_c1/2,0))),IF(((45+0.5)*(4*IF(circ_int,0,eq_c1/2)+4*IF(circ_int,0,eq_c2/2)+2*PI()*(s_0+1*s_r+IF(circ_int,eq_c1/2,0)))/INDEX(lk_legs,2))&lt;(((((2*IF(circ_int,0,eq_c2/2))+(PI()*(s_0+1*s_r+IF(circ_int,eq_c1/2,0))/2))+2*IF(circ_int,0,eq_c1/2))+(PI()*(s_0+1*s_r+IF(circ_int,eq_c1/2,0))/2))+2*IF(circ_int,0,eq_c2/2)),IF(circ_int,0,eq_c2/2)-(((45+0.5)*(4*IF(circ_int,0,eq_c1/2)+4*IF(circ_int,0,eq_c2/2)+2*PI()*(s_0+1*s_r+IF(circ_int,eq_c1/2,0)))/INDEX(lk_legs,2))-((((2*IF(circ_int,0,eq_c2/2))+(PI()*(s_0+1*s_r+IF(circ_int,eq_c1/2,0))/2))+2*IF(circ_int,0,eq_c1/2))+(PI()*(s_0+1*s_r+IF(circ_int,eq_c1/2,0))/2))),IF(((45+0.5)*(4*IF(circ_int,0,eq_c1/2)+4*IF(circ_int,0,eq_c2/2)+2*PI()*(s_0+1*s_r+IF(circ_int,eq_c1/2,0)))/INDEX(lk_legs,2))&lt;((((((2*IF(circ_int,0,eq_c2/2))+(PI()*(s_0+1*s_r+IF(circ_int,eq_c1/2,0))/2))+2*IF(circ_int,0,eq_c1/2))+(PI()*(s_0+1*s_r+IF(circ_int,eq_c1/2,0))/2))+2*IF(circ_int,0,eq_c2/2))+(PI()*(s_0+1*s_r+IF(circ_int,eq_c1/2,0))/2)),-IF(circ_int,0,eq_c2/2)+(s_0+1*s_r+IF(circ_int,eq_c1/2,0))*SIN(PI()+(((45+0.5)*(4*IF(circ_int,0,eq_c1/2)+4*IF(circ_int,0,eq_c2/2)+2*PI()*(s_0+1*s_r+IF(circ_int,eq_c1/2,0)))/INDEX(lk_legs,2))-(((((2*IF(circ_int,0,eq_c2/2))+(PI()*(s_0+1*s_r+IF(circ_int,eq_c1/2,0))/2))+2*IF(circ_int,0,eq_c1/2))+(PI()*(s_0+1*s_r+IF(circ_int,eq_c1/2,0))/2))+2*IF(circ_int,0,eq_c2/2)))/(s_0+1*s_r+IF(circ_int,eq_c1/2,0))),IF(((45+0.5)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(45+0.5)*(4*IF(circ_int,0,eq_c1/2)+4*IF(circ_int,0,eq_c2/2)+2*PI()*(s_0+1*s_r+IF(circ_int,eq_c1/2,0)))/INDEX(lk_legs,2))-(((((((2*IF(circ_int,0,eq_c2/2))+(PI()*(s_0+1*s_r+IF(circ_int,eq_c1/2,0))/2))+2*IF(circ_int,0,eq_c1/2))+(PI()*(s_0+1*s_r+IF(circ_int,eq_c1/2,0))/2))+2*IF(circ_int,0,eq_c2/2))+(PI()*(s_0+1*s_r+IF(circ_int,eq_c1/2,0))/2))+2*IF(circ_int,0,eq_c1/2)))/(s_0+1*s_r+IF(circ_int,eq_c1/2,0)))))))))),NA())</f>
        <v/>
      </c>
      <c r="BI48">
        <f>IF(AND(links_on,3&lt;=n_per),IF(circ_int,(g_ox)+(c_1/2+(s_0+2*s_r))*0.663123,CHOOSE(INDEX(lk_kind,3),(g_ox+eq_c1/2)+((s_0+2*s_r))*0.707107,0,eq_a1+eq_c1+(s_0+2*s_r),eq_a1+eq_c1+(s_0+2*s_r))),NA())</f>
        <v/>
      </c>
      <c r="BJ48">
        <f>IF(AND(links_on,3&lt;=n_per),IF(circ_int,(g_oy)+(c_1/2+(s_0+2*s_r))*-0.748511,CHOOSE(INDEX(lk_kind,3),(g_oy-eq_c2/2)+((s_0+2*s_r))*-0.707107,g_oy-eq_c2/2-(s_0+2*s_r),0,0)),NA())</f>
        <v/>
      </c>
      <c r="BL48">
        <f>IF(AND(AND(links_on,3&lt;=n_per),INDEX(lk_kind,3)=1,45&lt;INDEX(lk_legs,3)),g_ox+IF(((45+0.5)*(4*IF(circ_int,0,eq_c1/2)+4*IF(circ_int,0,eq_c2/2)+2*PI()*(s_0+2*s_r+IF(circ_int,eq_c1/2,0)))/INDEX(lk_legs,3))&lt;(2*IF(circ_int,0,eq_c2/2)),IF(circ_int,0,eq_c1/2)+(s_0+2*s_r+IF(circ_int,eq_c1/2,0)),IF(((45+0.5)*(4*IF(circ_int,0,eq_c1/2)+4*IF(circ_int,0,eq_c2/2)+2*PI()*(s_0+2*s_r+IF(circ_int,eq_c1/2,0)))/INDEX(lk_legs,3))&lt;((2*IF(circ_int,0,eq_c2/2))+(PI()*(s_0+2*s_r+IF(circ_int,eq_c1/2,0))/2)),IF(circ_int,0,eq_c1/2)+(s_0+2*s_r+IF(circ_int,eq_c1/2,0))*COS((((45+0.5)*(4*IF(circ_int,0,eq_c1/2)+4*IF(circ_int,0,eq_c2/2)+2*PI()*(s_0+2*s_r+IF(circ_int,eq_c1/2,0)))/INDEX(lk_legs,3))-(2*IF(circ_int,0,eq_c2/2)))/(s_0+2*s_r+IF(circ_int,eq_c1/2,0))),IF(((45+0.5)*(4*IF(circ_int,0,eq_c1/2)+4*IF(circ_int,0,eq_c2/2)+2*PI()*(s_0+2*s_r+IF(circ_int,eq_c1/2,0)))/INDEX(lk_legs,3))&lt;(((2*IF(circ_int,0,eq_c2/2))+(PI()*(s_0+2*s_r+IF(circ_int,eq_c1/2,0))/2))+2*IF(circ_int,0,eq_c1/2)),IF(circ_int,0,eq_c1/2)-(((45+0.5)*(4*IF(circ_int,0,eq_c1/2)+4*IF(circ_int,0,eq_c2/2)+2*PI()*(s_0+2*s_r+IF(circ_int,eq_c1/2,0)))/INDEX(lk_legs,3))-((2*IF(circ_int,0,eq_c2/2))+(PI()*(s_0+2*s_r+IF(circ_int,eq_c1/2,0))/2))),IF(((45+0.5)*(4*IF(circ_int,0,eq_c1/2)+4*IF(circ_int,0,eq_c2/2)+2*PI()*(s_0+2*s_r+IF(circ_int,eq_c1/2,0)))/INDEX(lk_legs,3))&lt;((((2*IF(circ_int,0,eq_c2/2))+(PI()*(s_0+2*s_r+IF(circ_int,eq_c1/2,0))/2))+2*IF(circ_int,0,eq_c1/2))+(PI()*(s_0+2*s_r+IF(circ_int,eq_c1/2,0))/2)),-IF(circ_int,0,eq_c1/2)+(s_0+2*s_r+IF(circ_int,eq_c1/2,0))*COS(PI()/2+(((45+0.5)*(4*IF(circ_int,0,eq_c1/2)+4*IF(circ_int,0,eq_c2/2)+2*PI()*(s_0+2*s_r+IF(circ_int,eq_c1/2,0)))/INDEX(lk_legs,3))-(((2*IF(circ_int,0,eq_c2/2))+(PI()*(s_0+2*s_r+IF(circ_int,eq_c1/2,0))/2))+2*IF(circ_int,0,eq_c1/2)))/(s_0+2*s_r+IF(circ_int,eq_c1/2,0))),IF(((45+0.5)*(4*IF(circ_int,0,eq_c1/2)+4*IF(circ_int,0,eq_c2/2)+2*PI()*(s_0+2*s_r+IF(circ_int,eq_c1/2,0)))/INDEX(lk_legs,3))&lt;(((((2*IF(circ_int,0,eq_c2/2))+(PI()*(s_0+2*s_r+IF(circ_int,eq_c1/2,0))/2))+2*IF(circ_int,0,eq_c1/2))+(PI()*(s_0+2*s_r+IF(circ_int,eq_c1/2,0))/2))+2*IF(circ_int,0,eq_c2/2)),-IF(circ_int,0,eq_c1/2)-(s_0+2*s_r+IF(circ_int,eq_c1/2,0)),IF(((45+0.5)*(4*IF(circ_int,0,eq_c1/2)+4*IF(circ_int,0,eq_c2/2)+2*PI()*(s_0+2*s_r+IF(circ_int,eq_c1/2,0)))/INDEX(lk_legs,3))&lt;((((((2*IF(circ_int,0,eq_c2/2))+(PI()*(s_0+2*s_r+IF(circ_int,eq_c1/2,0))/2))+2*IF(circ_int,0,eq_c1/2))+(PI()*(s_0+2*s_r+IF(circ_int,eq_c1/2,0))/2))+2*IF(circ_int,0,eq_c2/2))+(PI()*(s_0+2*s_r+IF(circ_int,eq_c1/2,0))/2)),-IF(circ_int,0,eq_c1/2)+(s_0+2*s_r+IF(circ_int,eq_c1/2,0))*COS(PI()+(((45+0.5)*(4*IF(circ_int,0,eq_c1/2)+4*IF(circ_int,0,eq_c2/2)+2*PI()*(s_0+2*s_r+IF(circ_int,eq_c1/2,0)))/INDEX(lk_legs,3))-(((((2*IF(circ_int,0,eq_c2/2))+(PI()*(s_0+2*s_r+IF(circ_int,eq_c1/2,0))/2))+2*IF(circ_int,0,eq_c1/2))+(PI()*(s_0+2*s_r+IF(circ_int,eq_c1/2,0))/2))+2*IF(circ_int,0,eq_c2/2)))/(s_0+2*s_r+IF(circ_int,eq_c1/2,0))),IF(((45+0.5)*(4*IF(circ_int,0,eq_c1/2)+4*IF(circ_int,0,eq_c2/2)+2*PI()*(s_0+2*s_r+IF(circ_int,eq_c1/2,0)))/INDEX(lk_legs,3))&lt;(((((((2*IF(circ_int,0,eq_c2/2))+(PI()*(s_0+2*s_r+IF(circ_int,eq_c1/2,0))/2))+2*IF(circ_int,0,eq_c1/2))+(PI()*(s_0+2*s_r+IF(circ_int,eq_c1/2,0))/2))+2*IF(circ_int,0,eq_c2/2))+(PI()*(s_0+2*s_r+IF(circ_int,eq_c1/2,0))/2))+2*IF(circ_int,0,eq_c1/2)),-IF(circ_int,0,eq_c1/2)+(((45+0.5)*(4*IF(circ_int,0,eq_c1/2)+4*IF(circ_int,0,eq_c2/2)+2*PI()*(s_0+2*s_r+IF(circ_int,eq_c1/2,0)))/INDEX(lk_legs,3))-((((((2*IF(circ_int,0,eq_c2/2))+(PI()*(s_0+2*s_r+IF(circ_int,eq_c1/2,0))/2))+2*IF(circ_int,0,eq_c1/2))+(PI()*(s_0+2*s_r+IF(circ_int,eq_c1/2,0))/2))+2*IF(circ_int,0,eq_c2/2))+(PI()*(s_0+2*s_r+IF(circ_int,eq_c1/2,0))/2))),IF(circ_int,0,eq_c1/2)+(s_0+2*s_r+IF(circ_int,eq_c1/2,0))*COS(3*PI()/2+(((45+0.5)*(4*IF(circ_int,0,eq_c1/2)+4*IF(circ_int,0,eq_c2/2)+2*PI()*(s_0+2*s_r+IF(circ_int,eq_c1/2,0)))/INDEX(lk_legs,3))-(((((((2*IF(circ_int,0,eq_c2/2))+(PI()*(s_0+2*s_r+IF(circ_int,eq_c1/2,0))/2))+2*IF(circ_int,0,eq_c1/2))+(PI()*(s_0+2*s_r+IF(circ_int,eq_c1/2,0))/2))+2*IF(circ_int,0,eq_c2/2))+(PI()*(s_0+2*s_r+IF(circ_int,eq_c1/2,0))/2))+2*IF(circ_int,0,eq_c1/2)))/(s_0+2*s_r+IF(circ_int,eq_c1/2,0)))))))))),NA())</f>
        <v/>
      </c>
      <c r="BM48">
        <f>IF(AND(AND(links_on,3&lt;=n_per),INDEX(lk_kind,3)=1,45&lt;INDEX(lk_legs,3)),g_oy+IF(((45+0.5)*(4*IF(circ_int,0,eq_c1/2)+4*IF(circ_int,0,eq_c2/2)+2*PI()*(s_0+2*s_r+IF(circ_int,eq_c1/2,0)))/INDEX(lk_legs,3))&lt;(2*IF(circ_int,0,eq_c2/2)),-IF(circ_int,0,eq_c2/2)+((45+0.5)*(4*IF(circ_int,0,eq_c1/2)+4*IF(circ_int,0,eq_c2/2)+2*PI()*(s_0+2*s_r+IF(circ_int,eq_c1/2,0)))/INDEX(lk_legs,3)),IF(((45+0.5)*(4*IF(circ_int,0,eq_c1/2)+4*IF(circ_int,0,eq_c2/2)+2*PI()*(s_0+2*s_r+IF(circ_int,eq_c1/2,0)))/INDEX(lk_legs,3))&lt;((2*IF(circ_int,0,eq_c2/2))+(PI()*(s_0+2*s_r+IF(circ_int,eq_c1/2,0))/2)),IF(circ_int,0,eq_c2/2)+(s_0+2*s_r+IF(circ_int,eq_c1/2,0))*SIN((((45+0.5)*(4*IF(circ_int,0,eq_c1/2)+4*IF(circ_int,0,eq_c2/2)+2*PI()*(s_0+2*s_r+IF(circ_int,eq_c1/2,0)))/INDEX(lk_legs,3))-(2*IF(circ_int,0,eq_c2/2)))/(s_0+2*s_r+IF(circ_int,eq_c1/2,0))),IF(((45+0.5)*(4*IF(circ_int,0,eq_c1/2)+4*IF(circ_int,0,eq_c2/2)+2*PI()*(s_0+2*s_r+IF(circ_int,eq_c1/2,0)))/INDEX(lk_legs,3))&lt;(((2*IF(circ_int,0,eq_c2/2))+(PI()*(s_0+2*s_r+IF(circ_int,eq_c1/2,0))/2))+2*IF(circ_int,0,eq_c1/2)),IF(circ_int,0,eq_c2/2)+(s_0+2*s_r+IF(circ_int,eq_c1/2,0)),IF(((45+0.5)*(4*IF(circ_int,0,eq_c1/2)+4*IF(circ_int,0,eq_c2/2)+2*PI()*(s_0+2*s_r+IF(circ_int,eq_c1/2,0)))/INDEX(lk_legs,3))&lt;((((2*IF(circ_int,0,eq_c2/2))+(PI()*(s_0+2*s_r+IF(circ_int,eq_c1/2,0))/2))+2*IF(circ_int,0,eq_c1/2))+(PI()*(s_0+2*s_r+IF(circ_int,eq_c1/2,0))/2)),IF(circ_int,0,eq_c2/2)+(s_0+2*s_r+IF(circ_int,eq_c1/2,0))*SIN(PI()/2+(((45+0.5)*(4*IF(circ_int,0,eq_c1/2)+4*IF(circ_int,0,eq_c2/2)+2*PI()*(s_0+2*s_r+IF(circ_int,eq_c1/2,0)))/INDEX(lk_legs,3))-(((2*IF(circ_int,0,eq_c2/2))+(PI()*(s_0+2*s_r+IF(circ_int,eq_c1/2,0))/2))+2*IF(circ_int,0,eq_c1/2)))/(s_0+2*s_r+IF(circ_int,eq_c1/2,0))),IF(((45+0.5)*(4*IF(circ_int,0,eq_c1/2)+4*IF(circ_int,0,eq_c2/2)+2*PI()*(s_0+2*s_r+IF(circ_int,eq_c1/2,0)))/INDEX(lk_legs,3))&lt;(((((2*IF(circ_int,0,eq_c2/2))+(PI()*(s_0+2*s_r+IF(circ_int,eq_c1/2,0))/2))+2*IF(circ_int,0,eq_c1/2))+(PI()*(s_0+2*s_r+IF(circ_int,eq_c1/2,0))/2))+2*IF(circ_int,0,eq_c2/2)),IF(circ_int,0,eq_c2/2)-(((45+0.5)*(4*IF(circ_int,0,eq_c1/2)+4*IF(circ_int,0,eq_c2/2)+2*PI()*(s_0+2*s_r+IF(circ_int,eq_c1/2,0)))/INDEX(lk_legs,3))-((((2*IF(circ_int,0,eq_c2/2))+(PI()*(s_0+2*s_r+IF(circ_int,eq_c1/2,0))/2))+2*IF(circ_int,0,eq_c1/2))+(PI()*(s_0+2*s_r+IF(circ_int,eq_c1/2,0))/2))),IF(((45+0.5)*(4*IF(circ_int,0,eq_c1/2)+4*IF(circ_int,0,eq_c2/2)+2*PI()*(s_0+2*s_r+IF(circ_int,eq_c1/2,0)))/INDEX(lk_legs,3))&lt;((((((2*IF(circ_int,0,eq_c2/2))+(PI()*(s_0+2*s_r+IF(circ_int,eq_c1/2,0))/2))+2*IF(circ_int,0,eq_c1/2))+(PI()*(s_0+2*s_r+IF(circ_int,eq_c1/2,0))/2))+2*IF(circ_int,0,eq_c2/2))+(PI()*(s_0+2*s_r+IF(circ_int,eq_c1/2,0))/2)),-IF(circ_int,0,eq_c2/2)+(s_0+2*s_r+IF(circ_int,eq_c1/2,0))*SIN(PI()+(((45+0.5)*(4*IF(circ_int,0,eq_c1/2)+4*IF(circ_int,0,eq_c2/2)+2*PI()*(s_0+2*s_r+IF(circ_int,eq_c1/2,0)))/INDEX(lk_legs,3))-(((((2*IF(circ_int,0,eq_c2/2))+(PI()*(s_0+2*s_r+IF(circ_int,eq_c1/2,0))/2))+2*IF(circ_int,0,eq_c1/2))+(PI()*(s_0+2*s_r+IF(circ_int,eq_c1/2,0))/2))+2*IF(circ_int,0,eq_c2/2)))/(s_0+2*s_r+IF(circ_int,eq_c1/2,0))),IF(((45+0.5)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(45+0.5)*(4*IF(circ_int,0,eq_c1/2)+4*IF(circ_int,0,eq_c2/2)+2*PI()*(s_0+2*s_r+IF(circ_int,eq_c1/2,0)))/INDEX(lk_legs,3))-(((((((2*IF(circ_int,0,eq_c2/2))+(PI()*(s_0+2*s_r+IF(circ_int,eq_c1/2,0))/2))+2*IF(circ_int,0,eq_c1/2))+(PI()*(s_0+2*s_r+IF(circ_int,eq_c1/2,0))/2))+2*IF(circ_int,0,eq_c2/2))+(PI()*(s_0+2*s_r+IF(circ_int,eq_c1/2,0))/2))+2*IF(circ_int,0,eq_c1/2)))/(s_0+2*s_r+IF(circ_int,eq_c1/2,0)))))))))),NA())</f>
        <v/>
      </c>
      <c r="BO48">
        <f>IF(AND(links_on,4&lt;=n_per),IF(circ_int,(g_ox)+(c_1/2+(s_0+3*s_r))*0.663123,CHOOSE(INDEX(lk_kind,4),(g_ox+eq_c1/2)+((s_0+3*s_r))*0.707107,0,eq_a1+eq_c1+(s_0+3*s_r),eq_a1+eq_c1+(s_0+3*s_r))),NA())</f>
        <v/>
      </c>
      <c r="BP48">
        <f>IF(AND(links_on,4&lt;=n_per),IF(circ_int,(g_oy)+(c_1/2+(s_0+3*s_r))*-0.748511,CHOOSE(INDEX(lk_kind,4),(g_oy-eq_c2/2)+((s_0+3*s_r))*-0.707107,g_oy-eq_c2/2-(s_0+3*s_r),0,0)),NA())</f>
        <v/>
      </c>
      <c r="BR48">
        <f>IF(AND(AND(links_on,4&lt;=n_per),INDEX(lk_kind,4)=1,45&lt;INDEX(lk_legs,4)),g_ox+IF(((45+0.5)*(4*IF(circ_int,0,eq_c1/2)+4*IF(circ_int,0,eq_c2/2)+2*PI()*(s_0+3*s_r+IF(circ_int,eq_c1/2,0)))/INDEX(lk_legs,4))&lt;(2*IF(circ_int,0,eq_c2/2)),IF(circ_int,0,eq_c1/2)+(s_0+3*s_r+IF(circ_int,eq_c1/2,0)),IF(((45+0.5)*(4*IF(circ_int,0,eq_c1/2)+4*IF(circ_int,0,eq_c2/2)+2*PI()*(s_0+3*s_r+IF(circ_int,eq_c1/2,0)))/INDEX(lk_legs,4))&lt;((2*IF(circ_int,0,eq_c2/2))+(PI()*(s_0+3*s_r+IF(circ_int,eq_c1/2,0))/2)),IF(circ_int,0,eq_c1/2)+(s_0+3*s_r+IF(circ_int,eq_c1/2,0))*COS((((45+0.5)*(4*IF(circ_int,0,eq_c1/2)+4*IF(circ_int,0,eq_c2/2)+2*PI()*(s_0+3*s_r+IF(circ_int,eq_c1/2,0)))/INDEX(lk_legs,4))-(2*IF(circ_int,0,eq_c2/2)))/(s_0+3*s_r+IF(circ_int,eq_c1/2,0))),IF(((45+0.5)*(4*IF(circ_int,0,eq_c1/2)+4*IF(circ_int,0,eq_c2/2)+2*PI()*(s_0+3*s_r+IF(circ_int,eq_c1/2,0)))/INDEX(lk_legs,4))&lt;(((2*IF(circ_int,0,eq_c2/2))+(PI()*(s_0+3*s_r+IF(circ_int,eq_c1/2,0))/2))+2*IF(circ_int,0,eq_c1/2)),IF(circ_int,0,eq_c1/2)-(((45+0.5)*(4*IF(circ_int,0,eq_c1/2)+4*IF(circ_int,0,eq_c2/2)+2*PI()*(s_0+3*s_r+IF(circ_int,eq_c1/2,0)))/INDEX(lk_legs,4))-((2*IF(circ_int,0,eq_c2/2))+(PI()*(s_0+3*s_r+IF(circ_int,eq_c1/2,0))/2))),IF(((45+0.5)*(4*IF(circ_int,0,eq_c1/2)+4*IF(circ_int,0,eq_c2/2)+2*PI()*(s_0+3*s_r+IF(circ_int,eq_c1/2,0)))/INDEX(lk_legs,4))&lt;((((2*IF(circ_int,0,eq_c2/2))+(PI()*(s_0+3*s_r+IF(circ_int,eq_c1/2,0))/2))+2*IF(circ_int,0,eq_c1/2))+(PI()*(s_0+3*s_r+IF(circ_int,eq_c1/2,0))/2)),-IF(circ_int,0,eq_c1/2)+(s_0+3*s_r+IF(circ_int,eq_c1/2,0))*COS(PI()/2+(((45+0.5)*(4*IF(circ_int,0,eq_c1/2)+4*IF(circ_int,0,eq_c2/2)+2*PI()*(s_0+3*s_r+IF(circ_int,eq_c1/2,0)))/INDEX(lk_legs,4))-(((2*IF(circ_int,0,eq_c2/2))+(PI()*(s_0+3*s_r+IF(circ_int,eq_c1/2,0))/2))+2*IF(circ_int,0,eq_c1/2)))/(s_0+3*s_r+IF(circ_int,eq_c1/2,0))),IF(((45+0.5)*(4*IF(circ_int,0,eq_c1/2)+4*IF(circ_int,0,eq_c2/2)+2*PI()*(s_0+3*s_r+IF(circ_int,eq_c1/2,0)))/INDEX(lk_legs,4))&lt;(((((2*IF(circ_int,0,eq_c2/2))+(PI()*(s_0+3*s_r+IF(circ_int,eq_c1/2,0))/2))+2*IF(circ_int,0,eq_c1/2))+(PI()*(s_0+3*s_r+IF(circ_int,eq_c1/2,0))/2))+2*IF(circ_int,0,eq_c2/2)),-IF(circ_int,0,eq_c1/2)-(s_0+3*s_r+IF(circ_int,eq_c1/2,0)),IF(((45+0.5)*(4*IF(circ_int,0,eq_c1/2)+4*IF(circ_int,0,eq_c2/2)+2*PI()*(s_0+3*s_r+IF(circ_int,eq_c1/2,0)))/INDEX(lk_legs,4))&lt;((((((2*IF(circ_int,0,eq_c2/2))+(PI()*(s_0+3*s_r+IF(circ_int,eq_c1/2,0))/2))+2*IF(circ_int,0,eq_c1/2))+(PI()*(s_0+3*s_r+IF(circ_int,eq_c1/2,0))/2))+2*IF(circ_int,0,eq_c2/2))+(PI()*(s_0+3*s_r+IF(circ_int,eq_c1/2,0))/2)),-IF(circ_int,0,eq_c1/2)+(s_0+3*s_r+IF(circ_int,eq_c1/2,0))*COS(PI()+(((45+0.5)*(4*IF(circ_int,0,eq_c1/2)+4*IF(circ_int,0,eq_c2/2)+2*PI()*(s_0+3*s_r+IF(circ_int,eq_c1/2,0)))/INDEX(lk_legs,4))-(((((2*IF(circ_int,0,eq_c2/2))+(PI()*(s_0+3*s_r+IF(circ_int,eq_c1/2,0))/2))+2*IF(circ_int,0,eq_c1/2))+(PI()*(s_0+3*s_r+IF(circ_int,eq_c1/2,0))/2))+2*IF(circ_int,0,eq_c2/2)))/(s_0+3*s_r+IF(circ_int,eq_c1/2,0))),IF(((45+0.5)*(4*IF(circ_int,0,eq_c1/2)+4*IF(circ_int,0,eq_c2/2)+2*PI()*(s_0+3*s_r+IF(circ_int,eq_c1/2,0)))/INDEX(lk_legs,4))&lt;(((((((2*IF(circ_int,0,eq_c2/2))+(PI()*(s_0+3*s_r+IF(circ_int,eq_c1/2,0))/2))+2*IF(circ_int,0,eq_c1/2))+(PI()*(s_0+3*s_r+IF(circ_int,eq_c1/2,0))/2))+2*IF(circ_int,0,eq_c2/2))+(PI()*(s_0+3*s_r+IF(circ_int,eq_c1/2,0))/2))+2*IF(circ_int,0,eq_c1/2)),-IF(circ_int,0,eq_c1/2)+(((45+0.5)*(4*IF(circ_int,0,eq_c1/2)+4*IF(circ_int,0,eq_c2/2)+2*PI()*(s_0+3*s_r+IF(circ_int,eq_c1/2,0)))/INDEX(lk_legs,4))-((((((2*IF(circ_int,0,eq_c2/2))+(PI()*(s_0+3*s_r+IF(circ_int,eq_c1/2,0))/2))+2*IF(circ_int,0,eq_c1/2))+(PI()*(s_0+3*s_r+IF(circ_int,eq_c1/2,0))/2))+2*IF(circ_int,0,eq_c2/2))+(PI()*(s_0+3*s_r+IF(circ_int,eq_c1/2,0))/2))),IF(circ_int,0,eq_c1/2)+(s_0+3*s_r+IF(circ_int,eq_c1/2,0))*COS(3*PI()/2+(((45+0.5)*(4*IF(circ_int,0,eq_c1/2)+4*IF(circ_int,0,eq_c2/2)+2*PI()*(s_0+3*s_r+IF(circ_int,eq_c1/2,0)))/INDEX(lk_legs,4))-(((((((2*IF(circ_int,0,eq_c2/2))+(PI()*(s_0+3*s_r+IF(circ_int,eq_c1/2,0))/2))+2*IF(circ_int,0,eq_c1/2))+(PI()*(s_0+3*s_r+IF(circ_int,eq_c1/2,0))/2))+2*IF(circ_int,0,eq_c2/2))+(PI()*(s_0+3*s_r+IF(circ_int,eq_c1/2,0))/2))+2*IF(circ_int,0,eq_c1/2)))/(s_0+3*s_r+IF(circ_int,eq_c1/2,0)))))))))),NA())</f>
        <v/>
      </c>
      <c r="BS48">
        <f>IF(AND(AND(links_on,4&lt;=n_per),INDEX(lk_kind,4)=1,45&lt;INDEX(lk_legs,4)),g_oy+IF(((45+0.5)*(4*IF(circ_int,0,eq_c1/2)+4*IF(circ_int,0,eq_c2/2)+2*PI()*(s_0+3*s_r+IF(circ_int,eq_c1/2,0)))/INDEX(lk_legs,4))&lt;(2*IF(circ_int,0,eq_c2/2)),-IF(circ_int,0,eq_c2/2)+((45+0.5)*(4*IF(circ_int,0,eq_c1/2)+4*IF(circ_int,0,eq_c2/2)+2*PI()*(s_0+3*s_r+IF(circ_int,eq_c1/2,0)))/INDEX(lk_legs,4)),IF(((45+0.5)*(4*IF(circ_int,0,eq_c1/2)+4*IF(circ_int,0,eq_c2/2)+2*PI()*(s_0+3*s_r+IF(circ_int,eq_c1/2,0)))/INDEX(lk_legs,4))&lt;((2*IF(circ_int,0,eq_c2/2))+(PI()*(s_0+3*s_r+IF(circ_int,eq_c1/2,0))/2)),IF(circ_int,0,eq_c2/2)+(s_0+3*s_r+IF(circ_int,eq_c1/2,0))*SIN((((45+0.5)*(4*IF(circ_int,0,eq_c1/2)+4*IF(circ_int,0,eq_c2/2)+2*PI()*(s_0+3*s_r+IF(circ_int,eq_c1/2,0)))/INDEX(lk_legs,4))-(2*IF(circ_int,0,eq_c2/2)))/(s_0+3*s_r+IF(circ_int,eq_c1/2,0))),IF(((45+0.5)*(4*IF(circ_int,0,eq_c1/2)+4*IF(circ_int,0,eq_c2/2)+2*PI()*(s_0+3*s_r+IF(circ_int,eq_c1/2,0)))/INDEX(lk_legs,4))&lt;(((2*IF(circ_int,0,eq_c2/2))+(PI()*(s_0+3*s_r+IF(circ_int,eq_c1/2,0))/2))+2*IF(circ_int,0,eq_c1/2)),IF(circ_int,0,eq_c2/2)+(s_0+3*s_r+IF(circ_int,eq_c1/2,0)),IF(((45+0.5)*(4*IF(circ_int,0,eq_c1/2)+4*IF(circ_int,0,eq_c2/2)+2*PI()*(s_0+3*s_r+IF(circ_int,eq_c1/2,0)))/INDEX(lk_legs,4))&lt;((((2*IF(circ_int,0,eq_c2/2))+(PI()*(s_0+3*s_r+IF(circ_int,eq_c1/2,0))/2))+2*IF(circ_int,0,eq_c1/2))+(PI()*(s_0+3*s_r+IF(circ_int,eq_c1/2,0))/2)),IF(circ_int,0,eq_c2/2)+(s_0+3*s_r+IF(circ_int,eq_c1/2,0))*SIN(PI()/2+(((45+0.5)*(4*IF(circ_int,0,eq_c1/2)+4*IF(circ_int,0,eq_c2/2)+2*PI()*(s_0+3*s_r+IF(circ_int,eq_c1/2,0)))/INDEX(lk_legs,4))-(((2*IF(circ_int,0,eq_c2/2))+(PI()*(s_0+3*s_r+IF(circ_int,eq_c1/2,0))/2))+2*IF(circ_int,0,eq_c1/2)))/(s_0+3*s_r+IF(circ_int,eq_c1/2,0))),IF(((45+0.5)*(4*IF(circ_int,0,eq_c1/2)+4*IF(circ_int,0,eq_c2/2)+2*PI()*(s_0+3*s_r+IF(circ_int,eq_c1/2,0)))/INDEX(lk_legs,4))&lt;(((((2*IF(circ_int,0,eq_c2/2))+(PI()*(s_0+3*s_r+IF(circ_int,eq_c1/2,0))/2))+2*IF(circ_int,0,eq_c1/2))+(PI()*(s_0+3*s_r+IF(circ_int,eq_c1/2,0))/2))+2*IF(circ_int,0,eq_c2/2)),IF(circ_int,0,eq_c2/2)-(((45+0.5)*(4*IF(circ_int,0,eq_c1/2)+4*IF(circ_int,0,eq_c2/2)+2*PI()*(s_0+3*s_r+IF(circ_int,eq_c1/2,0)))/INDEX(lk_legs,4))-((((2*IF(circ_int,0,eq_c2/2))+(PI()*(s_0+3*s_r+IF(circ_int,eq_c1/2,0))/2))+2*IF(circ_int,0,eq_c1/2))+(PI()*(s_0+3*s_r+IF(circ_int,eq_c1/2,0))/2))),IF(((45+0.5)*(4*IF(circ_int,0,eq_c1/2)+4*IF(circ_int,0,eq_c2/2)+2*PI()*(s_0+3*s_r+IF(circ_int,eq_c1/2,0)))/INDEX(lk_legs,4))&lt;((((((2*IF(circ_int,0,eq_c2/2))+(PI()*(s_0+3*s_r+IF(circ_int,eq_c1/2,0))/2))+2*IF(circ_int,0,eq_c1/2))+(PI()*(s_0+3*s_r+IF(circ_int,eq_c1/2,0))/2))+2*IF(circ_int,0,eq_c2/2))+(PI()*(s_0+3*s_r+IF(circ_int,eq_c1/2,0))/2)),-IF(circ_int,0,eq_c2/2)+(s_0+3*s_r+IF(circ_int,eq_c1/2,0))*SIN(PI()+(((45+0.5)*(4*IF(circ_int,0,eq_c1/2)+4*IF(circ_int,0,eq_c2/2)+2*PI()*(s_0+3*s_r+IF(circ_int,eq_c1/2,0)))/INDEX(lk_legs,4))-(((((2*IF(circ_int,0,eq_c2/2))+(PI()*(s_0+3*s_r+IF(circ_int,eq_c1/2,0))/2))+2*IF(circ_int,0,eq_c1/2))+(PI()*(s_0+3*s_r+IF(circ_int,eq_c1/2,0))/2))+2*IF(circ_int,0,eq_c2/2)))/(s_0+3*s_r+IF(circ_int,eq_c1/2,0))),IF(((45+0.5)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(45+0.5)*(4*IF(circ_int,0,eq_c1/2)+4*IF(circ_int,0,eq_c2/2)+2*PI()*(s_0+3*s_r+IF(circ_int,eq_c1/2,0)))/INDEX(lk_legs,4))-(((((((2*IF(circ_int,0,eq_c2/2))+(PI()*(s_0+3*s_r+IF(circ_int,eq_c1/2,0))/2))+2*IF(circ_int,0,eq_c1/2))+(PI()*(s_0+3*s_r+IF(circ_int,eq_c1/2,0))/2))+2*IF(circ_int,0,eq_c2/2))+(PI()*(s_0+3*s_r+IF(circ_int,eq_c1/2,0))/2))+2*IF(circ_int,0,eq_c1/2)))/(s_0+3*s_r+IF(circ_int,eq_c1/2,0)))))))))),NA())</f>
        <v/>
      </c>
      <c r="BU48">
        <f>IF(AND(links_on,5&lt;=n_per),IF(circ_int,(g_ox)+(c_1/2+(s_0+4*s_r))*0.663123,CHOOSE(INDEX(lk_kind,5),(g_ox+eq_c1/2)+((s_0+4*s_r))*0.707107,0,eq_a1+eq_c1+(s_0+4*s_r),eq_a1+eq_c1+(s_0+4*s_r))),NA())</f>
        <v/>
      </c>
      <c r="BV48">
        <f>IF(AND(links_on,5&lt;=n_per),IF(circ_int,(g_oy)+(c_1/2+(s_0+4*s_r))*-0.748511,CHOOSE(INDEX(lk_kind,5),(g_oy-eq_c2/2)+((s_0+4*s_r))*-0.707107,g_oy-eq_c2/2-(s_0+4*s_r),0,0)),NA())</f>
        <v/>
      </c>
      <c r="BX48">
        <f>IF(AND(AND(links_on,5&lt;=n_per),INDEX(lk_kind,5)=1,45&lt;INDEX(lk_legs,5)),g_ox+IF(((45+0.5)*(4*IF(circ_int,0,eq_c1/2)+4*IF(circ_int,0,eq_c2/2)+2*PI()*(s_0+4*s_r+IF(circ_int,eq_c1/2,0)))/INDEX(lk_legs,5))&lt;(2*IF(circ_int,0,eq_c2/2)),IF(circ_int,0,eq_c1/2)+(s_0+4*s_r+IF(circ_int,eq_c1/2,0)),IF(((45+0.5)*(4*IF(circ_int,0,eq_c1/2)+4*IF(circ_int,0,eq_c2/2)+2*PI()*(s_0+4*s_r+IF(circ_int,eq_c1/2,0)))/INDEX(lk_legs,5))&lt;((2*IF(circ_int,0,eq_c2/2))+(PI()*(s_0+4*s_r+IF(circ_int,eq_c1/2,0))/2)),IF(circ_int,0,eq_c1/2)+(s_0+4*s_r+IF(circ_int,eq_c1/2,0))*COS((((45+0.5)*(4*IF(circ_int,0,eq_c1/2)+4*IF(circ_int,0,eq_c2/2)+2*PI()*(s_0+4*s_r+IF(circ_int,eq_c1/2,0)))/INDEX(lk_legs,5))-(2*IF(circ_int,0,eq_c2/2)))/(s_0+4*s_r+IF(circ_int,eq_c1/2,0))),IF(((45+0.5)*(4*IF(circ_int,0,eq_c1/2)+4*IF(circ_int,0,eq_c2/2)+2*PI()*(s_0+4*s_r+IF(circ_int,eq_c1/2,0)))/INDEX(lk_legs,5))&lt;(((2*IF(circ_int,0,eq_c2/2))+(PI()*(s_0+4*s_r+IF(circ_int,eq_c1/2,0))/2))+2*IF(circ_int,0,eq_c1/2)),IF(circ_int,0,eq_c1/2)-(((45+0.5)*(4*IF(circ_int,0,eq_c1/2)+4*IF(circ_int,0,eq_c2/2)+2*PI()*(s_0+4*s_r+IF(circ_int,eq_c1/2,0)))/INDEX(lk_legs,5))-((2*IF(circ_int,0,eq_c2/2))+(PI()*(s_0+4*s_r+IF(circ_int,eq_c1/2,0))/2))),IF(((45+0.5)*(4*IF(circ_int,0,eq_c1/2)+4*IF(circ_int,0,eq_c2/2)+2*PI()*(s_0+4*s_r+IF(circ_int,eq_c1/2,0)))/INDEX(lk_legs,5))&lt;((((2*IF(circ_int,0,eq_c2/2))+(PI()*(s_0+4*s_r+IF(circ_int,eq_c1/2,0))/2))+2*IF(circ_int,0,eq_c1/2))+(PI()*(s_0+4*s_r+IF(circ_int,eq_c1/2,0))/2)),-IF(circ_int,0,eq_c1/2)+(s_0+4*s_r+IF(circ_int,eq_c1/2,0))*COS(PI()/2+(((45+0.5)*(4*IF(circ_int,0,eq_c1/2)+4*IF(circ_int,0,eq_c2/2)+2*PI()*(s_0+4*s_r+IF(circ_int,eq_c1/2,0)))/INDEX(lk_legs,5))-(((2*IF(circ_int,0,eq_c2/2))+(PI()*(s_0+4*s_r+IF(circ_int,eq_c1/2,0))/2))+2*IF(circ_int,0,eq_c1/2)))/(s_0+4*s_r+IF(circ_int,eq_c1/2,0))),IF(((45+0.5)*(4*IF(circ_int,0,eq_c1/2)+4*IF(circ_int,0,eq_c2/2)+2*PI()*(s_0+4*s_r+IF(circ_int,eq_c1/2,0)))/INDEX(lk_legs,5))&lt;(((((2*IF(circ_int,0,eq_c2/2))+(PI()*(s_0+4*s_r+IF(circ_int,eq_c1/2,0))/2))+2*IF(circ_int,0,eq_c1/2))+(PI()*(s_0+4*s_r+IF(circ_int,eq_c1/2,0))/2))+2*IF(circ_int,0,eq_c2/2)),-IF(circ_int,0,eq_c1/2)-(s_0+4*s_r+IF(circ_int,eq_c1/2,0)),IF(((45+0.5)*(4*IF(circ_int,0,eq_c1/2)+4*IF(circ_int,0,eq_c2/2)+2*PI()*(s_0+4*s_r+IF(circ_int,eq_c1/2,0)))/INDEX(lk_legs,5))&lt;((((((2*IF(circ_int,0,eq_c2/2))+(PI()*(s_0+4*s_r+IF(circ_int,eq_c1/2,0))/2))+2*IF(circ_int,0,eq_c1/2))+(PI()*(s_0+4*s_r+IF(circ_int,eq_c1/2,0))/2))+2*IF(circ_int,0,eq_c2/2))+(PI()*(s_0+4*s_r+IF(circ_int,eq_c1/2,0))/2)),-IF(circ_int,0,eq_c1/2)+(s_0+4*s_r+IF(circ_int,eq_c1/2,0))*COS(PI()+(((45+0.5)*(4*IF(circ_int,0,eq_c1/2)+4*IF(circ_int,0,eq_c2/2)+2*PI()*(s_0+4*s_r+IF(circ_int,eq_c1/2,0)))/INDEX(lk_legs,5))-(((((2*IF(circ_int,0,eq_c2/2))+(PI()*(s_0+4*s_r+IF(circ_int,eq_c1/2,0))/2))+2*IF(circ_int,0,eq_c1/2))+(PI()*(s_0+4*s_r+IF(circ_int,eq_c1/2,0))/2))+2*IF(circ_int,0,eq_c2/2)))/(s_0+4*s_r+IF(circ_int,eq_c1/2,0))),IF(((45+0.5)*(4*IF(circ_int,0,eq_c1/2)+4*IF(circ_int,0,eq_c2/2)+2*PI()*(s_0+4*s_r+IF(circ_int,eq_c1/2,0)))/INDEX(lk_legs,5))&lt;(((((((2*IF(circ_int,0,eq_c2/2))+(PI()*(s_0+4*s_r+IF(circ_int,eq_c1/2,0))/2))+2*IF(circ_int,0,eq_c1/2))+(PI()*(s_0+4*s_r+IF(circ_int,eq_c1/2,0))/2))+2*IF(circ_int,0,eq_c2/2))+(PI()*(s_0+4*s_r+IF(circ_int,eq_c1/2,0))/2))+2*IF(circ_int,0,eq_c1/2)),-IF(circ_int,0,eq_c1/2)+(((45+0.5)*(4*IF(circ_int,0,eq_c1/2)+4*IF(circ_int,0,eq_c2/2)+2*PI()*(s_0+4*s_r+IF(circ_int,eq_c1/2,0)))/INDEX(lk_legs,5))-((((((2*IF(circ_int,0,eq_c2/2))+(PI()*(s_0+4*s_r+IF(circ_int,eq_c1/2,0))/2))+2*IF(circ_int,0,eq_c1/2))+(PI()*(s_0+4*s_r+IF(circ_int,eq_c1/2,0))/2))+2*IF(circ_int,0,eq_c2/2))+(PI()*(s_0+4*s_r+IF(circ_int,eq_c1/2,0))/2))),IF(circ_int,0,eq_c1/2)+(s_0+4*s_r+IF(circ_int,eq_c1/2,0))*COS(3*PI()/2+(((45+0.5)*(4*IF(circ_int,0,eq_c1/2)+4*IF(circ_int,0,eq_c2/2)+2*PI()*(s_0+4*s_r+IF(circ_int,eq_c1/2,0)))/INDEX(lk_legs,5))-(((((((2*IF(circ_int,0,eq_c2/2))+(PI()*(s_0+4*s_r+IF(circ_int,eq_c1/2,0))/2))+2*IF(circ_int,0,eq_c1/2))+(PI()*(s_0+4*s_r+IF(circ_int,eq_c1/2,0))/2))+2*IF(circ_int,0,eq_c2/2))+(PI()*(s_0+4*s_r+IF(circ_int,eq_c1/2,0))/2))+2*IF(circ_int,0,eq_c1/2)))/(s_0+4*s_r+IF(circ_int,eq_c1/2,0)))))))))),NA())</f>
        <v/>
      </c>
      <c r="BY48">
        <f>IF(AND(AND(links_on,5&lt;=n_per),INDEX(lk_kind,5)=1,45&lt;INDEX(lk_legs,5)),g_oy+IF(((45+0.5)*(4*IF(circ_int,0,eq_c1/2)+4*IF(circ_int,0,eq_c2/2)+2*PI()*(s_0+4*s_r+IF(circ_int,eq_c1/2,0)))/INDEX(lk_legs,5))&lt;(2*IF(circ_int,0,eq_c2/2)),-IF(circ_int,0,eq_c2/2)+((45+0.5)*(4*IF(circ_int,0,eq_c1/2)+4*IF(circ_int,0,eq_c2/2)+2*PI()*(s_0+4*s_r+IF(circ_int,eq_c1/2,0)))/INDEX(lk_legs,5)),IF(((45+0.5)*(4*IF(circ_int,0,eq_c1/2)+4*IF(circ_int,0,eq_c2/2)+2*PI()*(s_0+4*s_r+IF(circ_int,eq_c1/2,0)))/INDEX(lk_legs,5))&lt;((2*IF(circ_int,0,eq_c2/2))+(PI()*(s_0+4*s_r+IF(circ_int,eq_c1/2,0))/2)),IF(circ_int,0,eq_c2/2)+(s_0+4*s_r+IF(circ_int,eq_c1/2,0))*SIN((((45+0.5)*(4*IF(circ_int,0,eq_c1/2)+4*IF(circ_int,0,eq_c2/2)+2*PI()*(s_0+4*s_r+IF(circ_int,eq_c1/2,0)))/INDEX(lk_legs,5))-(2*IF(circ_int,0,eq_c2/2)))/(s_0+4*s_r+IF(circ_int,eq_c1/2,0))),IF(((45+0.5)*(4*IF(circ_int,0,eq_c1/2)+4*IF(circ_int,0,eq_c2/2)+2*PI()*(s_0+4*s_r+IF(circ_int,eq_c1/2,0)))/INDEX(lk_legs,5))&lt;(((2*IF(circ_int,0,eq_c2/2))+(PI()*(s_0+4*s_r+IF(circ_int,eq_c1/2,0))/2))+2*IF(circ_int,0,eq_c1/2)),IF(circ_int,0,eq_c2/2)+(s_0+4*s_r+IF(circ_int,eq_c1/2,0)),IF(((45+0.5)*(4*IF(circ_int,0,eq_c1/2)+4*IF(circ_int,0,eq_c2/2)+2*PI()*(s_0+4*s_r+IF(circ_int,eq_c1/2,0)))/INDEX(lk_legs,5))&lt;((((2*IF(circ_int,0,eq_c2/2))+(PI()*(s_0+4*s_r+IF(circ_int,eq_c1/2,0))/2))+2*IF(circ_int,0,eq_c1/2))+(PI()*(s_0+4*s_r+IF(circ_int,eq_c1/2,0))/2)),IF(circ_int,0,eq_c2/2)+(s_0+4*s_r+IF(circ_int,eq_c1/2,0))*SIN(PI()/2+(((45+0.5)*(4*IF(circ_int,0,eq_c1/2)+4*IF(circ_int,0,eq_c2/2)+2*PI()*(s_0+4*s_r+IF(circ_int,eq_c1/2,0)))/INDEX(lk_legs,5))-(((2*IF(circ_int,0,eq_c2/2))+(PI()*(s_0+4*s_r+IF(circ_int,eq_c1/2,0))/2))+2*IF(circ_int,0,eq_c1/2)))/(s_0+4*s_r+IF(circ_int,eq_c1/2,0))),IF(((45+0.5)*(4*IF(circ_int,0,eq_c1/2)+4*IF(circ_int,0,eq_c2/2)+2*PI()*(s_0+4*s_r+IF(circ_int,eq_c1/2,0)))/INDEX(lk_legs,5))&lt;(((((2*IF(circ_int,0,eq_c2/2))+(PI()*(s_0+4*s_r+IF(circ_int,eq_c1/2,0))/2))+2*IF(circ_int,0,eq_c1/2))+(PI()*(s_0+4*s_r+IF(circ_int,eq_c1/2,0))/2))+2*IF(circ_int,0,eq_c2/2)),IF(circ_int,0,eq_c2/2)-(((45+0.5)*(4*IF(circ_int,0,eq_c1/2)+4*IF(circ_int,0,eq_c2/2)+2*PI()*(s_0+4*s_r+IF(circ_int,eq_c1/2,0)))/INDEX(lk_legs,5))-((((2*IF(circ_int,0,eq_c2/2))+(PI()*(s_0+4*s_r+IF(circ_int,eq_c1/2,0))/2))+2*IF(circ_int,0,eq_c1/2))+(PI()*(s_0+4*s_r+IF(circ_int,eq_c1/2,0))/2))),IF(((45+0.5)*(4*IF(circ_int,0,eq_c1/2)+4*IF(circ_int,0,eq_c2/2)+2*PI()*(s_0+4*s_r+IF(circ_int,eq_c1/2,0)))/INDEX(lk_legs,5))&lt;((((((2*IF(circ_int,0,eq_c2/2))+(PI()*(s_0+4*s_r+IF(circ_int,eq_c1/2,0))/2))+2*IF(circ_int,0,eq_c1/2))+(PI()*(s_0+4*s_r+IF(circ_int,eq_c1/2,0))/2))+2*IF(circ_int,0,eq_c2/2))+(PI()*(s_0+4*s_r+IF(circ_int,eq_c1/2,0))/2)),-IF(circ_int,0,eq_c2/2)+(s_0+4*s_r+IF(circ_int,eq_c1/2,0))*SIN(PI()+(((45+0.5)*(4*IF(circ_int,0,eq_c1/2)+4*IF(circ_int,0,eq_c2/2)+2*PI()*(s_0+4*s_r+IF(circ_int,eq_c1/2,0)))/INDEX(lk_legs,5))-(((((2*IF(circ_int,0,eq_c2/2))+(PI()*(s_0+4*s_r+IF(circ_int,eq_c1/2,0))/2))+2*IF(circ_int,0,eq_c1/2))+(PI()*(s_0+4*s_r+IF(circ_int,eq_c1/2,0))/2))+2*IF(circ_int,0,eq_c2/2)))/(s_0+4*s_r+IF(circ_int,eq_c1/2,0))),IF(((45+0.5)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(45+0.5)*(4*IF(circ_int,0,eq_c1/2)+4*IF(circ_int,0,eq_c2/2)+2*PI()*(s_0+4*s_r+IF(circ_int,eq_c1/2,0)))/INDEX(lk_legs,5))-(((((((2*IF(circ_int,0,eq_c2/2))+(PI()*(s_0+4*s_r+IF(circ_int,eq_c1/2,0))/2))+2*IF(circ_int,0,eq_c1/2))+(PI()*(s_0+4*s_r+IF(circ_int,eq_c1/2,0))/2))+2*IF(circ_int,0,eq_c2/2))+(PI()*(s_0+4*s_r+IF(circ_int,eq_c1/2,0))/2))+2*IF(circ_int,0,eq_c1/2)))/(s_0+4*s_r+IF(circ_int,eq_c1/2,0)))))))))),NA())</f>
        <v/>
      </c>
      <c r="CA48">
        <f>IF(AND(links_on,6&lt;=n_per),IF(circ_int,(g_ox)+(c_1/2+(s_0+5*s_r))*0.663123,CHOOSE(INDEX(lk_kind,6),(g_ox+eq_c1/2)+((s_0+5*s_r))*0.707107,0,eq_a1+eq_c1+(s_0+5*s_r),eq_a1+eq_c1+(s_0+5*s_r))),NA())</f>
        <v/>
      </c>
      <c r="CB48">
        <f>IF(AND(links_on,6&lt;=n_per),IF(circ_int,(g_oy)+(c_1/2+(s_0+5*s_r))*-0.748511,CHOOSE(INDEX(lk_kind,6),(g_oy-eq_c2/2)+((s_0+5*s_r))*-0.707107,g_oy-eq_c2/2-(s_0+5*s_r),0,0)),NA())</f>
        <v/>
      </c>
      <c r="CD48">
        <f>IF(AND(AND(links_on,6&lt;=n_per),INDEX(lk_kind,6)=1,45&lt;INDEX(lk_legs,6)),g_ox+IF(((45+0.5)*(4*IF(circ_int,0,eq_c1/2)+4*IF(circ_int,0,eq_c2/2)+2*PI()*(s_0+5*s_r+IF(circ_int,eq_c1/2,0)))/INDEX(lk_legs,6))&lt;(2*IF(circ_int,0,eq_c2/2)),IF(circ_int,0,eq_c1/2)+(s_0+5*s_r+IF(circ_int,eq_c1/2,0)),IF(((45+0.5)*(4*IF(circ_int,0,eq_c1/2)+4*IF(circ_int,0,eq_c2/2)+2*PI()*(s_0+5*s_r+IF(circ_int,eq_c1/2,0)))/INDEX(lk_legs,6))&lt;((2*IF(circ_int,0,eq_c2/2))+(PI()*(s_0+5*s_r+IF(circ_int,eq_c1/2,0))/2)),IF(circ_int,0,eq_c1/2)+(s_0+5*s_r+IF(circ_int,eq_c1/2,0))*COS((((45+0.5)*(4*IF(circ_int,0,eq_c1/2)+4*IF(circ_int,0,eq_c2/2)+2*PI()*(s_0+5*s_r+IF(circ_int,eq_c1/2,0)))/INDEX(lk_legs,6))-(2*IF(circ_int,0,eq_c2/2)))/(s_0+5*s_r+IF(circ_int,eq_c1/2,0))),IF(((45+0.5)*(4*IF(circ_int,0,eq_c1/2)+4*IF(circ_int,0,eq_c2/2)+2*PI()*(s_0+5*s_r+IF(circ_int,eq_c1/2,0)))/INDEX(lk_legs,6))&lt;(((2*IF(circ_int,0,eq_c2/2))+(PI()*(s_0+5*s_r+IF(circ_int,eq_c1/2,0))/2))+2*IF(circ_int,0,eq_c1/2)),IF(circ_int,0,eq_c1/2)-(((45+0.5)*(4*IF(circ_int,0,eq_c1/2)+4*IF(circ_int,0,eq_c2/2)+2*PI()*(s_0+5*s_r+IF(circ_int,eq_c1/2,0)))/INDEX(lk_legs,6))-((2*IF(circ_int,0,eq_c2/2))+(PI()*(s_0+5*s_r+IF(circ_int,eq_c1/2,0))/2))),IF(((45+0.5)*(4*IF(circ_int,0,eq_c1/2)+4*IF(circ_int,0,eq_c2/2)+2*PI()*(s_0+5*s_r+IF(circ_int,eq_c1/2,0)))/INDEX(lk_legs,6))&lt;((((2*IF(circ_int,0,eq_c2/2))+(PI()*(s_0+5*s_r+IF(circ_int,eq_c1/2,0))/2))+2*IF(circ_int,0,eq_c1/2))+(PI()*(s_0+5*s_r+IF(circ_int,eq_c1/2,0))/2)),-IF(circ_int,0,eq_c1/2)+(s_0+5*s_r+IF(circ_int,eq_c1/2,0))*COS(PI()/2+(((45+0.5)*(4*IF(circ_int,0,eq_c1/2)+4*IF(circ_int,0,eq_c2/2)+2*PI()*(s_0+5*s_r+IF(circ_int,eq_c1/2,0)))/INDEX(lk_legs,6))-(((2*IF(circ_int,0,eq_c2/2))+(PI()*(s_0+5*s_r+IF(circ_int,eq_c1/2,0))/2))+2*IF(circ_int,0,eq_c1/2)))/(s_0+5*s_r+IF(circ_int,eq_c1/2,0))),IF(((45+0.5)*(4*IF(circ_int,0,eq_c1/2)+4*IF(circ_int,0,eq_c2/2)+2*PI()*(s_0+5*s_r+IF(circ_int,eq_c1/2,0)))/INDEX(lk_legs,6))&lt;(((((2*IF(circ_int,0,eq_c2/2))+(PI()*(s_0+5*s_r+IF(circ_int,eq_c1/2,0))/2))+2*IF(circ_int,0,eq_c1/2))+(PI()*(s_0+5*s_r+IF(circ_int,eq_c1/2,0))/2))+2*IF(circ_int,0,eq_c2/2)),-IF(circ_int,0,eq_c1/2)-(s_0+5*s_r+IF(circ_int,eq_c1/2,0)),IF(((45+0.5)*(4*IF(circ_int,0,eq_c1/2)+4*IF(circ_int,0,eq_c2/2)+2*PI()*(s_0+5*s_r+IF(circ_int,eq_c1/2,0)))/INDEX(lk_legs,6))&lt;((((((2*IF(circ_int,0,eq_c2/2))+(PI()*(s_0+5*s_r+IF(circ_int,eq_c1/2,0))/2))+2*IF(circ_int,0,eq_c1/2))+(PI()*(s_0+5*s_r+IF(circ_int,eq_c1/2,0))/2))+2*IF(circ_int,0,eq_c2/2))+(PI()*(s_0+5*s_r+IF(circ_int,eq_c1/2,0))/2)),-IF(circ_int,0,eq_c1/2)+(s_0+5*s_r+IF(circ_int,eq_c1/2,0))*COS(PI()+(((45+0.5)*(4*IF(circ_int,0,eq_c1/2)+4*IF(circ_int,0,eq_c2/2)+2*PI()*(s_0+5*s_r+IF(circ_int,eq_c1/2,0)))/INDEX(lk_legs,6))-(((((2*IF(circ_int,0,eq_c2/2))+(PI()*(s_0+5*s_r+IF(circ_int,eq_c1/2,0))/2))+2*IF(circ_int,0,eq_c1/2))+(PI()*(s_0+5*s_r+IF(circ_int,eq_c1/2,0))/2))+2*IF(circ_int,0,eq_c2/2)))/(s_0+5*s_r+IF(circ_int,eq_c1/2,0))),IF(((45+0.5)*(4*IF(circ_int,0,eq_c1/2)+4*IF(circ_int,0,eq_c2/2)+2*PI()*(s_0+5*s_r+IF(circ_int,eq_c1/2,0)))/INDEX(lk_legs,6))&lt;(((((((2*IF(circ_int,0,eq_c2/2))+(PI()*(s_0+5*s_r+IF(circ_int,eq_c1/2,0))/2))+2*IF(circ_int,0,eq_c1/2))+(PI()*(s_0+5*s_r+IF(circ_int,eq_c1/2,0))/2))+2*IF(circ_int,0,eq_c2/2))+(PI()*(s_0+5*s_r+IF(circ_int,eq_c1/2,0))/2))+2*IF(circ_int,0,eq_c1/2)),-IF(circ_int,0,eq_c1/2)+(((45+0.5)*(4*IF(circ_int,0,eq_c1/2)+4*IF(circ_int,0,eq_c2/2)+2*PI()*(s_0+5*s_r+IF(circ_int,eq_c1/2,0)))/INDEX(lk_legs,6))-((((((2*IF(circ_int,0,eq_c2/2))+(PI()*(s_0+5*s_r+IF(circ_int,eq_c1/2,0))/2))+2*IF(circ_int,0,eq_c1/2))+(PI()*(s_0+5*s_r+IF(circ_int,eq_c1/2,0))/2))+2*IF(circ_int,0,eq_c2/2))+(PI()*(s_0+5*s_r+IF(circ_int,eq_c1/2,0))/2))),IF(circ_int,0,eq_c1/2)+(s_0+5*s_r+IF(circ_int,eq_c1/2,0))*COS(3*PI()/2+(((45+0.5)*(4*IF(circ_int,0,eq_c1/2)+4*IF(circ_int,0,eq_c2/2)+2*PI()*(s_0+5*s_r+IF(circ_int,eq_c1/2,0)))/INDEX(lk_legs,6))-(((((((2*IF(circ_int,0,eq_c2/2))+(PI()*(s_0+5*s_r+IF(circ_int,eq_c1/2,0))/2))+2*IF(circ_int,0,eq_c1/2))+(PI()*(s_0+5*s_r+IF(circ_int,eq_c1/2,0))/2))+2*IF(circ_int,0,eq_c2/2))+(PI()*(s_0+5*s_r+IF(circ_int,eq_c1/2,0))/2))+2*IF(circ_int,0,eq_c1/2)))/(s_0+5*s_r+IF(circ_int,eq_c1/2,0)))))))))),NA())</f>
        <v/>
      </c>
      <c r="CE48">
        <f>IF(AND(AND(links_on,6&lt;=n_per),INDEX(lk_kind,6)=1,45&lt;INDEX(lk_legs,6)),g_oy+IF(((45+0.5)*(4*IF(circ_int,0,eq_c1/2)+4*IF(circ_int,0,eq_c2/2)+2*PI()*(s_0+5*s_r+IF(circ_int,eq_c1/2,0)))/INDEX(lk_legs,6))&lt;(2*IF(circ_int,0,eq_c2/2)),-IF(circ_int,0,eq_c2/2)+((45+0.5)*(4*IF(circ_int,0,eq_c1/2)+4*IF(circ_int,0,eq_c2/2)+2*PI()*(s_0+5*s_r+IF(circ_int,eq_c1/2,0)))/INDEX(lk_legs,6)),IF(((45+0.5)*(4*IF(circ_int,0,eq_c1/2)+4*IF(circ_int,0,eq_c2/2)+2*PI()*(s_0+5*s_r+IF(circ_int,eq_c1/2,0)))/INDEX(lk_legs,6))&lt;((2*IF(circ_int,0,eq_c2/2))+(PI()*(s_0+5*s_r+IF(circ_int,eq_c1/2,0))/2)),IF(circ_int,0,eq_c2/2)+(s_0+5*s_r+IF(circ_int,eq_c1/2,0))*SIN((((45+0.5)*(4*IF(circ_int,0,eq_c1/2)+4*IF(circ_int,0,eq_c2/2)+2*PI()*(s_0+5*s_r+IF(circ_int,eq_c1/2,0)))/INDEX(lk_legs,6))-(2*IF(circ_int,0,eq_c2/2)))/(s_0+5*s_r+IF(circ_int,eq_c1/2,0))),IF(((45+0.5)*(4*IF(circ_int,0,eq_c1/2)+4*IF(circ_int,0,eq_c2/2)+2*PI()*(s_0+5*s_r+IF(circ_int,eq_c1/2,0)))/INDEX(lk_legs,6))&lt;(((2*IF(circ_int,0,eq_c2/2))+(PI()*(s_0+5*s_r+IF(circ_int,eq_c1/2,0))/2))+2*IF(circ_int,0,eq_c1/2)),IF(circ_int,0,eq_c2/2)+(s_0+5*s_r+IF(circ_int,eq_c1/2,0)),IF(((45+0.5)*(4*IF(circ_int,0,eq_c1/2)+4*IF(circ_int,0,eq_c2/2)+2*PI()*(s_0+5*s_r+IF(circ_int,eq_c1/2,0)))/INDEX(lk_legs,6))&lt;((((2*IF(circ_int,0,eq_c2/2))+(PI()*(s_0+5*s_r+IF(circ_int,eq_c1/2,0))/2))+2*IF(circ_int,0,eq_c1/2))+(PI()*(s_0+5*s_r+IF(circ_int,eq_c1/2,0))/2)),IF(circ_int,0,eq_c2/2)+(s_0+5*s_r+IF(circ_int,eq_c1/2,0))*SIN(PI()/2+(((45+0.5)*(4*IF(circ_int,0,eq_c1/2)+4*IF(circ_int,0,eq_c2/2)+2*PI()*(s_0+5*s_r+IF(circ_int,eq_c1/2,0)))/INDEX(lk_legs,6))-(((2*IF(circ_int,0,eq_c2/2))+(PI()*(s_0+5*s_r+IF(circ_int,eq_c1/2,0))/2))+2*IF(circ_int,0,eq_c1/2)))/(s_0+5*s_r+IF(circ_int,eq_c1/2,0))),IF(((45+0.5)*(4*IF(circ_int,0,eq_c1/2)+4*IF(circ_int,0,eq_c2/2)+2*PI()*(s_0+5*s_r+IF(circ_int,eq_c1/2,0)))/INDEX(lk_legs,6))&lt;(((((2*IF(circ_int,0,eq_c2/2))+(PI()*(s_0+5*s_r+IF(circ_int,eq_c1/2,0))/2))+2*IF(circ_int,0,eq_c1/2))+(PI()*(s_0+5*s_r+IF(circ_int,eq_c1/2,0))/2))+2*IF(circ_int,0,eq_c2/2)),IF(circ_int,0,eq_c2/2)-(((45+0.5)*(4*IF(circ_int,0,eq_c1/2)+4*IF(circ_int,0,eq_c2/2)+2*PI()*(s_0+5*s_r+IF(circ_int,eq_c1/2,0)))/INDEX(lk_legs,6))-((((2*IF(circ_int,0,eq_c2/2))+(PI()*(s_0+5*s_r+IF(circ_int,eq_c1/2,0))/2))+2*IF(circ_int,0,eq_c1/2))+(PI()*(s_0+5*s_r+IF(circ_int,eq_c1/2,0))/2))),IF(((45+0.5)*(4*IF(circ_int,0,eq_c1/2)+4*IF(circ_int,0,eq_c2/2)+2*PI()*(s_0+5*s_r+IF(circ_int,eq_c1/2,0)))/INDEX(lk_legs,6))&lt;((((((2*IF(circ_int,0,eq_c2/2))+(PI()*(s_0+5*s_r+IF(circ_int,eq_c1/2,0))/2))+2*IF(circ_int,0,eq_c1/2))+(PI()*(s_0+5*s_r+IF(circ_int,eq_c1/2,0))/2))+2*IF(circ_int,0,eq_c2/2))+(PI()*(s_0+5*s_r+IF(circ_int,eq_c1/2,0))/2)),-IF(circ_int,0,eq_c2/2)+(s_0+5*s_r+IF(circ_int,eq_c1/2,0))*SIN(PI()+(((45+0.5)*(4*IF(circ_int,0,eq_c1/2)+4*IF(circ_int,0,eq_c2/2)+2*PI()*(s_0+5*s_r+IF(circ_int,eq_c1/2,0)))/INDEX(lk_legs,6))-(((((2*IF(circ_int,0,eq_c2/2))+(PI()*(s_0+5*s_r+IF(circ_int,eq_c1/2,0))/2))+2*IF(circ_int,0,eq_c1/2))+(PI()*(s_0+5*s_r+IF(circ_int,eq_c1/2,0))/2))+2*IF(circ_int,0,eq_c2/2)))/(s_0+5*s_r+IF(circ_int,eq_c1/2,0))),IF(((45+0.5)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(45+0.5)*(4*IF(circ_int,0,eq_c1/2)+4*IF(circ_int,0,eq_c2/2)+2*PI()*(s_0+5*s_r+IF(circ_int,eq_c1/2,0)))/INDEX(lk_legs,6))-(((((((2*IF(circ_int,0,eq_c2/2))+(PI()*(s_0+5*s_r+IF(circ_int,eq_c1/2,0))/2))+2*IF(circ_int,0,eq_c1/2))+(PI()*(s_0+5*s_r+IF(circ_int,eq_c1/2,0))/2))+2*IF(circ_int,0,eq_c2/2))+(PI()*(s_0+5*s_r+IF(circ_int,eq_c1/2,0))/2))+2*IF(circ_int,0,eq_c1/2)))/(s_0+5*s_r+IF(circ_int,eq_c1/2,0)))))))))),NA())</f>
        <v/>
      </c>
      <c r="CG48">
        <f>IF(AND(links_on,7&lt;=n_per),IF(circ_int,(g_ox)+(c_1/2+(s_0+6*s_r))*0.663123,CHOOSE(INDEX(lk_kind,7),(g_ox+eq_c1/2)+((s_0+6*s_r))*0.707107,0,eq_a1+eq_c1+(s_0+6*s_r),eq_a1+eq_c1+(s_0+6*s_r))),NA())</f>
        <v/>
      </c>
      <c r="CH48">
        <f>IF(AND(links_on,7&lt;=n_per),IF(circ_int,(g_oy)+(c_1/2+(s_0+6*s_r))*-0.748511,CHOOSE(INDEX(lk_kind,7),(g_oy-eq_c2/2)+((s_0+6*s_r))*-0.707107,g_oy-eq_c2/2-(s_0+6*s_r),0,0)),NA())</f>
        <v/>
      </c>
      <c r="CJ48">
        <f>IF(AND(AND(links_on,7&lt;=n_per),INDEX(lk_kind,7)=1,45&lt;INDEX(lk_legs,7)),g_ox+IF(((45+0.5)*(4*IF(circ_int,0,eq_c1/2)+4*IF(circ_int,0,eq_c2/2)+2*PI()*(s_0+6*s_r+IF(circ_int,eq_c1/2,0)))/INDEX(lk_legs,7))&lt;(2*IF(circ_int,0,eq_c2/2)),IF(circ_int,0,eq_c1/2)+(s_0+6*s_r+IF(circ_int,eq_c1/2,0)),IF(((45+0.5)*(4*IF(circ_int,0,eq_c1/2)+4*IF(circ_int,0,eq_c2/2)+2*PI()*(s_0+6*s_r+IF(circ_int,eq_c1/2,0)))/INDEX(lk_legs,7))&lt;((2*IF(circ_int,0,eq_c2/2))+(PI()*(s_0+6*s_r+IF(circ_int,eq_c1/2,0))/2)),IF(circ_int,0,eq_c1/2)+(s_0+6*s_r+IF(circ_int,eq_c1/2,0))*COS((((45+0.5)*(4*IF(circ_int,0,eq_c1/2)+4*IF(circ_int,0,eq_c2/2)+2*PI()*(s_0+6*s_r+IF(circ_int,eq_c1/2,0)))/INDEX(lk_legs,7))-(2*IF(circ_int,0,eq_c2/2)))/(s_0+6*s_r+IF(circ_int,eq_c1/2,0))),IF(((45+0.5)*(4*IF(circ_int,0,eq_c1/2)+4*IF(circ_int,0,eq_c2/2)+2*PI()*(s_0+6*s_r+IF(circ_int,eq_c1/2,0)))/INDEX(lk_legs,7))&lt;(((2*IF(circ_int,0,eq_c2/2))+(PI()*(s_0+6*s_r+IF(circ_int,eq_c1/2,0))/2))+2*IF(circ_int,0,eq_c1/2)),IF(circ_int,0,eq_c1/2)-(((45+0.5)*(4*IF(circ_int,0,eq_c1/2)+4*IF(circ_int,0,eq_c2/2)+2*PI()*(s_0+6*s_r+IF(circ_int,eq_c1/2,0)))/INDEX(lk_legs,7))-((2*IF(circ_int,0,eq_c2/2))+(PI()*(s_0+6*s_r+IF(circ_int,eq_c1/2,0))/2))),IF(((45+0.5)*(4*IF(circ_int,0,eq_c1/2)+4*IF(circ_int,0,eq_c2/2)+2*PI()*(s_0+6*s_r+IF(circ_int,eq_c1/2,0)))/INDEX(lk_legs,7))&lt;((((2*IF(circ_int,0,eq_c2/2))+(PI()*(s_0+6*s_r+IF(circ_int,eq_c1/2,0))/2))+2*IF(circ_int,0,eq_c1/2))+(PI()*(s_0+6*s_r+IF(circ_int,eq_c1/2,0))/2)),-IF(circ_int,0,eq_c1/2)+(s_0+6*s_r+IF(circ_int,eq_c1/2,0))*COS(PI()/2+(((45+0.5)*(4*IF(circ_int,0,eq_c1/2)+4*IF(circ_int,0,eq_c2/2)+2*PI()*(s_0+6*s_r+IF(circ_int,eq_c1/2,0)))/INDEX(lk_legs,7))-(((2*IF(circ_int,0,eq_c2/2))+(PI()*(s_0+6*s_r+IF(circ_int,eq_c1/2,0))/2))+2*IF(circ_int,0,eq_c1/2)))/(s_0+6*s_r+IF(circ_int,eq_c1/2,0))),IF(((45+0.5)*(4*IF(circ_int,0,eq_c1/2)+4*IF(circ_int,0,eq_c2/2)+2*PI()*(s_0+6*s_r+IF(circ_int,eq_c1/2,0)))/INDEX(lk_legs,7))&lt;(((((2*IF(circ_int,0,eq_c2/2))+(PI()*(s_0+6*s_r+IF(circ_int,eq_c1/2,0))/2))+2*IF(circ_int,0,eq_c1/2))+(PI()*(s_0+6*s_r+IF(circ_int,eq_c1/2,0))/2))+2*IF(circ_int,0,eq_c2/2)),-IF(circ_int,0,eq_c1/2)-(s_0+6*s_r+IF(circ_int,eq_c1/2,0)),IF(((45+0.5)*(4*IF(circ_int,0,eq_c1/2)+4*IF(circ_int,0,eq_c2/2)+2*PI()*(s_0+6*s_r+IF(circ_int,eq_c1/2,0)))/INDEX(lk_legs,7))&lt;((((((2*IF(circ_int,0,eq_c2/2))+(PI()*(s_0+6*s_r+IF(circ_int,eq_c1/2,0))/2))+2*IF(circ_int,0,eq_c1/2))+(PI()*(s_0+6*s_r+IF(circ_int,eq_c1/2,0))/2))+2*IF(circ_int,0,eq_c2/2))+(PI()*(s_0+6*s_r+IF(circ_int,eq_c1/2,0))/2)),-IF(circ_int,0,eq_c1/2)+(s_0+6*s_r+IF(circ_int,eq_c1/2,0))*COS(PI()+(((45+0.5)*(4*IF(circ_int,0,eq_c1/2)+4*IF(circ_int,0,eq_c2/2)+2*PI()*(s_0+6*s_r+IF(circ_int,eq_c1/2,0)))/INDEX(lk_legs,7))-(((((2*IF(circ_int,0,eq_c2/2))+(PI()*(s_0+6*s_r+IF(circ_int,eq_c1/2,0))/2))+2*IF(circ_int,0,eq_c1/2))+(PI()*(s_0+6*s_r+IF(circ_int,eq_c1/2,0))/2))+2*IF(circ_int,0,eq_c2/2)))/(s_0+6*s_r+IF(circ_int,eq_c1/2,0))),IF(((45+0.5)*(4*IF(circ_int,0,eq_c1/2)+4*IF(circ_int,0,eq_c2/2)+2*PI()*(s_0+6*s_r+IF(circ_int,eq_c1/2,0)))/INDEX(lk_legs,7))&lt;(((((((2*IF(circ_int,0,eq_c2/2))+(PI()*(s_0+6*s_r+IF(circ_int,eq_c1/2,0))/2))+2*IF(circ_int,0,eq_c1/2))+(PI()*(s_0+6*s_r+IF(circ_int,eq_c1/2,0))/2))+2*IF(circ_int,0,eq_c2/2))+(PI()*(s_0+6*s_r+IF(circ_int,eq_c1/2,0))/2))+2*IF(circ_int,0,eq_c1/2)),-IF(circ_int,0,eq_c1/2)+(((45+0.5)*(4*IF(circ_int,0,eq_c1/2)+4*IF(circ_int,0,eq_c2/2)+2*PI()*(s_0+6*s_r+IF(circ_int,eq_c1/2,0)))/INDEX(lk_legs,7))-((((((2*IF(circ_int,0,eq_c2/2))+(PI()*(s_0+6*s_r+IF(circ_int,eq_c1/2,0))/2))+2*IF(circ_int,0,eq_c1/2))+(PI()*(s_0+6*s_r+IF(circ_int,eq_c1/2,0))/2))+2*IF(circ_int,0,eq_c2/2))+(PI()*(s_0+6*s_r+IF(circ_int,eq_c1/2,0))/2))),IF(circ_int,0,eq_c1/2)+(s_0+6*s_r+IF(circ_int,eq_c1/2,0))*COS(3*PI()/2+(((45+0.5)*(4*IF(circ_int,0,eq_c1/2)+4*IF(circ_int,0,eq_c2/2)+2*PI()*(s_0+6*s_r+IF(circ_int,eq_c1/2,0)))/INDEX(lk_legs,7))-(((((((2*IF(circ_int,0,eq_c2/2))+(PI()*(s_0+6*s_r+IF(circ_int,eq_c1/2,0))/2))+2*IF(circ_int,0,eq_c1/2))+(PI()*(s_0+6*s_r+IF(circ_int,eq_c1/2,0))/2))+2*IF(circ_int,0,eq_c2/2))+(PI()*(s_0+6*s_r+IF(circ_int,eq_c1/2,0))/2))+2*IF(circ_int,0,eq_c1/2)))/(s_0+6*s_r+IF(circ_int,eq_c1/2,0)))))))))),NA())</f>
        <v/>
      </c>
      <c r="CK48">
        <f>IF(AND(AND(links_on,7&lt;=n_per),INDEX(lk_kind,7)=1,45&lt;INDEX(lk_legs,7)),g_oy+IF(((45+0.5)*(4*IF(circ_int,0,eq_c1/2)+4*IF(circ_int,0,eq_c2/2)+2*PI()*(s_0+6*s_r+IF(circ_int,eq_c1/2,0)))/INDEX(lk_legs,7))&lt;(2*IF(circ_int,0,eq_c2/2)),-IF(circ_int,0,eq_c2/2)+((45+0.5)*(4*IF(circ_int,0,eq_c1/2)+4*IF(circ_int,0,eq_c2/2)+2*PI()*(s_0+6*s_r+IF(circ_int,eq_c1/2,0)))/INDEX(lk_legs,7)),IF(((45+0.5)*(4*IF(circ_int,0,eq_c1/2)+4*IF(circ_int,0,eq_c2/2)+2*PI()*(s_0+6*s_r+IF(circ_int,eq_c1/2,0)))/INDEX(lk_legs,7))&lt;((2*IF(circ_int,0,eq_c2/2))+(PI()*(s_0+6*s_r+IF(circ_int,eq_c1/2,0))/2)),IF(circ_int,0,eq_c2/2)+(s_0+6*s_r+IF(circ_int,eq_c1/2,0))*SIN((((45+0.5)*(4*IF(circ_int,0,eq_c1/2)+4*IF(circ_int,0,eq_c2/2)+2*PI()*(s_0+6*s_r+IF(circ_int,eq_c1/2,0)))/INDEX(lk_legs,7))-(2*IF(circ_int,0,eq_c2/2)))/(s_0+6*s_r+IF(circ_int,eq_c1/2,0))),IF(((45+0.5)*(4*IF(circ_int,0,eq_c1/2)+4*IF(circ_int,0,eq_c2/2)+2*PI()*(s_0+6*s_r+IF(circ_int,eq_c1/2,0)))/INDEX(lk_legs,7))&lt;(((2*IF(circ_int,0,eq_c2/2))+(PI()*(s_0+6*s_r+IF(circ_int,eq_c1/2,0))/2))+2*IF(circ_int,0,eq_c1/2)),IF(circ_int,0,eq_c2/2)+(s_0+6*s_r+IF(circ_int,eq_c1/2,0)),IF(((45+0.5)*(4*IF(circ_int,0,eq_c1/2)+4*IF(circ_int,0,eq_c2/2)+2*PI()*(s_0+6*s_r+IF(circ_int,eq_c1/2,0)))/INDEX(lk_legs,7))&lt;((((2*IF(circ_int,0,eq_c2/2))+(PI()*(s_0+6*s_r+IF(circ_int,eq_c1/2,0))/2))+2*IF(circ_int,0,eq_c1/2))+(PI()*(s_0+6*s_r+IF(circ_int,eq_c1/2,0))/2)),IF(circ_int,0,eq_c2/2)+(s_0+6*s_r+IF(circ_int,eq_c1/2,0))*SIN(PI()/2+(((45+0.5)*(4*IF(circ_int,0,eq_c1/2)+4*IF(circ_int,0,eq_c2/2)+2*PI()*(s_0+6*s_r+IF(circ_int,eq_c1/2,0)))/INDEX(lk_legs,7))-(((2*IF(circ_int,0,eq_c2/2))+(PI()*(s_0+6*s_r+IF(circ_int,eq_c1/2,0))/2))+2*IF(circ_int,0,eq_c1/2)))/(s_0+6*s_r+IF(circ_int,eq_c1/2,0))),IF(((45+0.5)*(4*IF(circ_int,0,eq_c1/2)+4*IF(circ_int,0,eq_c2/2)+2*PI()*(s_0+6*s_r+IF(circ_int,eq_c1/2,0)))/INDEX(lk_legs,7))&lt;(((((2*IF(circ_int,0,eq_c2/2))+(PI()*(s_0+6*s_r+IF(circ_int,eq_c1/2,0))/2))+2*IF(circ_int,0,eq_c1/2))+(PI()*(s_0+6*s_r+IF(circ_int,eq_c1/2,0))/2))+2*IF(circ_int,0,eq_c2/2)),IF(circ_int,0,eq_c2/2)-(((45+0.5)*(4*IF(circ_int,0,eq_c1/2)+4*IF(circ_int,0,eq_c2/2)+2*PI()*(s_0+6*s_r+IF(circ_int,eq_c1/2,0)))/INDEX(lk_legs,7))-((((2*IF(circ_int,0,eq_c2/2))+(PI()*(s_0+6*s_r+IF(circ_int,eq_c1/2,0))/2))+2*IF(circ_int,0,eq_c1/2))+(PI()*(s_0+6*s_r+IF(circ_int,eq_c1/2,0))/2))),IF(((45+0.5)*(4*IF(circ_int,0,eq_c1/2)+4*IF(circ_int,0,eq_c2/2)+2*PI()*(s_0+6*s_r+IF(circ_int,eq_c1/2,0)))/INDEX(lk_legs,7))&lt;((((((2*IF(circ_int,0,eq_c2/2))+(PI()*(s_0+6*s_r+IF(circ_int,eq_c1/2,0))/2))+2*IF(circ_int,0,eq_c1/2))+(PI()*(s_0+6*s_r+IF(circ_int,eq_c1/2,0))/2))+2*IF(circ_int,0,eq_c2/2))+(PI()*(s_0+6*s_r+IF(circ_int,eq_c1/2,0))/2)),-IF(circ_int,0,eq_c2/2)+(s_0+6*s_r+IF(circ_int,eq_c1/2,0))*SIN(PI()+(((45+0.5)*(4*IF(circ_int,0,eq_c1/2)+4*IF(circ_int,0,eq_c2/2)+2*PI()*(s_0+6*s_r+IF(circ_int,eq_c1/2,0)))/INDEX(lk_legs,7))-(((((2*IF(circ_int,0,eq_c2/2))+(PI()*(s_0+6*s_r+IF(circ_int,eq_c1/2,0))/2))+2*IF(circ_int,0,eq_c1/2))+(PI()*(s_0+6*s_r+IF(circ_int,eq_c1/2,0))/2))+2*IF(circ_int,0,eq_c2/2)))/(s_0+6*s_r+IF(circ_int,eq_c1/2,0))),IF(((45+0.5)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(45+0.5)*(4*IF(circ_int,0,eq_c1/2)+4*IF(circ_int,0,eq_c2/2)+2*PI()*(s_0+6*s_r+IF(circ_int,eq_c1/2,0)))/INDEX(lk_legs,7))-(((((((2*IF(circ_int,0,eq_c2/2))+(PI()*(s_0+6*s_r+IF(circ_int,eq_c1/2,0))/2))+2*IF(circ_int,0,eq_c1/2))+(PI()*(s_0+6*s_r+IF(circ_int,eq_c1/2,0))/2))+2*IF(circ_int,0,eq_c2/2))+(PI()*(s_0+6*s_r+IF(circ_int,eq_c1/2,0))/2))+2*IF(circ_int,0,eq_c1/2)))/(s_0+6*s_r+IF(circ_int,eq_c1/2,0)))))))))),NA())</f>
        <v/>
      </c>
      <c r="CM48">
        <f>IF(AND(links_on,8&lt;=n_per),IF(circ_int,(g_ox)+(c_1/2+(s_0+7*s_r))*0.663123,CHOOSE(INDEX(lk_kind,8),(g_ox+eq_c1/2)+((s_0+7*s_r))*0.707107,0,eq_a1+eq_c1+(s_0+7*s_r),eq_a1+eq_c1+(s_0+7*s_r))),NA())</f>
        <v/>
      </c>
      <c r="CN48">
        <f>IF(AND(links_on,8&lt;=n_per),IF(circ_int,(g_oy)+(c_1/2+(s_0+7*s_r))*-0.748511,CHOOSE(INDEX(lk_kind,8),(g_oy-eq_c2/2)+((s_0+7*s_r))*-0.707107,g_oy-eq_c2/2-(s_0+7*s_r),0,0)),NA())</f>
        <v/>
      </c>
      <c r="CP48">
        <f>IF(AND(AND(links_on,8&lt;=n_per),INDEX(lk_kind,8)=1,45&lt;INDEX(lk_legs,8)),g_ox+IF(((45+0.5)*(4*IF(circ_int,0,eq_c1/2)+4*IF(circ_int,0,eq_c2/2)+2*PI()*(s_0+7*s_r+IF(circ_int,eq_c1/2,0)))/INDEX(lk_legs,8))&lt;(2*IF(circ_int,0,eq_c2/2)),IF(circ_int,0,eq_c1/2)+(s_0+7*s_r+IF(circ_int,eq_c1/2,0)),IF(((45+0.5)*(4*IF(circ_int,0,eq_c1/2)+4*IF(circ_int,0,eq_c2/2)+2*PI()*(s_0+7*s_r+IF(circ_int,eq_c1/2,0)))/INDEX(lk_legs,8))&lt;((2*IF(circ_int,0,eq_c2/2))+(PI()*(s_0+7*s_r+IF(circ_int,eq_c1/2,0))/2)),IF(circ_int,0,eq_c1/2)+(s_0+7*s_r+IF(circ_int,eq_c1/2,0))*COS((((45+0.5)*(4*IF(circ_int,0,eq_c1/2)+4*IF(circ_int,0,eq_c2/2)+2*PI()*(s_0+7*s_r+IF(circ_int,eq_c1/2,0)))/INDEX(lk_legs,8))-(2*IF(circ_int,0,eq_c2/2)))/(s_0+7*s_r+IF(circ_int,eq_c1/2,0))),IF(((45+0.5)*(4*IF(circ_int,0,eq_c1/2)+4*IF(circ_int,0,eq_c2/2)+2*PI()*(s_0+7*s_r+IF(circ_int,eq_c1/2,0)))/INDEX(lk_legs,8))&lt;(((2*IF(circ_int,0,eq_c2/2))+(PI()*(s_0+7*s_r+IF(circ_int,eq_c1/2,0))/2))+2*IF(circ_int,0,eq_c1/2)),IF(circ_int,0,eq_c1/2)-(((45+0.5)*(4*IF(circ_int,0,eq_c1/2)+4*IF(circ_int,0,eq_c2/2)+2*PI()*(s_0+7*s_r+IF(circ_int,eq_c1/2,0)))/INDEX(lk_legs,8))-((2*IF(circ_int,0,eq_c2/2))+(PI()*(s_0+7*s_r+IF(circ_int,eq_c1/2,0))/2))),IF(((45+0.5)*(4*IF(circ_int,0,eq_c1/2)+4*IF(circ_int,0,eq_c2/2)+2*PI()*(s_0+7*s_r+IF(circ_int,eq_c1/2,0)))/INDEX(lk_legs,8))&lt;((((2*IF(circ_int,0,eq_c2/2))+(PI()*(s_0+7*s_r+IF(circ_int,eq_c1/2,0))/2))+2*IF(circ_int,0,eq_c1/2))+(PI()*(s_0+7*s_r+IF(circ_int,eq_c1/2,0))/2)),-IF(circ_int,0,eq_c1/2)+(s_0+7*s_r+IF(circ_int,eq_c1/2,0))*COS(PI()/2+(((45+0.5)*(4*IF(circ_int,0,eq_c1/2)+4*IF(circ_int,0,eq_c2/2)+2*PI()*(s_0+7*s_r+IF(circ_int,eq_c1/2,0)))/INDEX(lk_legs,8))-(((2*IF(circ_int,0,eq_c2/2))+(PI()*(s_0+7*s_r+IF(circ_int,eq_c1/2,0))/2))+2*IF(circ_int,0,eq_c1/2)))/(s_0+7*s_r+IF(circ_int,eq_c1/2,0))),IF(((45+0.5)*(4*IF(circ_int,0,eq_c1/2)+4*IF(circ_int,0,eq_c2/2)+2*PI()*(s_0+7*s_r+IF(circ_int,eq_c1/2,0)))/INDEX(lk_legs,8))&lt;(((((2*IF(circ_int,0,eq_c2/2))+(PI()*(s_0+7*s_r+IF(circ_int,eq_c1/2,0))/2))+2*IF(circ_int,0,eq_c1/2))+(PI()*(s_0+7*s_r+IF(circ_int,eq_c1/2,0))/2))+2*IF(circ_int,0,eq_c2/2)),-IF(circ_int,0,eq_c1/2)-(s_0+7*s_r+IF(circ_int,eq_c1/2,0)),IF(((45+0.5)*(4*IF(circ_int,0,eq_c1/2)+4*IF(circ_int,0,eq_c2/2)+2*PI()*(s_0+7*s_r+IF(circ_int,eq_c1/2,0)))/INDEX(lk_legs,8))&lt;((((((2*IF(circ_int,0,eq_c2/2))+(PI()*(s_0+7*s_r+IF(circ_int,eq_c1/2,0))/2))+2*IF(circ_int,0,eq_c1/2))+(PI()*(s_0+7*s_r+IF(circ_int,eq_c1/2,0))/2))+2*IF(circ_int,0,eq_c2/2))+(PI()*(s_0+7*s_r+IF(circ_int,eq_c1/2,0))/2)),-IF(circ_int,0,eq_c1/2)+(s_0+7*s_r+IF(circ_int,eq_c1/2,0))*COS(PI()+(((45+0.5)*(4*IF(circ_int,0,eq_c1/2)+4*IF(circ_int,0,eq_c2/2)+2*PI()*(s_0+7*s_r+IF(circ_int,eq_c1/2,0)))/INDEX(lk_legs,8))-(((((2*IF(circ_int,0,eq_c2/2))+(PI()*(s_0+7*s_r+IF(circ_int,eq_c1/2,0))/2))+2*IF(circ_int,0,eq_c1/2))+(PI()*(s_0+7*s_r+IF(circ_int,eq_c1/2,0))/2))+2*IF(circ_int,0,eq_c2/2)))/(s_0+7*s_r+IF(circ_int,eq_c1/2,0))),IF(((45+0.5)*(4*IF(circ_int,0,eq_c1/2)+4*IF(circ_int,0,eq_c2/2)+2*PI()*(s_0+7*s_r+IF(circ_int,eq_c1/2,0)))/INDEX(lk_legs,8))&lt;(((((((2*IF(circ_int,0,eq_c2/2))+(PI()*(s_0+7*s_r+IF(circ_int,eq_c1/2,0))/2))+2*IF(circ_int,0,eq_c1/2))+(PI()*(s_0+7*s_r+IF(circ_int,eq_c1/2,0))/2))+2*IF(circ_int,0,eq_c2/2))+(PI()*(s_0+7*s_r+IF(circ_int,eq_c1/2,0))/2))+2*IF(circ_int,0,eq_c1/2)),-IF(circ_int,0,eq_c1/2)+(((45+0.5)*(4*IF(circ_int,0,eq_c1/2)+4*IF(circ_int,0,eq_c2/2)+2*PI()*(s_0+7*s_r+IF(circ_int,eq_c1/2,0)))/INDEX(lk_legs,8))-((((((2*IF(circ_int,0,eq_c2/2))+(PI()*(s_0+7*s_r+IF(circ_int,eq_c1/2,0))/2))+2*IF(circ_int,0,eq_c1/2))+(PI()*(s_0+7*s_r+IF(circ_int,eq_c1/2,0))/2))+2*IF(circ_int,0,eq_c2/2))+(PI()*(s_0+7*s_r+IF(circ_int,eq_c1/2,0))/2))),IF(circ_int,0,eq_c1/2)+(s_0+7*s_r+IF(circ_int,eq_c1/2,0))*COS(3*PI()/2+(((45+0.5)*(4*IF(circ_int,0,eq_c1/2)+4*IF(circ_int,0,eq_c2/2)+2*PI()*(s_0+7*s_r+IF(circ_int,eq_c1/2,0)))/INDEX(lk_legs,8))-(((((((2*IF(circ_int,0,eq_c2/2))+(PI()*(s_0+7*s_r+IF(circ_int,eq_c1/2,0))/2))+2*IF(circ_int,0,eq_c1/2))+(PI()*(s_0+7*s_r+IF(circ_int,eq_c1/2,0))/2))+2*IF(circ_int,0,eq_c2/2))+(PI()*(s_0+7*s_r+IF(circ_int,eq_c1/2,0))/2))+2*IF(circ_int,0,eq_c1/2)))/(s_0+7*s_r+IF(circ_int,eq_c1/2,0)))))))))),NA())</f>
        <v/>
      </c>
      <c r="CQ48">
        <f>IF(AND(AND(links_on,8&lt;=n_per),INDEX(lk_kind,8)=1,45&lt;INDEX(lk_legs,8)),g_oy+IF(((45+0.5)*(4*IF(circ_int,0,eq_c1/2)+4*IF(circ_int,0,eq_c2/2)+2*PI()*(s_0+7*s_r+IF(circ_int,eq_c1/2,0)))/INDEX(lk_legs,8))&lt;(2*IF(circ_int,0,eq_c2/2)),-IF(circ_int,0,eq_c2/2)+((45+0.5)*(4*IF(circ_int,0,eq_c1/2)+4*IF(circ_int,0,eq_c2/2)+2*PI()*(s_0+7*s_r+IF(circ_int,eq_c1/2,0)))/INDEX(lk_legs,8)),IF(((45+0.5)*(4*IF(circ_int,0,eq_c1/2)+4*IF(circ_int,0,eq_c2/2)+2*PI()*(s_0+7*s_r+IF(circ_int,eq_c1/2,0)))/INDEX(lk_legs,8))&lt;((2*IF(circ_int,0,eq_c2/2))+(PI()*(s_0+7*s_r+IF(circ_int,eq_c1/2,0))/2)),IF(circ_int,0,eq_c2/2)+(s_0+7*s_r+IF(circ_int,eq_c1/2,0))*SIN((((45+0.5)*(4*IF(circ_int,0,eq_c1/2)+4*IF(circ_int,0,eq_c2/2)+2*PI()*(s_0+7*s_r+IF(circ_int,eq_c1/2,0)))/INDEX(lk_legs,8))-(2*IF(circ_int,0,eq_c2/2)))/(s_0+7*s_r+IF(circ_int,eq_c1/2,0))),IF(((45+0.5)*(4*IF(circ_int,0,eq_c1/2)+4*IF(circ_int,0,eq_c2/2)+2*PI()*(s_0+7*s_r+IF(circ_int,eq_c1/2,0)))/INDEX(lk_legs,8))&lt;(((2*IF(circ_int,0,eq_c2/2))+(PI()*(s_0+7*s_r+IF(circ_int,eq_c1/2,0))/2))+2*IF(circ_int,0,eq_c1/2)),IF(circ_int,0,eq_c2/2)+(s_0+7*s_r+IF(circ_int,eq_c1/2,0)),IF(((45+0.5)*(4*IF(circ_int,0,eq_c1/2)+4*IF(circ_int,0,eq_c2/2)+2*PI()*(s_0+7*s_r+IF(circ_int,eq_c1/2,0)))/INDEX(lk_legs,8))&lt;((((2*IF(circ_int,0,eq_c2/2))+(PI()*(s_0+7*s_r+IF(circ_int,eq_c1/2,0))/2))+2*IF(circ_int,0,eq_c1/2))+(PI()*(s_0+7*s_r+IF(circ_int,eq_c1/2,0))/2)),IF(circ_int,0,eq_c2/2)+(s_0+7*s_r+IF(circ_int,eq_c1/2,0))*SIN(PI()/2+(((45+0.5)*(4*IF(circ_int,0,eq_c1/2)+4*IF(circ_int,0,eq_c2/2)+2*PI()*(s_0+7*s_r+IF(circ_int,eq_c1/2,0)))/INDEX(lk_legs,8))-(((2*IF(circ_int,0,eq_c2/2))+(PI()*(s_0+7*s_r+IF(circ_int,eq_c1/2,0))/2))+2*IF(circ_int,0,eq_c1/2)))/(s_0+7*s_r+IF(circ_int,eq_c1/2,0))),IF(((45+0.5)*(4*IF(circ_int,0,eq_c1/2)+4*IF(circ_int,0,eq_c2/2)+2*PI()*(s_0+7*s_r+IF(circ_int,eq_c1/2,0)))/INDEX(lk_legs,8))&lt;(((((2*IF(circ_int,0,eq_c2/2))+(PI()*(s_0+7*s_r+IF(circ_int,eq_c1/2,0))/2))+2*IF(circ_int,0,eq_c1/2))+(PI()*(s_0+7*s_r+IF(circ_int,eq_c1/2,0))/2))+2*IF(circ_int,0,eq_c2/2)),IF(circ_int,0,eq_c2/2)-(((45+0.5)*(4*IF(circ_int,0,eq_c1/2)+4*IF(circ_int,0,eq_c2/2)+2*PI()*(s_0+7*s_r+IF(circ_int,eq_c1/2,0)))/INDEX(lk_legs,8))-((((2*IF(circ_int,0,eq_c2/2))+(PI()*(s_0+7*s_r+IF(circ_int,eq_c1/2,0))/2))+2*IF(circ_int,0,eq_c1/2))+(PI()*(s_0+7*s_r+IF(circ_int,eq_c1/2,0))/2))),IF(((45+0.5)*(4*IF(circ_int,0,eq_c1/2)+4*IF(circ_int,0,eq_c2/2)+2*PI()*(s_0+7*s_r+IF(circ_int,eq_c1/2,0)))/INDEX(lk_legs,8))&lt;((((((2*IF(circ_int,0,eq_c2/2))+(PI()*(s_0+7*s_r+IF(circ_int,eq_c1/2,0))/2))+2*IF(circ_int,0,eq_c1/2))+(PI()*(s_0+7*s_r+IF(circ_int,eq_c1/2,0))/2))+2*IF(circ_int,0,eq_c2/2))+(PI()*(s_0+7*s_r+IF(circ_int,eq_c1/2,0))/2)),-IF(circ_int,0,eq_c2/2)+(s_0+7*s_r+IF(circ_int,eq_c1/2,0))*SIN(PI()+(((45+0.5)*(4*IF(circ_int,0,eq_c1/2)+4*IF(circ_int,0,eq_c2/2)+2*PI()*(s_0+7*s_r+IF(circ_int,eq_c1/2,0)))/INDEX(lk_legs,8))-(((((2*IF(circ_int,0,eq_c2/2))+(PI()*(s_0+7*s_r+IF(circ_int,eq_c1/2,0))/2))+2*IF(circ_int,0,eq_c1/2))+(PI()*(s_0+7*s_r+IF(circ_int,eq_c1/2,0))/2))+2*IF(circ_int,0,eq_c2/2)))/(s_0+7*s_r+IF(circ_int,eq_c1/2,0))),IF(((45+0.5)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(45+0.5)*(4*IF(circ_int,0,eq_c1/2)+4*IF(circ_int,0,eq_c2/2)+2*PI()*(s_0+7*s_r+IF(circ_int,eq_c1/2,0)))/INDEX(lk_legs,8))-(((((((2*IF(circ_int,0,eq_c2/2))+(PI()*(s_0+7*s_r+IF(circ_int,eq_c1/2,0))/2))+2*IF(circ_int,0,eq_c1/2))+(PI()*(s_0+7*s_r+IF(circ_int,eq_c1/2,0))/2))+2*IF(circ_int,0,eq_c2/2))+(PI()*(s_0+7*s_r+IF(circ_int,eq_c1/2,0))/2))+2*IF(circ_int,0,eq_c1/2)))/(s_0+7*s_r+IF(circ_int,eq_c1/2,0)))))))))),NA())</f>
        <v/>
      </c>
      <c r="CS48">
        <f>IF(AND(links_on,9&lt;=n_per),IF(circ_int,(g_ox)+(c_1/2+(s_0+8*s_r))*0.663123,CHOOSE(INDEX(lk_kind,9),(g_ox+eq_c1/2)+((s_0+8*s_r))*0.707107,0,eq_a1+eq_c1+(s_0+8*s_r),eq_a1+eq_c1+(s_0+8*s_r))),NA())</f>
        <v/>
      </c>
      <c r="CT48">
        <f>IF(AND(links_on,9&lt;=n_per),IF(circ_int,(g_oy)+(c_1/2+(s_0+8*s_r))*-0.748511,CHOOSE(INDEX(lk_kind,9),(g_oy-eq_c2/2)+((s_0+8*s_r))*-0.707107,g_oy-eq_c2/2-(s_0+8*s_r),0,0)),NA())</f>
        <v/>
      </c>
      <c r="CV48">
        <f>IF(AND(AND(links_on,9&lt;=n_per),INDEX(lk_kind,9)=1,45&lt;INDEX(lk_legs,9)),g_ox+IF(((45+0.5)*(4*IF(circ_int,0,eq_c1/2)+4*IF(circ_int,0,eq_c2/2)+2*PI()*(s_0+8*s_r+IF(circ_int,eq_c1/2,0)))/INDEX(lk_legs,9))&lt;(2*IF(circ_int,0,eq_c2/2)),IF(circ_int,0,eq_c1/2)+(s_0+8*s_r+IF(circ_int,eq_c1/2,0)),IF(((45+0.5)*(4*IF(circ_int,0,eq_c1/2)+4*IF(circ_int,0,eq_c2/2)+2*PI()*(s_0+8*s_r+IF(circ_int,eq_c1/2,0)))/INDEX(lk_legs,9))&lt;((2*IF(circ_int,0,eq_c2/2))+(PI()*(s_0+8*s_r+IF(circ_int,eq_c1/2,0))/2)),IF(circ_int,0,eq_c1/2)+(s_0+8*s_r+IF(circ_int,eq_c1/2,0))*COS((((45+0.5)*(4*IF(circ_int,0,eq_c1/2)+4*IF(circ_int,0,eq_c2/2)+2*PI()*(s_0+8*s_r+IF(circ_int,eq_c1/2,0)))/INDEX(lk_legs,9))-(2*IF(circ_int,0,eq_c2/2)))/(s_0+8*s_r+IF(circ_int,eq_c1/2,0))),IF(((45+0.5)*(4*IF(circ_int,0,eq_c1/2)+4*IF(circ_int,0,eq_c2/2)+2*PI()*(s_0+8*s_r+IF(circ_int,eq_c1/2,0)))/INDEX(lk_legs,9))&lt;(((2*IF(circ_int,0,eq_c2/2))+(PI()*(s_0+8*s_r+IF(circ_int,eq_c1/2,0))/2))+2*IF(circ_int,0,eq_c1/2)),IF(circ_int,0,eq_c1/2)-(((45+0.5)*(4*IF(circ_int,0,eq_c1/2)+4*IF(circ_int,0,eq_c2/2)+2*PI()*(s_0+8*s_r+IF(circ_int,eq_c1/2,0)))/INDEX(lk_legs,9))-((2*IF(circ_int,0,eq_c2/2))+(PI()*(s_0+8*s_r+IF(circ_int,eq_c1/2,0))/2))),IF(((45+0.5)*(4*IF(circ_int,0,eq_c1/2)+4*IF(circ_int,0,eq_c2/2)+2*PI()*(s_0+8*s_r+IF(circ_int,eq_c1/2,0)))/INDEX(lk_legs,9))&lt;((((2*IF(circ_int,0,eq_c2/2))+(PI()*(s_0+8*s_r+IF(circ_int,eq_c1/2,0))/2))+2*IF(circ_int,0,eq_c1/2))+(PI()*(s_0+8*s_r+IF(circ_int,eq_c1/2,0))/2)),-IF(circ_int,0,eq_c1/2)+(s_0+8*s_r+IF(circ_int,eq_c1/2,0))*COS(PI()/2+(((45+0.5)*(4*IF(circ_int,0,eq_c1/2)+4*IF(circ_int,0,eq_c2/2)+2*PI()*(s_0+8*s_r+IF(circ_int,eq_c1/2,0)))/INDEX(lk_legs,9))-(((2*IF(circ_int,0,eq_c2/2))+(PI()*(s_0+8*s_r+IF(circ_int,eq_c1/2,0))/2))+2*IF(circ_int,0,eq_c1/2)))/(s_0+8*s_r+IF(circ_int,eq_c1/2,0))),IF(((45+0.5)*(4*IF(circ_int,0,eq_c1/2)+4*IF(circ_int,0,eq_c2/2)+2*PI()*(s_0+8*s_r+IF(circ_int,eq_c1/2,0)))/INDEX(lk_legs,9))&lt;(((((2*IF(circ_int,0,eq_c2/2))+(PI()*(s_0+8*s_r+IF(circ_int,eq_c1/2,0))/2))+2*IF(circ_int,0,eq_c1/2))+(PI()*(s_0+8*s_r+IF(circ_int,eq_c1/2,0))/2))+2*IF(circ_int,0,eq_c2/2)),-IF(circ_int,0,eq_c1/2)-(s_0+8*s_r+IF(circ_int,eq_c1/2,0)),IF(((45+0.5)*(4*IF(circ_int,0,eq_c1/2)+4*IF(circ_int,0,eq_c2/2)+2*PI()*(s_0+8*s_r+IF(circ_int,eq_c1/2,0)))/INDEX(lk_legs,9))&lt;((((((2*IF(circ_int,0,eq_c2/2))+(PI()*(s_0+8*s_r+IF(circ_int,eq_c1/2,0))/2))+2*IF(circ_int,0,eq_c1/2))+(PI()*(s_0+8*s_r+IF(circ_int,eq_c1/2,0))/2))+2*IF(circ_int,0,eq_c2/2))+(PI()*(s_0+8*s_r+IF(circ_int,eq_c1/2,0))/2)),-IF(circ_int,0,eq_c1/2)+(s_0+8*s_r+IF(circ_int,eq_c1/2,0))*COS(PI()+(((45+0.5)*(4*IF(circ_int,0,eq_c1/2)+4*IF(circ_int,0,eq_c2/2)+2*PI()*(s_0+8*s_r+IF(circ_int,eq_c1/2,0)))/INDEX(lk_legs,9))-(((((2*IF(circ_int,0,eq_c2/2))+(PI()*(s_0+8*s_r+IF(circ_int,eq_c1/2,0))/2))+2*IF(circ_int,0,eq_c1/2))+(PI()*(s_0+8*s_r+IF(circ_int,eq_c1/2,0))/2))+2*IF(circ_int,0,eq_c2/2)))/(s_0+8*s_r+IF(circ_int,eq_c1/2,0))),IF(((45+0.5)*(4*IF(circ_int,0,eq_c1/2)+4*IF(circ_int,0,eq_c2/2)+2*PI()*(s_0+8*s_r+IF(circ_int,eq_c1/2,0)))/INDEX(lk_legs,9))&lt;(((((((2*IF(circ_int,0,eq_c2/2))+(PI()*(s_0+8*s_r+IF(circ_int,eq_c1/2,0))/2))+2*IF(circ_int,0,eq_c1/2))+(PI()*(s_0+8*s_r+IF(circ_int,eq_c1/2,0))/2))+2*IF(circ_int,0,eq_c2/2))+(PI()*(s_0+8*s_r+IF(circ_int,eq_c1/2,0))/2))+2*IF(circ_int,0,eq_c1/2)),-IF(circ_int,0,eq_c1/2)+(((45+0.5)*(4*IF(circ_int,0,eq_c1/2)+4*IF(circ_int,0,eq_c2/2)+2*PI()*(s_0+8*s_r+IF(circ_int,eq_c1/2,0)))/INDEX(lk_legs,9))-((((((2*IF(circ_int,0,eq_c2/2))+(PI()*(s_0+8*s_r+IF(circ_int,eq_c1/2,0))/2))+2*IF(circ_int,0,eq_c1/2))+(PI()*(s_0+8*s_r+IF(circ_int,eq_c1/2,0))/2))+2*IF(circ_int,0,eq_c2/2))+(PI()*(s_0+8*s_r+IF(circ_int,eq_c1/2,0))/2))),IF(circ_int,0,eq_c1/2)+(s_0+8*s_r+IF(circ_int,eq_c1/2,0))*COS(3*PI()/2+(((45+0.5)*(4*IF(circ_int,0,eq_c1/2)+4*IF(circ_int,0,eq_c2/2)+2*PI()*(s_0+8*s_r+IF(circ_int,eq_c1/2,0)))/INDEX(lk_legs,9))-(((((((2*IF(circ_int,0,eq_c2/2))+(PI()*(s_0+8*s_r+IF(circ_int,eq_c1/2,0))/2))+2*IF(circ_int,0,eq_c1/2))+(PI()*(s_0+8*s_r+IF(circ_int,eq_c1/2,0))/2))+2*IF(circ_int,0,eq_c2/2))+(PI()*(s_0+8*s_r+IF(circ_int,eq_c1/2,0))/2))+2*IF(circ_int,0,eq_c1/2)))/(s_0+8*s_r+IF(circ_int,eq_c1/2,0)))))))))),NA())</f>
        <v/>
      </c>
      <c r="CW48">
        <f>IF(AND(AND(links_on,9&lt;=n_per),INDEX(lk_kind,9)=1,45&lt;INDEX(lk_legs,9)),g_oy+IF(((45+0.5)*(4*IF(circ_int,0,eq_c1/2)+4*IF(circ_int,0,eq_c2/2)+2*PI()*(s_0+8*s_r+IF(circ_int,eq_c1/2,0)))/INDEX(lk_legs,9))&lt;(2*IF(circ_int,0,eq_c2/2)),-IF(circ_int,0,eq_c2/2)+((45+0.5)*(4*IF(circ_int,0,eq_c1/2)+4*IF(circ_int,0,eq_c2/2)+2*PI()*(s_0+8*s_r+IF(circ_int,eq_c1/2,0)))/INDEX(lk_legs,9)),IF(((45+0.5)*(4*IF(circ_int,0,eq_c1/2)+4*IF(circ_int,0,eq_c2/2)+2*PI()*(s_0+8*s_r+IF(circ_int,eq_c1/2,0)))/INDEX(lk_legs,9))&lt;((2*IF(circ_int,0,eq_c2/2))+(PI()*(s_0+8*s_r+IF(circ_int,eq_c1/2,0))/2)),IF(circ_int,0,eq_c2/2)+(s_0+8*s_r+IF(circ_int,eq_c1/2,0))*SIN((((45+0.5)*(4*IF(circ_int,0,eq_c1/2)+4*IF(circ_int,0,eq_c2/2)+2*PI()*(s_0+8*s_r+IF(circ_int,eq_c1/2,0)))/INDEX(lk_legs,9))-(2*IF(circ_int,0,eq_c2/2)))/(s_0+8*s_r+IF(circ_int,eq_c1/2,0))),IF(((45+0.5)*(4*IF(circ_int,0,eq_c1/2)+4*IF(circ_int,0,eq_c2/2)+2*PI()*(s_0+8*s_r+IF(circ_int,eq_c1/2,0)))/INDEX(lk_legs,9))&lt;(((2*IF(circ_int,0,eq_c2/2))+(PI()*(s_0+8*s_r+IF(circ_int,eq_c1/2,0))/2))+2*IF(circ_int,0,eq_c1/2)),IF(circ_int,0,eq_c2/2)+(s_0+8*s_r+IF(circ_int,eq_c1/2,0)),IF(((45+0.5)*(4*IF(circ_int,0,eq_c1/2)+4*IF(circ_int,0,eq_c2/2)+2*PI()*(s_0+8*s_r+IF(circ_int,eq_c1/2,0)))/INDEX(lk_legs,9))&lt;((((2*IF(circ_int,0,eq_c2/2))+(PI()*(s_0+8*s_r+IF(circ_int,eq_c1/2,0))/2))+2*IF(circ_int,0,eq_c1/2))+(PI()*(s_0+8*s_r+IF(circ_int,eq_c1/2,0))/2)),IF(circ_int,0,eq_c2/2)+(s_0+8*s_r+IF(circ_int,eq_c1/2,0))*SIN(PI()/2+(((45+0.5)*(4*IF(circ_int,0,eq_c1/2)+4*IF(circ_int,0,eq_c2/2)+2*PI()*(s_0+8*s_r+IF(circ_int,eq_c1/2,0)))/INDEX(lk_legs,9))-(((2*IF(circ_int,0,eq_c2/2))+(PI()*(s_0+8*s_r+IF(circ_int,eq_c1/2,0))/2))+2*IF(circ_int,0,eq_c1/2)))/(s_0+8*s_r+IF(circ_int,eq_c1/2,0))),IF(((45+0.5)*(4*IF(circ_int,0,eq_c1/2)+4*IF(circ_int,0,eq_c2/2)+2*PI()*(s_0+8*s_r+IF(circ_int,eq_c1/2,0)))/INDEX(lk_legs,9))&lt;(((((2*IF(circ_int,0,eq_c2/2))+(PI()*(s_0+8*s_r+IF(circ_int,eq_c1/2,0))/2))+2*IF(circ_int,0,eq_c1/2))+(PI()*(s_0+8*s_r+IF(circ_int,eq_c1/2,0))/2))+2*IF(circ_int,0,eq_c2/2)),IF(circ_int,0,eq_c2/2)-(((45+0.5)*(4*IF(circ_int,0,eq_c1/2)+4*IF(circ_int,0,eq_c2/2)+2*PI()*(s_0+8*s_r+IF(circ_int,eq_c1/2,0)))/INDEX(lk_legs,9))-((((2*IF(circ_int,0,eq_c2/2))+(PI()*(s_0+8*s_r+IF(circ_int,eq_c1/2,0))/2))+2*IF(circ_int,0,eq_c1/2))+(PI()*(s_0+8*s_r+IF(circ_int,eq_c1/2,0))/2))),IF(((45+0.5)*(4*IF(circ_int,0,eq_c1/2)+4*IF(circ_int,0,eq_c2/2)+2*PI()*(s_0+8*s_r+IF(circ_int,eq_c1/2,0)))/INDEX(lk_legs,9))&lt;((((((2*IF(circ_int,0,eq_c2/2))+(PI()*(s_0+8*s_r+IF(circ_int,eq_c1/2,0))/2))+2*IF(circ_int,0,eq_c1/2))+(PI()*(s_0+8*s_r+IF(circ_int,eq_c1/2,0))/2))+2*IF(circ_int,0,eq_c2/2))+(PI()*(s_0+8*s_r+IF(circ_int,eq_c1/2,0))/2)),-IF(circ_int,0,eq_c2/2)+(s_0+8*s_r+IF(circ_int,eq_c1/2,0))*SIN(PI()+(((45+0.5)*(4*IF(circ_int,0,eq_c1/2)+4*IF(circ_int,0,eq_c2/2)+2*PI()*(s_0+8*s_r+IF(circ_int,eq_c1/2,0)))/INDEX(lk_legs,9))-(((((2*IF(circ_int,0,eq_c2/2))+(PI()*(s_0+8*s_r+IF(circ_int,eq_c1/2,0))/2))+2*IF(circ_int,0,eq_c1/2))+(PI()*(s_0+8*s_r+IF(circ_int,eq_c1/2,0))/2))+2*IF(circ_int,0,eq_c2/2)))/(s_0+8*s_r+IF(circ_int,eq_c1/2,0))),IF(((45+0.5)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(45+0.5)*(4*IF(circ_int,0,eq_c1/2)+4*IF(circ_int,0,eq_c2/2)+2*PI()*(s_0+8*s_r+IF(circ_int,eq_c1/2,0)))/INDEX(lk_legs,9))-(((((((2*IF(circ_int,0,eq_c2/2))+(PI()*(s_0+8*s_r+IF(circ_int,eq_c1/2,0))/2))+2*IF(circ_int,0,eq_c1/2))+(PI()*(s_0+8*s_r+IF(circ_int,eq_c1/2,0))/2))+2*IF(circ_int,0,eq_c2/2))+(PI()*(s_0+8*s_r+IF(circ_int,eq_c1/2,0))/2))+2*IF(circ_int,0,eq_c1/2)))/(s_0+8*s_r+IF(circ_int,eq_c1/2,0)))))))))),NA())</f>
        <v/>
      </c>
      <c r="CY48">
        <f>IF(AND(links_on,10&lt;=n_per),IF(circ_int,(g_ox)+(c_1/2+(s_0+9*s_r))*0.663123,CHOOSE(INDEX(lk_kind,10),(g_ox+eq_c1/2)+((s_0+9*s_r))*0.707107,0,eq_a1+eq_c1+(s_0+9*s_r),eq_a1+eq_c1+(s_0+9*s_r))),NA())</f>
        <v/>
      </c>
      <c r="CZ48">
        <f>IF(AND(links_on,10&lt;=n_per),IF(circ_int,(g_oy)+(c_1/2+(s_0+9*s_r))*-0.748511,CHOOSE(INDEX(lk_kind,10),(g_oy-eq_c2/2)+((s_0+9*s_r))*-0.707107,g_oy-eq_c2/2-(s_0+9*s_r),0,0)),NA())</f>
        <v/>
      </c>
      <c r="DB48">
        <f>IF(AND(AND(links_on,10&lt;=n_per),INDEX(lk_kind,10)=1,45&lt;INDEX(lk_legs,10)),g_ox+IF(((45+0.5)*(4*IF(circ_int,0,eq_c1/2)+4*IF(circ_int,0,eq_c2/2)+2*PI()*(s_0+9*s_r+IF(circ_int,eq_c1/2,0)))/INDEX(lk_legs,10))&lt;(2*IF(circ_int,0,eq_c2/2)),IF(circ_int,0,eq_c1/2)+(s_0+9*s_r+IF(circ_int,eq_c1/2,0)),IF(((45+0.5)*(4*IF(circ_int,0,eq_c1/2)+4*IF(circ_int,0,eq_c2/2)+2*PI()*(s_0+9*s_r+IF(circ_int,eq_c1/2,0)))/INDEX(lk_legs,10))&lt;((2*IF(circ_int,0,eq_c2/2))+(PI()*(s_0+9*s_r+IF(circ_int,eq_c1/2,0))/2)),IF(circ_int,0,eq_c1/2)+(s_0+9*s_r+IF(circ_int,eq_c1/2,0))*COS((((45+0.5)*(4*IF(circ_int,0,eq_c1/2)+4*IF(circ_int,0,eq_c2/2)+2*PI()*(s_0+9*s_r+IF(circ_int,eq_c1/2,0)))/INDEX(lk_legs,10))-(2*IF(circ_int,0,eq_c2/2)))/(s_0+9*s_r+IF(circ_int,eq_c1/2,0))),IF(((45+0.5)*(4*IF(circ_int,0,eq_c1/2)+4*IF(circ_int,0,eq_c2/2)+2*PI()*(s_0+9*s_r+IF(circ_int,eq_c1/2,0)))/INDEX(lk_legs,10))&lt;(((2*IF(circ_int,0,eq_c2/2))+(PI()*(s_0+9*s_r+IF(circ_int,eq_c1/2,0))/2))+2*IF(circ_int,0,eq_c1/2)),IF(circ_int,0,eq_c1/2)-(((45+0.5)*(4*IF(circ_int,0,eq_c1/2)+4*IF(circ_int,0,eq_c2/2)+2*PI()*(s_0+9*s_r+IF(circ_int,eq_c1/2,0)))/INDEX(lk_legs,10))-((2*IF(circ_int,0,eq_c2/2))+(PI()*(s_0+9*s_r+IF(circ_int,eq_c1/2,0))/2))),IF(((45+0.5)*(4*IF(circ_int,0,eq_c1/2)+4*IF(circ_int,0,eq_c2/2)+2*PI()*(s_0+9*s_r+IF(circ_int,eq_c1/2,0)))/INDEX(lk_legs,10))&lt;((((2*IF(circ_int,0,eq_c2/2))+(PI()*(s_0+9*s_r+IF(circ_int,eq_c1/2,0))/2))+2*IF(circ_int,0,eq_c1/2))+(PI()*(s_0+9*s_r+IF(circ_int,eq_c1/2,0))/2)),-IF(circ_int,0,eq_c1/2)+(s_0+9*s_r+IF(circ_int,eq_c1/2,0))*COS(PI()/2+(((45+0.5)*(4*IF(circ_int,0,eq_c1/2)+4*IF(circ_int,0,eq_c2/2)+2*PI()*(s_0+9*s_r+IF(circ_int,eq_c1/2,0)))/INDEX(lk_legs,10))-(((2*IF(circ_int,0,eq_c2/2))+(PI()*(s_0+9*s_r+IF(circ_int,eq_c1/2,0))/2))+2*IF(circ_int,0,eq_c1/2)))/(s_0+9*s_r+IF(circ_int,eq_c1/2,0))),IF(((45+0.5)*(4*IF(circ_int,0,eq_c1/2)+4*IF(circ_int,0,eq_c2/2)+2*PI()*(s_0+9*s_r+IF(circ_int,eq_c1/2,0)))/INDEX(lk_legs,10))&lt;(((((2*IF(circ_int,0,eq_c2/2))+(PI()*(s_0+9*s_r+IF(circ_int,eq_c1/2,0))/2))+2*IF(circ_int,0,eq_c1/2))+(PI()*(s_0+9*s_r+IF(circ_int,eq_c1/2,0))/2))+2*IF(circ_int,0,eq_c2/2)),-IF(circ_int,0,eq_c1/2)-(s_0+9*s_r+IF(circ_int,eq_c1/2,0)),IF(((45+0.5)*(4*IF(circ_int,0,eq_c1/2)+4*IF(circ_int,0,eq_c2/2)+2*PI()*(s_0+9*s_r+IF(circ_int,eq_c1/2,0)))/INDEX(lk_legs,10))&lt;((((((2*IF(circ_int,0,eq_c2/2))+(PI()*(s_0+9*s_r+IF(circ_int,eq_c1/2,0))/2))+2*IF(circ_int,0,eq_c1/2))+(PI()*(s_0+9*s_r+IF(circ_int,eq_c1/2,0))/2))+2*IF(circ_int,0,eq_c2/2))+(PI()*(s_0+9*s_r+IF(circ_int,eq_c1/2,0))/2)),-IF(circ_int,0,eq_c1/2)+(s_0+9*s_r+IF(circ_int,eq_c1/2,0))*COS(PI()+(((45+0.5)*(4*IF(circ_int,0,eq_c1/2)+4*IF(circ_int,0,eq_c2/2)+2*PI()*(s_0+9*s_r+IF(circ_int,eq_c1/2,0)))/INDEX(lk_legs,10))-(((((2*IF(circ_int,0,eq_c2/2))+(PI()*(s_0+9*s_r+IF(circ_int,eq_c1/2,0))/2))+2*IF(circ_int,0,eq_c1/2))+(PI()*(s_0+9*s_r+IF(circ_int,eq_c1/2,0))/2))+2*IF(circ_int,0,eq_c2/2)))/(s_0+9*s_r+IF(circ_int,eq_c1/2,0))),IF(((45+0.5)*(4*IF(circ_int,0,eq_c1/2)+4*IF(circ_int,0,eq_c2/2)+2*PI()*(s_0+9*s_r+IF(circ_int,eq_c1/2,0)))/INDEX(lk_legs,10))&lt;(((((((2*IF(circ_int,0,eq_c2/2))+(PI()*(s_0+9*s_r+IF(circ_int,eq_c1/2,0))/2))+2*IF(circ_int,0,eq_c1/2))+(PI()*(s_0+9*s_r+IF(circ_int,eq_c1/2,0))/2))+2*IF(circ_int,0,eq_c2/2))+(PI()*(s_0+9*s_r+IF(circ_int,eq_c1/2,0))/2))+2*IF(circ_int,0,eq_c1/2)),-IF(circ_int,0,eq_c1/2)+(((45+0.5)*(4*IF(circ_int,0,eq_c1/2)+4*IF(circ_int,0,eq_c2/2)+2*PI()*(s_0+9*s_r+IF(circ_int,eq_c1/2,0)))/INDEX(lk_legs,10))-((((((2*IF(circ_int,0,eq_c2/2))+(PI()*(s_0+9*s_r+IF(circ_int,eq_c1/2,0))/2))+2*IF(circ_int,0,eq_c1/2))+(PI()*(s_0+9*s_r+IF(circ_int,eq_c1/2,0))/2))+2*IF(circ_int,0,eq_c2/2))+(PI()*(s_0+9*s_r+IF(circ_int,eq_c1/2,0))/2))),IF(circ_int,0,eq_c1/2)+(s_0+9*s_r+IF(circ_int,eq_c1/2,0))*COS(3*PI()/2+(((45+0.5)*(4*IF(circ_int,0,eq_c1/2)+4*IF(circ_int,0,eq_c2/2)+2*PI()*(s_0+9*s_r+IF(circ_int,eq_c1/2,0)))/INDEX(lk_legs,10))-(((((((2*IF(circ_int,0,eq_c2/2))+(PI()*(s_0+9*s_r+IF(circ_int,eq_c1/2,0))/2))+2*IF(circ_int,0,eq_c1/2))+(PI()*(s_0+9*s_r+IF(circ_int,eq_c1/2,0))/2))+2*IF(circ_int,0,eq_c2/2))+(PI()*(s_0+9*s_r+IF(circ_int,eq_c1/2,0))/2))+2*IF(circ_int,0,eq_c1/2)))/(s_0+9*s_r+IF(circ_int,eq_c1/2,0)))))))))),NA())</f>
        <v/>
      </c>
      <c r="DC48">
        <f>IF(AND(AND(links_on,10&lt;=n_per),INDEX(lk_kind,10)=1,45&lt;INDEX(lk_legs,10)),g_oy+IF(((45+0.5)*(4*IF(circ_int,0,eq_c1/2)+4*IF(circ_int,0,eq_c2/2)+2*PI()*(s_0+9*s_r+IF(circ_int,eq_c1/2,0)))/INDEX(lk_legs,10))&lt;(2*IF(circ_int,0,eq_c2/2)),-IF(circ_int,0,eq_c2/2)+((45+0.5)*(4*IF(circ_int,0,eq_c1/2)+4*IF(circ_int,0,eq_c2/2)+2*PI()*(s_0+9*s_r+IF(circ_int,eq_c1/2,0)))/INDEX(lk_legs,10)),IF(((45+0.5)*(4*IF(circ_int,0,eq_c1/2)+4*IF(circ_int,0,eq_c2/2)+2*PI()*(s_0+9*s_r+IF(circ_int,eq_c1/2,0)))/INDEX(lk_legs,10))&lt;((2*IF(circ_int,0,eq_c2/2))+(PI()*(s_0+9*s_r+IF(circ_int,eq_c1/2,0))/2)),IF(circ_int,0,eq_c2/2)+(s_0+9*s_r+IF(circ_int,eq_c1/2,0))*SIN((((45+0.5)*(4*IF(circ_int,0,eq_c1/2)+4*IF(circ_int,0,eq_c2/2)+2*PI()*(s_0+9*s_r+IF(circ_int,eq_c1/2,0)))/INDEX(lk_legs,10))-(2*IF(circ_int,0,eq_c2/2)))/(s_0+9*s_r+IF(circ_int,eq_c1/2,0))),IF(((45+0.5)*(4*IF(circ_int,0,eq_c1/2)+4*IF(circ_int,0,eq_c2/2)+2*PI()*(s_0+9*s_r+IF(circ_int,eq_c1/2,0)))/INDEX(lk_legs,10))&lt;(((2*IF(circ_int,0,eq_c2/2))+(PI()*(s_0+9*s_r+IF(circ_int,eq_c1/2,0))/2))+2*IF(circ_int,0,eq_c1/2)),IF(circ_int,0,eq_c2/2)+(s_0+9*s_r+IF(circ_int,eq_c1/2,0)),IF(((45+0.5)*(4*IF(circ_int,0,eq_c1/2)+4*IF(circ_int,0,eq_c2/2)+2*PI()*(s_0+9*s_r+IF(circ_int,eq_c1/2,0)))/INDEX(lk_legs,10))&lt;((((2*IF(circ_int,0,eq_c2/2))+(PI()*(s_0+9*s_r+IF(circ_int,eq_c1/2,0))/2))+2*IF(circ_int,0,eq_c1/2))+(PI()*(s_0+9*s_r+IF(circ_int,eq_c1/2,0))/2)),IF(circ_int,0,eq_c2/2)+(s_0+9*s_r+IF(circ_int,eq_c1/2,0))*SIN(PI()/2+(((45+0.5)*(4*IF(circ_int,0,eq_c1/2)+4*IF(circ_int,0,eq_c2/2)+2*PI()*(s_0+9*s_r+IF(circ_int,eq_c1/2,0)))/INDEX(lk_legs,10))-(((2*IF(circ_int,0,eq_c2/2))+(PI()*(s_0+9*s_r+IF(circ_int,eq_c1/2,0))/2))+2*IF(circ_int,0,eq_c1/2)))/(s_0+9*s_r+IF(circ_int,eq_c1/2,0))),IF(((45+0.5)*(4*IF(circ_int,0,eq_c1/2)+4*IF(circ_int,0,eq_c2/2)+2*PI()*(s_0+9*s_r+IF(circ_int,eq_c1/2,0)))/INDEX(lk_legs,10))&lt;(((((2*IF(circ_int,0,eq_c2/2))+(PI()*(s_0+9*s_r+IF(circ_int,eq_c1/2,0))/2))+2*IF(circ_int,0,eq_c1/2))+(PI()*(s_0+9*s_r+IF(circ_int,eq_c1/2,0))/2))+2*IF(circ_int,0,eq_c2/2)),IF(circ_int,0,eq_c2/2)-(((45+0.5)*(4*IF(circ_int,0,eq_c1/2)+4*IF(circ_int,0,eq_c2/2)+2*PI()*(s_0+9*s_r+IF(circ_int,eq_c1/2,0)))/INDEX(lk_legs,10))-((((2*IF(circ_int,0,eq_c2/2))+(PI()*(s_0+9*s_r+IF(circ_int,eq_c1/2,0))/2))+2*IF(circ_int,0,eq_c1/2))+(PI()*(s_0+9*s_r+IF(circ_int,eq_c1/2,0))/2))),IF(((45+0.5)*(4*IF(circ_int,0,eq_c1/2)+4*IF(circ_int,0,eq_c2/2)+2*PI()*(s_0+9*s_r+IF(circ_int,eq_c1/2,0)))/INDEX(lk_legs,10))&lt;((((((2*IF(circ_int,0,eq_c2/2))+(PI()*(s_0+9*s_r+IF(circ_int,eq_c1/2,0))/2))+2*IF(circ_int,0,eq_c1/2))+(PI()*(s_0+9*s_r+IF(circ_int,eq_c1/2,0))/2))+2*IF(circ_int,0,eq_c2/2))+(PI()*(s_0+9*s_r+IF(circ_int,eq_c1/2,0))/2)),-IF(circ_int,0,eq_c2/2)+(s_0+9*s_r+IF(circ_int,eq_c1/2,0))*SIN(PI()+(((45+0.5)*(4*IF(circ_int,0,eq_c1/2)+4*IF(circ_int,0,eq_c2/2)+2*PI()*(s_0+9*s_r+IF(circ_int,eq_c1/2,0)))/INDEX(lk_legs,10))-(((((2*IF(circ_int,0,eq_c2/2))+(PI()*(s_0+9*s_r+IF(circ_int,eq_c1/2,0))/2))+2*IF(circ_int,0,eq_c1/2))+(PI()*(s_0+9*s_r+IF(circ_int,eq_c1/2,0))/2))+2*IF(circ_int,0,eq_c2/2)))/(s_0+9*s_r+IF(circ_int,eq_c1/2,0))),IF(((45+0.5)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(45+0.5)*(4*IF(circ_int,0,eq_c1/2)+4*IF(circ_int,0,eq_c2/2)+2*PI()*(s_0+9*s_r+IF(circ_int,eq_c1/2,0)))/INDEX(lk_legs,10))-(((((((2*IF(circ_int,0,eq_c2/2))+(PI()*(s_0+9*s_r+IF(circ_int,eq_c1/2,0))/2))+2*IF(circ_int,0,eq_c1/2))+(PI()*(s_0+9*s_r+IF(circ_int,eq_c1/2,0))/2))+2*IF(circ_int,0,eq_c2/2))+(PI()*(s_0+9*s_r+IF(circ_int,eq_c1/2,0))/2))+2*IF(circ_int,0,eq_c1/2)))/(s_0+9*s_r+IF(circ_int,eq_c1/2,0)))))))))),NA())</f>
        <v/>
      </c>
      <c r="DE48">
        <f>IF(AND(links_on,11&lt;=n_per),IF(circ_int,(g_ox)+(c_1/2+(s_0+10*s_r))*0.663123,CHOOSE(INDEX(lk_kind,11),(g_ox+eq_c1/2)+((s_0+10*s_r))*0.707107,0,eq_a1+eq_c1+(s_0+10*s_r),eq_a1+eq_c1+(s_0+10*s_r))),NA())</f>
        <v/>
      </c>
      <c r="DF48">
        <f>IF(AND(links_on,11&lt;=n_per),IF(circ_int,(g_oy)+(c_1/2+(s_0+10*s_r))*-0.748511,CHOOSE(INDEX(lk_kind,11),(g_oy-eq_c2/2)+((s_0+10*s_r))*-0.707107,g_oy-eq_c2/2-(s_0+10*s_r),0,0)),NA())</f>
        <v/>
      </c>
      <c r="DH48">
        <f>IF(AND(AND(links_on,11&lt;=n_per),INDEX(lk_kind,11)=1,45&lt;INDEX(lk_legs,11)),g_ox+IF(((45+0.5)*(4*IF(circ_int,0,eq_c1/2)+4*IF(circ_int,0,eq_c2/2)+2*PI()*(s_0+10*s_r+IF(circ_int,eq_c1/2,0)))/INDEX(lk_legs,11))&lt;(2*IF(circ_int,0,eq_c2/2)),IF(circ_int,0,eq_c1/2)+(s_0+10*s_r+IF(circ_int,eq_c1/2,0)),IF(((45+0.5)*(4*IF(circ_int,0,eq_c1/2)+4*IF(circ_int,0,eq_c2/2)+2*PI()*(s_0+10*s_r+IF(circ_int,eq_c1/2,0)))/INDEX(lk_legs,11))&lt;((2*IF(circ_int,0,eq_c2/2))+(PI()*(s_0+10*s_r+IF(circ_int,eq_c1/2,0))/2)),IF(circ_int,0,eq_c1/2)+(s_0+10*s_r+IF(circ_int,eq_c1/2,0))*COS((((45+0.5)*(4*IF(circ_int,0,eq_c1/2)+4*IF(circ_int,0,eq_c2/2)+2*PI()*(s_0+10*s_r+IF(circ_int,eq_c1/2,0)))/INDEX(lk_legs,11))-(2*IF(circ_int,0,eq_c2/2)))/(s_0+10*s_r+IF(circ_int,eq_c1/2,0))),IF(((45+0.5)*(4*IF(circ_int,0,eq_c1/2)+4*IF(circ_int,0,eq_c2/2)+2*PI()*(s_0+10*s_r+IF(circ_int,eq_c1/2,0)))/INDEX(lk_legs,11))&lt;(((2*IF(circ_int,0,eq_c2/2))+(PI()*(s_0+10*s_r+IF(circ_int,eq_c1/2,0))/2))+2*IF(circ_int,0,eq_c1/2)),IF(circ_int,0,eq_c1/2)-(((45+0.5)*(4*IF(circ_int,0,eq_c1/2)+4*IF(circ_int,0,eq_c2/2)+2*PI()*(s_0+10*s_r+IF(circ_int,eq_c1/2,0)))/INDEX(lk_legs,11))-((2*IF(circ_int,0,eq_c2/2))+(PI()*(s_0+10*s_r+IF(circ_int,eq_c1/2,0))/2))),IF(((45+0.5)*(4*IF(circ_int,0,eq_c1/2)+4*IF(circ_int,0,eq_c2/2)+2*PI()*(s_0+10*s_r+IF(circ_int,eq_c1/2,0)))/INDEX(lk_legs,11))&lt;((((2*IF(circ_int,0,eq_c2/2))+(PI()*(s_0+10*s_r+IF(circ_int,eq_c1/2,0))/2))+2*IF(circ_int,0,eq_c1/2))+(PI()*(s_0+10*s_r+IF(circ_int,eq_c1/2,0))/2)),-IF(circ_int,0,eq_c1/2)+(s_0+10*s_r+IF(circ_int,eq_c1/2,0))*COS(PI()/2+(((45+0.5)*(4*IF(circ_int,0,eq_c1/2)+4*IF(circ_int,0,eq_c2/2)+2*PI()*(s_0+10*s_r+IF(circ_int,eq_c1/2,0)))/INDEX(lk_legs,11))-(((2*IF(circ_int,0,eq_c2/2))+(PI()*(s_0+10*s_r+IF(circ_int,eq_c1/2,0))/2))+2*IF(circ_int,0,eq_c1/2)))/(s_0+10*s_r+IF(circ_int,eq_c1/2,0))),IF(((45+0.5)*(4*IF(circ_int,0,eq_c1/2)+4*IF(circ_int,0,eq_c2/2)+2*PI()*(s_0+10*s_r+IF(circ_int,eq_c1/2,0)))/INDEX(lk_legs,11))&lt;(((((2*IF(circ_int,0,eq_c2/2))+(PI()*(s_0+10*s_r+IF(circ_int,eq_c1/2,0))/2))+2*IF(circ_int,0,eq_c1/2))+(PI()*(s_0+10*s_r+IF(circ_int,eq_c1/2,0))/2))+2*IF(circ_int,0,eq_c2/2)),-IF(circ_int,0,eq_c1/2)-(s_0+10*s_r+IF(circ_int,eq_c1/2,0)),IF(((45+0.5)*(4*IF(circ_int,0,eq_c1/2)+4*IF(circ_int,0,eq_c2/2)+2*PI()*(s_0+10*s_r+IF(circ_int,eq_c1/2,0)))/INDEX(lk_legs,11))&lt;((((((2*IF(circ_int,0,eq_c2/2))+(PI()*(s_0+10*s_r+IF(circ_int,eq_c1/2,0))/2))+2*IF(circ_int,0,eq_c1/2))+(PI()*(s_0+10*s_r+IF(circ_int,eq_c1/2,0))/2))+2*IF(circ_int,0,eq_c2/2))+(PI()*(s_0+10*s_r+IF(circ_int,eq_c1/2,0))/2)),-IF(circ_int,0,eq_c1/2)+(s_0+10*s_r+IF(circ_int,eq_c1/2,0))*COS(PI()+(((45+0.5)*(4*IF(circ_int,0,eq_c1/2)+4*IF(circ_int,0,eq_c2/2)+2*PI()*(s_0+10*s_r+IF(circ_int,eq_c1/2,0)))/INDEX(lk_legs,11))-(((((2*IF(circ_int,0,eq_c2/2))+(PI()*(s_0+10*s_r+IF(circ_int,eq_c1/2,0))/2))+2*IF(circ_int,0,eq_c1/2))+(PI()*(s_0+10*s_r+IF(circ_int,eq_c1/2,0))/2))+2*IF(circ_int,0,eq_c2/2)))/(s_0+10*s_r+IF(circ_int,eq_c1/2,0))),IF(((45+0.5)*(4*IF(circ_int,0,eq_c1/2)+4*IF(circ_int,0,eq_c2/2)+2*PI()*(s_0+10*s_r+IF(circ_int,eq_c1/2,0)))/INDEX(lk_legs,11))&lt;(((((((2*IF(circ_int,0,eq_c2/2))+(PI()*(s_0+10*s_r+IF(circ_int,eq_c1/2,0))/2))+2*IF(circ_int,0,eq_c1/2))+(PI()*(s_0+10*s_r+IF(circ_int,eq_c1/2,0))/2))+2*IF(circ_int,0,eq_c2/2))+(PI()*(s_0+10*s_r+IF(circ_int,eq_c1/2,0))/2))+2*IF(circ_int,0,eq_c1/2)),-IF(circ_int,0,eq_c1/2)+(((45+0.5)*(4*IF(circ_int,0,eq_c1/2)+4*IF(circ_int,0,eq_c2/2)+2*PI()*(s_0+10*s_r+IF(circ_int,eq_c1/2,0)))/INDEX(lk_legs,11))-((((((2*IF(circ_int,0,eq_c2/2))+(PI()*(s_0+10*s_r+IF(circ_int,eq_c1/2,0))/2))+2*IF(circ_int,0,eq_c1/2))+(PI()*(s_0+10*s_r+IF(circ_int,eq_c1/2,0))/2))+2*IF(circ_int,0,eq_c2/2))+(PI()*(s_0+10*s_r+IF(circ_int,eq_c1/2,0))/2))),IF(circ_int,0,eq_c1/2)+(s_0+10*s_r+IF(circ_int,eq_c1/2,0))*COS(3*PI()/2+(((45+0.5)*(4*IF(circ_int,0,eq_c1/2)+4*IF(circ_int,0,eq_c2/2)+2*PI()*(s_0+10*s_r+IF(circ_int,eq_c1/2,0)))/INDEX(lk_legs,11))-(((((((2*IF(circ_int,0,eq_c2/2))+(PI()*(s_0+10*s_r+IF(circ_int,eq_c1/2,0))/2))+2*IF(circ_int,0,eq_c1/2))+(PI()*(s_0+10*s_r+IF(circ_int,eq_c1/2,0))/2))+2*IF(circ_int,0,eq_c2/2))+(PI()*(s_0+10*s_r+IF(circ_int,eq_c1/2,0))/2))+2*IF(circ_int,0,eq_c1/2)))/(s_0+10*s_r+IF(circ_int,eq_c1/2,0)))))))))),NA())</f>
        <v/>
      </c>
      <c r="DI48">
        <f>IF(AND(AND(links_on,11&lt;=n_per),INDEX(lk_kind,11)=1,45&lt;INDEX(lk_legs,11)),g_oy+IF(((45+0.5)*(4*IF(circ_int,0,eq_c1/2)+4*IF(circ_int,0,eq_c2/2)+2*PI()*(s_0+10*s_r+IF(circ_int,eq_c1/2,0)))/INDEX(lk_legs,11))&lt;(2*IF(circ_int,0,eq_c2/2)),-IF(circ_int,0,eq_c2/2)+((45+0.5)*(4*IF(circ_int,0,eq_c1/2)+4*IF(circ_int,0,eq_c2/2)+2*PI()*(s_0+10*s_r+IF(circ_int,eq_c1/2,0)))/INDEX(lk_legs,11)),IF(((45+0.5)*(4*IF(circ_int,0,eq_c1/2)+4*IF(circ_int,0,eq_c2/2)+2*PI()*(s_0+10*s_r+IF(circ_int,eq_c1/2,0)))/INDEX(lk_legs,11))&lt;((2*IF(circ_int,0,eq_c2/2))+(PI()*(s_0+10*s_r+IF(circ_int,eq_c1/2,0))/2)),IF(circ_int,0,eq_c2/2)+(s_0+10*s_r+IF(circ_int,eq_c1/2,0))*SIN((((45+0.5)*(4*IF(circ_int,0,eq_c1/2)+4*IF(circ_int,0,eq_c2/2)+2*PI()*(s_0+10*s_r+IF(circ_int,eq_c1/2,0)))/INDEX(lk_legs,11))-(2*IF(circ_int,0,eq_c2/2)))/(s_0+10*s_r+IF(circ_int,eq_c1/2,0))),IF(((45+0.5)*(4*IF(circ_int,0,eq_c1/2)+4*IF(circ_int,0,eq_c2/2)+2*PI()*(s_0+10*s_r+IF(circ_int,eq_c1/2,0)))/INDEX(lk_legs,11))&lt;(((2*IF(circ_int,0,eq_c2/2))+(PI()*(s_0+10*s_r+IF(circ_int,eq_c1/2,0))/2))+2*IF(circ_int,0,eq_c1/2)),IF(circ_int,0,eq_c2/2)+(s_0+10*s_r+IF(circ_int,eq_c1/2,0)),IF(((45+0.5)*(4*IF(circ_int,0,eq_c1/2)+4*IF(circ_int,0,eq_c2/2)+2*PI()*(s_0+10*s_r+IF(circ_int,eq_c1/2,0)))/INDEX(lk_legs,11))&lt;((((2*IF(circ_int,0,eq_c2/2))+(PI()*(s_0+10*s_r+IF(circ_int,eq_c1/2,0))/2))+2*IF(circ_int,0,eq_c1/2))+(PI()*(s_0+10*s_r+IF(circ_int,eq_c1/2,0))/2)),IF(circ_int,0,eq_c2/2)+(s_0+10*s_r+IF(circ_int,eq_c1/2,0))*SIN(PI()/2+(((45+0.5)*(4*IF(circ_int,0,eq_c1/2)+4*IF(circ_int,0,eq_c2/2)+2*PI()*(s_0+10*s_r+IF(circ_int,eq_c1/2,0)))/INDEX(lk_legs,11))-(((2*IF(circ_int,0,eq_c2/2))+(PI()*(s_0+10*s_r+IF(circ_int,eq_c1/2,0))/2))+2*IF(circ_int,0,eq_c1/2)))/(s_0+10*s_r+IF(circ_int,eq_c1/2,0))),IF(((45+0.5)*(4*IF(circ_int,0,eq_c1/2)+4*IF(circ_int,0,eq_c2/2)+2*PI()*(s_0+10*s_r+IF(circ_int,eq_c1/2,0)))/INDEX(lk_legs,11))&lt;(((((2*IF(circ_int,0,eq_c2/2))+(PI()*(s_0+10*s_r+IF(circ_int,eq_c1/2,0))/2))+2*IF(circ_int,0,eq_c1/2))+(PI()*(s_0+10*s_r+IF(circ_int,eq_c1/2,0))/2))+2*IF(circ_int,0,eq_c2/2)),IF(circ_int,0,eq_c2/2)-(((45+0.5)*(4*IF(circ_int,0,eq_c1/2)+4*IF(circ_int,0,eq_c2/2)+2*PI()*(s_0+10*s_r+IF(circ_int,eq_c1/2,0)))/INDEX(lk_legs,11))-((((2*IF(circ_int,0,eq_c2/2))+(PI()*(s_0+10*s_r+IF(circ_int,eq_c1/2,0))/2))+2*IF(circ_int,0,eq_c1/2))+(PI()*(s_0+10*s_r+IF(circ_int,eq_c1/2,0))/2))),IF(((45+0.5)*(4*IF(circ_int,0,eq_c1/2)+4*IF(circ_int,0,eq_c2/2)+2*PI()*(s_0+10*s_r+IF(circ_int,eq_c1/2,0)))/INDEX(lk_legs,11))&lt;((((((2*IF(circ_int,0,eq_c2/2))+(PI()*(s_0+10*s_r+IF(circ_int,eq_c1/2,0))/2))+2*IF(circ_int,0,eq_c1/2))+(PI()*(s_0+10*s_r+IF(circ_int,eq_c1/2,0))/2))+2*IF(circ_int,0,eq_c2/2))+(PI()*(s_0+10*s_r+IF(circ_int,eq_c1/2,0))/2)),-IF(circ_int,0,eq_c2/2)+(s_0+10*s_r+IF(circ_int,eq_c1/2,0))*SIN(PI()+(((45+0.5)*(4*IF(circ_int,0,eq_c1/2)+4*IF(circ_int,0,eq_c2/2)+2*PI()*(s_0+10*s_r+IF(circ_int,eq_c1/2,0)))/INDEX(lk_legs,11))-(((((2*IF(circ_int,0,eq_c2/2))+(PI()*(s_0+10*s_r+IF(circ_int,eq_c1/2,0))/2))+2*IF(circ_int,0,eq_c1/2))+(PI()*(s_0+10*s_r+IF(circ_int,eq_c1/2,0))/2))+2*IF(circ_int,0,eq_c2/2)))/(s_0+10*s_r+IF(circ_int,eq_c1/2,0))),IF(((45+0.5)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(45+0.5)*(4*IF(circ_int,0,eq_c1/2)+4*IF(circ_int,0,eq_c2/2)+2*PI()*(s_0+10*s_r+IF(circ_int,eq_c1/2,0)))/INDEX(lk_legs,11))-(((((((2*IF(circ_int,0,eq_c2/2))+(PI()*(s_0+10*s_r+IF(circ_int,eq_c1/2,0))/2))+2*IF(circ_int,0,eq_c1/2))+(PI()*(s_0+10*s_r+IF(circ_int,eq_c1/2,0))/2))+2*IF(circ_int,0,eq_c2/2))+(PI()*(s_0+10*s_r+IF(circ_int,eq_c1/2,0))/2))+2*IF(circ_int,0,eq_c1/2)))/(s_0+10*s_r+IF(circ_int,eq_c1/2,0)))))))))),NA())</f>
        <v/>
      </c>
      <c r="DK48">
        <f>IF(AND(links_on,12&lt;=n_per),IF(circ_int,(g_ox)+(c_1/2+(s_0+11*s_r))*0.663123,CHOOSE(INDEX(lk_kind,12),(g_ox+eq_c1/2)+((s_0+11*s_r))*0.707107,0,eq_a1+eq_c1+(s_0+11*s_r),eq_a1+eq_c1+(s_0+11*s_r))),NA())</f>
        <v/>
      </c>
      <c r="DL48">
        <f>IF(AND(links_on,12&lt;=n_per),IF(circ_int,(g_oy)+(c_1/2+(s_0+11*s_r))*-0.748511,CHOOSE(INDEX(lk_kind,12),(g_oy-eq_c2/2)+((s_0+11*s_r))*-0.707107,g_oy-eq_c2/2-(s_0+11*s_r),0,0)),NA())</f>
        <v/>
      </c>
      <c r="DN48">
        <f>IF(AND(AND(links_on,12&lt;=n_per),INDEX(lk_kind,12)=1,45&lt;INDEX(lk_legs,12)),g_ox+IF(((45+0.5)*(4*IF(circ_int,0,eq_c1/2)+4*IF(circ_int,0,eq_c2/2)+2*PI()*(s_0+11*s_r+IF(circ_int,eq_c1/2,0)))/INDEX(lk_legs,12))&lt;(2*IF(circ_int,0,eq_c2/2)),IF(circ_int,0,eq_c1/2)+(s_0+11*s_r+IF(circ_int,eq_c1/2,0)),IF(((45+0.5)*(4*IF(circ_int,0,eq_c1/2)+4*IF(circ_int,0,eq_c2/2)+2*PI()*(s_0+11*s_r+IF(circ_int,eq_c1/2,0)))/INDEX(lk_legs,12))&lt;((2*IF(circ_int,0,eq_c2/2))+(PI()*(s_0+11*s_r+IF(circ_int,eq_c1/2,0))/2)),IF(circ_int,0,eq_c1/2)+(s_0+11*s_r+IF(circ_int,eq_c1/2,0))*COS((((45+0.5)*(4*IF(circ_int,0,eq_c1/2)+4*IF(circ_int,0,eq_c2/2)+2*PI()*(s_0+11*s_r+IF(circ_int,eq_c1/2,0)))/INDEX(lk_legs,12))-(2*IF(circ_int,0,eq_c2/2)))/(s_0+11*s_r+IF(circ_int,eq_c1/2,0))),IF(((45+0.5)*(4*IF(circ_int,0,eq_c1/2)+4*IF(circ_int,0,eq_c2/2)+2*PI()*(s_0+11*s_r+IF(circ_int,eq_c1/2,0)))/INDEX(lk_legs,12))&lt;(((2*IF(circ_int,0,eq_c2/2))+(PI()*(s_0+11*s_r+IF(circ_int,eq_c1/2,0))/2))+2*IF(circ_int,0,eq_c1/2)),IF(circ_int,0,eq_c1/2)-(((45+0.5)*(4*IF(circ_int,0,eq_c1/2)+4*IF(circ_int,0,eq_c2/2)+2*PI()*(s_0+11*s_r+IF(circ_int,eq_c1/2,0)))/INDEX(lk_legs,12))-((2*IF(circ_int,0,eq_c2/2))+(PI()*(s_0+11*s_r+IF(circ_int,eq_c1/2,0))/2))),IF(((45+0.5)*(4*IF(circ_int,0,eq_c1/2)+4*IF(circ_int,0,eq_c2/2)+2*PI()*(s_0+11*s_r+IF(circ_int,eq_c1/2,0)))/INDEX(lk_legs,12))&lt;((((2*IF(circ_int,0,eq_c2/2))+(PI()*(s_0+11*s_r+IF(circ_int,eq_c1/2,0))/2))+2*IF(circ_int,0,eq_c1/2))+(PI()*(s_0+11*s_r+IF(circ_int,eq_c1/2,0))/2)),-IF(circ_int,0,eq_c1/2)+(s_0+11*s_r+IF(circ_int,eq_c1/2,0))*COS(PI()/2+(((45+0.5)*(4*IF(circ_int,0,eq_c1/2)+4*IF(circ_int,0,eq_c2/2)+2*PI()*(s_0+11*s_r+IF(circ_int,eq_c1/2,0)))/INDEX(lk_legs,12))-(((2*IF(circ_int,0,eq_c2/2))+(PI()*(s_0+11*s_r+IF(circ_int,eq_c1/2,0))/2))+2*IF(circ_int,0,eq_c1/2)))/(s_0+11*s_r+IF(circ_int,eq_c1/2,0))),IF(((45+0.5)*(4*IF(circ_int,0,eq_c1/2)+4*IF(circ_int,0,eq_c2/2)+2*PI()*(s_0+11*s_r+IF(circ_int,eq_c1/2,0)))/INDEX(lk_legs,12))&lt;(((((2*IF(circ_int,0,eq_c2/2))+(PI()*(s_0+11*s_r+IF(circ_int,eq_c1/2,0))/2))+2*IF(circ_int,0,eq_c1/2))+(PI()*(s_0+11*s_r+IF(circ_int,eq_c1/2,0))/2))+2*IF(circ_int,0,eq_c2/2)),-IF(circ_int,0,eq_c1/2)-(s_0+11*s_r+IF(circ_int,eq_c1/2,0)),IF(((45+0.5)*(4*IF(circ_int,0,eq_c1/2)+4*IF(circ_int,0,eq_c2/2)+2*PI()*(s_0+11*s_r+IF(circ_int,eq_c1/2,0)))/INDEX(lk_legs,12))&lt;((((((2*IF(circ_int,0,eq_c2/2))+(PI()*(s_0+11*s_r+IF(circ_int,eq_c1/2,0))/2))+2*IF(circ_int,0,eq_c1/2))+(PI()*(s_0+11*s_r+IF(circ_int,eq_c1/2,0))/2))+2*IF(circ_int,0,eq_c2/2))+(PI()*(s_0+11*s_r+IF(circ_int,eq_c1/2,0))/2)),-IF(circ_int,0,eq_c1/2)+(s_0+11*s_r+IF(circ_int,eq_c1/2,0))*COS(PI()+(((45+0.5)*(4*IF(circ_int,0,eq_c1/2)+4*IF(circ_int,0,eq_c2/2)+2*PI()*(s_0+11*s_r+IF(circ_int,eq_c1/2,0)))/INDEX(lk_legs,12))-(((((2*IF(circ_int,0,eq_c2/2))+(PI()*(s_0+11*s_r+IF(circ_int,eq_c1/2,0))/2))+2*IF(circ_int,0,eq_c1/2))+(PI()*(s_0+11*s_r+IF(circ_int,eq_c1/2,0))/2))+2*IF(circ_int,0,eq_c2/2)))/(s_0+11*s_r+IF(circ_int,eq_c1/2,0))),IF(((45+0.5)*(4*IF(circ_int,0,eq_c1/2)+4*IF(circ_int,0,eq_c2/2)+2*PI()*(s_0+11*s_r+IF(circ_int,eq_c1/2,0)))/INDEX(lk_legs,12))&lt;(((((((2*IF(circ_int,0,eq_c2/2))+(PI()*(s_0+11*s_r+IF(circ_int,eq_c1/2,0))/2))+2*IF(circ_int,0,eq_c1/2))+(PI()*(s_0+11*s_r+IF(circ_int,eq_c1/2,0))/2))+2*IF(circ_int,0,eq_c2/2))+(PI()*(s_0+11*s_r+IF(circ_int,eq_c1/2,0))/2))+2*IF(circ_int,0,eq_c1/2)),-IF(circ_int,0,eq_c1/2)+(((45+0.5)*(4*IF(circ_int,0,eq_c1/2)+4*IF(circ_int,0,eq_c2/2)+2*PI()*(s_0+11*s_r+IF(circ_int,eq_c1/2,0)))/INDEX(lk_legs,12))-((((((2*IF(circ_int,0,eq_c2/2))+(PI()*(s_0+11*s_r+IF(circ_int,eq_c1/2,0))/2))+2*IF(circ_int,0,eq_c1/2))+(PI()*(s_0+11*s_r+IF(circ_int,eq_c1/2,0))/2))+2*IF(circ_int,0,eq_c2/2))+(PI()*(s_0+11*s_r+IF(circ_int,eq_c1/2,0))/2))),IF(circ_int,0,eq_c1/2)+(s_0+11*s_r+IF(circ_int,eq_c1/2,0))*COS(3*PI()/2+(((45+0.5)*(4*IF(circ_int,0,eq_c1/2)+4*IF(circ_int,0,eq_c2/2)+2*PI()*(s_0+11*s_r+IF(circ_int,eq_c1/2,0)))/INDEX(lk_legs,12))-(((((((2*IF(circ_int,0,eq_c2/2))+(PI()*(s_0+11*s_r+IF(circ_int,eq_c1/2,0))/2))+2*IF(circ_int,0,eq_c1/2))+(PI()*(s_0+11*s_r+IF(circ_int,eq_c1/2,0))/2))+2*IF(circ_int,0,eq_c2/2))+(PI()*(s_0+11*s_r+IF(circ_int,eq_c1/2,0))/2))+2*IF(circ_int,0,eq_c1/2)))/(s_0+11*s_r+IF(circ_int,eq_c1/2,0)))))))))),NA())</f>
        <v/>
      </c>
      <c r="DO48">
        <f>IF(AND(AND(links_on,12&lt;=n_per),INDEX(lk_kind,12)=1,45&lt;INDEX(lk_legs,12)),g_oy+IF(((45+0.5)*(4*IF(circ_int,0,eq_c1/2)+4*IF(circ_int,0,eq_c2/2)+2*PI()*(s_0+11*s_r+IF(circ_int,eq_c1/2,0)))/INDEX(lk_legs,12))&lt;(2*IF(circ_int,0,eq_c2/2)),-IF(circ_int,0,eq_c2/2)+((45+0.5)*(4*IF(circ_int,0,eq_c1/2)+4*IF(circ_int,0,eq_c2/2)+2*PI()*(s_0+11*s_r+IF(circ_int,eq_c1/2,0)))/INDEX(lk_legs,12)),IF(((45+0.5)*(4*IF(circ_int,0,eq_c1/2)+4*IF(circ_int,0,eq_c2/2)+2*PI()*(s_0+11*s_r+IF(circ_int,eq_c1/2,0)))/INDEX(lk_legs,12))&lt;((2*IF(circ_int,0,eq_c2/2))+(PI()*(s_0+11*s_r+IF(circ_int,eq_c1/2,0))/2)),IF(circ_int,0,eq_c2/2)+(s_0+11*s_r+IF(circ_int,eq_c1/2,0))*SIN((((45+0.5)*(4*IF(circ_int,0,eq_c1/2)+4*IF(circ_int,0,eq_c2/2)+2*PI()*(s_0+11*s_r+IF(circ_int,eq_c1/2,0)))/INDEX(lk_legs,12))-(2*IF(circ_int,0,eq_c2/2)))/(s_0+11*s_r+IF(circ_int,eq_c1/2,0))),IF(((45+0.5)*(4*IF(circ_int,0,eq_c1/2)+4*IF(circ_int,0,eq_c2/2)+2*PI()*(s_0+11*s_r+IF(circ_int,eq_c1/2,0)))/INDEX(lk_legs,12))&lt;(((2*IF(circ_int,0,eq_c2/2))+(PI()*(s_0+11*s_r+IF(circ_int,eq_c1/2,0))/2))+2*IF(circ_int,0,eq_c1/2)),IF(circ_int,0,eq_c2/2)+(s_0+11*s_r+IF(circ_int,eq_c1/2,0)),IF(((45+0.5)*(4*IF(circ_int,0,eq_c1/2)+4*IF(circ_int,0,eq_c2/2)+2*PI()*(s_0+11*s_r+IF(circ_int,eq_c1/2,0)))/INDEX(lk_legs,12))&lt;((((2*IF(circ_int,0,eq_c2/2))+(PI()*(s_0+11*s_r+IF(circ_int,eq_c1/2,0))/2))+2*IF(circ_int,0,eq_c1/2))+(PI()*(s_0+11*s_r+IF(circ_int,eq_c1/2,0))/2)),IF(circ_int,0,eq_c2/2)+(s_0+11*s_r+IF(circ_int,eq_c1/2,0))*SIN(PI()/2+(((45+0.5)*(4*IF(circ_int,0,eq_c1/2)+4*IF(circ_int,0,eq_c2/2)+2*PI()*(s_0+11*s_r+IF(circ_int,eq_c1/2,0)))/INDEX(lk_legs,12))-(((2*IF(circ_int,0,eq_c2/2))+(PI()*(s_0+11*s_r+IF(circ_int,eq_c1/2,0))/2))+2*IF(circ_int,0,eq_c1/2)))/(s_0+11*s_r+IF(circ_int,eq_c1/2,0))),IF(((45+0.5)*(4*IF(circ_int,0,eq_c1/2)+4*IF(circ_int,0,eq_c2/2)+2*PI()*(s_0+11*s_r+IF(circ_int,eq_c1/2,0)))/INDEX(lk_legs,12))&lt;(((((2*IF(circ_int,0,eq_c2/2))+(PI()*(s_0+11*s_r+IF(circ_int,eq_c1/2,0))/2))+2*IF(circ_int,0,eq_c1/2))+(PI()*(s_0+11*s_r+IF(circ_int,eq_c1/2,0))/2))+2*IF(circ_int,0,eq_c2/2)),IF(circ_int,0,eq_c2/2)-(((45+0.5)*(4*IF(circ_int,0,eq_c1/2)+4*IF(circ_int,0,eq_c2/2)+2*PI()*(s_0+11*s_r+IF(circ_int,eq_c1/2,0)))/INDEX(lk_legs,12))-((((2*IF(circ_int,0,eq_c2/2))+(PI()*(s_0+11*s_r+IF(circ_int,eq_c1/2,0))/2))+2*IF(circ_int,0,eq_c1/2))+(PI()*(s_0+11*s_r+IF(circ_int,eq_c1/2,0))/2))),IF(((45+0.5)*(4*IF(circ_int,0,eq_c1/2)+4*IF(circ_int,0,eq_c2/2)+2*PI()*(s_0+11*s_r+IF(circ_int,eq_c1/2,0)))/INDEX(lk_legs,12))&lt;((((((2*IF(circ_int,0,eq_c2/2))+(PI()*(s_0+11*s_r+IF(circ_int,eq_c1/2,0))/2))+2*IF(circ_int,0,eq_c1/2))+(PI()*(s_0+11*s_r+IF(circ_int,eq_c1/2,0))/2))+2*IF(circ_int,0,eq_c2/2))+(PI()*(s_0+11*s_r+IF(circ_int,eq_c1/2,0))/2)),-IF(circ_int,0,eq_c2/2)+(s_0+11*s_r+IF(circ_int,eq_c1/2,0))*SIN(PI()+(((45+0.5)*(4*IF(circ_int,0,eq_c1/2)+4*IF(circ_int,0,eq_c2/2)+2*PI()*(s_0+11*s_r+IF(circ_int,eq_c1/2,0)))/INDEX(lk_legs,12))-(((((2*IF(circ_int,0,eq_c2/2))+(PI()*(s_0+11*s_r+IF(circ_int,eq_c1/2,0))/2))+2*IF(circ_int,0,eq_c1/2))+(PI()*(s_0+11*s_r+IF(circ_int,eq_c1/2,0))/2))+2*IF(circ_int,0,eq_c2/2)))/(s_0+11*s_r+IF(circ_int,eq_c1/2,0))),IF(((45+0.5)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(45+0.5)*(4*IF(circ_int,0,eq_c1/2)+4*IF(circ_int,0,eq_c2/2)+2*PI()*(s_0+11*s_r+IF(circ_int,eq_c1/2,0)))/INDEX(lk_legs,12))-(((((((2*IF(circ_int,0,eq_c2/2))+(PI()*(s_0+11*s_r+IF(circ_int,eq_c1/2,0))/2))+2*IF(circ_int,0,eq_c1/2))+(PI()*(s_0+11*s_r+IF(circ_int,eq_c1/2,0))/2))+2*IF(circ_int,0,eq_c2/2))+(PI()*(s_0+11*s_r+IF(circ_int,eq_c1/2,0))/2))+2*IF(circ_int,0,eq_c1/2)))/(s_0+11*s_r+IF(circ_int,eq_c1/2,0)))))))))),NA())</f>
        <v/>
      </c>
    </row>
    <row r="49">
      <c r="A49">
        <f>IF(shape="Circular",(g_ox)+(c_1/2+0)*0.748511,CHOOSE(1,(g_ox+eq_c1/2)+(0)*0.793353,0,eq_a1+eq_c1+0,eq_a1+eq_c1+0))</f>
        <v/>
      </c>
      <c r="B49">
        <f>IF(shape="Circular",(g_oy)+(c_1/2+0)*-0.663123,CHOOSE(1,(g_oy-eq_c2/2)+(0)*-0.608761,g_oy-eq_c2/2-0,0,0))</f>
        <v/>
      </c>
      <c r="D49">
        <f>IF(circ_int,(g_ox)+(c_1/2+2*d_eff)*0.748511,CHOOSE(geo_idx,(g_ox+eq_c1/2)+(2*d_eff)*0.793353,0,eq_a1+eq_c1+2*d_eff,eq_a1+eq_c1+2*d_eff))</f>
        <v/>
      </c>
      <c r="E49">
        <f>IF(circ_int,(g_oy)+(c_1/2+2*d_eff)*-0.663123,CHOOSE(geo_idx,(g_oy-eq_c2/2)+(2*d_eff)*-0.608761,g_oy-eq_c2/2-2*d_eff,0,0))</f>
        <v/>
      </c>
      <c r="G49">
        <f>IF(AND(inputs_ok,punch_ok,A_sw&gt;0),IF(circ_int,(g_ox)+(c_1/2+r_out)*0.748511,CHOOSE(kind_out,(g_ox+eq_c1/2)+(r_out)*0.793353,0,eq_a1+eq_c1+r_out,eq_a1+eq_c1+r_out)),NA())</f>
        <v/>
      </c>
      <c r="H49">
        <f>IF(AND(inputs_ok,punch_ok,A_sw&gt;0),IF(circ_int,(g_oy)+(c_1/2+r_out)*-0.663123,CHOOSE(kind_out,(g_oy-eq_c2/2)+(r_out)*-0.608761,g_oy-eq_c2/2-r_out,0,0)),NA())</f>
        <v/>
      </c>
      <c r="AW49">
        <f>IF(AND(links_on,1&lt;=n_per),IF(circ_int,(g_ox)+(c_1/2+(s_0+0*s_r))*0.748511,CHOOSE(INDEX(lk_kind,1),(g_ox+eq_c1/2)+((s_0+0*s_r))*0.793353,0,eq_a1+eq_c1+(s_0+0*s_r),eq_a1+eq_c1+(s_0+0*s_r))),NA())</f>
        <v/>
      </c>
      <c r="AX49">
        <f>IF(AND(links_on,1&lt;=n_per),IF(circ_int,(g_oy)+(c_1/2+(s_0+0*s_r))*-0.663123,CHOOSE(INDEX(lk_kind,1),(g_oy-eq_c2/2)+((s_0+0*s_r))*-0.608761,g_oy-eq_c2/2-(s_0+0*s_r),0,0)),NA())</f>
        <v/>
      </c>
      <c r="AZ49">
        <f>IF(AND(AND(links_on,1&lt;=n_per),INDEX(lk_kind,1)=1,46&lt;INDEX(lk_legs,1)),g_ox+IF(((46+0.5)*(4*IF(circ_int,0,eq_c1/2)+4*IF(circ_int,0,eq_c2/2)+2*PI()*(s_0+0*s_r+IF(circ_int,eq_c1/2,0)))/INDEX(lk_legs,1))&lt;(2*IF(circ_int,0,eq_c2/2)),IF(circ_int,0,eq_c1/2)+(s_0+0*s_r+IF(circ_int,eq_c1/2,0)),IF(((46+0.5)*(4*IF(circ_int,0,eq_c1/2)+4*IF(circ_int,0,eq_c2/2)+2*PI()*(s_0+0*s_r+IF(circ_int,eq_c1/2,0)))/INDEX(lk_legs,1))&lt;((2*IF(circ_int,0,eq_c2/2))+(PI()*(s_0+0*s_r+IF(circ_int,eq_c1/2,0))/2)),IF(circ_int,0,eq_c1/2)+(s_0+0*s_r+IF(circ_int,eq_c1/2,0))*COS((((46+0.5)*(4*IF(circ_int,0,eq_c1/2)+4*IF(circ_int,0,eq_c2/2)+2*PI()*(s_0+0*s_r+IF(circ_int,eq_c1/2,0)))/INDEX(lk_legs,1))-(2*IF(circ_int,0,eq_c2/2)))/(s_0+0*s_r+IF(circ_int,eq_c1/2,0))),IF(((46+0.5)*(4*IF(circ_int,0,eq_c1/2)+4*IF(circ_int,0,eq_c2/2)+2*PI()*(s_0+0*s_r+IF(circ_int,eq_c1/2,0)))/INDEX(lk_legs,1))&lt;(((2*IF(circ_int,0,eq_c2/2))+(PI()*(s_0+0*s_r+IF(circ_int,eq_c1/2,0))/2))+2*IF(circ_int,0,eq_c1/2)),IF(circ_int,0,eq_c1/2)-(((46+0.5)*(4*IF(circ_int,0,eq_c1/2)+4*IF(circ_int,0,eq_c2/2)+2*PI()*(s_0+0*s_r+IF(circ_int,eq_c1/2,0)))/INDEX(lk_legs,1))-((2*IF(circ_int,0,eq_c2/2))+(PI()*(s_0+0*s_r+IF(circ_int,eq_c1/2,0))/2))),IF(((46+0.5)*(4*IF(circ_int,0,eq_c1/2)+4*IF(circ_int,0,eq_c2/2)+2*PI()*(s_0+0*s_r+IF(circ_int,eq_c1/2,0)))/INDEX(lk_legs,1))&lt;((((2*IF(circ_int,0,eq_c2/2))+(PI()*(s_0+0*s_r+IF(circ_int,eq_c1/2,0))/2))+2*IF(circ_int,0,eq_c1/2))+(PI()*(s_0+0*s_r+IF(circ_int,eq_c1/2,0))/2)),-IF(circ_int,0,eq_c1/2)+(s_0+0*s_r+IF(circ_int,eq_c1/2,0))*COS(PI()/2+(((46+0.5)*(4*IF(circ_int,0,eq_c1/2)+4*IF(circ_int,0,eq_c2/2)+2*PI()*(s_0+0*s_r+IF(circ_int,eq_c1/2,0)))/INDEX(lk_legs,1))-(((2*IF(circ_int,0,eq_c2/2))+(PI()*(s_0+0*s_r+IF(circ_int,eq_c1/2,0))/2))+2*IF(circ_int,0,eq_c1/2)))/(s_0+0*s_r+IF(circ_int,eq_c1/2,0))),IF(((46+0.5)*(4*IF(circ_int,0,eq_c1/2)+4*IF(circ_int,0,eq_c2/2)+2*PI()*(s_0+0*s_r+IF(circ_int,eq_c1/2,0)))/INDEX(lk_legs,1))&lt;(((((2*IF(circ_int,0,eq_c2/2))+(PI()*(s_0+0*s_r+IF(circ_int,eq_c1/2,0))/2))+2*IF(circ_int,0,eq_c1/2))+(PI()*(s_0+0*s_r+IF(circ_int,eq_c1/2,0))/2))+2*IF(circ_int,0,eq_c2/2)),-IF(circ_int,0,eq_c1/2)-(s_0+0*s_r+IF(circ_int,eq_c1/2,0)),IF(((46+0.5)*(4*IF(circ_int,0,eq_c1/2)+4*IF(circ_int,0,eq_c2/2)+2*PI()*(s_0+0*s_r+IF(circ_int,eq_c1/2,0)))/INDEX(lk_legs,1))&lt;((((((2*IF(circ_int,0,eq_c2/2))+(PI()*(s_0+0*s_r+IF(circ_int,eq_c1/2,0))/2))+2*IF(circ_int,0,eq_c1/2))+(PI()*(s_0+0*s_r+IF(circ_int,eq_c1/2,0))/2))+2*IF(circ_int,0,eq_c2/2))+(PI()*(s_0+0*s_r+IF(circ_int,eq_c1/2,0))/2)),-IF(circ_int,0,eq_c1/2)+(s_0+0*s_r+IF(circ_int,eq_c1/2,0))*COS(PI()+(((46+0.5)*(4*IF(circ_int,0,eq_c1/2)+4*IF(circ_int,0,eq_c2/2)+2*PI()*(s_0+0*s_r+IF(circ_int,eq_c1/2,0)))/INDEX(lk_legs,1))-(((((2*IF(circ_int,0,eq_c2/2))+(PI()*(s_0+0*s_r+IF(circ_int,eq_c1/2,0))/2))+2*IF(circ_int,0,eq_c1/2))+(PI()*(s_0+0*s_r+IF(circ_int,eq_c1/2,0))/2))+2*IF(circ_int,0,eq_c2/2)))/(s_0+0*s_r+IF(circ_int,eq_c1/2,0))),IF(((46+0.5)*(4*IF(circ_int,0,eq_c1/2)+4*IF(circ_int,0,eq_c2/2)+2*PI()*(s_0+0*s_r+IF(circ_int,eq_c1/2,0)))/INDEX(lk_legs,1))&lt;(((((((2*IF(circ_int,0,eq_c2/2))+(PI()*(s_0+0*s_r+IF(circ_int,eq_c1/2,0))/2))+2*IF(circ_int,0,eq_c1/2))+(PI()*(s_0+0*s_r+IF(circ_int,eq_c1/2,0))/2))+2*IF(circ_int,0,eq_c2/2))+(PI()*(s_0+0*s_r+IF(circ_int,eq_c1/2,0))/2))+2*IF(circ_int,0,eq_c1/2)),-IF(circ_int,0,eq_c1/2)+(((46+0.5)*(4*IF(circ_int,0,eq_c1/2)+4*IF(circ_int,0,eq_c2/2)+2*PI()*(s_0+0*s_r+IF(circ_int,eq_c1/2,0)))/INDEX(lk_legs,1))-((((((2*IF(circ_int,0,eq_c2/2))+(PI()*(s_0+0*s_r+IF(circ_int,eq_c1/2,0))/2))+2*IF(circ_int,0,eq_c1/2))+(PI()*(s_0+0*s_r+IF(circ_int,eq_c1/2,0))/2))+2*IF(circ_int,0,eq_c2/2))+(PI()*(s_0+0*s_r+IF(circ_int,eq_c1/2,0))/2))),IF(circ_int,0,eq_c1/2)+(s_0+0*s_r+IF(circ_int,eq_c1/2,0))*COS(3*PI()/2+(((46+0.5)*(4*IF(circ_int,0,eq_c1/2)+4*IF(circ_int,0,eq_c2/2)+2*PI()*(s_0+0*s_r+IF(circ_int,eq_c1/2,0)))/INDEX(lk_legs,1))-(((((((2*IF(circ_int,0,eq_c2/2))+(PI()*(s_0+0*s_r+IF(circ_int,eq_c1/2,0))/2))+2*IF(circ_int,0,eq_c1/2))+(PI()*(s_0+0*s_r+IF(circ_int,eq_c1/2,0))/2))+2*IF(circ_int,0,eq_c2/2))+(PI()*(s_0+0*s_r+IF(circ_int,eq_c1/2,0))/2))+2*IF(circ_int,0,eq_c1/2)))/(s_0+0*s_r+IF(circ_int,eq_c1/2,0)))))))))),NA())</f>
        <v/>
      </c>
      <c r="BA49">
        <f>IF(AND(AND(links_on,1&lt;=n_per),INDEX(lk_kind,1)=1,46&lt;INDEX(lk_legs,1)),g_oy+IF(((46+0.5)*(4*IF(circ_int,0,eq_c1/2)+4*IF(circ_int,0,eq_c2/2)+2*PI()*(s_0+0*s_r+IF(circ_int,eq_c1/2,0)))/INDEX(lk_legs,1))&lt;(2*IF(circ_int,0,eq_c2/2)),-IF(circ_int,0,eq_c2/2)+((46+0.5)*(4*IF(circ_int,0,eq_c1/2)+4*IF(circ_int,0,eq_c2/2)+2*PI()*(s_0+0*s_r+IF(circ_int,eq_c1/2,0)))/INDEX(lk_legs,1)),IF(((46+0.5)*(4*IF(circ_int,0,eq_c1/2)+4*IF(circ_int,0,eq_c2/2)+2*PI()*(s_0+0*s_r+IF(circ_int,eq_c1/2,0)))/INDEX(lk_legs,1))&lt;((2*IF(circ_int,0,eq_c2/2))+(PI()*(s_0+0*s_r+IF(circ_int,eq_c1/2,0))/2)),IF(circ_int,0,eq_c2/2)+(s_0+0*s_r+IF(circ_int,eq_c1/2,0))*SIN((((46+0.5)*(4*IF(circ_int,0,eq_c1/2)+4*IF(circ_int,0,eq_c2/2)+2*PI()*(s_0+0*s_r+IF(circ_int,eq_c1/2,0)))/INDEX(lk_legs,1))-(2*IF(circ_int,0,eq_c2/2)))/(s_0+0*s_r+IF(circ_int,eq_c1/2,0))),IF(((46+0.5)*(4*IF(circ_int,0,eq_c1/2)+4*IF(circ_int,0,eq_c2/2)+2*PI()*(s_0+0*s_r+IF(circ_int,eq_c1/2,0)))/INDEX(lk_legs,1))&lt;(((2*IF(circ_int,0,eq_c2/2))+(PI()*(s_0+0*s_r+IF(circ_int,eq_c1/2,0))/2))+2*IF(circ_int,0,eq_c1/2)),IF(circ_int,0,eq_c2/2)+(s_0+0*s_r+IF(circ_int,eq_c1/2,0)),IF(((46+0.5)*(4*IF(circ_int,0,eq_c1/2)+4*IF(circ_int,0,eq_c2/2)+2*PI()*(s_0+0*s_r+IF(circ_int,eq_c1/2,0)))/INDEX(lk_legs,1))&lt;((((2*IF(circ_int,0,eq_c2/2))+(PI()*(s_0+0*s_r+IF(circ_int,eq_c1/2,0))/2))+2*IF(circ_int,0,eq_c1/2))+(PI()*(s_0+0*s_r+IF(circ_int,eq_c1/2,0))/2)),IF(circ_int,0,eq_c2/2)+(s_0+0*s_r+IF(circ_int,eq_c1/2,0))*SIN(PI()/2+(((46+0.5)*(4*IF(circ_int,0,eq_c1/2)+4*IF(circ_int,0,eq_c2/2)+2*PI()*(s_0+0*s_r+IF(circ_int,eq_c1/2,0)))/INDEX(lk_legs,1))-(((2*IF(circ_int,0,eq_c2/2))+(PI()*(s_0+0*s_r+IF(circ_int,eq_c1/2,0))/2))+2*IF(circ_int,0,eq_c1/2)))/(s_0+0*s_r+IF(circ_int,eq_c1/2,0))),IF(((46+0.5)*(4*IF(circ_int,0,eq_c1/2)+4*IF(circ_int,0,eq_c2/2)+2*PI()*(s_0+0*s_r+IF(circ_int,eq_c1/2,0)))/INDEX(lk_legs,1))&lt;(((((2*IF(circ_int,0,eq_c2/2))+(PI()*(s_0+0*s_r+IF(circ_int,eq_c1/2,0))/2))+2*IF(circ_int,0,eq_c1/2))+(PI()*(s_0+0*s_r+IF(circ_int,eq_c1/2,0))/2))+2*IF(circ_int,0,eq_c2/2)),IF(circ_int,0,eq_c2/2)-(((46+0.5)*(4*IF(circ_int,0,eq_c1/2)+4*IF(circ_int,0,eq_c2/2)+2*PI()*(s_0+0*s_r+IF(circ_int,eq_c1/2,0)))/INDEX(lk_legs,1))-((((2*IF(circ_int,0,eq_c2/2))+(PI()*(s_0+0*s_r+IF(circ_int,eq_c1/2,0))/2))+2*IF(circ_int,0,eq_c1/2))+(PI()*(s_0+0*s_r+IF(circ_int,eq_c1/2,0))/2))),IF(((46+0.5)*(4*IF(circ_int,0,eq_c1/2)+4*IF(circ_int,0,eq_c2/2)+2*PI()*(s_0+0*s_r+IF(circ_int,eq_c1/2,0)))/INDEX(lk_legs,1))&lt;((((((2*IF(circ_int,0,eq_c2/2))+(PI()*(s_0+0*s_r+IF(circ_int,eq_c1/2,0))/2))+2*IF(circ_int,0,eq_c1/2))+(PI()*(s_0+0*s_r+IF(circ_int,eq_c1/2,0))/2))+2*IF(circ_int,0,eq_c2/2))+(PI()*(s_0+0*s_r+IF(circ_int,eq_c1/2,0))/2)),-IF(circ_int,0,eq_c2/2)+(s_0+0*s_r+IF(circ_int,eq_c1/2,0))*SIN(PI()+(((46+0.5)*(4*IF(circ_int,0,eq_c1/2)+4*IF(circ_int,0,eq_c2/2)+2*PI()*(s_0+0*s_r+IF(circ_int,eq_c1/2,0)))/INDEX(lk_legs,1))-(((((2*IF(circ_int,0,eq_c2/2))+(PI()*(s_0+0*s_r+IF(circ_int,eq_c1/2,0))/2))+2*IF(circ_int,0,eq_c1/2))+(PI()*(s_0+0*s_r+IF(circ_int,eq_c1/2,0))/2))+2*IF(circ_int,0,eq_c2/2)))/(s_0+0*s_r+IF(circ_int,eq_c1/2,0))),IF(((46+0.5)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(46+0.5)*(4*IF(circ_int,0,eq_c1/2)+4*IF(circ_int,0,eq_c2/2)+2*PI()*(s_0+0*s_r+IF(circ_int,eq_c1/2,0)))/INDEX(lk_legs,1))-(((((((2*IF(circ_int,0,eq_c2/2))+(PI()*(s_0+0*s_r+IF(circ_int,eq_c1/2,0))/2))+2*IF(circ_int,0,eq_c1/2))+(PI()*(s_0+0*s_r+IF(circ_int,eq_c1/2,0))/2))+2*IF(circ_int,0,eq_c2/2))+(PI()*(s_0+0*s_r+IF(circ_int,eq_c1/2,0))/2))+2*IF(circ_int,0,eq_c1/2)))/(s_0+0*s_r+IF(circ_int,eq_c1/2,0)))))))))),NA())</f>
        <v/>
      </c>
      <c r="BC49">
        <f>IF(AND(links_on,2&lt;=n_per),IF(circ_int,(g_ox)+(c_1/2+(s_0+1*s_r))*0.748511,CHOOSE(INDEX(lk_kind,2),(g_ox+eq_c1/2)+((s_0+1*s_r))*0.793353,0,eq_a1+eq_c1+(s_0+1*s_r),eq_a1+eq_c1+(s_0+1*s_r))),NA())</f>
        <v/>
      </c>
      <c r="BD49">
        <f>IF(AND(links_on,2&lt;=n_per),IF(circ_int,(g_oy)+(c_1/2+(s_0+1*s_r))*-0.663123,CHOOSE(INDEX(lk_kind,2),(g_oy-eq_c2/2)+((s_0+1*s_r))*-0.608761,g_oy-eq_c2/2-(s_0+1*s_r),0,0)),NA())</f>
        <v/>
      </c>
      <c r="BF49">
        <f>IF(AND(AND(links_on,2&lt;=n_per),INDEX(lk_kind,2)=1,46&lt;INDEX(lk_legs,2)),g_ox+IF(((46+0.5)*(4*IF(circ_int,0,eq_c1/2)+4*IF(circ_int,0,eq_c2/2)+2*PI()*(s_0+1*s_r+IF(circ_int,eq_c1/2,0)))/INDEX(lk_legs,2))&lt;(2*IF(circ_int,0,eq_c2/2)),IF(circ_int,0,eq_c1/2)+(s_0+1*s_r+IF(circ_int,eq_c1/2,0)),IF(((46+0.5)*(4*IF(circ_int,0,eq_c1/2)+4*IF(circ_int,0,eq_c2/2)+2*PI()*(s_0+1*s_r+IF(circ_int,eq_c1/2,0)))/INDEX(lk_legs,2))&lt;((2*IF(circ_int,0,eq_c2/2))+(PI()*(s_0+1*s_r+IF(circ_int,eq_c1/2,0))/2)),IF(circ_int,0,eq_c1/2)+(s_0+1*s_r+IF(circ_int,eq_c1/2,0))*COS((((46+0.5)*(4*IF(circ_int,0,eq_c1/2)+4*IF(circ_int,0,eq_c2/2)+2*PI()*(s_0+1*s_r+IF(circ_int,eq_c1/2,0)))/INDEX(lk_legs,2))-(2*IF(circ_int,0,eq_c2/2)))/(s_0+1*s_r+IF(circ_int,eq_c1/2,0))),IF(((46+0.5)*(4*IF(circ_int,0,eq_c1/2)+4*IF(circ_int,0,eq_c2/2)+2*PI()*(s_0+1*s_r+IF(circ_int,eq_c1/2,0)))/INDEX(lk_legs,2))&lt;(((2*IF(circ_int,0,eq_c2/2))+(PI()*(s_0+1*s_r+IF(circ_int,eq_c1/2,0))/2))+2*IF(circ_int,0,eq_c1/2)),IF(circ_int,0,eq_c1/2)-(((46+0.5)*(4*IF(circ_int,0,eq_c1/2)+4*IF(circ_int,0,eq_c2/2)+2*PI()*(s_0+1*s_r+IF(circ_int,eq_c1/2,0)))/INDEX(lk_legs,2))-((2*IF(circ_int,0,eq_c2/2))+(PI()*(s_0+1*s_r+IF(circ_int,eq_c1/2,0))/2))),IF(((46+0.5)*(4*IF(circ_int,0,eq_c1/2)+4*IF(circ_int,0,eq_c2/2)+2*PI()*(s_0+1*s_r+IF(circ_int,eq_c1/2,0)))/INDEX(lk_legs,2))&lt;((((2*IF(circ_int,0,eq_c2/2))+(PI()*(s_0+1*s_r+IF(circ_int,eq_c1/2,0))/2))+2*IF(circ_int,0,eq_c1/2))+(PI()*(s_0+1*s_r+IF(circ_int,eq_c1/2,0))/2)),-IF(circ_int,0,eq_c1/2)+(s_0+1*s_r+IF(circ_int,eq_c1/2,0))*COS(PI()/2+(((46+0.5)*(4*IF(circ_int,0,eq_c1/2)+4*IF(circ_int,0,eq_c2/2)+2*PI()*(s_0+1*s_r+IF(circ_int,eq_c1/2,0)))/INDEX(lk_legs,2))-(((2*IF(circ_int,0,eq_c2/2))+(PI()*(s_0+1*s_r+IF(circ_int,eq_c1/2,0))/2))+2*IF(circ_int,0,eq_c1/2)))/(s_0+1*s_r+IF(circ_int,eq_c1/2,0))),IF(((46+0.5)*(4*IF(circ_int,0,eq_c1/2)+4*IF(circ_int,0,eq_c2/2)+2*PI()*(s_0+1*s_r+IF(circ_int,eq_c1/2,0)))/INDEX(lk_legs,2))&lt;(((((2*IF(circ_int,0,eq_c2/2))+(PI()*(s_0+1*s_r+IF(circ_int,eq_c1/2,0))/2))+2*IF(circ_int,0,eq_c1/2))+(PI()*(s_0+1*s_r+IF(circ_int,eq_c1/2,0))/2))+2*IF(circ_int,0,eq_c2/2)),-IF(circ_int,0,eq_c1/2)-(s_0+1*s_r+IF(circ_int,eq_c1/2,0)),IF(((46+0.5)*(4*IF(circ_int,0,eq_c1/2)+4*IF(circ_int,0,eq_c2/2)+2*PI()*(s_0+1*s_r+IF(circ_int,eq_c1/2,0)))/INDEX(lk_legs,2))&lt;((((((2*IF(circ_int,0,eq_c2/2))+(PI()*(s_0+1*s_r+IF(circ_int,eq_c1/2,0))/2))+2*IF(circ_int,0,eq_c1/2))+(PI()*(s_0+1*s_r+IF(circ_int,eq_c1/2,0))/2))+2*IF(circ_int,0,eq_c2/2))+(PI()*(s_0+1*s_r+IF(circ_int,eq_c1/2,0))/2)),-IF(circ_int,0,eq_c1/2)+(s_0+1*s_r+IF(circ_int,eq_c1/2,0))*COS(PI()+(((46+0.5)*(4*IF(circ_int,0,eq_c1/2)+4*IF(circ_int,0,eq_c2/2)+2*PI()*(s_0+1*s_r+IF(circ_int,eq_c1/2,0)))/INDEX(lk_legs,2))-(((((2*IF(circ_int,0,eq_c2/2))+(PI()*(s_0+1*s_r+IF(circ_int,eq_c1/2,0))/2))+2*IF(circ_int,0,eq_c1/2))+(PI()*(s_0+1*s_r+IF(circ_int,eq_c1/2,0))/2))+2*IF(circ_int,0,eq_c2/2)))/(s_0+1*s_r+IF(circ_int,eq_c1/2,0))),IF(((46+0.5)*(4*IF(circ_int,0,eq_c1/2)+4*IF(circ_int,0,eq_c2/2)+2*PI()*(s_0+1*s_r+IF(circ_int,eq_c1/2,0)))/INDEX(lk_legs,2))&lt;(((((((2*IF(circ_int,0,eq_c2/2))+(PI()*(s_0+1*s_r+IF(circ_int,eq_c1/2,0))/2))+2*IF(circ_int,0,eq_c1/2))+(PI()*(s_0+1*s_r+IF(circ_int,eq_c1/2,0))/2))+2*IF(circ_int,0,eq_c2/2))+(PI()*(s_0+1*s_r+IF(circ_int,eq_c1/2,0))/2))+2*IF(circ_int,0,eq_c1/2)),-IF(circ_int,0,eq_c1/2)+(((46+0.5)*(4*IF(circ_int,0,eq_c1/2)+4*IF(circ_int,0,eq_c2/2)+2*PI()*(s_0+1*s_r+IF(circ_int,eq_c1/2,0)))/INDEX(lk_legs,2))-((((((2*IF(circ_int,0,eq_c2/2))+(PI()*(s_0+1*s_r+IF(circ_int,eq_c1/2,0))/2))+2*IF(circ_int,0,eq_c1/2))+(PI()*(s_0+1*s_r+IF(circ_int,eq_c1/2,0))/2))+2*IF(circ_int,0,eq_c2/2))+(PI()*(s_0+1*s_r+IF(circ_int,eq_c1/2,0))/2))),IF(circ_int,0,eq_c1/2)+(s_0+1*s_r+IF(circ_int,eq_c1/2,0))*COS(3*PI()/2+(((46+0.5)*(4*IF(circ_int,0,eq_c1/2)+4*IF(circ_int,0,eq_c2/2)+2*PI()*(s_0+1*s_r+IF(circ_int,eq_c1/2,0)))/INDEX(lk_legs,2))-(((((((2*IF(circ_int,0,eq_c2/2))+(PI()*(s_0+1*s_r+IF(circ_int,eq_c1/2,0))/2))+2*IF(circ_int,0,eq_c1/2))+(PI()*(s_0+1*s_r+IF(circ_int,eq_c1/2,0))/2))+2*IF(circ_int,0,eq_c2/2))+(PI()*(s_0+1*s_r+IF(circ_int,eq_c1/2,0))/2))+2*IF(circ_int,0,eq_c1/2)))/(s_0+1*s_r+IF(circ_int,eq_c1/2,0)))))))))),NA())</f>
        <v/>
      </c>
      <c r="BG49">
        <f>IF(AND(AND(links_on,2&lt;=n_per),INDEX(lk_kind,2)=1,46&lt;INDEX(lk_legs,2)),g_oy+IF(((46+0.5)*(4*IF(circ_int,0,eq_c1/2)+4*IF(circ_int,0,eq_c2/2)+2*PI()*(s_0+1*s_r+IF(circ_int,eq_c1/2,0)))/INDEX(lk_legs,2))&lt;(2*IF(circ_int,0,eq_c2/2)),-IF(circ_int,0,eq_c2/2)+((46+0.5)*(4*IF(circ_int,0,eq_c1/2)+4*IF(circ_int,0,eq_c2/2)+2*PI()*(s_0+1*s_r+IF(circ_int,eq_c1/2,0)))/INDEX(lk_legs,2)),IF(((46+0.5)*(4*IF(circ_int,0,eq_c1/2)+4*IF(circ_int,0,eq_c2/2)+2*PI()*(s_0+1*s_r+IF(circ_int,eq_c1/2,0)))/INDEX(lk_legs,2))&lt;((2*IF(circ_int,0,eq_c2/2))+(PI()*(s_0+1*s_r+IF(circ_int,eq_c1/2,0))/2)),IF(circ_int,0,eq_c2/2)+(s_0+1*s_r+IF(circ_int,eq_c1/2,0))*SIN((((46+0.5)*(4*IF(circ_int,0,eq_c1/2)+4*IF(circ_int,0,eq_c2/2)+2*PI()*(s_0+1*s_r+IF(circ_int,eq_c1/2,0)))/INDEX(lk_legs,2))-(2*IF(circ_int,0,eq_c2/2)))/(s_0+1*s_r+IF(circ_int,eq_c1/2,0))),IF(((46+0.5)*(4*IF(circ_int,0,eq_c1/2)+4*IF(circ_int,0,eq_c2/2)+2*PI()*(s_0+1*s_r+IF(circ_int,eq_c1/2,0)))/INDEX(lk_legs,2))&lt;(((2*IF(circ_int,0,eq_c2/2))+(PI()*(s_0+1*s_r+IF(circ_int,eq_c1/2,0))/2))+2*IF(circ_int,0,eq_c1/2)),IF(circ_int,0,eq_c2/2)+(s_0+1*s_r+IF(circ_int,eq_c1/2,0)),IF(((46+0.5)*(4*IF(circ_int,0,eq_c1/2)+4*IF(circ_int,0,eq_c2/2)+2*PI()*(s_0+1*s_r+IF(circ_int,eq_c1/2,0)))/INDEX(lk_legs,2))&lt;((((2*IF(circ_int,0,eq_c2/2))+(PI()*(s_0+1*s_r+IF(circ_int,eq_c1/2,0))/2))+2*IF(circ_int,0,eq_c1/2))+(PI()*(s_0+1*s_r+IF(circ_int,eq_c1/2,0))/2)),IF(circ_int,0,eq_c2/2)+(s_0+1*s_r+IF(circ_int,eq_c1/2,0))*SIN(PI()/2+(((46+0.5)*(4*IF(circ_int,0,eq_c1/2)+4*IF(circ_int,0,eq_c2/2)+2*PI()*(s_0+1*s_r+IF(circ_int,eq_c1/2,0)))/INDEX(lk_legs,2))-(((2*IF(circ_int,0,eq_c2/2))+(PI()*(s_0+1*s_r+IF(circ_int,eq_c1/2,0))/2))+2*IF(circ_int,0,eq_c1/2)))/(s_0+1*s_r+IF(circ_int,eq_c1/2,0))),IF(((46+0.5)*(4*IF(circ_int,0,eq_c1/2)+4*IF(circ_int,0,eq_c2/2)+2*PI()*(s_0+1*s_r+IF(circ_int,eq_c1/2,0)))/INDEX(lk_legs,2))&lt;(((((2*IF(circ_int,0,eq_c2/2))+(PI()*(s_0+1*s_r+IF(circ_int,eq_c1/2,0))/2))+2*IF(circ_int,0,eq_c1/2))+(PI()*(s_0+1*s_r+IF(circ_int,eq_c1/2,0))/2))+2*IF(circ_int,0,eq_c2/2)),IF(circ_int,0,eq_c2/2)-(((46+0.5)*(4*IF(circ_int,0,eq_c1/2)+4*IF(circ_int,0,eq_c2/2)+2*PI()*(s_0+1*s_r+IF(circ_int,eq_c1/2,0)))/INDEX(lk_legs,2))-((((2*IF(circ_int,0,eq_c2/2))+(PI()*(s_0+1*s_r+IF(circ_int,eq_c1/2,0))/2))+2*IF(circ_int,0,eq_c1/2))+(PI()*(s_0+1*s_r+IF(circ_int,eq_c1/2,0))/2))),IF(((46+0.5)*(4*IF(circ_int,0,eq_c1/2)+4*IF(circ_int,0,eq_c2/2)+2*PI()*(s_0+1*s_r+IF(circ_int,eq_c1/2,0)))/INDEX(lk_legs,2))&lt;((((((2*IF(circ_int,0,eq_c2/2))+(PI()*(s_0+1*s_r+IF(circ_int,eq_c1/2,0))/2))+2*IF(circ_int,0,eq_c1/2))+(PI()*(s_0+1*s_r+IF(circ_int,eq_c1/2,0))/2))+2*IF(circ_int,0,eq_c2/2))+(PI()*(s_0+1*s_r+IF(circ_int,eq_c1/2,0))/2)),-IF(circ_int,0,eq_c2/2)+(s_0+1*s_r+IF(circ_int,eq_c1/2,0))*SIN(PI()+(((46+0.5)*(4*IF(circ_int,0,eq_c1/2)+4*IF(circ_int,0,eq_c2/2)+2*PI()*(s_0+1*s_r+IF(circ_int,eq_c1/2,0)))/INDEX(lk_legs,2))-(((((2*IF(circ_int,0,eq_c2/2))+(PI()*(s_0+1*s_r+IF(circ_int,eq_c1/2,0))/2))+2*IF(circ_int,0,eq_c1/2))+(PI()*(s_0+1*s_r+IF(circ_int,eq_c1/2,0))/2))+2*IF(circ_int,0,eq_c2/2)))/(s_0+1*s_r+IF(circ_int,eq_c1/2,0))),IF(((46+0.5)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(46+0.5)*(4*IF(circ_int,0,eq_c1/2)+4*IF(circ_int,0,eq_c2/2)+2*PI()*(s_0+1*s_r+IF(circ_int,eq_c1/2,0)))/INDEX(lk_legs,2))-(((((((2*IF(circ_int,0,eq_c2/2))+(PI()*(s_0+1*s_r+IF(circ_int,eq_c1/2,0))/2))+2*IF(circ_int,0,eq_c1/2))+(PI()*(s_0+1*s_r+IF(circ_int,eq_c1/2,0))/2))+2*IF(circ_int,0,eq_c2/2))+(PI()*(s_0+1*s_r+IF(circ_int,eq_c1/2,0))/2))+2*IF(circ_int,0,eq_c1/2)))/(s_0+1*s_r+IF(circ_int,eq_c1/2,0)))))))))),NA())</f>
        <v/>
      </c>
      <c r="BI49">
        <f>IF(AND(links_on,3&lt;=n_per),IF(circ_int,(g_ox)+(c_1/2+(s_0+2*s_r))*0.748511,CHOOSE(INDEX(lk_kind,3),(g_ox+eq_c1/2)+((s_0+2*s_r))*0.793353,0,eq_a1+eq_c1+(s_0+2*s_r),eq_a1+eq_c1+(s_0+2*s_r))),NA())</f>
        <v/>
      </c>
      <c r="BJ49">
        <f>IF(AND(links_on,3&lt;=n_per),IF(circ_int,(g_oy)+(c_1/2+(s_0+2*s_r))*-0.663123,CHOOSE(INDEX(lk_kind,3),(g_oy-eq_c2/2)+((s_0+2*s_r))*-0.608761,g_oy-eq_c2/2-(s_0+2*s_r),0,0)),NA())</f>
        <v/>
      </c>
      <c r="BL49">
        <f>IF(AND(AND(links_on,3&lt;=n_per),INDEX(lk_kind,3)=1,46&lt;INDEX(lk_legs,3)),g_ox+IF(((46+0.5)*(4*IF(circ_int,0,eq_c1/2)+4*IF(circ_int,0,eq_c2/2)+2*PI()*(s_0+2*s_r+IF(circ_int,eq_c1/2,0)))/INDEX(lk_legs,3))&lt;(2*IF(circ_int,0,eq_c2/2)),IF(circ_int,0,eq_c1/2)+(s_0+2*s_r+IF(circ_int,eq_c1/2,0)),IF(((46+0.5)*(4*IF(circ_int,0,eq_c1/2)+4*IF(circ_int,0,eq_c2/2)+2*PI()*(s_0+2*s_r+IF(circ_int,eq_c1/2,0)))/INDEX(lk_legs,3))&lt;((2*IF(circ_int,0,eq_c2/2))+(PI()*(s_0+2*s_r+IF(circ_int,eq_c1/2,0))/2)),IF(circ_int,0,eq_c1/2)+(s_0+2*s_r+IF(circ_int,eq_c1/2,0))*COS((((46+0.5)*(4*IF(circ_int,0,eq_c1/2)+4*IF(circ_int,0,eq_c2/2)+2*PI()*(s_0+2*s_r+IF(circ_int,eq_c1/2,0)))/INDEX(lk_legs,3))-(2*IF(circ_int,0,eq_c2/2)))/(s_0+2*s_r+IF(circ_int,eq_c1/2,0))),IF(((46+0.5)*(4*IF(circ_int,0,eq_c1/2)+4*IF(circ_int,0,eq_c2/2)+2*PI()*(s_0+2*s_r+IF(circ_int,eq_c1/2,0)))/INDEX(lk_legs,3))&lt;(((2*IF(circ_int,0,eq_c2/2))+(PI()*(s_0+2*s_r+IF(circ_int,eq_c1/2,0))/2))+2*IF(circ_int,0,eq_c1/2)),IF(circ_int,0,eq_c1/2)-(((46+0.5)*(4*IF(circ_int,0,eq_c1/2)+4*IF(circ_int,0,eq_c2/2)+2*PI()*(s_0+2*s_r+IF(circ_int,eq_c1/2,0)))/INDEX(lk_legs,3))-((2*IF(circ_int,0,eq_c2/2))+(PI()*(s_0+2*s_r+IF(circ_int,eq_c1/2,0))/2))),IF(((46+0.5)*(4*IF(circ_int,0,eq_c1/2)+4*IF(circ_int,0,eq_c2/2)+2*PI()*(s_0+2*s_r+IF(circ_int,eq_c1/2,0)))/INDEX(lk_legs,3))&lt;((((2*IF(circ_int,0,eq_c2/2))+(PI()*(s_0+2*s_r+IF(circ_int,eq_c1/2,0))/2))+2*IF(circ_int,0,eq_c1/2))+(PI()*(s_0+2*s_r+IF(circ_int,eq_c1/2,0))/2)),-IF(circ_int,0,eq_c1/2)+(s_0+2*s_r+IF(circ_int,eq_c1/2,0))*COS(PI()/2+(((46+0.5)*(4*IF(circ_int,0,eq_c1/2)+4*IF(circ_int,0,eq_c2/2)+2*PI()*(s_0+2*s_r+IF(circ_int,eq_c1/2,0)))/INDEX(lk_legs,3))-(((2*IF(circ_int,0,eq_c2/2))+(PI()*(s_0+2*s_r+IF(circ_int,eq_c1/2,0))/2))+2*IF(circ_int,0,eq_c1/2)))/(s_0+2*s_r+IF(circ_int,eq_c1/2,0))),IF(((46+0.5)*(4*IF(circ_int,0,eq_c1/2)+4*IF(circ_int,0,eq_c2/2)+2*PI()*(s_0+2*s_r+IF(circ_int,eq_c1/2,0)))/INDEX(lk_legs,3))&lt;(((((2*IF(circ_int,0,eq_c2/2))+(PI()*(s_0+2*s_r+IF(circ_int,eq_c1/2,0))/2))+2*IF(circ_int,0,eq_c1/2))+(PI()*(s_0+2*s_r+IF(circ_int,eq_c1/2,0))/2))+2*IF(circ_int,0,eq_c2/2)),-IF(circ_int,0,eq_c1/2)-(s_0+2*s_r+IF(circ_int,eq_c1/2,0)),IF(((46+0.5)*(4*IF(circ_int,0,eq_c1/2)+4*IF(circ_int,0,eq_c2/2)+2*PI()*(s_0+2*s_r+IF(circ_int,eq_c1/2,0)))/INDEX(lk_legs,3))&lt;((((((2*IF(circ_int,0,eq_c2/2))+(PI()*(s_0+2*s_r+IF(circ_int,eq_c1/2,0))/2))+2*IF(circ_int,0,eq_c1/2))+(PI()*(s_0+2*s_r+IF(circ_int,eq_c1/2,0))/2))+2*IF(circ_int,0,eq_c2/2))+(PI()*(s_0+2*s_r+IF(circ_int,eq_c1/2,0))/2)),-IF(circ_int,0,eq_c1/2)+(s_0+2*s_r+IF(circ_int,eq_c1/2,0))*COS(PI()+(((46+0.5)*(4*IF(circ_int,0,eq_c1/2)+4*IF(circ_int,0,eq_c2/2)+2*PI()*(s_0+2*s_r+IF(circ_int,eq_c1/2,0)))/INDEX(lk_legs,3))-(((((2*IF(circ_int,0,eq_c2/2))+(PI()*(s_0+2*s_r+IF(circ_int,eq_c1/2,0))/2))+2*IF(circ_int,0,eq_c1/2))+(PI()*(s_0+2*s_r+IF(circ_int,eq_c1/2,0))/2))+2*IF(circ_int,0,eq_c2/2)))/(s_0+2*s_r+IF(circ_int,eq_c1/2,0))),IF(((46+0.5)*(4*IF(circ_int,0,eq_c1/2)+4*IF(circ_int,0,eq_c2/2)+2*PI()*(s_0+2*s_r+IF(circ_int,eq_c1/2,0)))/INDEX(lk_legs,3))&lt;(((((((2*IF(circ_int,0,eq_c2/2))+(PI()*(s_0+2*s_r+IF(circ_int,eq_c1/2,0))/2))+2*IF(circ_int,0,eq_c1/2))+(PI()*(s_0+2*s_r+IF(circ_int,eq_c1/2,0))/2))+2*IF(circ_int,0,eq_c2/2))+(PI()*(s_0+2*s_r+IF(circ_int,eq_c1/2,0))/2))+2*IF(circ_int,0,eq_c1/2)),-IF(circ_int,0,eq_c1/2)+(((46+0.5)*(4*IF(circ_int,0,eq_c1/2)+4*IF(circ_int,0,eq_c2/2)+2*PI()*(s_0+2*s_r+IF(circ_int,eq_c1/2,0)))/INDEX(lk_legs,3))-((((((2*IF(circ_int,0,eq_c2/2))+(PI()*(s_0+2*s_r+IF(circ_int,eq_c1/2,0))/2))+2*IF(circ_int,0,eq_c1/2))+(PI()*(s_0+2*s_r+IF(circ_int,eq_c1/2,0))/2))+2*IF(circ_int,0,eq_c2/2))+(PI()*(s_0+2*s_r+IF(circ_int,eq_c1/2,0))/2))),IF(circ_int,0,eq_c1/2)+(s_0+2*s_r+IF(circ_int,eq_c1/2,0))*COS(3*PI()/2+(((46+0.5)*(4*IF(circ_int,0,eq_c1/2)+4*IF(circ_int,0,eq_c2/2)+2*PI()*(s_0+2*s_r+IF(circ_int,eq_c1/2,0)))/INDEX(lk_legs,3))-(((((((2*IF(circ_int,0,eq_c2/2))+(PI()*(s_0+2*s_r+IF(circ_int,eq_c1/2,0))/2))+2*IF(circ_int,0,eq_c1/2))+(PI()*(s_0+2*s_r+IF(circ_int,eq_c1/2,0))/2))+2*IF(circ_int,0,eq_c2/2))+(PI()*(s_0+2*s_r+IF(circ_int,eq_c1/2,0))/2))+2*IF(circ_int,0,eq_c1/2)))/(s_0+2*s_r+IF(circ_int,eq_c1/2,0)))))))))),NA())</f>
        <v/>
      </c>
      <c r="BM49">
        <f>IF(AND(AND(links_on,3&lt;=n_per),INDEX(lk_kind,3)=1,46&lt;INDEX(lk_legs,3)),g_oy+IF(((46+0.5)*(4*IF(circ_int,0,eq_c1/2)+4*IF(circ_int,0,eq_c2/2)+2*PI()*(s_0+2*s_r+IF(circ_int,eq_c1/2,0)))/INDEX(lk_legs,3))&lt;(2*IF(circ_int,0,eq_c2/2)),-IF(circ_int,0,eq_c2/2)+((46+0.5)*(4*IF(circ_int,0,eq_c1/2)+4*IF(circ_int,0,eq_c2/2)+2*PI()*(s_0+2*s_r+IF(circ_int,eq_c1/2,0)))/INDEX(lk_legs,3)),IF(((46+0.5)*(4*IF(circ_int,0,eq_c1/2)+4*IF(circ_int,0,eq_c2/2)+2*PI()*(s_0+2*s_r+IF(circ_int,eq_c1/2,0)))/INDEX(lk_legs,3))&lt;((2*IF(circ_int,0,eq_c2/2))+(PI()*(s_0+2*s_r+IF(circ_int,eq_c1/2,0))/2)),IF(circ_int,0,eq_c2/2)+(s_0+2*s_r+IF(circ_int,eq_c1/2,0))*SIN((((46+0.5)*(4*IF(circ_int,0,eq_c1/2)+4*IF(circ_int,0,eq_c2/2)+2*PI()*(s_0+2*s_r+IF(circ_int,eq_c1/2,0)))/INDEX(lk_legs,3))-(2*IF(circ_int,0,eq_c2/2)))/(s_0+2*s_r+IF(circ_int,eq_c1/2,0))),IF(((46+0.5)*(4*IF(circ_int,0,eq_c1/2)+4*IF(circ_int,0,eq_c2/2)+2*PI()*(s_0+2*s_r+IF(circ_int,eq_c1/2,0)))/INDEX(lk_legs,3))&lt;(((2*IF(circ_int,0,eq_c2/2))+(PI()*(s_0+2*s_r+IF(circ_int,eq_c1/2,0))/2))+2*IF(circ_int,0,eq_c1/2)),IF(circ_int,0,eq_c2/2)+(s_0+2*s_r+IF(circ_int,eq_c1/2,0)),IF(((46+0.5)*(4*IF(circ_int,0,eq_c1/2)+4*IF(circ_int,0,eq_c2/2)+2*PI()*(s_0+2*s_r+IF(circ_int,eq_c1/2,0)))/INDEX(lk_legs,3))&lt;((((2*IF(circ_int,0,eq_c2/2))+(PI()*(s_0+2*s_r+IF(circ_int,eq_c1/2,0))/2))+2*IF(circ_int,0,eq_c1/2))+(PI()*(s_0+2*s_r+IF(circ_int,eq_c1/2,0))/2)),IF(circ_int,0,eq_c2/2)+(s_0+2*s_r+IF(circ_int,eq_c1/2,0))*SIN(PI()/2+(((46+0.5)*(4*IF(circ_int,0,eq_c1/2)+4*IF(circ_int,0,eq_c2/2)+2*PI()*(s_0+2*s_r+IF(circ_int,eq_c1/2,0)))/INDEX(lk_legs,3))-(((2*IF(circ_int,0,eq_c2/2))+(PI()*(s_0+2*s_r+IF(circ_int,eq_c1/2,0))/2))+2*IF(circ_int,0,eq_c1/2)))/(s_0+2*s_r+IF(circ_int,eq_c1/2,0))),IF(((46+0.5)*(4*IF(circ_int,0,eq_c1/2)+4*IF(circ_int,0,eq_c2/2)+2*PI()*(s_0+2*s_r+IF(circ_int,eq_c1/2,0)))/INDEX(lk_legs,3))&lt;(((((2*IF(circ_int,0,eq_c2/2))+(PI()*(s_0+2*s_r+IF(circ_int,eq_c1/2,0))/2))+2*IF(circ_int,0,eq_c1/2))+(PI()*(s_0+2*s_r+IF(circ_int,eq_c1/2,0))/2))+2*IF(circ_int,0,eq_c2/2)),IF(circ_int,0,eq_c2/2)-(((46+0.5)*(4*IF(circ_int,0,eq_c1/2)+4*IF(circ_int,0,eq_c2/2)+2*PI()*(s_0+2*s_r+IF(circ_int,eq_c1/2,0)))/INDEX(lk_legs,3))-((((2*IF(circ_int,0,eq_c2/2))+(PI()*(s_0+2*s_r+IF(circ_int,eq_c1/2,0))/2))+2*IF(circ_int,0,eq_c1/2))+(PI()*(s_0+2*s_r+IF(circ_int,eq_c1/2,0))/2))),IF(((46+0.5)*(4*IF(circ_int,0,eq_c1/2)+4*IF(circ_int,0,eq_c2/2)+2*PI()*(s_0+2*s_r+IF(circ_int,eq_c1/2,0)))/INDEX(lk_legs,3))&lt;((((((2*IF(circ_int,0,eq_c2/2))+(PI()*(s_0+2*s_r+IF(circ_int,eq_c1/2,0))/2))+2*IF(circ_int,0,eq_c1/2))+(PI()*(s_0+2*s_r+IF(circ_int,eq_c1/2,0))/2))+2*IF(circ_int,0,eq_c2/2))+(PI()*(s_0+2*s_r+IF(circ_int,eq_c1/2,0))/2)),-IF(circ_int,0,eq_c2/2)+(s_0+2*s_r+IF(circ_int,eq_c1/2,0))*SIN(PI()+(((46+0.5)*(4*IF(circ_int,0,eq_c1/2)+4*IF(circ_int,0,eq_c2/2)+2*PI()*(s_0+2*s_r+IF(circ_int,eq_c1/2,0)))/INDEX(lk_legs,3))-(((((2*IF(circ_int,0,eq_c2/2))+(PI()*(s_0+2*s_r+IF(circ_int,eq_c1/2,0))/2))+2*IF(circ_int,0,eq_c1/2))+(PI()*(s_0+2*s_r+IF(circ_int,eq_c1/2,0))/2))+2*IF(circ_int,0,eq_c2/2)))/(s_0+2*s_r+IF(circ_int,eq_c1/2,0))),IF(((46+0.5)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(46+0.5)*(4*IF(circ_int,0,eq_c1/2)+4*IF(circ_int,0,eq_c2/2)+2*PI()*(s_0+2*s_r+IF(circ_int,eq_c1/2,0)))/INDEX(lk_legs,3))-(((((((2*IF(circ_int,0,eq_c2/2))+(PI()*(s_0+2*s_r+IF(circ_int,eq_c1/2,0))/2))+2*IF(circ_int,0,eq_c1/2))+(PI()*(s_0+2*s_r+IF(circ_int,eq_c1/2,0))/2))+2*IF(circ_int,0,eq_c2/2))+(PI()*(s_0+2*s_r+IF(circ_int,eq_c1/2,0))/2))+2*IF(circ_int,0,eq_c1/2)))/(s_0+2*s_r+IF(circ_int,eq_c1/2,0)))))))))),NA())</f>
        <v/>
      </c>
      <c r="BO49">
        <f>IF(AND(links_on,4&lt;=n_per),IF(circ_int,(g_ox)+(c_1/2+(s_0+3*s_r))*0.748511,CHOOSE(INDEX(lk_kind,4),(g_ox+eq_c1/2)+((s_0+3*s_r))*0.793353,0,eq_a1+eq_c1+(s_0+3*s_r),eq_a1+eq_c1+(s_0+3*s_r))),NA())</f>
        <v/>
      </c>
      <c r="BP49">
        <f>IF(AND(links_on,4&lt;=n_per),IF(circ_int,(g_oy)+(c_1/2+(s_0+3*s_r))*-0.663123,CHOOSE(INDEX(lk_kind,4),(g_oy-eq_c2/2)+((s_0+3*s_r))*-0.608761,g_oy-eq_c2/2-(s_0+3*s_r),0,0)),NA())</f>
        <v/>
      </c>
      <c r="BR49">
        <f>IF(AND(AND(links_on,4&lt;=n_per),INDEX(lk_kind,4)=1,46&lt;INDEX(lk_legs,4)),g_ox+IF(((46+0.5)*(4*IF(circ_int,0,eq_c1/2)+4*IF(circ_int,0,eq_c2/2)+2*PI()*(s_0+3*s_r+IF(circ_int,eq_c1/2,0)))/INDEX(lk_legs,4))&lt;(2*IF(circ_int,0,eq_c2/2)),IF(circ_int,0,eq_c1/2)+(s_0+3*s_r+IF(circ_int,eq_c1/2,0)),IF(((46+0.5)*(4*IF(circ_int,0,eq_c1/2)+4*IF(circ_int,0,eq_c2/2)+2*PI()*(s_0+3*s_r+IF(circ_int,eq_c1/2,0)))/INDEX(lk_legs,4))&lt;((2*IF(circ_int,0,eq_c2/2))+(PI()*(s_0+3*s_r+IF(circ_int,eq_c1/2,0))/2)),IF(circ_int,0,eq_c1/2)+(s_0+3*s_r+IF(circ_int,eq_c1/2,0))*COS((((46+0.5)*(4*IF(circ_int,0,eq_c1/2)+4*IF(circ_int,0,eq_c2/2)+2*PI()*(s_0+3*s_r+IF(circ_int,eq_c1/2,0)))/INDEX(lk_legs,4))-(2*IF(circ_int,0,eq_c2/2)))/(s_0+3*s_r+IF(circ_int,eq_c1/2,0))),IF(((46+0.5)*(4*IF(circ_int,0,eq_c1/2)+4*IF(circ_int,0,eq_c2/2)+2*PI()*(s_0+3*s_r+IF(circ_int,eq_c1/2,0)))/INDEX(lk_legs,4))&lt;(((2*IF(circ_int,0,eq_c2/2))+(PI()*(s_0+3*s_r+IF(circ_int,eq_c1/2,0))/2))+2*IF(circ_int,0,eq_c1/2)),IF(circ_int,0,eq_c1/2)-(((46+0.5)*(4*IF(circ_int,0,eq_c1/2)+4*IF(circ_int,0,eq_c2/2)+2*PI()*(s_0+3*s_r+IF(circ_int,eq_c1/2,0)))/INDEX(lk_legs,4))-((2*IF(circ_int,0,eq_c2/2))+(PI()*(s_0+3*s_r+IF(circ_int,eq_c1/2,0))/2))),IF(((46+0.5)*(4*IF(circ_int,0,eq_c1/2)+4*IF(circ_int,0,eq_c2/2)+2*PI()*(s_0+3*s_r+IF(circ_int,eq_c1/2,0)))/INDEX(lk_legs,4))&lt;((((2*IF(circ_int,0,eq_c2/2))+(PI()*(s_0+3*s_r+IF(circ_int,eq_c1/2,0))/2))+2*IF(circ_int,0,eq_c1/2))+(PI()*(s_0+3*s_r+IF(circ_int,eq_c1/2,0))/2)),-IF(circ_int,0,eq_c1/2)+(s_0+3*s_r+IF(circ_int,eq_c1/2,0))*COS(PI()/2+(((46+0.5)*(4*IF(circ_int,0,eq_c1/2)+4*IF(circ_int,0,eq_c2/2)+2*PI()*(s_0+3*s_r+IF(circ_int,eq_c1/2,0)))/INDEX(lk_legs,4))-(((2*IF(circ_int,0,eq_c2/2))+(PI()*(s_0+3*s_r+IF(circ_int,eq_c1/2,0))/2))+2*IF(circ_int,0,eq_c1/2)))/(s_0+3*s_r+IF(circ_int,eq_c1/2,0))),IF(((46+0.5)*(4*IF(circ_int,0,eq_c1/2)+4*IF(circ_int,0,eq_c2/2)+2*PI()*(s_0+3*s_r+IF(circ_int,eq_c1/2,0)))/INDEX(lk_legs,4))&lt;(((((2*IF(circ_int,0,eq_c2/2))+(PI()*(s_0+3*s_r+IF(circ_int,eq_c1/2,0))/2))+2*IF(circ_int,0,eq_c1/2))+(PI()*(s_0+3*s_r+IF(circ_int,eq_c1/2,0))/2))+2*IF(circ_int,0,eq_c2/2)),-IF(circ_int,0,eq_c1/2)-(s_0+3*s_r+IF(circ_int,eq_c1/2,0)),IF(((46+0.5)*(4*IF(circ_int,0,eq_c1/2)+4*IF(circ_int,0,eq_c2/2)+2*PI()*(s_0+3*s_r+IF(circ_int,eq_c1/2,0)))/INDEX(lk_legs,4))&lt;((((((2*IF(circ_int,0,eq_c2/2))+(PI()*(s_0+3*s_r+IF(circ_int,eq_c1/2,0))/2))+2*IF(circ_int,0,eq_c1/2))+(PI()*(s_0+3*s_r+IF(circ_int,eq_c1/2,0))/2))+2*IF(circ_int,0,eq_c2/2))+(PI()*(s_0+3*s_r+IF(circ_int,eq_c1/2,0))/2)),-IF(circ_int,0,eq_c1/2)+(s_0+3*s_r+IF(circ_int,eq_c1/2,0))*COS(PI()+(((46+0.5)*(4*IF(circ_int,0,eq_c1/2)+4*IF(circ_int,0,eq_c2/2)+2*PI()*(s_0+3*s_r+IF(circ_int,eq_c1/2,0)))/INDEX(lk_legs,4))-(((((2*IF(circ_int,0,eq_c2/2))+(PI()*(s_0+3*s_r+IF(circ_int,eq_c1/2,0))/2))+2*IF(circ_int,0,eq_c1/2))+(PI()*(s_0+3*s_r+IF(circ_int,eq_c1/2,0))/2))+2*IF(circ_int,0,eq_c2/2)))/(s_0+3*s_r+IF(circ_int,eq_c1/2,0))),IF(((46+0.5)*(4*IF(circ_int,0,eq_c1/2)+4*IF(circ_int,0,eq_c2/2)+2*PI()*(s_0+3*s_r+IF(circ_int,eq_c1/2,0)))/INDEX(lk_legs,4))&lt;(((((((2*IF(circ_int,0,eq_c2/2))+(PI()*(s_0+3*s_r+IF(circ_int,eq_c1/2,0))/2))+2*IF(circ_int,0,eq_c1/2))+(PI()*(s_0+3*s_r+IF(circ_int,eq_c1/2,0))/2))+2*IF(circ_int,0,eq_c2/2))+(PI()*(s_0+3*s_r+IF(circ_int,eq_c1/2,0))/2))+2*IF(circ_int,0,eq_c1/2)),-IF(circ_int,0,eq_c1/2)+(((46+0.5)*(4*IF(circ_int,0,eq_c1/2)+4*IF(circ_int,0,eq_c2/2)+2*PI()*(s_0+3*s_r+IF(circ_int,eq_c1/2,0)))/INDEX(lk_legs,4))-((((((2*IF(circ_int,0,eq_c2/2))+(PI()*(s_0+3*s_r+IF(circ_int,eq_c1/2,0))/2))+2*IF(circ_int,0,eq_c1/2))+(PI()*(s_0+3*s_r+IF(circ_int,eq_c1/2,0))/2))+2*IF(circ_int,0,eq_c2/2))+(PI()*(s_0+3*s_r+IF(circ_int,eq_c1/2,0))/2))),IF(circ_int,0,eq_c1/2)+(s_0+3*s_r+IF(circ_int,eq_c1/2,0))*COS(3*PI()/2+(((46+0.5)*(4*IF(circ_int,0,eq_c1/2)+4*IF(circ_int,0,eq_c2/2)+2*PI()*(s_0+3*s_r+IF(circ_int,eq_c1/2,0)))/INDEX(lk_legs,4))-(((((((2*IF(circ_int,0,eq_c2/2))+(PI()*(s_0+3*s_r+IF(circ_int,eq_c1/2,0))/2))+2*IF(circ_int,0,eq_c1/2))+(PI()*(s_0+3*s_r+IF(circ_int,eq_c1/2,0))/2))+2*IF(circ_int,0,eq_c2/2))+(PI()*(s_0+3*s_r+IF(circ_int,eq_c1/2,0))/2))+2*IF(circ_int,0,eq_c1/2)))/(s_0+3*s_r+IF(circ_int,eq_c1/2,0)))))))))),NA())</f>
        <v/>
      </c>
      <c r="BS49">
        <f>IF(AND(AND(links_on,4&lt;=n_per),INDEX(lk_kind,4)=1,46&lt;INDEX(lk_legs,4)),g_oy+IF(((46+0.5)*(4*IF(circ_int,0,eq_c1/2)+4*IF(circ_int,0,eq_c2/2)+2*PI()*(s_0+3*s_r+IF(circ_int,eq_c1/2,0)))/INDEX(lk_legs,4))&lt;(2*IF(circ_int,0,eq_c2/2)),-IF(circ_int,0,eq_c2/2)+((46+0.5)*(4*IF(circ_int,0,eq_c1/2)+4*IF(circ_int,0,eq_c2/2)+2*PI()*(s_0+3*s_r+IF(circ_int,eq_c1/2,0)))/INDEX(lk_legs,4)),IF(((46+0.5)*(4*IF(circ_int,0,eq_c1/2)+4*IF(circ_int,0,eq_c2/2)+2*PI()*(s_0+3*s_r+IF(circ_int,eq_c1/2,0)))/INDEX(lk_legs,4))&lt;((2*IF(circ_int,0,eq_c2/2))+(PI()*(s_0+3*s_r+IF(circ_int,eq_c1/2,0))/2)),IF(circ_int,0,eq_c2/2)+(s_0+3*s_r+IF(circ_int,eq_c1/2,0))*SIN((((46+0.5)*(4*IF(circ_int,0,eq_c1/2)+4*IF(circ_int,0,eq_c2/2)+2*PI()*(s_0+3*s_r+IF(circ_int,eq_c1/2,0)))/INDEX(lk_legs,4))-(2*IF(circ_int,0,eq_c2/2)))/(s_0+3*s_r+IF(circ_int,eq_c1/2,0))),IF(((46+0.5)*(4*IF(circ_int,0,eq_c1/2)+4*IF(circ_int,0,eq_c2/2)+2*PI()*(s_0+3*s_r+IF(circ_int,eq_c1/2,0)))/INDEX(lk_legs,4))&lt;(((2*IF(circ_int,0,eq_c2/2))+(PI()*(s_0+3*s_r+IF(circ_int,eq_c1/2,0))/2))+2*IF(circ_int,0,eq_c1/2)),IF(circ_int,0,eq_c2/2)+(s_0+3*s_r+IF(circ_int,eq_c1/2,0)),IF(((46+0.5)*(4*IF(circ_int,0,eq_c1/2)+4*IF(circ_int,0,eq_c2/2)+2*PI()*(s_0+3*s_r+IF(circ_int,eq_c1/2,0)))/INDEX(lk_legs,4))&lt;((((2*IF(circ_int,0,eq_c2/2))+(PI()*(s_0+3*s_r+IF(circ_int,eq_c1/2,0))/2))+2*IF(circ_int,0,eq_c1/2))+(PI()*(s_0+3*s_r+IF(circ_int,eq_c1/2,0))/2)),IF(circ_int,0,eq_c2/2)+(s_0+3*s_r+IF(circ_int,eq_c1/2,0))*SIN(PI()/2+(((46+0.5)*(4*IF(circ_int,0,eq_c1/2)+4*IF(circ_int,0,eq_c2/2)+2*PI()*(s_0+3*s_r+IF(circ_int,eq_c1/2,0)))/INDEX(lk_legs,4))-(((2*IF(circ_int,0,eq_c2/2))+(PI()*(s_0+3*s_r+IF(circ_int,eq_c1/2,0))/2))+2*IF(circ_int,0,eq_c1/2)))/(s_0+3*s_r+IF(circ_int,eq_c1/2,0))),IF(((46+0.5)*(4*IF(circ_int,0,eq_c1/2)+4*IF(circ_int,0,eq_c2/2)+2*PI()*(s_0+3*s_r+IF(circ_int,eq_c1/2,0)))/INDEX(lk_legs,4))&lt;(((((2*IF(circ_int,0,eq_c2/2))+(PI()*(s_0+3*s_r+IF(circ_int,eq_c1/2,0))/2))+2*IF(circ_int,0,eq_c1/2))+(PI()*(s_0+3*s_r+IF(circ_int,eq_c1/2,0))/2))+2*IF(circ_int,0,eq_c2/2)),IF(circ_int,0,eq_c2/2)-(((46+0.5)*(4*IF(circ_int,0,eq_c1/2)+4*IF(circ_int,0,eq_c2/2)+2*PI()*(s_0+3*s_r+IF(circ_int,eq_c1/2,0)))/INDEX(lk_legs,4))-((((2*IF(circ_int,0,eq_c2/2))+(PI()*(s_0+3*s_r+IF(circ_int,eq_c1/2,0))/2))+2*IF(circ_int,0,eq_c1/2))+(PI()*(s_0+3*s_r+IF(circ_int,eq_c1/2,0))/2))),IF(((46+0.5)*(4*IF(circ_int,0,eq_c1/2)+4*IF(circ_int,0,eq_c2/2)+2*PI()*(s_0+3*s_r+IF(circ_int,eq_c1/2,0)))/INDEX(lk_legs,4))&lt;((((((2*IF(circ_int,0,eq_c2/2))+(PI()*(s_0+3*s_r+IF(circ_int,eq_c1/2,0))/2))+2*IF(circ_int,0,eq_c1/2))+(PI()*(s_0+3*s_r+IF(circ_int,eq_c1/2,0))/2))+2*IF(circ_int,0,eq_c2/2))+(PI()*(s_0+3*s_r+IF(circ_int,eq_c1/2,0))/2)),-IF(circ_int,0,eq_c2/2)+(s_0+3*s_r+IF(circ_int,eq_c1/2,0))*SIN(PI()+(((46+0.5)*(4*IF(circ_int,0,eq_c1/2)+4*IF(circ_int,0,eq_c2/2)+2*PI()*(s_0+3*s_r+IF(circ_int,eq_c1/2,0)))/INDEX(lk_legs,4))-(((((2*IF(circ_int,0,eq_c2/2))+(PI()*(s_0+3*s_r+IF(circ_int,eq_c1/2,0))/2))+2*IF(circ_int,0,eq_c1/2))+(PI()*(s_0+3*s_r+IF(circ_int,eq_c1/2,0))/2))+2*IF(circ_int,0,eq_c2/2)))/(s_0+3*s_r+IF(circ_int,eq_c1/2,0))),IF(((46+0.5)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(46+0.5)*(4*IF(circ_int,0,eq_c1/2)+4*IF(circ_int,0,eq_c2/2)+2*PI()*(s_0+3*s_r+IF(circ_int,eq_c1/2,0)))/INDEX(lk_legs,4))-(((((((2*IF(circ_int,0,eq_c2/2))+(PI()*(s_0+3*s_r+IF(circ_int,eq_c1/2,0))/2))+2*IF(circ_int,0,eq_c1/2))+(PI()*(s_0+3*s_r+IF(circ_int,eq_c1/2,0))/2))+2*IF(circ_int,0,eq_c2/2))+(PI()*(s_0+3*s_r+IF(circ_int,eq_c1/2,0))/2))+2*IF(circ_int,0,eq_c1/2)))/(s_0+3*s_r+IF(circ_int,eq_c1/2,0)))))))))),NA())</f>
        <v/>
      </c>
      <c r="BU49">
        <f>IF(AND(links_on,5&lt;=n_per),IF(circ_int,(g_ox)+(c_1/2+(s_0+4*s_r))*0.748511,CHOOSE(INDEX(lk_kind,5),(g_ox+eq_c1/2)+((s_0+4*s_r))*0.793353,0,eq_a1+eq_c1+(s_0+4*s_r),eq_a1+eq_c1+(s_0+4*s_r))),NA())</f>
        <v/>
      </c>
      <c r="BV49">
        <f>IF(AND(links_on,5&lt;=n_per),IF(circ_int,(g_oy)+(c_1/2+(s_0+4*s_r))*-0.663123,CHOOSE(INDEX(lk_kind,5),(g_oy-eq_c2/2)+((s_0+4*s_r))*-0.608761,g_oy-eq_c2/2-(s_0+4*s_r),0,0)),NA())</f>
        <v/>
      </c>
      <c r="BX49">
        <f>IF(AND(AND(links_on,5&lt;=n_per),INDEX(lk_kind,5)=1,46&lt;INDEX(lk_legs,5)),g_ox+IF(((46+0.5)*(4*IF(circ_int,0,eq_c1/2)+4*IF(circ_int,0,eq_c2/2)+2*PI()*(s_0+4*s_r+IF(circ_int,eq_c1/2,0)))/INDEX(lk_legs,5))&lt;(2*IF(circ_int,0,eq_c2/2)),IF(circ_int,0,eq_c1/2)+(s_0+4*s_r+IF(circ_int,eq_c1/2,0)),IF(((46+0.5)*(4*IF(circ_int,0,eq_c1/2)+4*IF(circ_int,0,eq_c2/2)+2*PI()*(s_0+4*s_r+IF(circ_int,eq_c1/2,0)))/INDEX(lk_legs,5))&lt;((2*IF(circ_int,0,eq_c2/2))+(PI()*(s_0+4*s_r+IF(circ_int,eq_c1/2,0))/2)),IF(circ_int,0,eq_c1/2)+(s_0+4*s_r+IF(circ_int,eq_c1/2,0))*COS((((46+0.5)*(4*IF(circ_int,0,eq_c1/2)+4*IF(circ_int,0,eq_c2/2)+2*PI()*(s_0+4*s_r+IF(circ_int,eq_c1/2,0)))/INDEX(lk_legs,5))-(2*IF(circ_int,0,eq_c2/2)))/(s_0+4*s_r+IF(circ_int,eq_c1/2,0))),IF(((46+0.5)*(4*IF(circ_int,0,eq_c1/2)+4*IF(circ_int,0,eq_c2/2)+2*PI()*(s_0+4*s_r+IF(circ_int,eq_c1/2,0)))/INDEX(lk_legs,5))&lt;(((2*IF(circ_int,0,eq_c2/2))+(PI()*(s_0+4*s_r+IF(circ_int,eq_c1/2,0))/2))+2*IF(circ_int,0,eq_c1/2)),IF(circ_int,0,eq_c1/2)-(((46+0.5)*(4*IF(circ_int,0,eq_c1/2)+4*IF(circ_int,0,eq_c2/2)+2*PI()*(s_0+4*s_r+IF(circ_int,eq_c1/2,0)))/INDEX(lk_legs,5))-((2*IF(circ_int,0,eq_c2/2))+(PI()*(s_0+4*s_r+IF(circ_int,eq_c1/2,0))/2))),IF(((46+0.5)*(4*IF(circ_int,0,eq_c1/2)+4*IF(circ_int,0,eq_c2/2)+2*PI()*(s_0+4*s_r+IF(circ_int,eq_c1/2,0)))/INDEX(lk_legs,5))&lt;((((2*IF(circ_int,0,eq_c2/2))+(PI()*(s_0+4*s_r+IF(circ_int,eq_c1/2,0))/2))+2*IF(circ_int,0,eq_c1/2))+(PI()*(s_0+4*s_r+IF(circ_int,eq_c1/2,0))/2)),-IF(circ_int,0,eq_c1/2)+(s_0+4*s_r+IF(circ_int,eq_c1/2,0))*COS(PI()/2+(((46+0.5)*(4*IF(circ_int,0,eq_c1/2)+4*IF(circ_int,0,eq_c2/2)+2*PI()*(s_0+4*s_r+IF(circ_int,eq_c1/2,0)))/INDEX(lk_legs,5))-(((2*IF(circ_int,0,eq_c2/2))+(PI()*(s_0+4*s_r+IF(circ_int,eq_c1/2,0))/2))+2*IF(circ_int,0,eq_c1/2)))/(s_0+4*s_r+IF(circ_int,eq_c1/2,0))),IF(((46+0.5)*(4*IF(circ_int,0,eq_c1/2)+4*IF(circ_int,0,eq_c2/2)+2*PI()*(s_0+4*s_r+IF(circ_int,eq_c1/2,0)))/INDEX(lk_legs,5))&lt;(((((2*IF(circ_int,0,eq_c2/2))+(PI()*(s_0+4*s_r+IF(circ_int,eq_c1/2,0))/2))+2*IF(circ_int,0,eq_c1/2))+(PI()*(s_0+4*s_r+IF(circ_int,eq_c1/2,0))/2))+2*IF(circ_int,0,eq_c2/2)),-IF(circ_int,0,eq_c1/2)-(s_0+4*s_r+IF(circ_int,eq_c1/2,0)),IF(((46+0.5)*(4*IF(circ_int,0,eq_c1/2)+4*IF(circ_int,0,eq_c2/2)+2*PI()*(s_0+4*s_r+IF(circ_int,eq_c1/2,0)))/INDEX(lk_legs,5))&lt;((((((2*IF(circ_int,0,eq_c2/2))+(PI()*(s_0+4*s_r+IF(circ_int,eq_c1/2,0))/2))+2*IF(circ_int,0,eq_c1/2))+(PI()*(s_0+4*s_r+IF(circ_int,eq_c1/2,0))/2))+2*IF(circ_int,0,eq_c2/2))+(PI()*(s_0+4*s_r+IF(circ_int,eq_c1/2,0))/2)),-IF(circ_int,0,eq_c1/2)+(s_0+4*s_r+IF(circ_int,eq_c1/2,0))*COS(PI()+(((46+0.5)*(4*IF(circ_int,0,eq_c1/2)+4*IF(circ_int,0,eq_c2/2)+2*PI()*(s_0+4*s_r+IF(circ_int,eq_c1/2,0)))/INDEX(lk_legs,5))-(((((2*IF(circ_int,0,eq_c2/2))+(PI()*(s_0+4*s_r+IF(circ_int,eq_c1/2,0))/2))+2*IF(circ_int,0,eq_c1/2))+(PI()*(s_0+4*s_r+IF(circ_int,eq_c1/2,0))/2))+2*IF(circ_int,0,eq_c2/2)))/(s_0+4*s_r+IF(circ_int,eq_c1/2,0))),IF(((46+0.5)*(4*IF(circ_int,0,eq_c1/2)+4*IF(circ_int,0,eq_c2/2)+2*PI()*(s_0+4*s_r+IF(circ_int,eq_c1/2,0)))/INDEX(lk_legs,5))&lt;(((((((2*IF(circ_int,0,eq_c2/2))+(PI()*(s_0+4*s_r+IF(circ_int,eq_c1/2,0))/2))+2*IF(circ_int,0,eq_c1/2))+(PI()*(s_0+4*s_r+IF(circ_int,eq_c1/2,0))/2))+2*IF(circ_int,0,eq_c2/2))+(PI()*(s_0+4*s_r+IF(circ_int,eq_c1/2,0))/2))+2*IF(circ_int,0,eq_c1/2)),-IF(circ_int,0,eq_c1/2)+(((46+0.5)*(4*IF(circ_int,0,eq_c1/2)+4*IF(circ_int,0,eq_c2/2)+2*PI()*(s_0+4*s_r+IF(circ_int,eq_c1/2,0)))/INDEX(lk_legs,5))-((((((2*IF(circ_int,0,eq_c2/2))+(PI()*(s_0+4*s_r+IF(circ_int,eq_c1/2,0))/2))+2*IF(circ_int,0,eq_c1/2))+(PI()*(s_0+4*s_r+IF(circ_int,eq_c1/2,0))/2))+2*IF(circ_int,0,eq_c2/2))+(PI()*(s_0+4*s_r+IF(circ_int,eq_c1/2,0))/2))),IF(circ_int,0,eq_c1/2)+(s_0+4*s_r+IF(circ_int,eq_c1/2,0))*COS(3*PI()/2+(((46+0.5)*(4*IF(circ_int,0,eq_c1/2)+4*IF(circ_int,0,eq_c2/2)+2*PI()*(s_0+4*s_r+IF(circ_int,eq_c1/2,0)))/INDEX(lk_legs,5))-(((((((2*IF(circ_int,0,eq_c2/2))+(PI()*(s_0+4*s_r+IF(circ_int,eq_c1/2,0))/2))+2*IF(circ_int,0,eq_c1/2))+(PI()*(s_0+4*s_r+IF(circ_int,eq_c1/2,0))/2))+2*IF(circ_int,0,eq_c2/2))+(PI()*(s_0+4*s_r+IF(circ_int,eq_c1/2,0))/2))+2*IF(circ_int,0,eq_c1/2)))/(s_0+4*s_r+IF(circ_int,eq_c1/2,0)))))))))),NA())</f>
        <v/>
      </c>
      <c r="BY49">
        <f>IF(AND(AND(links_on,5&lt;=n_per),INDEX(lk_kind,5)=1,46&lt;INDEX(lk_legs,5)),g_oy+IF(((46+0.5)*(4*IF(circ_int,0,eq_c1/2)+4*IF(circ_int,0,eq_c2/2)+2*PI()*(s_0+4*s_r+IF(circ_int,eq_c1/2,0)))/INDEX(lk_legs,5))&lt;(2*IF(circ_int,0,eq_c2/2)),-IF(circ_int,0,eq_c2/2)+((46+0.5)*(4*IF(circ_int,0,eq_c1/2)+4*IF(circ_int,0,eq_c2/2)+2*PI()*(s_0+4*s_r+IF(circ_int,eq_c1/2,0)))/INDEX(lk_legs,5)),IF(((46+0.5)*(4*IF(circ_int,0,eq_c1/2)+4*IF(circ_int,0,eq_c2/2)+2*PI()*(s_0+4*s_r+IF(circ_int,eq_c1/2,0)))/INDEX(lk_legs,5))&lt;((2*IF(circ_int,0,eq_c2/2))+(PI()*(s_0+4*s_r+IF(circ_int,eq_c1/2,0))/2)),IF(circ_int,0,eq_c2/2)+(s_0+4*s_r+IF(circ_int,eq_c1/2,0))*SIN((((46+0.5)*(4*IF(circ_int,0,eq_c1/2)+4*IF(circ_int,0,eq_c2/2)+2*PI()*(s_0+4*s_r+IF(circ_int,eq_c1/2,0)))/INDEX(lk_legs,5))-(2*IF(circ_int,0,eq_c2/2)))/(s_0+4*s_r+IF(circ_int,eq_c1/2,0))),IF(((46+0.5)*(4*IF(circ_int,0,eq_c1/2)+4*IF(circ_int,0,eq_c2/2)+2*PI()*(s_0+4*s_r+IF(circ_int,eq_c1/2,0)))/INDEX(lk_legs,5))&lt;(((2*IF(circ_int,0,eq_c2/2))+(PI()*(s_0+4*s_r+IF(circ_int,eq_c1/2,0))/2))+2*IF(circ_int,0,eq_c1/2)),IF(circ_int,0,eq_c2/2)+(s_0+4*s_r+IF(circ_int,eq_c1/2,0)),IF(((46+0.5)*(4*IF(circ_int,0,eq_c1/2)+4*IF(circ_int,0,eq_c2/2)+2*PI()*(s_0+4*s_r+IF(circ_int,eq_c1/2,0)))/INDEX(lk_legs,5))&lt;((((2*IF(circ_int,0,eq_c2/2))+(PI()*(s_0+4*s_r+IF(circ_int,eq_c1/2,0))/2))+2*IF(circ_int,0,eq_c1/2))+(PI()*(s_0+4*s_r+IF(circ_int,eq_c1/2,0))/2)),IF(circ_int,0,eq_c2/2)+(s_0+4*s_r+IF(circ_int,eq_c1/2,0))*SIN(PI()/2+(((46+0.5)*(4*IF(circ_int,0,eq_c1/2)+4*IF(circ_int,0,eq_c2/2)+2*PI()*(s_0+4*s_r+IF(circ_int,eq_c1/2,0)))/INDEX(lk_legs,5))-(((2*IF(circ_int,0,eq_c2/2))+(PI()*(s_0+4*s_r+IF(circ_int,eq_c1/2,0))/2))+2*IF(circ_int,0,eq_c1/2)))/(s_0+4*s_r+IF(circ_int,eq_c1/2,0))),IF(((46+0.5)*(4*IF(circ_int,0,eq_c1/2)+4*IF(circ_int,0,eq_c2/2)+2*PI()*(s_0+4*s_r+IF(circ_int,eq_c1/2,0)))/INDEX(lk_legs,5))&lt;(((((2*IF(circ_int,0,eq_c2/2))+(PI()*(s_0+4*s_r+IF(circ_int,eq_c1/2,0))/2))+2*IF(circ_int,0,eq_c1/2))+(PI()*(s_0+4*s_r+IF(circ_int,eq_c1/2,0))/2))+2*IF(circ_int,0,eq_c2/2)),IF(circ_int,0,eq_c2/2)-(((46+0.5)*(4*IF(circ_int,0,eq_c1/2)+4*IF(circ_int,0,eq_c2/2)+2*PI()*(s_0+4*s_r+IF(circ_int,eq_c1/2,0)))/INDEX(lk_legs,5))-((((2*IF(circ_int,0,eq_c2/2))+(PI()*(s_0+4*s_r+IF(circ_int,eq_c1/2,0))/2))+2*IF(circ_int,0,eq_c1/2))+(PI()*(s_0+4*s_r+IF(circ_int,eq_c1/2,0))/2))),IF(((46+0.5)*(4*IF(circ_int,0,eq_c1/2)+4*IF(circ_int,0,eq_c2/2)+2*PI()*(s_0+4*s_r+IF(circ_int,eq_c1/2,0)))/INDEX(lk_legs,5))&lt;((((((2*IF(circ_int,0,eq_c2/2))+(PI()*(s_0+4*s_r+IF(circ_int,eq_c1/2,0))/2))+2*IF(circ_int,0,eq_c1/2))+(PI()*(s_0+4*s_r+IF(circ_int,eq_c1/2,0))/2))+2*IF(circ_int,0,eq_c2/2))+(PI()*(s_0+4*s_r+IF(circ_int,eq_c1/2,0))/2)),-IF(circ_int,0,eq_c2/2)+(s_0+4*s_r+IF(circ_int,eq_c1/2,0))*SIN(PI()+(((46+0.5)*(4*IF(circ_int,0,eq_c1/2)+4*IF(circ_int,0,eq_c2/2)+2*PI()*(s_0+4*s_r+IF(circ_int,eq_c1/2,0)))/INDEX(lk_legs,5))-(((((2*IF(circ_int,0,eq_c2/2))+(PI()*(s_0+4*s_r+IF(circ_int,eq_c1/2,0))/2))+2*IF(circ_int,0,eq_c1/2))+(PI()*(s_0+4*s_r+IF(circ_int,eq_c1/2,0))/2))+2*IF(circ_int,0,eq_c2/2)))/(s_0+4*s_r+IF(circ_int,eq_c1/2,0))),IF(((46+0.5)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(46+0.5)*(4*IF(circ_int,0,eq_c1/2)+4*IF(circ_int,0,eq_c2/2)+2*PI()*(s_0+4*s_r+IF(circ_int,eq_c1/2,0)))/INDEX(lk_legs,5))-(((((((2*IF(circ_int,0,eq_c2/2))+(PI()*(s_0+4*s_r+IF(circ_int,eq_c1/2,0))/2))+2*IF(circ_int,0,eq_c1/2))+(PI()*(s_0+4*s_r+IF(circ_int,eq_c1/2,0))/2))+2*IF(circ_int,0,eq_c2/2))+(PI()*(s_0+4*s_r+IF(circ_int,eq_c1/2,0))/2))+2*IF(circ_int,0,eq_c1/2)))/(s_0+4*s_r+IF(circ_int,eq_c1/2,0)))))))))),NA())</f>
        <v/>
      </c>
      <c r="CA49">
        <f>IF(AND(links_on,6&lt;=n_per),IF(circ_int,(g_ox)+(c_1/2+(s_0+5*s_r))*0.748511,CHOOSE(INDEX(lk_kind,6),(g_ox+eq_c1/2)+((s_0+5*s_r))*0.793353,0,eq_a1+eq_c1+(s_0+5*s_r),eq_a1+eq_c1+(s_0+5*s_r))),NA())</f>
        <v/>
      </c>
      <c r="CB49">
        <f>IF(AND(links_on,6&lt;=n_per),IF(circ_int,(g_oy)+(c_1/2+(s_0+5*s_r))*-0.663123,CHOOSE(INDEX(lk_kind,6),(g_oy-eq_c2/2)+((s_0+5*s_r))*-0.608761,g_oy-eq_c2/2-(s_0+5*s_r),0,0)),NA())</f>
        <v/>
      </c>
      <c r="CD49">
        <f>IF(AND(AND(links_on,6&lt;=n_per),INDEX(lk_kind,6)=1,46&lt;INDEX(lk_legs,6)),g_ox+IF(((46+0.5)*(4*IF(circ_int,0,eq_c1/2)+4*IF(circ_int,0,eq_c2/2)+2*PI()*(s_0+5*s_r+IF(circ_int,eq_c1/2,0)))/INDEX(lk_legs,6))&lt;(2*IF(circ_int,0,eq_c2/2)),IF(circ_int,0,eq_c1/2)+(s_0+5*s_r+IF(circ_int,eq_c1/2,0)),IF(((46+0.5)*(4*IF(circ_int,0,eq_c1/2)+4*IF(circ_int,0,eq_c2/2)+2*PI()*(s_0+5*s_r+IF(circ_int,eq_c1/2,0)))/INDEX(lk_legs,6))&lt;((2*IF(circ_int,0,eq_c2/2))+(PI()*(s_0+5*s_r+IF(circ_int,eq_c1/2,0))/2)),IF(circ_int,0,eq_c1/2)+(s_0+5*s_r+IF(circ_int,eq_c1/2,0))*COS((((46+0.5)*(4*IF(circ_int,0,eq_c1/2)+4*IF(circ_int,0,eq_c2/2)+2*PI()*(s_0+5*s_r+IF(circ_int,eq_c1/2,0)))/INDEX(lk_legs,6))-(2*IF(circ_int,0,eq_c2/2)))/(s_0+5*s_r+IF(circ_int,eq_c1/2,0))),IF(((46+0.5)*(4*IF(circ_int,0,eq_c1/2)+4*IF(circ_int,0,eq_c2/2)+2*PI()*(s_0+5*s_r+IF(circ_int,eq_c1/2,0)))/INDEX(lk_legs,6))&lt;(((2*IF(circ_int,0,eq_c2/2))+(PI()*(s_0+5*s_r+IF(circ_int,eq_c1/2,0))/2))+2*IF(circ_int,0,eq_c1/2)),IF(circ_int,0,eq_c1/2)-(((46+0.5)*(4*IF(circ_int,0,eq_c1/2)+4*IF(circ_int,0,eq_c2/2)+2*PI()*(s_0+5*s_r+IF(circ_int,eq_c1/2,0)))/INDEX(lk_legs,6))-((2*IF(circ_int,0,eq_c2/2))+(PI()*(s_0+5*s_r+IF(circ_int,eq_c1/2,0))/2))),IF(((46+0.5)*(4*IF(circ_int,0,eq_c1/2)+4*IF(circ_int,0,eq_c2/2)+2*PI()*(s_0+5*s_r+IF(circ_int,eq_c1/2,0)))/INDEX(lk_legs,6))&lt;((((2*IF(circ_int,0,eq_c2/2))+(PI()*(s_0+5*s_r+IF(circ_int,eq_c1/2,0))/2))+2*IF(circ_int,0,eq_c1/2))+(PI()*(s_0+5*s_r+IF(circ_int,eq_c1/2,0))/2)),-IF(circ_int,0,eq_c1/2)+(s_0+5*s_r+IF(circ_int,eq_c1/2,0))*COS(PI()/2+(((46+0.5)*(4*IF(circ_int,0,eq_c1/2)+4*IF(circ_int,0,eq_c2/2)+2*PI()*(s_0+5*s_r+IF(circ_int,eq_c1/2,0)))/INDEX(lk_legs,6))-(((2*IF(circ_int,0,eq_c2/2))+(PI()*(s_0+5*s_r+IF(circ_int,eq_c1/2,0))/2))+2*IF(circ_int,0,eq_c1/2)))/(s_0+5*s_r+IF(circ_int,eq_c1/2,0))),IF(((46+0.5)*(4*IF(circ_int,0,eq_c1/2)+4*IF(circ_int,0,eq_c2/2)+2*PI()*(s_0+5*s_r+IF(circ_int,eq_c1/2,0)))/INDEX(lk_legs,6))&lt;(((((2*IF(circ_int,0,eq_c2/2))+(PI()*(s_0+5*s_r+IF(circ_int,eq_c1/2,0))/2))+2*IF(circ_int,0,eq_c1/2))+(PI()*(s_0+5*s_r+IF(circ_int,eq_c1/2,0))/2))+2*IF(circ_int,0,eq_c2/2)),-IF(circ_int,0,eq_c1/2)-(s_0+5*s_r+IF(circ_int,eq_c1/2,0)),IF(((46+0.5)*(4*IF(circ_int,0,eq_c1/2)+4*IF(circ_int,0,eq_c2/2)+2*PI()*(s_0+5*s_r+IF(circ_int,eq_c1/2,0)))/INDEX(lk_legs,6))&lt;((((((2*IF(circ_int,0,eq_c2/2))+(PI()*(s_0+5*s_r+IF(circ_int,eq_c1/2,0))/2))+2*IF(circ_int,0,eq_c1/2))+(PI()*(s_0+5*s_r+IF(circ_int,eq_c1/2,0))/2))+2*IF(circ_int,0,eq_c2/2))+(PI()*(s_0+5*s_r+IF(circ_int,eq_c1/2,0))/2)),-IF(circ_int,0,eq_c1/2)+(s_0+5*s_r+IF(circ_int,eq_c1/2,0))*COS(PI()+(((46+0.5)*(4*IF(circ_int,0,eq_c1/2)+4*IF(circ_int,0,eq_c2/2)+2*PI()*(s_0+5*s_r+IF(circ_int,eq_c1/2,0)))/INDEX(lk_legs,6))-(((((2*IF(circ_int,0,eq_c2/2))+(PI()*(s_0+5*s_r+IF(circ_int,eq_c1/2,0))/2))+2*IF(circ_int,0,eq_c1/2))+(PI()*(s_0+5*s_r+IF(circ_int,eq_c1/2,0))/2))+2*IF(circ_int,0,eq_c2/2)))/(s_0+5*s_r+IF(circ_int,eq_c1/2,0))),IF(((46+0.5)*(4*IF(circ_int,0,eq_c1/2)+4*IF(circ_int,0,eq_c2/2)+2*PI()*(s_0+5*s_r+IF(circ_int,eq_c1/2,0)))/INDEX(lk_legs,6))&lt;(((((((2*IF(circ_int,0,eq_c2/2))+(PI()*(s_0+5*s_r+IF(circ_int,eq_c1/2,0))/2))+2*IF(circ_int,0,eq_c1/2))+(PI()*(s_0+5*s_r+IF(circ_int,eq_c1/2,0))/2))+2*IF(circ_int,0,eq_c2/2))+(PI()*(s_0+5*s_r+IF(circ_int,eq_c1/2,0))/2))+2*IF(circ_int,0,eq_c1/2)),-IF(circ_int,0,eq_c1/2)+(((46+0.5)*(4*IF(circ_int,0,eq_c1/2)+4*IF(circ_int,0,eq_c2/2)+2*PI()*(s_0+5*s_r+IF(circ_int,eq_c1/2,0)))/INDEX(lk_legs,6))-((((((2*IF(circ_int,0,eq_c2/2))+(PI()*(s_0+5*s_r+IF(circ_int,eq_c1/2,0))/2))+2*IF(circ_int,0,eq_c1/2))+(PI()*(s_0+5*s_r+IF(circ_int,eq_c1/2,0))/2))+2*IF(circ_int,0,eq_c2/2))+(PI()*(s_0+5*s_r+IF(circ_int,eq_c1/2,0))/2))),IF(circ_int,0,eq_c1/2)+(s_0+5*s_r+IF(circ_int,eq_c1/2,0))*COS(3*PI()/2+(((46+0.5)*(4*IF(circ_int,0,eq_c1/2)+4*IF(circ_int,0,eq_c2/2)+2*PI()*(s_0+5*s_r+IF(circ_int,eq_c1/2,0)))/INDEX(lk_legs,6))-(((((((2*IF(circ_int,0,eq_c2/2))+(PI()*(s_0+5*s_r+IF(circ_int,eq_c1/2,0))/2))+2*IF(circ_int,0,eq_c1/2))+(PI()*(s_0+5*s_r+IF(circ_int,eq_c1/2,0))/2))+2*IF(circ_int,0,eq_c2/2))+(PI()*(s_0+5*s_r+IF(circ_int,eq_c1/2,0))/2))+2*IF(circ_int,0,eq_c1/2)))/(s_0+5*s_r+IF(circ_int,eq_c1/2,0)))))))))),NA())</f>
        <v/>
      </c>
      <c r="CE49">
        <f>IF(AND(AND(links_on,6&lt;=n_per),INDEX(lk_kind,6)=1,46&lt;INDEX(lk_legs,6)),g_oy+IF(((46+0.5)*(4*IF(circ_int,0,eq_c1/2)+4*IF(circ_int,0,eq_c2/2)+2*PI()*(s_0+5*s_r+IF(circ_int,eq_c1/2,0)))/INDEX(lk_legs,6))&lt;(2*IF(circ_int,0,eq_c2/2)),-IF(circ_int,0,eq_c2/2)+((46+0.5)*(4*IF(circ_int,0,eq_c1/2)+4*IF(circ_int,0,eq_c2/2)+2*PI()*(s_0+5*s_r+IF(circ_int,eq_c1/2,0)))/INDEX(lk_legs,6)),IF(((46+0.5)*(4*IF(circ_int,0,eq_c1/2)+4*IF(circ_int,0,eq_c2/2)+2*PI()*(s_0+5*s_r+IF(circ_int,eq_c1/2,0)))/INDEX(lk_legs,6))&lt;((2*IF(circ_int,0,eq_c2/2))+(PI()*(s_0+5*s_r+IF(circ_int,eq_c1/2,0))/2)),IF(circ_int,0,eq_c2/2)+(s_0+5*s_r+IF(circ_int,eq_c1/2,0))*SIN((((46+0.5)*(4*IF(circ_int,0,eq_c1/2)+4*IF(circ_int,0,eq_c2/2)+2*PI()*(s_0+5*s_r+IF(circ_int,eq_c1/2,0)))/INDEX(lk_legs,6))-(2*IF(circ_int,0,eq_c2/2)))/(s_0+5*s_r+IF(circ_int,eq_c1/2,0))),IF(((46+0.5)*(4*IF(circ_int,0,eq_c1/2)+4*IF(circ_int,0,eq_c2/2)+2*PI()*(s_0+5*s_r+IF(circ_int,eq_c1/2,0)))/INDEX(lk_legs,6))&lt;(((2*IF(circ_int,0,eq_c2/2))+(PI()*(s_0+5*s_r+IF(circ_int,eq_c1/2,0))/2))+2*IF(circ_int,0,eq_c1/2)),IF(circ_int,0,eq_c2/2)+(s_0+5*s_r+IF(circ_int,eq_c1/2,0)),IF(((46+0.5)*(4*IF(circ_int,0,eq_c1/2)+4*IF(circ_int,0,eq_c2/2)+2*PI()*(s_0+5*s_r+IF(circ_int,eq_c1/2,0)))/INDEX(lk_legs,6))&lt;((((2*IF(circ_int,0,eq_c2/2))+(PI()*(s_0+5*s_r+IF(circ_int,eq_c1/2,0))/2))+2*IF(circ_int,0,eq_c1/2))+(PI()*(s_0+5*s_r+IF(circ_int,eq_c1/2,0))/2)),IF(circ_int,0,eq_c2/2)+(s_0+5*s_r+IF(circ_int,eq_c1/2,0))*SIN(PI()/2+(((46+0.5)*(4*IF(circ_int,0,eq_c1/2)+4*IF(circ_int,0,eq_c2/2)+2*PI()*(s_0+5*s_r+IF(circ_int,eq_c1/2,0)))/INDEX(lk_legs,6))-(((2*IF(circ_int,0,eq_c2/2))+(PI()*(s_0+5*s_r+IF(circ_int,eq_c1/2,0))/2))+2*IF(circ_int,0,eq_c1/2)))/(s_0+5*s_r+IF(circ_int,eq_c1/2,0))),IF(((46+0.5)*(4*IF(circ_int,0,eq_c1/2)+4*IF(circ_int,0,eq_c2/2)+2*PI()*(s_0+5*s_r+IF(circ_int,eq_c1/2,0)))/INDEX(lk_legs,6))&lt;(((((2*IF(circ_int,0,eq_c2/2))+(PI()*(s_0+5*s_r+IF(circ_int,eq_c1/2,0))/2))+2*IF(circ_int,0,eq_c1/2))+(PI()*(s_0+5*s_r+IF(circ_int,eq_c1/2,0))/2))+2*IF(circ_int,0,eq_c2/2)),IF(circ_int,0,eq_c2/2)-(((46+0.5)*(4*IF(circ_int,0,eq_c1/2)+4*IF(circ_int,0,eq_c2/2)+2*PI()*(s_0+5*s_r+IF(circ_int,eq_c1/2,0)))/INDEX(lk_legs,6))-((((2*IF(circ_int,0,eq_c2/2))+(PI()*(s_0+5*s_r+IF(circ_int,eq_c1/2,0))/2))+2*IF(circ_int,0,eq_c1/2))+(PI()*(s_0+5*s_r+IF(circ_int,eq_c1/2,0))/2))),IF(((46+0.5)*(4*IF(circ_int,0,eq_c1/2)+4*IF(circ_int,0,eq_c2/2)+2*PI()*(s_0+5*s_r+IF(circ_int,eq_c1/2,0)))/INDEX(lk_legs,6))&lt;((((((2*IF(circ_int,0,eq_c2/2))+(PI()*(s_0+5*s_r+IF(circ_int,eq_c1/2,0))/2))+2*IF(circ_int,0,eq_c1/2))+(PI()*(s_0+5*s_r+IF(circ_int,eq_c1/2,0))/2))+2*IF(circ_int,0,eq_c2/2))+(PI()*(s_0+5*s_r+IF(circ_int,eq_c1/2,0))/2)),-IF(circ_int,0,eq_c2/2)+(s_0+5*s_r+IF(circ_int,eq_c1/2,0))*SIN(PI()+(((46+0.5)*(4*IF(circ_int,0,eq_c1/2)+4*IF(circ_int,0,eq_c2/2)+2*PI()*(s_0+5*s_r+IF(circ_int,eq_c1/2,0)))/INDEX(lk_legs,6))-(((((2*IF(circ_int,0,eq_c2/2))+(PI()*(s_0+5*s_r+IF(circ_int,eq_c1/2,0))/2))+2*IF(circ_int,0,eq_c1/2))+(PI()*(s_0+5*s_r+IF(circ_int,eq_c1/2,0))/2))+2*IF(circ_int,0,eq_c2/2)))/(s_0+5*s_r+IF(circ_int,eq_c1/2,0))),IF(((46+0.5)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(46+0.5)*(4*IF(circ_int,0,eq_c1/2)+4*IF(circ_int,0,eq_c2/2)+2*PI()*(s_0+5*s_r+IF(circ_int,eq_c1/2,0)))/INDEX(lk_legs,6))-(((((((2*IF(circ_int,0,eq_c2/2))+(PI()*(s_0+5*s_r+IF(circ_int,eq_c1/2,0))/2))+2*IF(circ_int,0,eq_c1/2))+(PI()*(s_0+5*s_r+IF(circ_int,eq_c1/2,0))/2))+2*IF(circ_int,0,eq_c2/2))+(PI()*(s_0+5*s_r+IF(circ_int,eq_c1/2,0))/2))+2*IF(circ_int,0,eq_c1/2)))/(s_0+5*s_r+IF(circ_int,eq_c1/2,0)))))))))),NA())</f>
        <v/>
      </c>
      <c r="CG49">
        <f>IF(AND(links_on,7&lt;=n_per),IF(circ_int,(g_ox)+(c_1/2+(s_0+6*s_r))*0.748511,CHOOSE(INDEX(lk_kind,7),(g_ox+eq_c1/2)+((s_0+6*s_r))*0.793353,0,eq_a1+eq_c1+(s_0+6*s_r),eq_a1+eq_c1+(s_0+6*s_r))),NA())</f>
        <v/>
      </c>
      <c r="CH49">
        <f>IF(AND(links_on,7&lt;=n_per),IF(circ_int,(g_oy)+(c_1/2+(s_0+6*s_r))*-0.663123,CHOOSE(INDEX(lk_kind,7),(g_oy-eq_c2/2)+((s_0+6*s_r))*-0.608761,g_oy-eq_c2/2-(s_0+6*s_r),0,0)),NA())</f>
        <v/>
      </c>
      <c r="CJ49">
        <f>IF(AND(AND(links_on,7&lt;=n_per),INDEX(lk_kind,7)=1,46&lt;INDEX(lk_legs,7)),g_ox+IF(((46+0.5)*(4*IF(circ_int,0,eq_c1/2)+4*IF(circ_int,0,eq_c2/2)+2*PI()*(s_0+6*s_r+IF(circ_int,eq_c1/2,0)))/INDEX(lk_legs,7))&lt;(2*IF(circ_int,0,eq_c2/2)),IF(circ_int,0,eq_c1/2)+(s_0+6*s_r+IF(circ_int,eq_c1/2,0)),IF(((46+0.5)*(4*IF(circ_int,0,eq_c1/2)+4*IF(circ_int,0,eq_c2/2)+2*PI()*(s_0+6*s_r+IF(circ_int,eq_c1/2,0)))/INDEX(lk_legs,7))&lt;((2*IF(circ_int,0,eq_c2/2))+(PI()*(s_0+6*s_r+IF(circ_int,eq_c1/2,0))/2)),IF(circ_int,0,eq_c1/2)+(s_0+6*s_r+IF(circ_int,eq_c1/2,0))*COS((((46+0.5)*(4*IF(circ_int,0,eq_c1/2)+4*IF(circ_int,0,eq_c2/2)+2*PI()*(s_0+6*s_r+IF(circ_int,eq_c1/2,0)))/INDEX(lk_legs,7))-(2*IF(circ_int,0,eq_c2/2)))/(s_0+6*s_r+IF(circ_int,eq_c1/2,0))),IF(((46+0.5)*(4*IF(circ_int,0,eq_c1/2)+4*IF(circ_int,0,eq_c2/2)+2*PI()*(s_0+6*s_r+IF(circ_int,eq_c1/2,0)))/INDEX(lk_legs,7))&lt;(((2*IF(circ_int,0,eq_c2/2))+(PI()*(s_0+6*s_r+IF(circ_int,eq_c1/2,0))/2))+2*IF(circ_int,0,eq_c1/2)),IF(circ_int,0,eq_c1/2)-(((46+0.5)*(4*IF(circ_int,0,eq_c1/2)+4*IF(circ_int,0,eq_c2/2)+2*PI()*(s_0+6*s_r+IF(circ_int,eq_c1/2,0)))/INDEX(lk_legs,7))-((2*IF(circ_int,0,eq_c2/2))+(PI()*(s_0+6*s_r+IF(circ_int,eq_c1/2,0))/2))),IF(((46+0.5)*(4*IF(circ_int,0,eq_c1/2)+4*IF(circ_int,0,eq_c2/2)+2*PI()*(s_0+6*s_r+IF(circ_int,eq_c1/2,0)))/INDEX(lk_legs,7))&lt;((((2*IF(circ_int,0,eq_c2/2))+(PI()*(s_0+6*s_r+IF(circ_int,eq_c1/2,0))/2))+2*IF(circ_int,0,eq_c1/2))+(PI()*(s_0+6*s_r+IF(circ_int,eq_c1/2,0))/2)),-IF(circ_int,0,eq_c1/2)+(s_0+6*s_r+IF(circ_int,eq_c1/2,0))*COS(PI()/2+(((46+0.5)*(4*IF(circ_int,0,eq_c1/2)+4*IF(circ_int,0,eq_c2/2)+2*PI()*(s_0+6*s_r+IF(circ_int,eq_c1/2,0)))/INDEX(lk_legs,7))-(((2*IF(circ_int,0,eq_c2/2))+(PI()*(s_0+6*s_r+IF(circ_int,eq_c1/2,0))/2))+2*IF(circ_int,0,eq_c1/2)))/(s_0+6*s_r+IF(circ_int,eq_c1/2,0))),IF(((46+0.5)*(4*IF(circ_int,0,eq_c1/2)+4*IF(circ_int,0,eq_c2/2)+2*PI()*(s_0+6*s_r+IF(circ_int,eq_c1/2,0)))/INDEX(lk_legs,7))&lt;(((((2*IF(circ_int,0,eq_c2/2))+(PI()*(s_0+6*s_r+IF(circ_int,eq_c1/2,0))/2))+2*IF(circ_int,0,eq_c1/2))+(PI()*(s_0+6*s_r+IF(circ_int,eq_c1/2,0))/2))+2*IF(circ_int,0,eq_c2/2)),-IF(circ_int,0,eq_c1/2)-(s_0+6*s_r+IF(circ_int,eq_c1/2,0)),IF(((46+0.5)*(4*IF(circ_int,0,eq_c1/2)+4*IF(circ_int,0,eq_c2/2)+2*PI()*(s_0+6*s_r+IF(circ_int,eq_c1/2,0)))/INDEX(lk_legs,7))&lt;((((((2*IF(circ_int,0,eq_c2/2))+(PI()*(s_0+6*s_r+IF(circ_int,eq_c1/2,0))/2))+2*IF(circ_int,0,eq_c1/2))+(PI()*(s_0+6*s_r+IF(circ_int,eq_c1/2,0))/2))+2*IF(circ_int,0,eq_c2/2))+(PI()*(s_0+6*s_r+IF(circ_int,eq_c1/2,0))/2)),-IF(circ_int,0,eq_c1/2)+(s_0+6*s_r+IF(circ_int,eq_c1/2,0))*COS(PI()+(((46+0.5)*(4*IF(circ_int,0,eq_c1/2)+4*IF(circ_int,0,eq_c2/2)+2*PI()*(s_0+6*s_r+IF(circ_int,eq_c1/2,0)))/INDEX(lk_legs,7))-(((((2*IF(circ_int,0,eq_c2/2))+(PI()*(s_0+6*s_r+IF(circ_int,eq_c1/2,0))/2))+2*IF(circ_int,0,eq_c1/2))+(PI()*(s_0+6*s_r+IF(circ_int,eq_c1/2,0))/2))+2*IF(circ_int,0,eq_c2/2)))/(s_0+6*s_r+IF(circ_int,eq_c1/2,0))),IF(((46+0.5)*(4*IF(circ_int,0,eq_c1/2)+4*IF(circ_int,0,eq_c2/2)+2*PI()*(s_0+6*s_r+IF(circ_int,eq_c1/2,0)))/INDEX(lk_legs,7))&lt;(((((((2*IF(circ_int,0,eq_c2/2))+(PI()*(s_0+6*s_r+IF(circ_int,eq_c1/2,0))/2))+2*IF(circ_int,0,eq_c1/2))+(PI()*(s_0+6*s_r+IF(circ_int,eq_c1/2,0))/2))+2*IF(circ_int,0,eq_c2/2))+(PI()*(s_0+6*s_r+IF(circ_int,eq_c1/2,0))/2))+2*IF(circ_int,0,eq_c1/2)),-IF(circ_int,0,eq_c1/2)+(((46+0.5)*(4*IF(circ_int,0,eq_c1/2)+4*IF(circ_int,0,eq_c2/2)+2*PI()*(s_0+6*s_r+IF(circ_int,eq_c1/2,0)))/INDEX(lk_legs,7))-((((((2*IF(circ_int,0,eq_c2/2))+(PI()*(s_0+6*s_r+IF(circ_int,eq_c1/2,0))/2))+2*IF(circ_int,0,eq_c1/2))+(PI()*(s_0+6*s_r+IF(circ_int,eq_c1/2,0))/2))+2*IF(circ_int,0,eq_c2/2))+(PI()*(s_0+6*s_r+IF(circ_int,eq_c1/2,0))/2))),IF(circ_int,0,eq_c1/2)+(s_0+6*s_r+IF(circ_int,eq_c1/2,0))*COS(3*PI()/2+(((46+0.5)*(4*IF(circ_int,0,eq_c1/2)+4*IF(circ_int,0,eq_c2/2)+2*PI()*(s_0+6*s_r+IF(circ_int,eq_c1/2,0)))/INDEX(lk_legs,7))-(((((((2*IF(circ_int,0,eq_c2/2))+(PI()*(s_0+6*s_r+IF(circ_int,eq_c1/2,0))/2))+2*IF(circ_int,0,eq_c1/2))+(PI()*(s_0+6*s_r+IF(circ_int,eq_c1/2,0))/2))+2*IF(circ_int,0,eq_c2/2))+(PI()*(s_0+6*s_r+IF(circ_int,eq_c1/2,0))/2))+2*IF(circ_int,0,eq_c1/2)))/(s_0+6*s_r+IF(circ_int,eq_c1/2,0)))))))))),NA())</f>
        <v/>
      </c>
      <c r="CK49">
        <f>IF(AND(AND(links_on,7&lt;=n_per),INDEX(lk_kind,7)=1,46&lt;INDEX(lk_legs,7)),g_oy+IF(((46+0.5)*(4*IF(circ_int,0,eq_c1/2)+4*IF(circ_int,0,eq_c2/2)+2*PI()*(s_0+6*s_r+IF(circ_int,eq_c1/2,0)))/INDEX(lk_legs,7))&lt;(2*IF(circ_int,0,eq_c2/2)),-IF(circ_int,0,eq_c2/2)+((46+0.5)*(4*IF(circ_int,0,eq_c1/2)+4*IF(circ_int,0,eq_c2/2)+2*PI()*(s_0+6*s_r+IF(circ_int,eq_c1/2,0)))/INDEX(lk_legs,7)),IF(((46+0.5)*(4*IF(circ_int,0,eq_c1/2)+4*IF(circ_int,0,eq_c2/2)+2*PI()*(s_0+6*s_r+IF(circ_int,eq_c1/2,0)))/INDEX(lk_legs,7))&lt;((2*IF(circ_int,0,eq_c2/2))+(PI()*(s_0+6*s_r+IF(circ_int,eq_c1/2,0))/2)),IF(circ_int,0,eq_c2/2)+(s_0+6*s_r+IF(circ_int,eq_c1/2,0))*SIN((((46+0.5)*(4*IF(circ_int,0,eq_c1/2)+4*IF(circ_int,0,eq_c2/2)+2*PI()*(s_0+6*s_r+IF(circ_int,eq_c1/2,0)))/INDEX(lk_legs,7))-(2*IF(circ_int,0,eq_c2/2)))/(s_0+6*s_r+IF(circ_int,eq_c1/2,0))),IF(((46+0.5)*(4*IF(circ_int,0,eq_c1/2)+4*IF(circ_int,0,eq_c2/2)+2*PI()*(s_0+6*s_r+IF(circ_int,eq_c1/2,0)))/INDEX(lk_legs,7))&lt;(((2*IF(circ_int,0,eq_c2/2))+(PI()*(s_0+6*s_r+IF(circ_int,eq_c1/2,0))/2))+2*IF(circ_int,0,eq_c1/2)),IF(circ_int,0,eq_c2/2)+(s_0+6*s_r+IF(circ_int,eq_c1/2,0)),IF(((46+0.5)*(4*IF(circ_int,0,eq_c1/2)+4*IF(circ_int,0,eq_c2/2)+2*PI()*(s_0+6*s_r+IF(circ_int,eq_c1/2,0)))/INDEX(lk_legs,7))&lt;((((2*IF(circ_int,0,eq_c2/2))+(PI()*(s_0+6*s_r+IF(circ_int,eq_c1/2,0))/2))+2*IF(circ_int,0,eq_c1/2))+(PI()*(s_0+6*s_r+IF(circ_int,eq_c1/2,0))/2)),IF(circ_int,0,eq_c2/2)+(s_0+6*s_r+IF(circ_int,eq_c1/2,0))*SIN(PI()/2+(((46+0.5)*(4*IF(circ_int,0,eq_c1/2)+4*IF(circ_int,0,eq_c2/2)+2*PI()*(s_0+6*s_r+IF(circ_int,eq_c1/2,0)))/INDEX(lk_legs,7))-(((2*IF(circ_int,0,eq_c2/2))+(PI()*(s_0+6*s_r+IF(circ_int,eq_c1/2,0))/2))+2*IF(circ_int,0,eq_c1/2)))/(s_0+6*s_r+IF(circ_int,eq_c1/2,0))),IF(((46+0.5)*(4*IF(circ_int,0,eq_c1/2)+4*IF(circ_int,0,eq_c2/2)+2*PI()*(s_0+6*s_r+IF(circ_int,eq_c1/2,0)))/INDEX(lk_legs,7))&lt;(((((2*IF(circ_int,0,eq_c2/2))+(PI()*(s_0+6*s_r+IF(circ_int,eq_c1/2,0))/2))+2*IF(circ_int,0,eq_c1/2))+(PI()*(s_0+6*s_r+IF(circ_int,eq_c1/2,0))/2))+2*IF(circ_int,0,eq_c2/2)),IF(circ_int,0,eq_c2/2)-(((46+0.5)*(4*IF(circ_int,0,eq_c1/2)+4*IF(circ_int,0,eq_c2/2)+2*PI()*(s_0+6*s_r+IF(circ_int,eq_c1/2,0)))/INDEX(lk_legs,7))-((((2*IF(circ_int,0,eq_c2/2))+(PI()*(s_0+6*s_r+IF(circ_int,eq_c1/2,0))/2))+2*IF(circ_int,0,eq_c1/2))+(PI()*(s_0+6*s_r+IF(circ_int,eq_c1/2,0))/2))),IF(((46+0.5)*(4*IF(circ_int,0,eq_c1/2)+4*IF(circ_int,0,eq_c2/2)+2*PI()*(s_0+6*s_r+IF(circ_int,eq_c1/2,0)))/INDEX(lk_legs,7))&lt;((((((2*IF(circ_int,0,eq_c2/2))+(PI()*(s_0+6*s_r+IF(circ_int,eq_c1/2,0))/2))+2*IF(circ_int,0,eq_c1/2))+(PI()*(s_0+6*s_r+IF(circ_int,eq_c1/2,0))/2))+2*IF(circ_int,0,eq_c2/2))+(PI()*(s_0+6*s_r+IF(circ_int,eq_c1/2,0))/2)),-IF(circ_int,0,eq_c2/2)+(s_0+6*s_r+IF(circ_int,eq_c1/2,0))*SIN(PI()+(((46+0.5)*(4*IF(circ_int,0,eq_c1/2)+4*IF(circ_int,0,eq_c2/2)+2*PI()*(s_0+6*s_r+IF(circ_int,eq_c1/2,0)))/INDEX(lk_legs,7))-(((((2*IF(circ_int,0,eq_c2/2))+(PI()*(s_0+6*s_r+IF(circ_int,eq_c1/2,0))/2))+2*IF(circ_int,0,eq_c1/2))+(PI()*(s_0+6*s_r+IF(circ_int,eq_c1/2,0))/2))+2*IF(circ_int,0,eq_c2/2)))/(s_0+6*s_r+IF(circ_int,eq_c1/2,0))),IF(((46+0.5)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(46+0.5)*(4*IF(circ_int,0,eq_c1/2)+4*IF(circ_int,0,eq_c2/2)+2*PI()*(s_0+6*s_r+IF(circ_int,eq_c1/2,0)))/INDEX(lk_legs,7))-(((((((2*IF(circ_int,0,eq_c2/2))+(PI()*(s_0+6*s_r+IF(circ_int,eq_c1/2,0))/2))+2*IF(circ_int,0,eq_c1/2))+(PI()*(s_0+6*s_r+IF(circ_int,eq_c1/2,0))/2))+2*IF(circ_int,0,eq_c2/2))+(PI()*(s_0+6*s_r+IF(circ_int,eq_c1/2,0))/2))+2*IF(circ_int,0,eq_c1/2)))/(s_0+6*s_r+IF(circ_int,eq_c1/2,0)))))))))),NA())</f>
        <v/>
      </c>
      <c r="CM49">
        <f>IF(AND(links_on,8&lt;=n_per),IF(circ_int,(g_ox)+(c_1/2+(s_0+7*s_r))*0.748511,CHOOSE(INDEX(lk_kind,8),(g_ox+eq_c1/2)+((s_0+7*s_r))*0.793353,0,eq_a1+eq_c1+(s_0+7*s_r),eq_a1+eq_c1+(s_0+7*s_r))),NA())</f>
        <v/>
      </c>
      <c r="CN49">
        <f>IF(AND(links_on,8&lt;=n_per),IF(circ_int,(g_oy)+(c_1/2+(s_0+7*s_r))*-0.663123,CHOOSE(INDEX(lk_kind,8),(g_oy-eq_c2/2)+((s_0+7*s_r))*-0.608761,g_oy-eq_c2/2-(s_0+7*s_r),0,0)),NA())</f>
        <v/>
      </c>
      <c r="CP49">
        <f>IF(AND(AND(links_on,8&lt;=n_per),INDEX(lk_kind,8)=1,46&lt;INDEX(lk_legs,8)),g_ox+IF(((46+0.5)*(4*IF(circ_int,0,eq_c1/2)+4*IF(circ_int,0,eq_c2/2)+2*PI()*(s_0+7*s_r+IF(circ_int,eq_c1/2,0)))/INDEX(lk_legs,8))&lt;(2*IF(circ_int,0,eq_c2/2)),IF(circ_int,0,eq_c1/2)+(s_0+7*s_r+IF(circ_int,eq_c1/2,0)),IF(((46+0.5)*(4*IF(circ_int,0,eq_c1/2)+4*IF(circ_int,0,eq_c2/2)+2*PI()*(s_0+7*s_r+IF(circ_int,eq_c1/2,0)))/INDEX(lk_legs,8))&lt;((2*IF(circ_int,0,eq_c2/2))+(PI()*(s_0+7*s_r+IF(circ_int,eq_c1/2,0))/2)),IF(circ_int,0,eq_c1/2)+(s_0+7*s_r+IF(circ_int,eq_c1/2,0))*COS((((46+0.5)*(4*IF(circ_int,0,eq_c1/2)+4*IF(circ_int,0,eq_c2/2)+2*PI()*(s_0+7*s_r+IF(circ_int,eq_c1/2,0)))/INDEX(lk_legs,8))-(2*IF(circ_int,0,eq_c2/2)))/(s_0+7*s_r+IF(circ_int,eq_c1/2,0))),IF(((46+0.5)*(4*IF(circ_int,0,eq_c1/2)+4*IF(circ_int,0,eq_c2/2)+2*PI()*(s_0+7*s_r+IF(circ_int,eq_c1/2,0)))/INDEX(lk_legs,8))&lt;(((2*IF(circ_int,0,eq_c2/2))+(PI()*(s_0+7*s_r+IF(circ_int,eq_c1/2,0))/2))+2*IF(circ_int,0,eq_c1/2)),IF(circ_int,0,eq_c1/2)-(((46+0.5)*(4*IF(circ_int,0,eq_c1/2)+4*IF(circ_int,0,eq_c2/2)+2*PI()*(s_0+7*s_r+IF(circ_int,eq_c1/2,0)))/INDEX(lk_legs,8))-((2*IF(circ_int,0,eq_c2/2))+(PI()*(s_0+7*s_r+IF(circ_int,eq_c1/2,0))/2))),IF(((46+0.5)*(4*IF(circ_int,0,eq_c1/2)+4*IF(circ_int,0,eq_c2/2)+2*PI()*(s_0+7*s_r+IF(circ_int,eq_c1/2,0)))/INDEX(lk_legs,8))&lt;((((2*IF(circ_int,0,eq_c2/2))+(PI()*(s_0+7*s_r+IF(circ_int,eq_c1/2,0))/2))+2*IF(circ_int,0,eq_c1/2))+(PI()*(s_0+7*s_r+IF(circ_int,eq_c1/2,0))/2)),-IF(circ_int,0,eq_c1/2)+(s_0+7*s_r+IF(circ_int,eq_c1/2,0))*COS(PI()/2+(((46+0.5)*(4*IF(circ_int,0,eq_c1/2)+4*IF(circ_int,0,eq_c2/2)+2*PI()*(s_0+7*s_r+IF(circ_int,eq_c1/2,0)))/INDEX(lk_legs,8))-(((2*IF(circ_int,0,eq_c2/2))+(PI()*(s_0+7*s_r+IF(circ_int,eq_c1/2,0))/2))+2*IF(circ_int,0,eq_c1/2)))/(s_0+7*s_r+IF(circ_int,eq_c1/2,0))),IF(((46+0.5)*(4*IF(circ_int,0,eq_c1/2)+4*IF(circ_int,0,eq_c2/2)+2*PI()*(s_0+7*s_r+IF(circ_int,eq_c1/2,0)))/INDEX(lk_legs,8))&lt;(((((2*IF(circ_int,0,eq_c2/2))+(PI()*(s_0+7*s_r+IF(circ_int,eq_c1/2,0))/2))+2*IF(circ_int,0,eq_c1/2))+(PI()*(s_0+7*s_r+IF(circ_int,eq_c1/2,0))/2))+2*IF(circ_int,0,eq_c2/2)),-IF(circ_int,0,eq_c1/2)-(s_0+7*s_r+IF(circ_int,eq_c1/2,0)),IF(((46+0.5)*(4*IF(circ_int,0,eq_c1/2)+4*IF(circ_int,0,eq_c2/2)+2*PI()*(s_0+7*s_r+IF(circ_int,eq_c1/2,0)))/INDEX(lk_legs,8))&lt;((((((2*IF(circ_int,0,eq_c2/2))+(PI()*(s_0+7*s_r+IF(circ_int,eq_c1/2,0))/2))+2*IF(circ_int,0,eq_c1/2))+(PI()*(s_0+7*s_r+IF(circ_int,eq_c1/2,0))/2))+2*IF(circ_int,0,eq_c2/2))+(PI()*(s_0+7*s_r+IF(circ_int,eq_c1/2,0))/2)),-IF(circ_int,0,eq_c1/2)+(s_0+7*s_r+IF(circ_int,eq_c1/2,0))*COS(PI()+(((46+0.5)*(4*IF(circ_int,0,eq_c1/2)+4*IF(circ_int,0,eq_c2/2)+2*PI()*(s_0+7*s_r+IF(circ_int,eq_c1/2,0)))/INDEX(lk_legs,8))-(((((2*IF(circ_int,0,eq_c2/2))+(PI()*(s_0+7*s_r+IF(circ_int,eq_c1/2,0))/2))+2*IF(circ_int,0,eq_c1/2))+(PI()*(s_0+7*s_r+IF(circ_int,eq_c1/2,0))/2))+2*IF(circ_int,0,eq_c2/2)))/(s_0+7*s_r+IF(circ_int,eq_c1/2,0))),IF(((46+0.5)*(4*IF(circ_int,0,eq_c1/2)+4*IF(circ_int,0,eq_c2/2)+2*PI()*(s_0+7*s_r+IF(circ_int,eq_c1/2,0)))/INDEX(lk_legs,8))&lt;(((((((2*IF(circ_int,0,eq_c2/2))+(PI()*(s_0+7*s_r+IF(circ_int,eq_c1/2,0))/2))+2*IF(circ_int,0,eq_c1/2))+(PI()*(s_0+7*s_r+IF(circ_int,eq_c1/2,0))/2))+2*IF(circ_int,0,eq_c2/2))+(PI()*(s_0+7*s_r+IF(circ_int,eq_c1/2,0))/2))+2*IF(circ_int,0,eq_c1/2)),-IF(circ_int,0,eq_c1/2)+(((46+0.5)*(4*IF(circ_int,0,eq_c1/2)+4*IF(circ_int,0,eq_c2/2)+2*PI()*(s_0+7*s_r+IF(circ_int,eq_c1/2,0)))/INDEX(lk_legs,8))-((((((2*IF(circ_int,0,eq_c2/2))+(PI()*(s_0+7*s_r+IF(circ_int,eq_c1/2,0))/2))+2*IF(circ_int,0,eq_c1/2))+(PI()*(s_0+7*s_r+IF(circ_int,eq_c1/2,0))/2))+2*IF(circ_int,0,eq_c2/2))+(PI()*(s_0+7*s_r+IF(circ_int,eq_c1/2,0))/2))),IF(circ_int,0,eq_c1/2)+(s_0+7*s_r+IF(circ_int,eq_c1/2,0))*COS(3*PI()/2+(((46+0.5)*(4*IF(circ_int,0,eq_c1/2)+4*IF(circ_int,0,eq_c2/2)+2*PI()*(s_0+7*s_r+IF(circ_int,eq_c1/2,0)))/INDEX(lk_legs,8))-(((((((2*IF(circ_int,0,eq_c2/2))+(PI()*(s_0+7*s_r+IF(circ_int,eq_c1/2,0))/2))+2*IF(circ_int,0,eq_c1/2))+(PI()*(s_0+7*s_r+IF(circ_int,eq_c1/2,0))/2))+2*IF(circ_int,0,eq_c2/2))+(PI()*(s_0+7*s_r+IF(circ_int,eq_c1/2,0))/2))+2*IF(circ_int,0,eq_c1/2)))/(s_0+7*s_r+IF(circ_int,eq_c1/2,0)))))))))),NA())</f>
        <v/>
      </c>
      <c r="CQ49">
        <f>IF(AND(AND(links_on,8&lt;=n_per),INDEX(lk_kind,8)=1,46&lt;INDEX(lk_legs,8)),g_oy+IF(((46+0.5)*(4*IF(circ_int,0,eq_c1/2)+4*IF(circ_int,0,eq_c2/2)+2*PI()*(s_0+7*s_r+IF(circ_int,eq_c1/2,0)))/INDEX(lk_legs,8))&lt;(2*IF(circ_int,0,eq_c2/2)),-IF(circ_int,0,eq_c2/2)+((46+0.5)*(4*IF(circ_int,0,eq_c1/2)+4*IF(circ_int,0,eq_c2/2)+2*PI()*(s_0+7*s_r+IF(circ_int,eq_c1/2,0)))/INDEX(lk_legs,8)),IF(((46+0.5)*(4*IF(circ_int,0,eq_c1/2)+4*IF(circ_int,0,eq_c2/2)+2*PI()*(s_0+7*s_r+IF(circ_int,eq_c1/2,0)))/INDEX(lk_legs,8))&lt;((2*IF(circ_int,0,eq_c2/2))+(PI()*(s_0+7*s_r+IF(circ_int,eq_c1/2,0))/2)),IF(circ_int,0,eq_c2/2)+(s_0+7*s_r+IF(circ_int,eq_c1/2,0))*SIN((((46+0.5)*(4*IF(circ_int,0,eq_c1/2)+4*IF(circ_int,0,eq_c2/2)+2*PI()*(s_0+7*s_r+IF(circ_int,eq_c1/2,0)))/INDEX(lk_legs,8))-(2*IF(circ_int,0,eq_c2/2)))/(s_0+7*s_r+IF(circ_int,eq_c1/2,0))),IF(((46+0.5)*(4*IF(circ_int,0,eq_c1/2)+4*IF(circ_int,0,eq_c2/2)+2*PI()*(s_0+7*s_r+IF(circ_int,eq_c1/2,0)))/INDEX(lk_legs,8))&lt;(((2*IF(circ_int,0,eq_c2/2))+(PI()*(s_0+7*s_r+IF(circ_int,eq_c1/2,0))/2))+2*IF(circ_int,0,eq_c1/2)),IF(circ_int,0,eq_c2/2)+(s_0+7*s_r+IF(circ_int,eq_c1/2,0)),IF(((46+0.5)*(4*IF(circ_int,0,eq_c1/2)+4*IF(circ_int,0,eq_c2/2)+2*PI()*(s_0+7*s_r+IF(circ_int,eq_c1/2,0)))/INDEX(lk_legs,8))&lt;((((2*IF(circ_int,0,eq_c2/2))+(PI()*(s_0+7*s_r+IF(circ_int,eq_c1/2,0))/2))+2*IF(circ_int,0,eq_c1/2))+(PI()*(s_0+7*s_r+IF(circ_int,eq_c1/2,0))/2)),IF(circ_int,0,eq_c2/2)+(s_0+7*s_r+IF(circ_int,eq_c1/2,0))*SIN(PI()/2+(((46+0.5)*(4*IF(circ_int,0,eq_c1/2)+4*IF(circ_int,0,eq_c2/2)+2*PI()*(s_0+7*s_r+IF(circ_int,eq_c1/2,0)))/INDEX(lk_legs,8))-(((2*IF(circ_int,0,eq_c2/2))+(PI()*(s_0+7*s_r+IF(circ_int,eq_c1/2,0))/2))+2*IF(circ_int,0,eq_c1/2)))/(s_0+7*s_r+IF(circ_int,eq_c1/2,0))),IF(((46+0.5)*(4*IF(circ_int,0,eq_c1/2)+4*IF(circ_int,0,eq_c2/2)+2*PI()*(s_0+7*s_r+IF(circ_int,eq_c1/2,0)))/INDEX(lk_legs,8))&lt;(((((2*IF(circ_int,0,eq_c2/2))+(PI()*(s_0+7*s_r+IF(circ_int,eq_c1/2,0))/2))+2*IF(circ_int,0,eq_c1/2))+(PI()*(s_0+7*s_r+IF(circ_int,eq_c1/2,0))/2))+2*IF(circ_int,0,eq_c2/2)),IF(circ_int,0,eq_c2/2)-(((46+0.5)*(4*IF(circ_int,0,eq_c1/2)+4*IF(circ_int,0,eq_c2/2)+2*PI()*(s_0+7*s_r+IF(circ_int,eq_c1/2,0)))/INDEX(lk_legs,8))-((((2*IF(circ_int,0,eq_c2/2))+(PI()*(s_0+7*s_r+IF(circ_int,eq_c1/2,0))/2))+2*IF(circ_int,0,eq_c1/2))+(PI()*(s_0+7*s_r+IF(circ_int,eq_c1/2,0))/2))),IF(((46+0.5)*(4*IF(circ_int,0,eq_c1/2)+4*IF(circ_int,0,eq_c2/2)+2*PI()*(s_0+7*s_r+IF(circ_int,eq_c1/2,0)))/INDEX(lk_legs,8))&lt;((((((2*IF(circ_int,0,eq_c2/2))+(PI()*(s_0+7*s_r+IF(circ_int,eq_c1/2,0))/2))+2*IF(circ_int,0,eq_c1/2))+(PI()*(s_0+7*s_r+IF(circ_int,eq_c1/2,0))/2))+2*IF(circ_int,0,eq_c2/2))+(PI()*(s_0+7*s_r+IF(circ_int,eq_c1/2,0))/2)),-IF(circ_int,0,eq_c2/2)+(s_0+7*s_r+IF(circ_int,eq_c1/2,0))*SIN(PI()+(((46+0.5)*(4*IF(circ_int,0,eq_c1/2)+4*IF(circ_int,0,eq_c2/2)+2*PI()*(s_0+7*s_r+IF(circ_int,eq_c1/2,0)))/INDEX(lk_legs,8))-(((((2*IF(circ_int,0,eq_c2/2))+(PI()*(s_0+7*s_r+IF(circ_int,eq_c1/2,0))/2))+2*IF(circ_int,0,eq_c1/2))+(PI()*(s_0+7*s_r+IF(circ_int,eq_c1/2,0))/2))+2*IF(circ_int,0,eq_c2/2)))/(s_0+7*s_r+IF(circ_int,eq_c1/2,0))),IF(((46+0.5)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(46+0.5)*(4*IF(circ_int,0,eq_c1/2)+4*IF(circ_int,0,eq_c2/2)+2*PI()*(s_0+7*s_r+IF(circ_int,eq_c1/2,0)))/INDEX(lk_legs,8))-(((((((2*IF(circ_int,0,eq_c2/2))+(PI()*(s_0+7*s_r+IF(circ_int,eq_c1/2,0))/2))+2*IF(circ_int,0,eq_c1/2))+(PI()*(s_0+7*s_r+IF(circ_int,eq_c1/2,0))/2))+2*IF(circ_int,0,eq_c2/2))+(PI()*(s_0+7*s_r+IF(circ_int,eq_c1/2,0))/2))+2*IF(circ_int,0,eq_c1/2)))/(s_0+7*s_r+IF(circ_int,eq_c1/2,0)))))))))),NA())</f>
        <v/>
      </c>
      <c r="CS49">
        <f>IF(AND(links_on,9&lt;=n_per),IF(circ_int,(g_ox)+(c_1/2+(s_0+8*s_r))*0.748511,CHOOSE(INDEX(lk_kind,9),(g_ox+eq_c1/2)+((s_0+8*s_r))*0.793353,0,eq_a1+eq_c1+(s_0+8*s_r),eq_a1+eq_c1+(s_0+8*s_r))),NA())</f>
        <v/>
      </c>
      <c r="CT49">
        <f>IF(AND(links_on,9&lt;=n_per),IF(circ_int,(g_oy)+(c_1/2+(s_0+8*s_r))*-0.663123,CHOOSE(INDEX(lk_kind,9),(g_oy-eq_c2/2)+((s_0+8*s_r))*-0.608761,g_oy-eq_c2/2-(s_0+8*s_r),0,0)),NA())</f>
        <v/>
      </c>
      <c r="CV49">
        <f>IF(AND(AND(links_on,9&lt;=n_per),INDEX(lk_kind,9)=1,46&lt;INDEX(lk_legs,9)),g_ox+IF(((46+0.5)*(4*IF(circ_int,0,eq_c1/2)+4*IF(circ_int,0,eq_c2/2)+2*PI()*(s_0+8*s_r+IF(circ_int,eq_c1/2,0)))/INDEX(lk_legs,9))&lt;(2*IF(circ_int,0,eq_c2/2)),IF(circ_int,0,eq_c1/2)+(s_0+8*s_r+IF(circ_int,eq_c1/2,0)),IF(((46+0.5)*(4*IF(circ_int,0,eq_c1/2)+4*IF(circ_int,0,eq_c2/2)+2*PI()*(s_0+8*s_r+IF(circ_int,eq_c1/2,0)))/INDEX(lk_legs,9))&lt;((2*IF(circ_int,0,eq_c2/2))+(PI()*(s_0+8*s_r+IF(circ_int,eq_c1/2,0))/2)),IF(circ_int,0,eq_c1/2)+(s_0+8*s_r+IF(circ_int,eq_c1/2,0))*COS((((46+0.5)*(4*IF(circ_int,0,eq_c1/2)+4*IF(circ_int,0,eq_c2/2)+2*PI()*(s_0+8*s_r+IF(circ_int,eq_c1/2,0)))/INDEX(lk_legs,9))-(2*IF(circ_int,0,eq_c2/2)))/(s_0+8*s_r+IF(circ_int,eq_c1/2,0))),IF(((46+0.5)*(4*IF(circ_int,0,eq_c1/2)+4*IF(circ_int,0,eq_c2/2)+2*PI()*(s_0+8*s_r+IF(circ_int,eq_c1/2,0)))/INDEX(lk_legs,9))&lt;(((2*IF(circ_int,0,eq_c2/2))+(PI()*(s_0+8*s_r+IF(circ_int,eq_c1/2,0))/2))+2*IF(circ_int,0,eq_c1/2)),IF(circ_int,0,eq_c1/2)-(((46+0.5)*(4*IF(circ_int,0,eq_c1/2)+4*IF(circ_int,0,eq_c2/2)+2*PI()*(s_0+8*s_r+IF(circ_int,eq_c1/2,0)))/INDEX(lk_legs,9))-((2*IF(circ_int,0,eq_c2/2))+(PI()*(s_0+8*s_r+IF(circ_int,eq_c1/2,0))/2))),IF(((46+0.5)*(4*IF(circ_int,0,eq_c1/2)+4*IF(circ_int,0,eq_c2/2)+2*PI()*(s_0+8*s_r+IF(circ_int,eq_c1/2,0)))/INDEX(lk_legs,9))&lt;((((2*IF(circ_int,0,eq_c2/2))+(PI()*(s_0+8*s_r+IF(circ_int,eq_c1/2,0))/2))+2*IF(circ_int,0,eq_c1/2))+(PI()*(s_0+8*s_r+IF(circ_int,eq_c1/2,0))/2)),-IF(circ_int,0,eq_c1/2)+(s_0+8*s_r+IF(circ_int,eq_c1/2,0))*COS(PI()/2+(((46+0.5)*(4*IF(circ_int,0,eq_c1/2)+4*IF(circ_int,0,eq_c2/2)+2*PI()*(s_0+8*s_r+IF(circ_int,eq_c1/2,0)))/INDEX(lk_legs,9))-(((2*IF(circ_int,0,eq_c2/2))+(PI()*(s_0+8*s_r+IF(circ_int,eq_c1/2,0))/2))+2*IF(circ_int,0,eq_c1/2)))/(s_0+8*s_r+IF(circ_int,eq_c1/2,0))),IF(((46+0.5)*(4*IF(circ_int,0,eq_c1/2)+4*IF(circ_int,0,eq_c2/2)+2*PI()*(s_0+8*s_r+IF(circ_int,eq_c1/2,0)))/INDEX(lk_legs,9))&lt;(((((2*IF(circ_int,0,eq_c2/2))+(PI()*(s_0+8*s_r+IF(circ_int,eq_c1/2,0))/2))+2*IF(circ_int,0,eq_c1/2))+(PI()*(s_0+8*s_r+IF(circ_int,eq_c1/2,0))/2))+2*IF(circ_int,0,eq_c2/2)),-IF(circ_int,0,eq_c1/2)-(s_0+8*s_r+IF(circ_int,eq_c1/2,0)),IF(((46+0.5)*(4*IF(circ_int,0,eq_c1/2)+4*IF(circ_int,0,eq_c2/2)+2*PI()*(s_0+8*s_r+IF(circ_int,eq_c1/2,0)))/INDEX(lk_legs,9))&lt;((((((2*IF(circ_int,0,eq_c2/2))+(PI()*(s_0+8*s_r+IF(circ_int,eq_c1/2,0))/2))+2*IF(circ_int,0,eq_c1/2))+(PI()*(s_0+8*s_r+IF(circ_int,eq_c1/2,0))/2))+2*IF(circ_int,0,eq_c2/2))+(PI()*(s_0+8*s_r+IF(circ_int,eq_c1/2,0))/2)),-IF(circ_int,0,eq_c1/2)+(s_0+8*s_r+IF(circ_int,eq_c1/2,0))*COS(PI()+(((46+0.5)*(4*IF(circ_int,0,eq_c1/2)+4*IF(circ_int,0,eq_c2/2)+2*PI()*(s_0+8*s_r+IF(circ_int,eq_c1/2,0)))/INDEX(lk_legs,9))-(((((2*IF(circ_int,0,eq_c2/2))+(PI()*(s_0+8*s_r+IF(circ_int,eq_c1/2,0))/2))+2*IF(circ_int,0,eq_c1/2))+(PI()*(s_0+8*s_r+IF(circ_int,eq_c1/2,0))/2))+2*IF(circ_int,0,eq_c2/2)))/(s_0+8*s_r+IF(circ_int,eq_c1/2,0))),IF(((46+0.5)*(4*IF(circ_int,0,eq_c1/2)+4*IF(circ_int,0,eq_c2/2)+2*PI()*(s_0+8*s_r+IF(circ_int,eq_c1/2,0)))/INDEX(lk_legs,9))&lt;(((((((2*IF(circ_int,0,eq_c2/2))+(PI()*(s_0+8*s_r+IF(circ_int,eq_c1/2,0))/2))+2*IF(circ_int,0,eq_c1/2))+(PI()*(s_0+8*s_r+IF(circ_int,eq_c1/2,0))/2))+2*IF(circ_int,0,eq_c2/2))+(PI()*(s_0+8*s_r+IF(circ_int,eq_c1/2,0))/2))+2*IF(circ_int,0,eq_c1/2)),-IF(circ_int,0,eq_c1/2)+(((46+0.5)*(4*IF(circ_int,0,eq_c1/2)+4*IF(circ_int,0,eq_c2/2)+2*PI()*(s_0+8*s_r+IF(circ_int,eq_c1/2,0)))/INDEX(lk_legs,9))-((((((2*IF(circ_int,0,eq_c2/2))+(PI()*(s_0+8*s_r+IF(circ_int,eq_c1/2,0))/2))+2*IF(circ_int,0,eq_c1/2))+(PI()*(s_0+8*s_r+IF(circ_int,eq_c1/2,0))/2))+2*IF(circ_int,0,eq_c2/2))+(PI()*(s_0+8*s_r+IF(circ_int,eq_c1/2,0))/2))),IF(circ_int,0,eq_c1/2)+(s_0+8*s_r+IF(circ_int,eq_c1/2,0))*COS(3*PI()/2+(((46+0.5)*(4*IF(circ_int,0,eq_c1/2)+4*IF(circ_int,0,eq_c2/2)+2*PI()*(s_0+8*s_r+IF(circ_int,eq_c1/2,0)))/INDEX(lk_legs,9))-(((((((2*IF(circ_int,0,eq_c2/2))+(PI()*(s_0+8*s_r+IF(circ_int,eq_c1/2,0))/2))+2*IF(circ_int,0,eq_c1/2))+(PI()*(s_0+8*s_r+IF(circ_int,eq_c1/2,0))/2))+2*IF(circ_int,0,eq_c2/2))+(PI()*(s_0+8*s_r+IF(circ_int,eq_c1/2,0))/2))+2*IF(circ_int,0,eq_c1/2)))/(s_0+8*s_r+IF(circ_int,eq_c1/2,0)))))))))),NA())</f>
        <v/>
      </c>
      <c r="CW49">
        <f>IF(AND(AND(links_on,9&lt;=n_per),INDEX(lk_kind,9)=1,46&lt;INDEX(lk_legs,9)),g_oy+IF(((46+0.5)*(4*IF(circ_int,0,eq_c1/2)+4*IF(circ_int,0,eq_c2/2)+2*PI()*(s_0+8*s_r+IF(circ_int,eq_c1/2,0)))/INDEX(lk_legs,9))&lt;(2*IF(circ_int,0,eq_c2/2)),-IF(circ_int,0,eq_c2/2)+((46+0.5)*(4*IF(circ_int,0,eq_c1/2)+4*IF(circ_int,0,eq_c2/2)+2*PI()*(s_0+8*s_r+IF(circ_int,eq_c1/2,0)))/INDEX(lk_legs,9)),IF(((46+0.5)*(4*IF(circ_int,0,eq_c1/2)+4*IF(circ_int,0,eq_c2/2)+2*PI()*(s_0+8*s_r+IF(circ_int,eq_c1/2,0)))/INDEX(lk_legs,9))&lt;((2*IF(circ_int,0,eq_c2/2))+(PI()*(s_0+8*s_r+IF(circ_int,eq_c1/2,0))/2)),IF(circ_int,0,eq_c2/2)+(s_0+8*s_r+IF(circ_int,eq_c1/2,0))*SIN((((46+0.5)*(4*IF(circ_int,0,eq_c1/2)+4*IF(circ_int,0,eq_c2/2)+2*PI()*(s_0+8*s_r+IF(circ_int,eq_c1/2,0)))/INDEX(lk_legs,9))-(2*IF(circ_int,0,eq_c2/2)))/(s_0+8*s_r+IF(circ_int,eq_c1/2,0))),IF(((46+0.5)*(4*IF(circ_int,0,eq_c1/2)+4*IF(circ_int,0,eq_c2/2)+2*PI()*(s_0+8*s_r+IF(circ_int,eq_c1/2,0)))/INDEX(lk_legs,9))&lt;(((2*IF(circ_int,0,eq_c2/2))+(PI()*(s_0+8*s_r+IF(circ_int,eq_c1/2,0))/2))+2*IF(circ_int,0,eq_c1/2)),IF(circ_int,0,eq_c2/2)+(s_0+8*s_r+IF(circ_int,eq_c1/2,0)),IF(((46+0.5)*(4*IF(circ_int,0,eq_c1/2)+4*IF(circ_int,0,eq_c2/2)+2*PI()*(s_0+8*s_r+IF(circ_int,eq_c1/2,0)))/INDEX(lk_legs,9))&lt;((((2*IF(circ_int,0,eq_c2/2))+(PI()*(s_0+8*s_r+IF(circ_int,eq_c1/2,0))/2))+2*IF(circ_int,0,eq_c1/2))+(PI()*(s_0+8*s_r+IF(circ_int,eq_c1/2,0))/2)),IF(circ_int,0,eq_c2/2)+(s_0+8*s_r+IF(circ_int,eq_c1/2,0))*SIN(PI()/2+(((46+0.5)*(4*IF(circ_int,0,eq_c1/2)+4*IF(circ_int,0,eq_c2/2)+2*PI()*(s_0+8*s_r+IF(circ_int,eq_c1/2,0)))/INDEX(lk_legs,9))-(((2*IF(circ_int,0,eq_c2/2))+(PI()*(s_0+8*s_r+IF(circ_int,eq_c1/2,0))/2))+2*IF(circ_int,0,eq_c1/2)))/(s_0+8*s_r+IF(circ_int,eq_c1/2,0))),IF(((46+0.5)*(4*IF(circ_int,0,eq_c1/2)+4*IF(circ_int,0,eq_c2/2)+2*PI()*(s_0+8*s_r+IF(circ_int,eq_c1/2,0)))/INDEX(lk_legs,9))&lt;(((((2*IF(circ_int,0,eq_c2/2))+(PI()*(s_0+8*s_r+IF(circ_int,eq_c1/2,0))/2))+2*IF(circ_int,0,eq_c1/2))+(PI()*(s_0+8*s_r+IF(circ_int,eq_c1/2,0))/2))+2*IF(circ_int,0,eq_c2/2)),IF(circ_int,0,eq_c2/2)-(((46+0.5)*(4*IF(circ_int,0,eq_c1/2)+4*IF(circ_int,0,eq_c2/2)+2*PI()*(s_0+8*s_r+IF(circ_int,eq_c1/2,0)))/INDEX(lk_legs,9))-((((2*IF(circ_int,0,eq_c2/2))+(PI()*(s_0+8*s_r+IF(circ_int,eq_c1/2,0))/2))+2*IF(circ_int,0,eq_c1/2))+(PI()*(s_0+8*s_r+IF(circ_int,eq_c1/2,0))/2))),IF(((46+0.5)*(4*IF(circ_int,0,eq_c1/2)+4*IF(circ_int,0,eq_c2/2)+2*PI()*(s_0+8*s_r+IF(circ_int,eq_c1/2,0)))/INDEX(lk_legs,9))&lt;((((((2*IF(circ_int,0,eq_c2/2))+(PI()*(s_0+8*s_r+IF(circ_int,eq_c1/2,0))/2))+2*IF(circ_int,0,eq_c1/2))+(PI()*(s_0+8*s_r+IF(circ_int,eq_c1/2,0))/2))+2*IF(circ_int,0,eq_c2/2))+(PI()*(s_0+8*s_r+IF(circ_int,eq_c1/2,0))/2)),-IF(circ_int,0,eq_c2/2)+(s_0+8*s_r+IF(circ_int,eq_c1/2,0))*SIN(PI()+(((46+0.5)*(4*IF(circ_int,0,eq_c1/2)+4*IF(circ_int,0,eq_c2/2)+2*PI()*(s_0+8*s_r+IF(circ_int,eq_c1/2,0)))/INDEX(lk_legs,9))-(((((2*IF(circ_int,0,eq_c2/2))+(PI()*(s_0+8*s_r+IF(circ_int,eq_c1/2,0))/2))+2*IF(circ_int,0,eq_c1/2))+(PI()*(s_0+8*s_r+IF(circ_int,eq_c1/2,0))/2))+2*IF(circ_int,0,eq_c2/2)))/(s_0+8*s_r+IF(circ_int,eq_c1/2,0))),IF(((46+0.5)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(46+0.5)*(4*IF(circ_int,0,eq_c1/2)+4*IF(circ_int,0,eq_c2/2)+2*PI()*(s_0+8*s_r+IF(circ_int,eq_c1/2,0)))/INDEX(lk_legs,9))-(((((((2*IF(circ_int,0,eq_c2/2))+(PI()*(s_0+8*s_r+IF(circ_int,eq_c1/2,0))/2))+2*IF(circ_int,0,eq_c1/2))+(PI()*(s_0+8*s_r+IF(circ_int,eq_c1/2,0))/2))+2*IF(circ_int,0,eq_c2/2))+(PI()*(s_0+8*s_r+IF(circ_int,eq_c1/2,0))/2))+2*IF(circ_int,0,eq_c1/2)))/(s_0+8*s_r+IF(circ_int,eq_c1/2,0)))))))))),NA())</f>
        <v/>
      </c>
      <c r="CY49">
        <f>IF(AND(links_on,10&lt;=n_per),IF(circ_int,(g_ox)+(c_1/2+(s_0+9*s_r))*0.748511,CHOOSE(INDEX(lk_kind,10),(g_ox+eq_c1/2)+((s_0+9*s_r))*0.793353,0,eq_a1+eq_c1+(s_0+9*s_r),eq_a1+eq_c1+(s_0+9*s_r))),NA())</f>
        <v/>
      </c>
      <c r="CZ49">
        <f>IF(AND(links_on,10&lt;=n_per),IF(circ_int,(g_oy)+(c_1/2+(s_0+9*s_r))*-0.663123,CHOOSE(INDEX(lk_kind,10),(g_oy-eq_c2/2)+((s_0+9*s_r))*-0.608761,g_oy-eq_c2/2-(s_0+9*s_r),0,0)),NA())</f>
        <v/>
      </c>
      <c r="DB49">
        <f>IF(AND(AND(links_on,10&lt;=n_per),INDEX(lk_kind,10)=1,46&lt;INDEX(lk_legs,10)),g_ox+IF(((46+0.5)*(4*IF(circ_int,0,eq_c1/2)+4*IF(circ_int,0,eq_c2/2)+2*PI()*(s_0+9*s_r+IF(circ_int,eq_c1/2,0)))/INDEX(lk_legs,10))&lt;(2*IF(circ_int,0,eq_c2/2)),IF(circ_int,0,eq_c1/2)+(s_0+9*s_r+IF(circ_int,eq_c1/2,0)),IF(((46+0.5)*(4*IF(circ_int,0,eq_c1/2)+4*IF(circ_int,0,eq_c2/2)+2*PI()*(s_0+9*s_r+IF(circ_int,eq_c1/2,0)))/INDEX(lk_legs,10))&lt;((2*IF(circ_int,0,eq_c2/2))+(PI()*(s_0+9*s_r+IF(circ_int,eq_c1/2,0))/2)),IF(circ_int,0,eq_c1/2)+(s_0+9*s_r+IF(circ_int,eq_c1/2,0))*COS((((46+0.5)*(4*IF(circ_int,0,eq_c1/2)+4*IF(circ_int,0,eq_c2/2)+2*PI()*(s_0+9*s_r+IF(circ_int,eq_c1/2,0)))/INDEX(lk_legs,10))-(2*IF(circ_int,0,eq_c2/2)))/(s_0+9*s_r+IF(circ_int,eq_c1/2,0))),IF(((46+0.5)*(4*IF(circ_int,0,eq_c1/2)+4*IF(circ_int,0,eq_c2/2)+2*PI()*(s_0+9*s_r+IF(circ_int,eq_c1/2,0)))/INDEX(lk_legs,10))&lt;(((2*IF(circ_int,0,eq_c2/2))+(PI()*(s_0+9*s_r+IF(circ_int,eq_c1/2,0))/2))+2*IF(circ_int,0,eq_c1/2)),IF(circ_int,0,eq_c1/2)-(((46+0.5)*(4*IF(circ_int,0,eq_c1/2)+4*IF(circ_int,0,eq_c2/2)+2*PI()*(s_0+9*s_r+IF(circ_int,eq_c1/2,0)))/INDEX(lk_legs,10))-((2*IF(circ_int,0,eq_c2/2))+(PI()*(s_0+9*s_r+IF(circ_int,eq_c1/2,0))/2))),IF(((46+0.5)*(4*IF(circ_int,0,eq_c1/2)+4*IF(circ_int,0,eq_c2/2)+2*PI()*(s_0+9*s_r+IF(circ_int,eq_c1/2,0)))/INDEX(lk_legs,10))&lt;((((2*IF(circ_int,0,eq_c2/2))+(PI()*(s_0+9*s_r+IF(circ_int,eq_c1/2,0))/2))+2*IF(circ_int,0,eq_c1/2))+(PI()*(s_0+9*s_r+IF(circ_int,eq_c1/2,0))/2)),-IF(circ_int,0,eq_c1/2)+(s_0+9*s_r+IF(circ_int,eq_c1/2,0))*COS(PI()/2+(((46+0.5)*(4*IF(circ_int,0,eq_c1/2)+4*IF(circ_int,0,eq_c2/2)+2*PI()*(s_0+9*s_r+IF(circ_int,eq_c1/2,0)))/INDEX(lk_legs,10))-(((2*IF(circ_int,0,eq_c2/2))+(PI()*(s_0+9*s_r+IF(circ_int,eq_c1/2,0))/2))+2*IF(circ_int,0,eq_c1/2)))/(s_0+9*s_r+IF(circ_int,eq_c1/2,0))),IF(((46+0.5)*(4*IF(circ_int,0,eq_c1/2)+4*IF(circ_int,0,eq_c2/2)+2*PI()*(s_0+9*s_r+IF(circ_int,eq_c1/2,0)))/INDEX(lk_legs,10))&lt;(((((2*IF(circ_int,0,eq_c2/2))+(PI()*(s_0+9*s_r+IF(circ_int,eq_c1/2,0))/2))+2*IF(circ_int,0,eq_c1/2))+(PI()*(s_0+9*s_r+IF(circ_int,eq_c1/2,0))/2))+2*IF(circ_int,0,eq_c2/2)),-IF(circ_int,0,eq_c1/2)-(s_0+9*s_r+IF(circ_int,eq_c1/2,0)),IF(((46+0.5)*(4*IF(circ_int,0,eq_c1/2)+4*IF(circ_int,0,eq_c2/2)+2*PI()*(s_0+9*s_r+IF(circ_int,eq_c1/2,0)))/INDEX(lk_legs,10))&lt;((((((2*IF(circ_int,0,eq_c2/2))+(PI()*(s_0+9*s_r+IF(circ_int,eq_c1/2,0))/2))+2*IF(circ_int,0,eq_c1/2))+(PI()*(s_0+9*s_r+IF(circ_int,eq_c1/2,0))/2))+2*IF(circ_int,0,eq_c2/2))+(PI()*(s_0+9*s_r+IF(circ_int,eq_c1/2,0))/2)),-IF(circ_int,0,eq_c1/2)+(s_0+9*s_r+IF(circ_int,eq_c1/2,0))*COS(PI()+(((46+0.5)*(4*IF(circ_int,0,eq_c1/2)+4*IF(circ_int,0,eq_c2/2)+2*PI()*(s_0+9*s_r+IF(circ_int,eq_c1/2,0)))/INDEX(lk_legs,10))-(((((2*IF(circ_int,0,eq_c2/2))+(PI()*(s_0+9*s_r+IF(circ_int,eq_c1/2,0))/2))+2*IF(circ_int,0,eq_c1/2))+(PI()*(s_0+9*s_r+IF(circ_int,eq_c1/2,0))/2))+2*IF(circ_int,0,eq_c2/2)))/(s_0+9*s_r+IF(circ_int,eq_c1/2,0))),IF(((46+0.5)*(4*IF(circ_int,0,eq_c1/2)+4*IF(circ_int,0,eq_c2/2)+2*PI()*(s_0+9*s_r+IF(circ_int,eq_c1/2,0)))/INDEX(lk_legs,10))&lt;(((((((2*IF(circ_int,0,eq_c2/2))+(PI()*(s_0+9*s_r+IF(circ_int,eq_c1/2,0))/2))+2*IF(circ_int,0,eq_c1/2))+(PI()*(s_0+9*s_r+IF(circ_int,eq_c1/2,0))/2))+2*IF(circ_int,0,eq_c2/2))+(PI()*(s_0+9*s_r+IF(circ_int,eq_c1/2,0))/2))+2*IF(circ_int,0,eq_c1/2)),-IF(circ_int,0,eq_c1/2)+(((46+0.5)*(4*IF(circ_int,0,eq_c1/2)+4*IF(circ_int,0,eq_c2/2)+2*PI()*(s_0+9*s_r+IF(circ_int,eq_c1/2,0)))/INDEX(lk_legs,10))-((((((2*IF(circ_int,0,eq_c2/2))+(PI()*(s_0+9*s_r+IF(circ_int,eq_c1/2,0))/2))+2*IF(circ_int,0,eq_c1/2))+(PI()*(s_0+9*s_r+IF(circ_int,eq_c1/2,0))/2))+2*IF(circ_int,0,eq_c2/2))+(PI()*(s_0+9*s_r+IF(circ_int,eq_c1/2,0))/2))),IF(circ_int,0,eq_c1/2)+(s_0+9*s_r+IF(circ_int,eq_c1/2,0))*COS(3*PI()/2+(((46+0.5)*(4*IF(circ_int,0,eq_c1/2)+4*IF(circ_int,0,eq_c2/2)+2*PI()*(s_0+9*s_r+IF(circ_int,eq_c1/2,0)))/INDEX(lk_legs,10))-(((((((2*IF(circ_int,0,eq_c2/2))+(PI()*(s_0+9*s_r+IF(circ_int,eq_c1/2,0))/2))+2*IF(circ_int,0,eq_c1/2))+(PI()*(s_0+9*s_r+IF(circ_int,eq_c1/2,0))/2))+2*IF(circ_int,0,eq_c2/2))+(PI()*(s_0+9*s_r+IF(circ_int,eq_c1/2,0))/2))+2*IF(circ_int,0,eq_c1/2)))/(s_0+9*s_r+IF(circ_int,eq_c1/2,0)))))))))),NA())</f>
        <v/>
      </c>
      <c r="DC49">
        <f>IF(AND(AND(links_on,10&lt;=n_per),INDEX(lk_kind,10)=1,46&lt;INDEX(lk_legs,10)),g_oy+IF(((46+0.5)*(4*IF(circ_int,0,eq_c1/2)+4*IF(circ_int,0,eq_c2/2)+2*PI()*(s_0+9*s_r+IF(circ_int,eq_c1/2,0)))/INDEX(lk_legs,10))&lt;(2*IF(circ_int,0,eq_c2/2)),-IF(circ_int,0,eq_c2/2)+((46+0.5)*(4*IF(circ_int,0,eq_c1/2)+4*IF(circ_int,0,eq_c2/2)+2*PI()*(s_0+9*s_r+IF(circ_int,eq_c1/2,0)))/INDEX(lk_legs,10)),IF(((46+0.5)*(4*IF(circ_int,0,eq_c1/2)+4*IF(circ_int,0,eq_c2/2)+2*PI()*(s_0+9*s_r+IF(circ_int,eq_c1/2,0)))/INDEX(lk_legs,10))&lt;((2*IF(circ_int,0,eq_c2/2))+(PI()*(s_0+9*s_r+IF(circ_int,eq_c1/2,0))/2)),IF(circ_int,0,eq_c2/2)+(s_0+9*s_r+IF(circ_int,eq_c1/2,0))*SIN((((46+0.5)*(4*IF(circ_int,0,eq_c1/2)+4*IF(circ_int,0,eq_c2/2)+2*PI()*(s_0+9*s_r+IF(circ_int,eq_c1/2,0)))/INDEX(lk_legs,10))-(2*IF(circ_int,0,eq_c2/2)))/(s_0+9*s_r+IF(circ_int,eq_c1/2,0))),IF(((46+0.5)*(4*IF(circ_int,0,eq_c1/2)+4*IF(circ_int,0,eq_c2/2)+2*PI()*(s_0+9*s_r+IF(circ_int,eq_c1/2,0)))/INDEX(lk_legs,10))&lt;(((2*IF(circ_int,0,eq_c2/2))+(PI()*(s_0+9*s_r+IF(circ_int,eq_c1/2,0))/2))+2*IF(circ_int,0,eq_c1/2)),IF(circ_int,0,eq_c2/2)+(s_0+9*s_r+IF(circ_int,eq_c1/2,0)),IF(((46+0.5)*(4*IF(circ_int,0,eq_c1/2)+4*IF(circ_int,0,eq_c2/2)+2*PI()*(s_0+9*s_r+IF(circ_int,eq_c1/2,0)))/INDEX(lk_legs,10))&lt;((((2*IF(circ_int,0,eq_c2/2))+(PI()*(s_0+9*s_r+IF(circ_int,eq_c1/2,0))/2))+2*IF(circ_int,0,eq_c1/2))+(PI()*(s_0+9*s_r+IF(circ_int,eq_c1/2,0))/2)),IF(circ_int,0,eq_c2/2)+(s_0+9*s_r+IF(circ_int,eq_c1/2,0))*SIN(PI()/2+(((46+0.5)*(4*IF(circ_int,0,eq_c1/2)+4*IF(circ_int,0,eq_c2/2)+2*PI()*(s_0+9*s_r+IF(circ_int,eq_c1/2,0)))/INDEX(lk_legs,10))-(((2*IF(circ_int,0,eq_c2/2))+(PI()*(s_0+9*s_r+IF(circ_int,eq_c1/2,0))/2))+2*IF(circ_int,0,eq_c1/2)))/(s_0+9*s_r+IF(circ_int,eq_c1/2,0))),IF(((46+0.5)*(4*IF(circ_int,0,eq_c1/2)+4*IF(circ_int,0,eq_c2/2)+2*PI()*(s_0+9*s_r+IF(circ_int,eq_c1/2,0)))/INDEX(lk_legs,10))&lt;(((((2*IF(circ_int,0,eq_c2/2))+(PI()*(s_0+9*s_r+IF(circ_int,eq_c1/2,0))/2))+2*IF(circ_int,0,eq_c1/2))+(PI()*(s_0+9*s_r+IF(circ_int,eq_c1/2,0))/2))+2*IF(circ_int,0,eq_c2/2)),IF(circ_int,0,eq_c2/2)-(((46+0.5)*(4*IF(circ_int,0,eq_c1/2)+4*IF(circ_int,0,eq_c2/2)+2*PI()*(s_0+9*s_r+IF(circ_int,eq_c1/2,0)))/INDEX(lk_legs,10))-((((2*IF(circ_int,0,eq_c2/2))+(PI()*(s_0+9*s_r+IF(circ_int,eq_c1/2,0))/2))+2*IF(circ_int,0,eq_c1/2))+(PI()*(s_0+9*s_r+IF(circ_int,eq_c1/2,0))/2))),IF(((46+0.5)*(4*IF(circ_int,0,eq_c1/2)+4*IF(circ_int,0,eq_c2/2)+2*PI()*(s_0+9*s_r+IF(circ_int,eq_c1/2,0)))/INDEX(lk_legs,10))&lt;((((((2*IF(circ_int,0,eq_c2/2))+(PI()*(s_0+9*s_r+IF(circ_int,eq_c1/2,0))/2))+2*IF(circ_int,0,eq_c1/2))+(PI()*(s_0+9*s_r+IF(circ_int,eq_c1/2,0))/2))+2*IF(circ_int,0,eq_c2/2))+(PI()*(s_0+9*s_r+IF(circ_int,eq_c1/2,0))/2)),-IF(circ_int,0,eq_c2/2)+(s_0+9*s_r+IF(circ_int,eq_c1/2,0))*SIN(PI()+(((46+0.5)*(4*IF(circ_int,0,eq_c1/2)+4*IF(circ_int,0,eq_c2/2)+2*PI()*(s_0+9*s_r+IF(circ_int,eq_c1/2,0)))/INDEX(lk_legs,10))-(((((2*IF(circ_int,0,eq_c2/2))+(PI()*(s_0+9*s_r+IF(circ_int,eq_c1/2,0))/2))+2*IF(circ_int,0,eq_c1/2))+(PI()*(s_0+9*s_r+IF(circ_int,eq_c1/2,0))/2))+2*IF(circ_int,0,eq_c2/2)))/(s_0+9*s_r+IF(circ_int,eq_c1/2,0))),IF(((46+0.5)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(46+0.5)*(4*IF(circ_int,0,eq_c1/2)+4*IF(circ_int,0,eq_c2/2)+2*PI()*(s_0+9*s_r+IF(circ_int,eq_c1/2,0)))/INDEX(lk_legs,10))-(((((((2*IF(circ_int,0,eq_c2/2))+(PI()*(s_0+9*s_r+IF(circ_int,eq_c1/2,0))/2))+2*IF(circ_int,0,eq_c1/2))+(PI()*(s_0+9*s_r+IF(circ_int,eq_c1/2,0))/2))+2*IF(circ_int,0,eq_c2/2))+(PI()*(s_0+9*s_r+IF(circ_int,eq_c1/2,0))/2))+2*IF(circ_int,0,eq_c1/2)))/(s_0+9*s_r+IF(circ_int,eq_c1/2,0)))))))))),NA())</f>
        <v/>
      </c>
      <c r="DE49">
        <f>IF(AND(links_on,11&lt;=n_per),IF(circ_int,(g_ox)+(c_1/2+(s_0+10*s_r))*0.748511,CHOOSE(INDEX(lk_kind,11),(g_ox+eq_c1/2)+((s_0+10*s_r))*0.793353,0,eq_a1+eq_c1+(s_0+10*s_r),eq_a1+eq_c1+(s_0+10*s_r))),NA())</f>
        <v/>
      </c>
      <c r="DF49">
        <f>IF(AND(links_on,11&lt;=n_per),IF(circ_int,(g_oy)+(c_1/2+(s_0+10*s_r))*-0.663123,CHOOSE(INDEX(lk_kind,11),(g_oy-eq_c2/2)+((s_0+10*s_r))*-0.608761,g_oy-eq_c2/2-(s_0+10*s_r),0,0)),NA())</f>
        <v/>
      </c>
      <c r="DH49">
        <f>IF(AND(AND(links_on,11&lt;=n_per),INDEX(lk_kind,11)=1,46&lt;INDEX(lk_legs,11)),g_ox+IF(((46+0.5)*(4*IF(circ_int,0,eq_c1/2)+4*IF(circ_int,0,eq_c2/2)+2*PI()*(s_0+10*s_r+IF(circ_int,eq_c1/2,0)))/INDEX(lk_legs,11))&lt;(2*IF(circ_int,0,eq_c2/2)),IF(circ_int,0,eq_c1/2)+(s_0+10*s_r+IF(circ_int,eq_c1/2,0)),IF(((46+0.5)*(4*IF(circ_int,0,eq_c1/2)+4*IF(circ_int,0,eq_c2/2)+2*PI()*(s_0+10*s_r+IF(circ_int,eq_c1/2,0)))/INDEX(lk_legs,11))&lt;((2*IF(circ_int,0,eq_c2/2))+(PI()*(s_0+10*s_r+IF(circ_int,eq_c1/2,0))/2)),IF(circ_int,0,eq_c1/2)+(s_0+10*s_r+IF(circ_int,eq_c1/2,0))*COS((((46+0.5)*(4*IF(circ_int,0,eq_c1/2)+4*IF(circ_int,0,eq_c2/2)+2*PI()*(s_0+10*s_r+IF(circ_int,eq_c1/2,0)))/INDEX(lk_legs,11))-(2*IF(circ_int,0,eq_c2/2)))/(s_0+10*s_r+IF(circ_int,eq_c1/2,0))),IF(((46+0.5)*(4*IF(circ_int,0,eq_c1/2)+4*IF(circ_int,0,eq_c2/2)+2*PI()*(s_0+10*s_r+IF(circ_int,eq_c1/2,0)))/INDEX(lk_legs,11))&lt;(((2*IF(circ_int,0,eq_c2/2))+(PI()*(s_0+10*s_r+IF(circ_int,eq_c1/2,0))/2))+2*IF(circ_int,0,eq_c1/2)),IF(circ_int,0,eq_c1/2)-(((46+0.5)*(4*IF(circ_int,0,eq_c1/2)+4*IF(circ_int,0,eq_c2/2)+2*PI()*(s_0+10*s_r+IF(circ_int,eq_c1/2,0)))/INDEX(lk_legs,11))-((2*IF(circ_int,0,eq_c2/2))+(PI()*(s_0+10*s_r+IF(circ_int,eq_c1/2,0))/2))),IF(((46+0.5)*(4*IF(circ_int,0,eq_c1/2)+4*IF(circ_int,0,eq_c2/2)+2*PI()*(s_0+10*s_r+IF(circ_int,eq_c1/2,0)))/INDEX(lk_legs,11))&lt;((((2*IF(circ_int,0,eq_c2/2))+(PI()*(s_0+10*s_r+IF(circ_int,eq_c1/2,0))/2))+2*IF(circ_int,0,eq_c1/2))+(PI()*(s_0+10*s_r+IF(circ_int,eq_c1/2,0))/2)),-IF(circ_int,0,eq_c1/2)+(s_0+10*s_r+IF(circ_int,eq_c1/2,0))*COS(PI()/2+(((46+0.5)*(4*IF(circ_int,0,eq_c1/2)+4*IF(circ_int,0,eq_c2/2)+2*PI()*(s_0+10*s_r+IF(circ_int,eq_c1/2,0)))/INDEX(lk_legs,11))-(((2*IF(circ_int,0,eq_c2/2))+(PI()*(s_0+10*s_r+IF(circ_int,eq_c1/2,0))/2))+2*IF(circ_int,0,eq_c1/2)))/(s_0+10*s_r+IF(circ_int,eq_c1/2,0))),IF(((46+0.5)*(4*IF(circ_int,0,eq_c1/2)+4*IF(circ_int,0,eq_c2/2)+2*PI()*(s_0+10*s_r+IF(circ_int,eq_c1/2,0)))/INDEX(lk_legs,11))&lt;(((((2*IF(circ_int,0,eq_c2/2))+(PI()*(s_0+10*s_r+IF(circ_int,eq_c1/2,0))/2))+2*IF(circ_int,0,eq_c1/2))+(PI()*(s_0+10*s_r+IF(circ_int,eq_c1/2,0))/2))+2*IF(circ_int,0,eq_c2/2)),-IF(circ_int,0,eq_c1/2)-(s_0+10*s_r+IF(circ_int,eq_c1/2,0)),IF(((46+0.5)*(4*IF(circ_int,0,eq_c1/2)+4*IF(circ_int,0,eq_c2/2)+2*PI()*(s_0+10*s_r+IF(circ_int,eq_c1/2,0)))/INDEX(lk_legs,11))&lt;((((((2*IF(circ_int,0,eq_c2/2))+(PI()*(s_0+10*s_r+IF(circ_int,eq_c1/2,0))/2))+2*IF(circ_int,0,eq_c1/2))+(PI()*(s_0+10*s_r+IF(circ_int,eq_c1/2,0))/2))+2*IF(circ_int,0,eq_c2/2))+(PI()*(s_0+10*s_r+IF(circ_int,eq_c1/2,0))/2)),-IF(circ_int,0,eq_c1/2)+(s_0+10*s_r+IF(circ_int,eq_c1/2,0))*COS(PI()+(((46+0.5)*(4*IF(circ_int,0,eq_c1/2)+4*IF(circ_int,0,eq_c2/2)+2*PI()*(s_0+10*s_r+IF(circ_int,eq_c1/2,0)))/INDEX(lk_legs,11))-(((((2*IF(circ_int,0,eq_c2/2))+(PI()*(s_0+10*s_r+IF(circ_int,eq_c1/2,0))/2))+2*IF(circ_int,0,eq_c1/2))+(PI()*(s_0+10*s_r+IF(circ_int,eq_c1/2,0))/2))+2*IF(circ_int,0,eq_c2/2)))/(s_0+10*s_r+IF(circ_int,eq_c1/2,0))),IF(((46+0.5)*(4*IF(circ_int,0,eq_c1/2)+4*IF(circ_int,0,eq_c2/2)+2*PI()*(s_0+10*s_r+IF(circ_int,eq_c1/2,0)))/INDEX(lk_legs,11))&lt;(((((((2*IF(circ_int,0,eq_c2/2))+(PI()*(s_0+10*s_r+IF(circ_int,eq_c1/2,0))/2))+2*IF(circ_int,0,eq_c1/2))+(PI()*(s_0+10*s_r+IF(circ_int,eq_c1/2,0))/2))+2*IF(circ_int,0,eq_c2/2))+(PI()*(s_0+10*s_r+IF(circ_int,eq_c1/2,0))/2))+2*IF(circ_int,0,eq_c1/2)),-IF(circ_int,0,eq_c1/2)+(((46+0.5)*(4*IF(circ_int,0,eq_c1/2)+4*IF(circ_int,0,eq_c2/2)+2*PI()*(s_0+10*s_r+IF(circ_int,eq_c1/2,0)))/INDEX(lk_legs,11))-((((((2*IF(circ_int,0,eq_c2/2))+(PI()*(s_0+10*s_r+IF(circ_int,eq_c1/2,0))/2))+2*IF(circ_int,0,eq_c1/2))+(PI()*(s_0+10*s_r+IF(circ_int,eq_c1/2,0))/2))+2*IF(circ_int,0,eq_c2/2))+(PI()*(s_0+10*s_r+IF(circ_int,eq_c1/2,0))/2))),IF(circ_int,0,eq_c1/2)+(s_0+10*s_r+IF(circ_int,eq_c1/2,0))*COS(3*PI()/2+(((46+0.5)*(4*IF(circ_int,0,eq_c1/2)+4*IF(circ_int,0,eq_c2/2)+2*PI()*(s_0+10*s_r+IF(circ_int,eq_c1/2,0)))/INDEX(lk_legs,11))-(((((((2*IF(circ_int,0,eq_c2/2))+(PI()*(s_0+10*s_r+IF(circ_int,eq_c1/2,0))/2))+2*IF(circ_int,0,eq_c1/2))+(PI()*(s_0+10*s_r+IF(circ_int,eq_c1/2,0))/2))+2*IF(circ_int,0,eq_c2/2))+(PI()*(s_0+10*s_r+IF(circ_int,eq_c1/2,0))/2))+2*IF(circ_int,0,eq_c1/2)))/(s_0+10*s_r+IF(circ_int,eq_c1/2,0)))))))))),NA())</f>
        <v/>
      </c>
      <c r="DI49">
        <f>IF(AND(AND(links_on,11&lt;=n_per),INDEX(lk_kind,11)=1,46&lt;INDEX(lk_legs,11)),g_oy+IF(((46+0.5)*(4*IF(circ_int,0,eq_c1/2)+4*IF(circ_int,0,eq_c2/2)+2*PI()*(s_0+10*s_r+IF(circ_int,eq_c1/2,0)))/INDEX(lk_legs,11))&lt;(2*IF(circ_int,0,eq_c2/2)),-IF(circ_int,0,eq_c2/2)+((46+0.5)*(4*IF(circ_int,0,eq_c1/2)+4*IF(circ_int,0,eq_c2/2)+2*PI()*(s_0+10*s_r+IF(circ_int,eq_c1/2,0)))/INDEX(lk_legs,11)),IF(((46+0.5)*(4*IF(circ_int,0,eq_c1/2)+4*IF(circ_int,0,eq_c2/2)+2*PI()*(s_0+10*s_r+IF(circ_int,eq_c1/2,0)))/INDEX(lk_legs,11))&lt;((2*IF(circ_int,0,eq_c2/2))+(PI()*(s_0+10*s_r+IF(circ_int,eq_c1/2,0))/2)),IF(circ_int,0,eq_c2/2)+(s_0+10*s_r+IF(circ_int,eq_c1/2,0))*SIN((((46+0.5)*(4*IF(circ_int,0,eq_c1/2)+4*IF(circ_int,0,eq_c2/2)+2*PI()*(s_0+10*s_r+IF(circ_int,eq_c1/2,0)))/INDEX(lk_legs,11))-(2*IF(circ_int,0,eq_c2/2)))/(s_0+10*s_r+IF(circ_int,eq_c1/2,0))),IF(((46+0.5)*(4*IF(circ_int,0,eq_c1/2)+4*IF(circ_int,0,eq_c2/2)+2*PI()*(s_0+10*s_r+IF(circ_int,eq_c1/2,0)))/INDEX(lk_legs,11))&lt;(((2*IF(circ_int,0,eq_c2/2))+(PI()*(s_0+10*s_r+IF(circ_int,eq_c1/2,0))/2))+2*IF(circ_int,0,eq_c1/2)),IF(circ_int,0,eq_c2/2)+(s_0+10*s_r+IF(circ_int,eq_c1/2,0)),IF(((46+0.5)*(4*IF(circ_int,0,eq_c1/2)+4*IF(circ_int,0,eq_c2/2)+2*PI()*(s_0+10*s_r+IF(circ_int,eq_c1/2,0)))/INDEX(lk_legs,11))&lt;((((2*IF(circ_int,0,eq_c2/2))+(PI()*(s_0+10*s_r+IF(circ_int,eq_c1/2,0))/2))+2*IF(circ_int,0,eq_c1/2))+(PI()*(s_0+10*s_r+IF(circ_int,eq_c1/2,0))/2)),IF(circ_int,0,eq_c2/2)+(s_0+10*s_r+IF(circ_int,eq_c1/2,0))*SIN(PI()/2+(((46+0.5)*(4*IF(circ_int,0,eq_c1/2)+4*IF(circ_int,0,eq_c2/2)+2*PI()*(s_0+10*s_r+IF(circ_int,eq_c1/2,0)))/INDEX(lk_legs,11))-(((2*IF(circ_int,0,eq_c2/2))+(PI()*(s_0+10*s_r+IF(circ_int,eq_c1/2,0))/2))+2*IF(circ_int,0,eq_c1/2)))/(s_0+10*s_r+IF(circ_int,eq_c1/2,0))),IF(((46+0.5)*(4*IF(circ_int,0,eq_c1/2)+4*IF(circ_int,0,eq_c2/2)+2*PI()*(s_0+10*s_r+IF(circ_int,eq_c1/2,0)))/INDEX(lk_legs,11))&lt;(((((2*IF(circ_int,0,eq_c2/2))+(PI()*(s_0+10*s_r+IF(circ_int,eq_c1/2,0))/2))+2*IF(circ_int,0,eq_c1/2))+(PI()*(s_0+10*s_r+IF(circ_int,eq_c1/2,0))/2))+2*IF(circ_int,0,eq_c2/2)),IF(circ_int,0,eq_c2/2)-(((46+0.5)*(4*IF(circ_int,0,eq_c1/2)+4*IF(circ_int,0,eq_c2/2)+2*PI()*(s_0+10*s_r+IF(circ_int,eq_c1/2,0)))/INDEX(lk_legs,11))-((((2*IF(circ_int,0,eq_c2/2))+(PI()*(s_0+10*s_r+IF(circ_int,eq_c1/2,0))/2))+2*IF(circ_int,0,eq_c1/2))+(PI()*(s_0+10*s_r+IF(circ_int,eq_c1/2,0))/2))),IF(((46+0.5)*(4*IF(circ_int,0,eq_c1/2)+4*IF(circ_int,0,eq_c2/2)+2*PI()*(s_0+10*s_r+IF(circ_int,eq_c1/2,0)))/INDEX(lk_legs,11))&lt;((((((2*IF(circ_int,0,eq_c2/2))+(PI()*(s_0+10*s_r+IF(circ_int,eq_c1/2,0))/2))+2*IF(circ_int,0,eq_c1/2))+(PI()*(s_0+10*s_r+IF(circ_int,eq_c1/2,0))/2))+2*IF(circ_int,0,eq_c2/2))+(PI()*(s_0+10*s_r+IF(circ_int,eq_c1/2,0))/2)),-IF(circ_int,0,eq_c2/2)+(s_0+10*s_r+IF(circ_int,eq_c1/2,0))*SIN(PI()+(((46+0.5)*(4*IF(circ_int,0,eq_c1/2)+4*IF(circ_int,0,eq_c2/2)+2*PI()*(s_0+10*s_r+IF(circ_int,eq_c1/2,0)))/INDEX(lk_legs,11))-(((((2*IF(circ_int,0,eq_c2/2))+(PI()*(s_0+10*s_r+IF(circ_int,eq_c1/2,0))/2))+2*IF(circ_int,0,eq_c1/2))+(PI()*(s_0+10*s_r+IF(circ_int,eq_c1/2,0))/2))+2*IF(circ_int,0,eq_c2/2)))/(s_0+10*s_r+IF(circ_int,eq_c1/2,0))),IF(((46+0.5)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(46+0.5)*(4*IF(circ_int,0,eq_c1/2)+4*IF(circ_int,0,eq_c2/2)+2*PI()*(s_0+10*s_r+IF(circ_int,eq_c1/2,0)))/INDEX(lk_legs,11))-(((((((2*IF(circ_int,0,eq_c2/2))+(PI()*(s_0+10*s_r+IF(circ_int,eq_c1/2,0))/2))+2*IF(circ_int,0,eq_c1/2))+(PI()*(s_0+10*s_r+IF(circ_int,eq_c1/2,0))/2))+2*IF(circ_int,0,eq_c2/2))+(PI()*(s_0+10*s_r+IF(circ_int,eq_c1/2,0))/2))+2*IF(circ_int,0,eq_c1/2)))/(s_0+10*s_r+IF(circ_int,eq_c1/2,0)))))))))),NA())</f>
        <v/>
      </c>
      <c r="DK49">
        <f>IF(AND(links_on,12&lt;=n_per),IF(circ_int,(g_ox)+(c_1/2+(s_0+11*s_r))*0.748511,CHOOSE(INDEX(lk_kind,12),(g_ox+eq_c1/2)+((s_0+11*s_r))*0.793353,0,eq_a1+eq_c1+(s_0+11*s_r),eq_a1+eq_c1+(s_0+11*s_r))),NA())</f>
        <v/>
      </c>
      <c r="DL49">
        <f>IF(AND(links_on,12&lt;=n_per),IF(circ_int,(g_oy)+(c_1/2+(s_0+11*s_r))*-0.663123,CHOOSE(INDEX(lk_kind,12),(g_oy-eq_c2/2)+((s_0+11*s_r))*-0.608761,g_oy-eq_c2/2-(s_0+11*s_r),0,0)),NA())</f>
        <v/>
      </c>
      <c r="DN49">
        <f>IF(AND(AND(links_on,12&lt;=n_per),INDEX(lk_kind,12)=1,46&lt;INDEX(lk_legs,12)),g_ox+IF(((46+0.5)*(4*IF(circ_int,0,eq_c1/2)+4*IF(circ_int,0,eq_c2/2)+2*PI()*(s_0+11*s_r+IF(circ_int,eq_c1/2,0)))/INDEX(lk_legs,12))&lt;(2*IF(circ_int,0,eq_c2/2)),IF(circ_int,0,eq_c1/2)+(s_0+11*s_r+IF(circ_int,eq_c1/2,0)),IF(((46+0.5)*(4*IF(circ_int,0,eq_c1/2)+4*IF(circ_int,0,eq_c2/2)+2*PI()*(s_0+11*s_r+IF(circ_int,eq_c1/2,0)))/INDEX(lk_legs,12))&lt;((2*IF(circ_int,0,eq_c2/2))+(PI()*(s_0+11*s_r+IF(circ_int,eq_c1/2,0))/2)),IF(circ_int,0,eq_c1/2)+(s_0+11*s_r+IF(circ_int,eq_c1/2,0))*COS((((46+0.5)*(4*IF(circ_int,0,eq_c1/2)+4*IF(circ_int,0,eq_c2/2)+2*PI()*(s_0+11*s_r+IF(circ_int,eq_c1/2,0)))/INDEX(lk_legs,12))-(2*IF(circ_int,0,eq_c2/2)))/(s_0+11*s_r+IF(circ_int,eq_c1/2,0))),IF(((46+0.5)*(4*IF(circ_int,0,eq_c1/2)+4*IF(circ_int,0,eq_c2/2)+2*PI()*(s_0+11*s_r+IF(circ_int,eq_c1/2,0)))/INDEX(lk_legs,12))&lt;(((2*IF(circ_int,0,eq_c2/2))+(PI()*(s_0+11*s_r+IF(circ_int,eq_c1/2,0))/2))+2*IF(circ_int,0,eq_c1/2)),IF(circ_int,0,eq_c1/2)-(((46+0.5)*(4*IF(circ_int,0,eq_c1/2)+4*IF(circ_int,0,eq_c2/2)+2*PI()*(s_0+11*s_r+IF(circ_int,eq_c1/2,0)))/INDEX(lk_legs,12))-((2*IF(circ_int,0,eq_c2/2))+(PI()*(s_0+11*s_r+IF(circ_int,eq_c1/2,0))/2))),IF(((46+0.5)*(4*IF(circ_int,0,eq_c1/2)+4*IF(circ_int,0,eq_c2/2)+2*PI()*(s_0+11*s_r+IF(circ_int,eq_c1/2,0)))/INDEX(lk_legs,12))&lt;((((2*IF(circ_int,0,eq_c2/2))+(PI()*(s_0+11*s_r+IF(circ_int,eq_c1/2,0))/2))+2*IF(circ_int,0,eq_c1/2))+(PI()*(s_0+11*s_r+IF(circ_int,eq_c1/2,0))/2)),-IF(circ_int,0,eq_c1/2)+(s_0+11*s_r+IF(circ_int,eq_c1/2,0))*COS(PI()/2+(((46+0.5)*(4*IF(circ_int,0,eq_c1/2)+4*IF(circ_int,0,eq_c2/2)+2*PI()*(s_0+11*s_r+IF(circ_int,eq_c1/2,0)))/INDEX(lk_legs,12))-(((2*IF(circ_int,0,eq_c2/2))+(PI()*(s_0+11*s_r+IF(circ_int,eq_c1/2,0))/2))+2*IF(circ_int,0,eq_c1/2)))/(s_0+11*s_r+IF(circ_int,eq_c1/2,0))),IF(((46+0.5)*(4*IF(circ_int,0,eq_c1/2)+4*IF(circ_int,0,eq_c2/2)+2*PI()*(s_0+11*s_r+IF(circ_int,eq_c1/2,0)))/INDEX(lk_legs,12))&lt;(((((2*IF(circ_int,0,eq_c2/2))+(PI()*(s_0+11*s_r+IF(circ_int,eq_c1/2,0))/2))+2*IF(circ_int,0,eq_c1/2))+(PI()*(s_0+11*s_r+IF(circ_int,eq_c1/2,0))/2))+2*IF(circ_int,0,eq_c2/2)),-IF(circ_int,0,eq_c1/2)-(s_0+11*s_r+IF(circ_int,eq_c1/2,0)),IF(((46+0.5)*(4*IF(circ_int,0,eq_c1/2)+4*IF(circ_int,0,eq_c2/2)+2*PI()*(s_0+11*s_r+IF(circ_int,eq_c1/2,0)))/INDEX(lk_legs,12))&lt;((((((2*IF(circ_int,0,eq_c2/2))+(PI()*(s_0+11*s_r+IF(circ_int,eq_c1/2,0))/2))+2*IF(circ_int,0,eq_c1/2))+(PI()*(s_0+11*s_r+IF(circ_int,eq_c1/2,0))/2))+2*IF(circ_int,0,eq_c2/2))+(PI()*(s_0+11*s_r+IF(circ_int,eq_c1/2,0))/2)),-IF(circ_int,0,eq_c1/2)+(s_0+11*s_r+IF(circ_int,eq_c1/2,0))*COS(PI()+(((46+0.5)*(4*IF(circ_int,0,eq_c1/2)+4*IF(circ_int,0,eq_c2/2)+2*PI()*(s_0+11*s_r+IF(circ_int,eq_c1/2,0)))/INDEX(lk_legs,12))-(((((2*IF(circ_int,0,eq_c2/2))+(PI()*(s_0+11*s_r+IF(circ_int,eq_c1/2,0))/2))+2*IF(circ_int,0,eq_c1/2))+(PI()*(s_0+11*s_r+IF(circ_int,eq_c1/2,0))/2))+2*IF(circ_int,0,eq_c2/2)))/(s_0+11*s_r+IF(circ_int,eq_c1/2,0))),IF(((46+0.5)*(4*IF(circ_int,0,eq_c1/2)+4*IF(circ_int,0,eq_c2/2)+2*PI()*(s_0+11*s_r+IF(circ_int,eq_c1/2,0)))/INDEX(lk_legs,12))&lt;(((((((2*IF(circ_int,0,eq_c2/2))+(PI()*(s_0+11*s_r+IF(circ_int,eq_c1/2,0))/2))+2*IF(circ_int,0,eq_c1/2))+(PI()*(s_0+11*s_r+IF(circ_int,eq_c1/2,0))/2))+2*IF(circ_int,0,eq_c2/2))+(PI()*(s_0+11*s_r+IF(circ_int,eq_c1/2,0))/2))+2*IF(circ_int,0,eq_c1/2)),-IF(circ_int,0,eq_c1/2)+(((46+0.5)*(4*IF(circ_int,0,eq_c1/2)+4*IF(circ_int,0,eq_c2/2)+2*PI()*(s_0+11*s_r+IF(circ_int,eq_c1/2,0)))/INDEX(lk_legs,12))-((((((2*IF(circ_int,0,eq_c2/2))+(PI()*(s_0+11*s_r+IF(circ_int,eq_c1/2,0))/2))+2*IF(circ_int,0,eq_c1/2))+(PI()*(s_0+11*s_r+IF(circ_int,eq_c1/2,0))/2))+2*IF(circ_int,0,eq_c2/2))+(PI()*(s_0+11*s_r+IF(circ_int,eq_c1/2,0))/2))),IF(circ_int,0,eq_c1/2)+(s_0+11*s_r+IF(circ_int,eq_c1/2,0))*COS(3*PI()/2+(((46+0.5)*(4*IF(circ_int,0,eq_c1/2)+4*IF(circ_int,0,eq_c2/2)+2*PI()*(s_0+11*s_r+IF(circ_int,eq_c1/2,0)))/INDEX(lk_legs,12))-(((((((2*IF(circ_int,0,eq_c2/2))+(PI()*(s_0+11*s_r+IF(circ_int,eq_c1/2,0))/2))+2*IF(circ_int,0,eq_c1/2))+(PI()*(s_0+11*s_r+IF(circ_int,eq_c1/2,0))/2))+2*IF(circ_int,0,eq_c2/2))+(PI()*(s_0+11*s_r+IF(circ_int,eq_c1/2,0))/2))+2*IF(circ_int,0,eq_c1/2)))/(s_0+11*s_r+IF(circ_int,eq_c1/2,0)))))))))),NA())</f>
        <v/>
      </c>
      <c r="DO49">
        <f>IF(AND(AND(links_on,12&lt;=n_per),INDEX(lk_kind,12)=1,46&lt;INDEX(lk_legs,12)),g_oy+IF(((46+0.5)*(4*IF(circ_int,0,eq_c1/2)+4*IF(circ_int,0,eq_c2/2)+2*PI()*(s_0+11*s_r+IF(circ_int,eq_c1/2,0)))/INDEX(lk_legs,12))&lt;(2*IF(circ_int,0,eq_c2/2)),-IF(circ_int,0,eq_c2/2)+((46+0.5)*(4*IF(circ_int,0,eq_c1/2)+4*IF(circ_int,0,eq_c2/2)+2*PI()*(s_0+11*s_r+IF(circ_int,eq_c1/2,0)))/INDEX(lk_legs,12)),IF(((46+0.5)*(4*IF(circ_int,0,eq_c1/2)+4*IF(circ_int,0,eq_c2/2)+2*PI()*(s_0+11*s_r+IF(circ_int,eq_c1/2,0)))/INDEX(lk_legs,12))&lt;((2*IF(circ_int,0,eq_c2/2))+(PI()*(s_0+11*s_r+IF(circ_int,eq_c1/2,0))/2)),IF(circ_int,0,eq_c2/2)+(s_0+11*s_r+IF(circ_int,eq_c1/2,0))*SIN((((46+0.5)*(4*IF(circ_int,0,eq_c1/2)+4*IF(circ_int,0,eq_c2/2)+2*PI()*(s_0+11*s_r+IF(circ_int,eq_c1/2,0)))/INDEX(lk_legs,12))-(2*IF(circ_int,0,eq_c2/2)))/(s_0+11*s_r+IF(circ_int,eq_c1/2,0))),IF(((46+0.5)*(4*IF(circ_int,0,eq_c1/2)+4*IF(circ_int,0,eq_c2/2)+2*PI()*(s_0+11*s_r+IF(circ_int,eq_c1/2,0)))/INDEX(lk_legs,12))&lt;(((2*IF(circ_int,0,eq_c2/2))+(PI()*(s_0+11*s_r+IF(circ_int,eq_c1/2,0))/2))+2*IF(circ_int,0,eq_c1/2)),IF(circ_int,0,eq_c2/2)+(s_0+11*s_r+IF(circ_int,eq_c1/2,0)),IF(((46+0.5)*(4*IF(circ_int,0,eq_c1/2)+4*IF(circ_int,0,eq_c2/2)+2*PI()*(s_0+11*s_r+IF(circ_int,eq_c1/2,0)))/INDEX(lk_legs,12))&lt;((((2*IF(circ_int,0,eq_c2/2))+(PI()*(s_0+11*s_r+IF(circ_int,eq_c1/2,0))/2))+2*IF(circ_int,0,eq_c1/2))+(PI()*(s_0+11*s_r+IF(circ_int,eq_c1/2,0))/2)),IF(circ_int,0,eq_c2/2)+(s_0+11*s_r+IF(circ_int,eq_c1/2,0))*SIN(PI()/2+(((46+0.5)*(4*IF(circ_int,0,eq_c1/2)+4*IF(circ_int,0,eq_c2/2)+2*PI()*(s_0+11*s_r+IF(circ_int,eq_c1/2,0)))/INDEX(lk_legs,12))-(((2*IF(circ_int,0,eq_c2/2))+(PI()*(s_0+11*s_r+IF(circ_int,eq_c1/2,0))/2))+2*IF(circ_int,0,eq_c1/2)))/(s_0+11*s_r+IF(circ_int,eq_c1/2,0))),IF(((46+0.5)*(4*IF(circ_int,0,eq_c1/2)+4*IF(circ_int,0,eq_c2/2)+2*PI()*(s_0+11*s_r+IF(circ_int,eq_c1/2,0)))/INDEX(lk_legs,12))&lt;(((((2*IF(circ_int,0,eq_c2/2))+(PI()*(s_0+11*s_r+IF(circ_int,eq_c1/2,0))/2))+2*IF(circ_int,0,eq_c1/2))+(PI()*(s_0+11*s_r+IF(circ_int,eq_c1/2,0))/2))+2*IF(circ_int,0,eq_c2/2)),IF(circ_int,0,eq_c2/2)-(((46+0.5)*(4*IF(circ_int,0,eq_c1/2)+4*IF(circ_int,0,eq_c2/2)+2*PI()*(s_0+11*s_r+IF(circ_int,eq_c1/2,0)))/INDEX(lk_legs,12))-((((2*IF(circ_int,0,eq_c2/2))+(PI()*(s_0+11*s_r+IF(circ_int,eq_c1/2,0))/2))+2*IF(circ_int,0,eq_c1/2))+(PI()*(s_0+11*s_r+IF(circ_int,eq_c1/2,0))/2))),IF(((46+0.5)*(4*IF(circ_int,0,eq_c1/2)+4*IF(circ_int,0,eq_c2/2)+2*PI()*(s_0+11*s_r+IF(circ_int,eq_c1/2,0)))/INDEX(lk_legs,12))&lt;((((((2*IF(circ_int,0,eq_c2/2))+(PI()*(s_0+11*s_r+IF(circ_int,eq_c1/2,0))/2))+2*IF(circ_int,0,eq_c1/2))+(PI()*(s_0+11*s_r+IF(circ_int,eq_c1/2,0))/2))+2*IF(circ_int,0,eq_c2/2))+(PI()*(s_0+11*s_r+IF(circ_int,eq_c1/2,0))/2)),-IF(circ_int,0,eq_c2/2)+(s_0+11*s_r+IF(circ_int,eq_c1/2,0))*SIN(PI()+(((46+0.5)*(4*IF(circ_int,0,eq_c1/2)+4*IF(circ_int,0,eq_c2/2)+2*PI()*(s_0+11*s_r+IF(circ_int,eq_c1/2,0)))/INDEX(lk_legs,12))-(((((2*IF(circ_int,0,eq_c2/2))+(PI()*(s_0+11*s_r+IF(circ_int,eq_c1/2,0))/2))+2*IF(circ_int,0,eq_c1/2))+(PI()*(s_0+11*s_r+IF(circ_int,eq_c1/2,0))/2))+2*IF(circ_int,0,eq_c2/2)))/(s_0+11*s_r+IF(circ_int,eq_c1/2,0))),IF(((46+0.5)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(46+0.5)*(4*IF(circ_int,0,eq_c1/2)+4*IF(circ_int,0,eq_c2/2)+2*PI()*(s_0+11*s_r+IF(circ_int,eq_c1/2,0)))/INDEX(lk_legs,12))-(((((((2*IF(circ_int,0,eq_c2/2))+(PI()*(s_0+11*s_r+IF(circ_int,eq_c1/2,0))/2))+2*IF(circ_int,0,eq_c1/2))+(PI()*(s_0+11*s_r+IF(circ_int,eq_c1/2,0))/2))+2*IF(circ_int,0,eq_c2/2))+(PI()*(s_0+11*s_r+IF(circ_int,eq_c1/2,0))/2))+2*IF(circ_int,0,eq_c1/2)))/(s_0+11*s_r+IF(circ_int,eq_c1/2,0)))))))))),NA())</f>
        <v/>
      </c>
    </row>
    <row r="50">
      <c r="A50">
        <f>IF(shape="Circular",(g_ox)+(c_1/2+0)*0.822984,CHOOSE(1,(g_ox+eq_c1/2)+(0)*0.866025,0,eq_a1+eq_c1+0,eq_a1+eq_c1+0))</f>
        <v/>
      </c>
      <c r="B50">
        <f>IF(shape="Circular",(g_oy)+(c_1/2+0)*-0.568065,CHOOSE(1,(g_oy-eq_c2/2)+(0)*-0.500000,g_oy-eq_c2/2-0,0,0))</f>
        <v/>
      </c>
      <c r="D50">
        <f>IF(circ_int,(g_ox)+(c_1/2+2*d_eff)*0.822984,CHOOSE(geo_idx,(g_ox+eq_c1/2)+(2*d_eff)*0.866025,0,eq_a1+eq_c1+2*d_eff,eq_a1+eq_c1+2*d_eff))</f>
        <v/>
      </c>
      <c r="E50">
        <f>IF(circ_int,(g_oy)+(c_1/2+2*d_eff)*-0.568065,CHOOSE(geo_idx,(g_oy-eq_c2/2)+(2*d_eff)*-0.500000,g_oy-eq_c2/2-2*d_eff,0,0))</f>
        <v/>
      </c>
      <c r="G50">
        <f>IF(AND(inputs_ok,punch_ok,A_sw&gt;0),IF(circ_int,(g_ox)+(c_1/2+r_out)*0.822984,CHOOSE(kind_out,(g_ox+eq_c1/2)+(r_out)*0.866025,0,eq_a1+eq_c1+r_out,eq_a1+eq_c1+r_out)),NA())</f>
        <v/>
      </c>
      <c r="H50">
        <f>IF(AND(inputs_ok,punch_ok,A_sw&gt;0),IF(circ_int,(g_oy)+(c_1/2+r_out)*-0.568065,CHOOSE(kind_out,(g_oy-eq_c2/2)+(r_out)*-0.500000,g_oy-eq_c2/2-r_out,0,0)),NA())</f>
        <v/>
      </c>
      <c r="AW50">
        <f>IF(AND(links_on,1&lt;=n_per),IF(circ_int,(g_ox)+(c_1/2+(s_0+0*s_r))*0.822984,CHOOSE(INDEX(lk_kind,1),(g_ox+eq_c1/2)+((s_0+0*s_r))*0.866025,0,eq_a1+eq_c1+(s_0+0*s_r),eq_a1+eq_c1+(s_0+0*s_r))),NA())</f>
        <v/>
      </c>
      <c r="AX50">
        <f>IF(AND(links_on,1&lt;=n_per),IF(circ_int,(g_oy)+(c_1/2+(s_0+0*s_r))*-0.568065,CHOOSE(INDEX(lk_kind,1),(g_oy-eq_c2/2)+((s_0+0*s_r))*-0.500000,g_oy-eq_c2/2-(s_0+0*s_r),0,0)),NA())</f>
        <v/>
      </c>
      <c r="AZ50">
        <f>IF(AND(AND(links_on,1&lt;=n_per),INDEX(lk_kind,1)=1,47&lt;INDEX(lk_legs,1)),g_ox+IF(((47+0.5)*(4*IF(circ_int,0,eq_c1/2)+4*IF(circ_int,0,eq_c2/2)+2*PI()*(s_0+0*s_r+IF(circ_int,eq_c1/2,0)))/INDEX(lk_legs,1))&lt;(2*IF(circ_int,0,eq_c2/2)),IF(circ_int,0,eq_c1/2)+(s_0+0*s_r+IF(circ_int,eq_c1/2,0)),IF(((47+0.5)*(4*IF(circ_int,0,eq_c1/2)+4*IF(circ_int,0,eq_c2/2)+2*PI()*(s_0+0*s_r+IF(circ_int,eq_c1/2,0)))/INDEX(lk_legs,1))&lt;((2*IF(circ_int,0,eq_c2/2))+(PI()*(s_0+0*s_r+IF(circ_int,eq_c1/2,0))/2)),IF(circ_int,0,eq_c1/2)+(s_0+0*s_r+IF(circ_int,eq_c1/2,0))*COS((((47+0.5)*(4*IF(circ_int,0,eq_c1/2)+4*IF(circ_int,0,eq_c2/2)+2*PI()*(s_0+0*s_r+IF(circ_int,eq_c1/2,0)))/INDEX(lk_legs,1))-(2*IF(circ_int,0,eq_c2/2)))/(s_0+0*s_r+IF(circ_int,eq_c1/2,0))),IF(((47+0.5)*(4*IF(circ_int,0,eq_c1/2)+4*IF(circ_int,0,eq_c2/2)+2*PI()*(s_0+0*s_r+IF(circ_int,eq_c1/2,0)))/INDEX(lk_legs,1))&lt;(((2*IF(circ_int,0,eq_c2/2))+(PI()*(s_0+0*s_r+IF(circ_int,eq_c1/2,0))/2))+2*IF(circ_int,0,eq_c1/2)),IF(circ_int,0,eq_c1/2)-(((47+0.5)*(4*IF(circ_int,0,eq_c1/2)+4*IF(circ_int,0,eq_c2/2)+2*PI()*(s_0+0*s_r+IF(circ_int,eq_c1/2,0)))/INDEX(lk_legs,1))-((2*IF(circ_int,0,eq_c2/2))+(PI()*(s_0+0*s_r+IF(circ_int,eq_c1/2,0))/2))),IF(((47+0.5)*(4*IF(circ_int,0,eq_c1/2)+4*IF(circ_int,0,eq_c2/2)+2*PI()*(s_0+0*s_r+IF(circ_int,eq_c1/2,0)))/INDEX(lk_legs,1))&lt;((((2*IF(circ_int,0,eq_c2/2))+(PI()*(s_0+0*s_r+IF(circ_int,eq_c1/2,0))/2))+2*IF(circ_int,0,eq_c1/2))+(PI()*(s_0+0*s_r+IF(circ_int,eq_c1/2,0))/2)),-IF(circ_int,0,eq_c1/2)+(s_0+0*s_r+IF(circ_int,eq_c1/2,0))*COS(PI()/2+(((47+0.5)*(4*IF(circ_int,0,eq_c1/2)+4*IF(circ_int,0,eq_c2/2)+2*PI()*(s_0+0*s_r+IF(circ_int,eq_c1/2,0)))/INDEX(lk_legs,1))-(((2*IF(circ_int,0,eq_c2/2))+(PI()*(s_0+0*s_r+IF(circ_int,eq_c1/2,0))/2))+2*IF(circ_int,0,eq_c1/2)))/(s_0+0*s_r+IF(circ_int,eq_c1/2,0))),IF(((47+0.5)*(4*IF(circ_int,0,eq_c1/2)+4*IF(circ_int,0,eq_c2/2)+2*PI()*(s_0+0*s_r+IF(circ_int,eq_c1/2,0)))/INDEX(lk_legs,1))&lt;(((((2*IF(circ_int,0,eq_c2/2))+(PI()*(s_0+0*s_r+IF(circ_int,eq_c1/2,0))/2))+2*IF(circ_int,0,eq_c1/2))+(PI()*(s_0+0*s_r+IF(circ_int,eq_c1/2,0))/2))+2*IF(circ_int,0,eq_c2/2)),-IF(circ_int,0,eq_c1/2)-(s_0+0*s_r+IF(circ_int,eq_c1/2,0)),IF(((47+0.5)*(4*IF(circ_int,0,eq_c1/2)+4*IF(circ_int,0,eq_c2/2)+2*PI()*(s_0+0*s_r+IF(circ_int,eq_c1/2,0)))/INDEX(lk_legs,1))&lt;((((((2*IF(circ_int,0,eq_c2/2))+(PI()*(s_0+0*s_r+IF(circ_int,eq_c1/2,0))/2))+2*IF(circ_int,0,eq_c1/2))+(PI()*(s_0+0*s_r+IF(circ_int,eq_c1/2,0))/2))+2*IF(circ_int,0,eq_c2/2))+(PI()*(s_0+0*s_r+IF(circ_int,eq_c1/2,0))/2)),-IF(circ_int,0,eq_c1/2)+(s_0+0*s_r+IF(circ_int,eq_c1/2,0))*COS(PI()+(((47+0.5)*(4*IF(circ_int,0,eq_c1/2)+4*IF(circ_int,0,eq_c2/2)+2*PI()*(s_0+0*s_r+IF(circ_int,eq_c1/2,0)))/INDEX(lk_legs,1))-(((((2*IF(circ_int,0,eq_c2/2))+(PI()*(s_0+0*s_r+IF(circ_int,eq_c1/2,0))/2))+2*IF(circ_int,0,eq_c1/2))+(PI()*(s_0+0*s_r+IF(circ_int,eq_c1/2,0))/2))+2*IF(circ_int,0,eq_c2/2)))/(s_0+0*s_r+IF(circ_int,eq_c1/2,0))),IF(((47+0.5)*(4*IF(circ_int,0,eq_c1/2)+4*IF(circ_int,0,eq_c2/2)+2*PI()*(s_0+0*s_r+IF(circ_int,eq_c1/2,0)))/INDEX(lk_legs,1))&lt;(((((((2*IF(circ_int,0,eq_c2/2))+(PI()*(s_0+0*s_r+IF(circ_int,eq_c1/2,0))/2))+2*IF(circ_int,0,eq_c1/2))+(PI()*(s_0+0*s_r+IF(circ_int,eq_c1/2,0))/2))+2*IF(circ_int,0,eq_c2/2))+(PI()*(s_0+0*s_r+IF(circ_int,eq_c1/2,0))/2))+2*IF(circ_int,0,eq_c1/2)),-IF(circ_int,0,eq_c1/2)+(((47+0.5)*(4*IF(circ_int,0,eq_c1/2)+4*IF(circ_int,0,eq_c2/2)+2*PI()*(s_0+0*s_r+IF(circ_int,eq_c1/2,0)))/INDEX(lk_legs,1))-((((((2*IF(circ_int,0,eq_c2/2))+(PI()*(s_0+0*s_r+IF(circ_int,eq_c1/2,0))/2))+2*IF(circ_int,0,eq_c1/2))+(PI()*(s_0+0*s_r+IF(circ_int,eq_c1/2,0))/2))+2*IF(circ_int,0,eq_c2/2))+(PI()*(s_0+0*s_r+IF(circ_int,eq_c1/2,0))/2))),IF(circ_int,0,eq_c1/2)+(s_0+0*s_r+IF(circ_int,eq_c1/2,0))*COS(3*PI()/2+(((47+0.5)*(4*IF(circ_int,0,eq_c1/2)+4*IF(circ_int,0,eq_c2/2)+2*PI()*(s_0+0*s_r+IF(circ_int,eq_c1/2,0)))/INDEX(lk_legs,1))-(((((((2*IF(circ_int,0,eq_c2/2))+(PI()*(s_0+0*s_r+IF(circ_int,eq_c1/2,0))/2))+2*IF(circ_int,0,eq_c1/2))+(PI()*(s_0+0*s_r+IF(circ_int,eq_c1/2,0))/2))+2*IF(circ_int,0,eq_c2/2))+(PI()*(s_0+0*s_r+IF(circ_int,eq_c1/2,0))/2))+2*IF(circ_int,0,eq_c1/2)))/(s_0+0*s_r+IF(circ_int,eq_c1/2,0)))))))))),NA())</f>
        <v/>
      </c>
      <c r="BA50">
        <f>IF(AND(AND(links_on,1&lt;=n_per),INDEX(lk_kind,1)=1,47&lt;INDEX(lk_legs,1)),g_oy+IF(((47+0.5)*(4*IF(circ_int,0,eq_c1/2)+4*IF(circ_int,0,eq_c2/2)+2*PI()*(s_0+0*s_r+IF(circ_int,eq_c1/2,0)))/INDEX(lk_legs,1))&lt;(2*IF(circ_int,0,eq_c2/2)),-IF(circ_int,0,eq_c2/2)+((47+0.5)*(4*IF(circ_int,0,eq_c1/2)+4*IF(circ_int,0,eq_c2/2)+2*PI()*(s_0+0*s_r+IF(circ_int,eq_c1/2,0)))/INDEX(lk_legs,1)),IF(((47+0.5)*(4*IF(circ_int,0,eq_c1/2)+4*IF(circ_int,0,eq_c2/2)+2*PI()*(s_0+0*s_r+IF(circ_int,eq_c1/2,0)))/INDEX(lk_legs,1))&lt;((2*IF(circ_int,0,eq_c2/2))+(PI()*(s_0+0*s_r+IF(circ_int,eq_c1/2,0))/2)),IF(circ_int,0,eq_c2/2)+(s_0+0*s_r+IF(circ_int,eq_c1/2,0))*SIN((((47+0.5)*(4*IF(circ_int,0,eq_c1/2)+4*IF(circ_int,0,eq_c2/2)+2*PI()*(s_0+0*s_r+IF(circ_int,eq_c1/2,0)))/INDEX(lk_legs,1))-(2*IF(circ_int,0,eq_c2/2)))/(s_0+0*s_r+IF(circ_int,eq_c1/2,0))),IF(((47+0.5)*(4*IF(circ_int,0,eq_c1/2)+4*IF(circ_int,0,eq_c2/2)+2*PI()*(s_0+0*s_r+IF(circ_int,eq_c1/2,0)))/INDEX(lk_legs,1))&lt;(((2*IF(circ_int,0,eq_c2/2))+(PI()*(s_0+0*s_r+IF(circ_int,eq_c1/2,0))/2))+2*IF(circ_int,0,eq_c1/2)),IF(circ_int,0,eq_c2/2)+(s_0+0*s_r+IF(circ_int,eq_c1/2,0)),IF(((47+0.5)*(4*IF(circ_int,0,eq_c1/2)+4*IF(circ_int,0,eq_c2/2)+2*PI()*(s_0+0*s_r+IF(circ_int,eq_c1/2,0)))/INDEX(lk_legs,1))&lt;((((2*IF(circ_int,0,eq_c2/2))+(PI()*(s_0+0*s_r+IF(circ_int,eq_c1/2,0))/2))+2*IF(circ_int,0,eq_c1/2))+(PI()*(s_0+0*s_r+IF(circ_int,eq_c1/2,0))/2)),IF(circ_int,0,eq_c2/2)+(s_0+0*s_r+IF(circ_int,eq_c1/2,0))*SIN(PI()/2+(((47+0.5)*(4*IF(circ_int,0,eq_c1/2)+4*IF(circ_int,0,eq_c2/2)+2*PI()*(s_0+0*s_r+IF(circ_int,eq_c1/2,0)))/INDEX(lk_legs,1))-(((2*IF(circ_int,0,eq_c2/2))+(PI()*(s_0+0*s_r+IF(circ_int,eq_c1/2,0))/2))+2*IF(circ_int,0,eq_c1/2)))/(s_0+0*s_r+IF(circ_int,eq_c1/2,0))),IF(((47+0.5)*(4*IF(circ_int,0,eq_c1/2)+4*IF(circ_int,0,eq_c2/2)+2*PI()*(s_0+0*s_r+IF(circ_int,eq_c1/2,0)))/INDEX(lk_legs,1))&lt;(((((2*IF(circ_int,0,eq_c2/2))+(PI()*(s_0+0*s_r+IF(circ_int,eq_c1/2,0))/2))+2*IF(circ_int,0,eq_c1/2))+(PI()*(s_0+0*s_r+IF(circ_int,eq_c1/2,0))/2))+2*IF(circ_int,0,eq_c2/2)),IF(circ_int,0,eq_c2/2)-(((47+0.5)*(4*IF(circ_int,0,eq_c1/2)+4*IF(circ_int,0,eq_c2/2)+2*PI()*(s_0+0*s_r+IF(circ_int,eq_c1/2,0)))/INDEX(lk_legs,1))-((((2*IF(circ_int,0,eq_c2/2))+(PI()*(s_0+0*s_r+IF(circ_int,eq_c1/2,0))/2))+2*IF(circ_int,0,eq_c1/2))+(PI()*(s_0+0*s_r+IF(circ_int,eq_c1/2,0))/2))),IF(((47+0.5)*(4*IF(circ_int,0,eq_c1/2)+4*IF(circ_int,0,eq_c2/2)+2*PI()*(s_0+0*s_r+IF(circ_int,eq_c1/2,0)))/INDEX(lk_legs,1))&lt;((((((2*IF(circ_int,0,eq_c2/2))+(PI()*(s_0+0*s_r+IF(circ_int,eq_c1/2,0))/2))+2*IF(circ_int,0,eq_c1/2))+(PI()*(s_0+0*s_r+IF(circ_int,eq_c1/2,0))/2))+2*IF(circ_int,0,eq_c2/2))+(PI()*(s_0+0*s_r+IF(circ_int,eq_c1/2,0))/2)),-IF(circ_int,0,eq_c2/2)+(s_0+0*s_r+IF(circ_int,eq_c1/2,0))*SIN(PI()+(((47+0.5)*(4*IF(circ_int,0,eq_c1/2)+4*IF(circ_int,0,eq_c2/2)+2*PI()*(s_0+0*s_r+IF(circ_int,eq_c1/2,0)))/INDEX(lk_legs,1))-(((((2*IF(circ_int,0,eq_c2/2))+(PI()*(s_0+0*s_r+IF(circ_int,eq_c1/2,0))/2))+2*IF(circ_int,0,eq_c1/2))+(PI()*(s_0+0*s_r+IF(circ_int,eq_c1/2,0))/2))+2*IF(circ_int,0,eq_c2/2)))/(s_0+0*s_r+IF(circ_int,eq_c1/2,0))),IF(((47+0.5)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(47+0.5)*(4*IF(circ_int,0,eq_c1/2)+4*IF(circ_int,0,eq_c2/2)+2*PI()*(s_0+0*s_r+IF(circ_int,eq_c1/2,0)))/INDEX(lk_legs,1))-(((((((2*IF(circ_int,0,eq_c2/2))+(PI()*(s_0+0*s_r+IF(circ_int,eq_c1/2,0))/2))+2*IF(circ_int,0,eq_c1/2))+(PI()*(s_0+0*s_r+IF(circ_int,eq_c1/2,0))/2))+2*IF(circ_int,0,eq_c2/2))+(PI()*(s_0+0*s_r+IF(circ_int,eq_c1/2,0))/2))+2*IF(circ_int,0,eq_c1/2)))/(s_0+0*s_r+IF(circ_int,eq_c1/2,0)))))))))),NA())</f>
        <v/>
      </c>
      <c r="BC50">
        <f>IF(AND(links_on,2&lt;=n_per),IF(circ_int,(g_ox)+(c_1/2+(s_0+1*s_r))*0.822984,CHOOSE(INDEX(lk_kind,2),(g_ox+eq_c1/2)+((s_0+1*s_r))*0.866025,0,eq_a1+eq_c1+(s_0+1*s_r),eq_a1+eq_c1+(s_0+1*s_r))),NA())</f>
        <v/>
      </c>
      <c r="BD50">
        <f>IF(AND(links_on,2&lt;=n_per),IF(circ_int,(g_oy)+(c_1/2+(s_0+1*s_r))*-0.568065,CHOOSE(INDEX(lk_kind,2),(g_oy-eq_c2/2)+((s_0+1*s_r))*-0.500000,g_oy-eq_c2/2-(s_0+1*s_r),0,0)),NA())</f>
        <v/>
      </c>
      <c r="BF50">
        <f>IF(AND(AND(links_on,2&lt;=n_per),INDEX(lk_kind,2)=1,47&lt;INDEX(lk_legs,2)),g_ox+IF(((47+0.5)*(4*IF(circ_int,0,eq_c1/2)+4*IF(circ_int,0,eq_c2/2)+2*PI()*(s_0+1*s_r+IF(circ_int,eq_c1/2,0)))/INDEX(lk_legs,2))&lt;(2*IF(circ_int,0,eq_c2/2)),IF(circ_int,0,eq_c1/2)+(s_0+1*s_r+IF(circ_int,eq_c1/2,0)),IF(((47+0.5)*(4*IF(circ_int,0,eq_c1/2)+4*IF(circ_int,0,eq_c2/2)+2*PI()*(s_0+1*s_r+IF(circ_int,eq_c1/2,0)))/INDEX(lk_legs,2))&lt;((2*IF(circ_int,0,eq_c2/2))+(PI()*(s_0+1*s_r+IF(circ_int,eq_c1/2,0))/2)),IF(circ_int,0,eq_c1/2)+(s_0+1*s_r+IF(circ_int,eq_c1/2,0))*COS((((47+0.5)*(4*IF(circ_int,0,eq_c1/2)+4*IF(circ_int,0,eq_c2/2)+2*PI()*(s_0+1*s_r+IF(circ_int,eq_c1/2,0)))/INDEX(lk_legs,2))-(2*IF(circ_int,0,eq_c2/2)))/(s_0+1*s_r+IF(circ_int,eq_c1/2,0))),IF(((47+0.5)*(4*IF(circ_int,0,eq_c1/2)+4*IF(circ_int,0,eq_c2/2)+2*PI()*(s_0+1*s_r+IF(circ_int,eq_c1/2,0)))/INDEX(lk_legs,2))&lt;(((2*IF(circ_int,0,eq_c2/2))+(PI()*(s_0+1*s_r+IF(circ_int,eq_c1/2,0))/2))+2*IF(circ_int,0,eq_c1/2)),IF(circ_int,0,eq_c1/2)-(((47+0.5)*(4*IF(circ_int,0,eq_c1/2)+4*IF(circ_int,0,eq_c2/2)+2*PI()*(s_0+1*s_r+IF(circ_int,eq_c1/2,0)))/INDEX(lk_legs,2))-((2*IF(circ_int,0,eq_c2/2))+(PI()*(s_0+1*s_r+IF(circ_int,eq_c1/2,0))/2))),IF(((47+0.5)*(4*IF(circ_int,0,eq_c1/2)+4*IF(circ_int,0,eq_c2/2)+2*PI()*(s_0+1*s_r+IF(circ_int,eq_c1/2,0)))/INDEX(lk_legs,2))&lt;((((2*IF(circ_int,0,eq_c2/2))+(PI()*(s_0+1*s_r+IF(circ_int,eq_c1/2,0))/2))+2*IF(circ_int,0,eq_c1/2))+(PI()*(s_0+1*s_r+IF(circ_int,eq_c1/2,0))/2)),-IF(circ_int,0,eq_c1/2)+(s_0+1*s_r+IF(circ_int,eq_c1/2,0))*COS(PI()/2+(((47+0.5)*(4*IF(circ_int,0,eq_c1/2)+4*IF(circ_int,0,eq_c2/2)+2*PI()*(s_0+1*s_r+IF(circ_int,eq_c1/2,0)))/INDEX(lk_legs,2))-(((2*IF(circ_int,0,eq_c2/2))+(PI()*(s_0+1*s_r+IF(circ_int,eq_c1/2,0))/2))+2*IF(circ_int,0,eq_c1/2)))/(s_0+1*s_r+IF(circ_int,eq_c1/2,0))),IF(((47+0.5)*(4*IF(circ_int,0,eq_c1/2)+4*IF(circ_int,0,eq_c2/2)+2*PI()*(s_0+1*s_r+IF(circ_int,eq_c1/2,0)))/INDEX(lk_legs,2))&lt;(((((2*IF(circ_int,0,eq_c2/2))+(PI()*(s_0+1*s_r+IF(circ_int,eq_c1/2,0))/2))+2*IF(circ_int,0,eq_c1/2))+(PI()*(s_0+1*s_r+IF(circ_int,eq_c1/2,0))/2))+2*IF(circ_int,0,eq_c2/2)),-IF(circ_int,0,eq_c1/2)-(s_0+1*s_r+IF(circ_int,eq_c1/2,0)),IF(((47+0.5)*(4*IF(circ_int,0,eq_c1/2)+4*IF(circ_int,0,eq_c2/2)+2*PI()*(s_0+1*s_r+IF(circ_int,eq_c1/2,0)))/INDEX(lk_legs,2))&lt;((((((2*IF(circ_int,0,eq_c2/2))+(PI()*(s_0+1*s_r+IF(circ_int,eq_c1/2,0))/2))+2*IF(circ_int,0,eq_c1/2))+(PI()*(s_0+1*s_r+IF(circ_int,eq_c1/2,0))/2))+2*IF(circ_int,0,eq_c2/2))+(PI()*(s_0+1*s_r+IF(circ_int,eq_c1/2,0))/2)),-IF(circ_int,0,eq_c1/2)+(s_0+1*s_r+IF(circ_int,eq_c1/2,0))*COS(PI()+(((47+0.5)*(4*IF(circ_int,0,eq_c1/2)+4*IF(circ_int,0,eq_c2/2)+2*PI()*(s_0+1*s_r+IF(circ_int,eq_c1/2,0)))/INDEX(lk_legs,2))-(((((2*IF(circ_int,0,eq_c2/2))+(PI()*(s_0+1*s_r+IF(circ_int,eq_c1/2,0))/2))+2*IF(circ_int,0,eq_c1/2))+(PI()*(s_0+1*s_r+IF(circ_int,eq_c1/2,0))/2))+2*IF(circ_int,0,eq_c2/2)))/(s_0+1*s_r+IF(circ_int,eq_c1/2,0))),IF(((47+0.5)*(4*IF(circ_int,0,eq_c1/2)+4*IF(circ_int,0,eq_c2/2)+2*PI()*(s_0+1*s_r+IF(circ_int,eq_c1/2,0)))/INDEX(lk_legs,2))&lt;(((((((2*IF(circ_int,0,eq_c2/2))+(PI()*(s_0+1*s_r+IF(circ_int,eq_c1/2,0))/2))+2*IF(circ_int,0,eq_c1/2))+(PI()*(s_0+1*s_r+IF(circ_int,eq_c1/2,0))/2))+2*IF(circ_int,0,eq_c2/2))+(PI()*(s_0+1*s_r+IF(circ_int,eq_c1/2,0))/2))+2*IF(circ_int,0,eq_c1/2)),-IF(circ_int,0,eq_c1/2)+(((47+0.5)*(4*IF(circ_int,0,eq_c1/2)+4*IF(circ_int,0,eq_c2/2)+2*PI()*(s_0+1*s_r+IF(circ_int,eq_c1/2,0)))/INDEX(lk_legs,2))-((((((2*IF(circ_int,0,eq_c2/2))+(PI()*(s_0+1*s_r+IF(circ_int,eq_c1/2,0))/2))+2*IF(circ_int,0,eq_c1/2))+(PI()*(s_0+1*s_r+IF(circ_int,eq_c1/2,0))/2))+2*IF(circ_int,0,eq_c2/2))+(PI()*(s_0+1*s_r+IF(circ_int,eq_c1/2,0))/2))),IF(circ_int,0,eq_c1/2)+(s_0+1*s_r+IF(circ_int,eq_c1/2,0))*COS(3*PI()/2+(((47+0.5)*(4*IF(circ_int,0,eq_c1/2)+4*IF(circ_int,0,eq_c2/2)+2*PI()*(s_0+1*s_r+IF(circ_int,eq_c1/2,0)))/INDEX(lk_legs,2))-(((((((2*IF(circ_int,0,eq_c2/2))+(PI()*(s_0+1*s_r+IF(circ_int,eq_c1/2,0))/2))+2*IF(circ_int,0,eq_c1/2))+(PI()*(s_0+1*s_r+IF(circ_int,eq_c1/2,0))/2))+2*IF(circ_int,0,eq_c2/2))+(PI()*(s_0+1*s_r+IF(circ_int,eq_c1/2,0))/2))+2*IF(circ_int,0,eq_c1/2)))/(s_0+1*s_r+IF(circ_int,eq_c1/2,0)))))))))),NA())</f>
        <v/>
      </c>
      <c r="BG50">
        <f>IF(AND(AND(links_on,2&lt;=n_per),INDEX(lk_kind,2)=1,47&lt;INDEX(lk_legs,2)),g_oy+IF(((47+0.5)*(4*IF(circ_int,0,eq_c1/2)+4*IF(circ_int,0,eq_c2/2)+2*PI()*(s_0+1*s_r+IF(circ_int,eq_c1/2,0)))/INDEX(lk_legs,2))&lt;(2*IF(circ_int,0,eq_c2/2)),-IF(circ_int,0,eq_c2/2)+((47+0.5)*(4*IF(circ_int,0,eq_c1/2)+4*IF(circ_int,0,eq_c2/2)+2*PI()*(s_0+1*s_r+IF(circ_int,eq_c1/2,0)))/INDEX(lk_legs,2)),IF(((47+0.5)*(4*IF(circ_int,0,eq_c1/2)+4*IF(circ_int,0,eq_c2/2)+2*PI()*(s_0+1*s_r+IF(circ_int,eq_c1/2,0)))/INDEX(lk_legs,2))&lt;((2*IF(circ_int,0,eq_c2/2))+(PI()*(s_0+1*s_r+IF(circ_int,eq_c1/2,0))/2)),IF(circ_int,0,eq_c2/2)+(s_0+1*s_r+IF(circ_int,eq_c1/2,0))*SIN((((47+0.5)*(4*IF(circ_int,0,eq_c1/2)+4*IF(circ_int,0,eq_c2/2)+2*PI()*(s_0+1*s_r+IF(circ_int,eq_c1/2,0)))/INDEX(lk_legs,2))-(2*IF(circ_int,0,eq_c2/2)))/(s_0+1*s_r+IF(circ_int,eq_c1/2,0))),IF(((47+0.5)*(4*IF(circ_int,0,eq_c1/2)+4*IF(circ_int,0,eq_c2/2)+2*PI()*(s_0+1*s_r+IF(circ_int,eq_c1/2,0)))/INDEX(lk_legs,2))&lt;(((2*IF(circ_int,0,eq_c2/2))+(PI()*(s_0+1*s_r+IF(circ_int,eq_c1/2,0))/2))+2*IF(circ_int,0,eq_c1/2)),IF(circ_int,0,eq_c2/2)+(s_0+1*s_r+IF(circ_int,eq_c1/2,0)),IF(((47+0.5)*(4*IF(circ_int,0,eq_c1/2)+4*IF(circ_int,0,eq_c2/2)+2*PI()*(s_0+1*s_r+IF(circ_int,eq_c1/2,0)))/INDEX(lk_legs,2))&lt;((((2*IF(circ_int,0,eq_c2/2))+(PI()*(s_0+1*s_r+IF(circ_int,eq_c1/2,0))/2))+2*IF(circ_int,0,eq_c1/2))+(PI()*(s_0+1*s_r+IF(circ_int,eq_c1/2,0))/2)),IF(circ_int,0,eq_c2/2)+(s_0+1*s_r+IF(circ_int,eq_c1/2,0))*SIN(PI()/2+(((47+0.5)*(4*IF(circ_int,0,eq_c1/2)+4*IF(circ_int,0,eq_c2/2)+2*PI()*(s_0+1*s_r+IF(circ_int,eq_c1/2,0)))/INDEX(lk_legs,2))-(((2*IF(circ_int,0,eq_c2/2))+(PI()*(s_0+1*s_r+IF(circ_int,eq_c1/2,0))/2))+2*IF(circ_int,0,eq_c1/2)))/(s_0+1*s_r+IF(circ_int,eq_c1/2,0))),IF(((47+0.5)*(4*IF(circ_int,0,eq_c1/2)+4*IF(circ_int,0,eq_c2/2)+2*PI()*(s_0+1*s_r+IF(circ_int,eq_c1/2,0)))/INDEX(lk_legs,2))&lt;(((((2*IF(circ_int,0,eq_c2/2))+(PI()*(s_0+1*s_r+IF(circ_int,eq_c1/2,0))/2))+2*IF(circ_int,0,eq_c1/2))+(PI()*(s_0+1*s_r+IF(circ_int,eq_c1/2,0))/2))+2*IF(circ_int,0,eq_c2/2)),IF(circ_int,0,eq_c2/2)-(((47+0.5)*(4*IF(circ_int,0,eq_c1/2)+4*IF(circ_int,0,eq_c2/2)+2*PI()*(s_0+1*s_r+IF(circ_int,eq_c1/2,0)))/INDEX(lk_legs,2))-((((2*IF(circ_int,0,eq_c2/2))+(PI()*(s_0+1*s_r+IF(circ_int,eq_c1/2,0))/2))+2*IF(circ_int,0,eq_c1/2))+(PI()*(s_0+1*s_r+IF(circ_int,eq_c1/2,0))/2))),IF(((47+0.5)*(4*IF(circ_int,0,eq_c1/2)+4*IF(circ_int,0,eq_c2/2)+2*PI()*(s_0+1*s_r+IF(circ_int,eq_c1/2,0)))/INDEX(lk_legs,2))&lt;((((((2*IF(circ_int,0,eq_c2/2))+(PI()*(s_0+1*s_r+IF(circ_int,eq_c1/2,0))/2))+2*IF(circ_int,0,eq_c1/2))+(PI()*(s_0+1*s_r+IF(circ_int,eq_c1/2,0))/2))+2*IF(circ_int,0,eq_c2/2))+(PI()*(s_0+1*s_r+IF(circ_int,eq_c1/2,0))/2)),-IF(circ_int,0,eq_c2/2)+(s_0+1*s_r+IF(circ_int,eq_c1/2,0))*SIN(PI()+(((47+0.5)*(4*IF(circ_int,0,eq_c1/2)+4*IF(circ_int,0,eq_c2/2)+2*PI()*(s_0+1*s_r+IF(circ_int,eq_c1/2,0)))/INDEX(lk_legs,2))-(((((2*IF(circ_int,0,eq_c2/2))+(PI()*(s_0+1*s_r+IF(circ_int,eq_c1/2,0))/2))+2*IF(circ_int,0,eq_c1/2))+(PI()*(s_0+1*s_r+IF(circ_int,eq_c1/2,0))/2))+2*IF(circ_int,0,eq_c2/2)))/(s_0+1*s_r+IF(circ_int,eq_c1/2,0))),IF(((47+0.5)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(47+0.5)*(4*IF(circ_int,0,eq_c1/2)+4*IF(circ_int,0,eq_c2/2)+2*PI()*(s_0+1*s_r+IF(circ_int,eq_c1/2,0)))/INDEX(lk_legs,2))-(((((((2*IF(circ_int,0,eq_c2/2))+(PI()*(s_0+1*s_r+IF(circ_int,eq_c1/2,0))/2))+2*IF(circ_int,0,eq_c1/2))+(PI()*(s_0+1*s_r+IF(circ_int,eq_c1/2,0))/2))+2*IF(circ_int,0,eq_c2/2))+(PI()*(s_0+1*s_r+IF(circ_int,eq_c1/2,0))/2))+2*IF(circ_int,0,eq_c1/2)))/(s_0+1*s_r+IF(circ_int,eq_c1/2,0)))))))))),NA())</f>
        <v/>
      </c>
      <c r="BI50">
        <f>IF(AND(links_on,3&lt;=n_per),IF(circ_int,(g_ox)+(c_1/2+(s_0+2*s_r))*0.822984,CHOOSE(INDEX(lk_kind,3),(g_ox+eq_c1/2)+((s_0+2*s_r))*0.866025,0,eq_a1+eq_c1+(s_0+2*s_r),eq_a1+eq_c1+(s_0+2*s_r))),NA())</f>
        <v/>
      </c>
      <c r="BJ50">
        <f>IF(AND(links_on,3&lt;=n_per),IF(circ_int,(g_oy)+(c_1/2+(s_0+2*s_r))*-0.568065,CHOOSE(INDEX(lk_kind,3),(g_oy-eq_c2/2)+((s_0+2*s_r))*-0.500000,g_oy-eq_c2/2-(s_0+2*s_r),0,0)),NA())</f>
        <v/>
      </c>
      <c r="BL50">
        <f>IF(AND(AND(links_on,3&lt;=n_per),INDEX(lk_kind,3)=1,47&lt;INDEX(lk_legs,3)),g_ox+IF(((47+0.5)*(4*IF(circ_int,0,eq_c1/2)+4*IF(circ_int,0,eq_c2/2)+2*PI()*(s_0+2*s_r+IF(circ_int,eq_c1/2,0)))/INDEX(lk_legs,3))&lt;(2*IF(circ_int,0,eq_c2/2)),IF(circ_int,0,eq_c1/2)+(s_0+2*s_r+IF(circ_int,eq_c1/2,0)),IF(((47+0.5)*(4*IF(circ_int,0,eq_c1/2)+4*IF(circ_int,0,eq_c2/2)+2*PI()*(s_0+2*s_r+IF(circ_int,eq_c1/2,0)))/INDEX(lk_legs,3))&lt;((2*IF(circ_int,0,eq_c2/2))+(PI()*(s_0+2*s_r+IF(circ_int,eq_c1/2,0))/2)),IF(circ_int,0,eq_c1/2)+(s_0+2*s_r+IF(circ_int,eq_c1/2,0))*COS((((47+0.5)*(4*IF(circ_int,0,eq_c1/2)+4*IF(circ_int,0,eq_c2/2)+2*PI()*(s_0+2*s_r+IF(circ_int,eq_c1/2,0)))/INDEX(lk_legs,3))-(2*IF(circ_int,0,eq_c2/2)))/(s_0+2*s_r+IF(circ_int,eq_c1/2,0))),IF(((47+0.5)*(4*IF(circ_int,0,eq_c1/2)+4*IF(circ_int,0,eq_c2/2)+2*PI()*(s_0+2*s_r+IF(circ_int,eq_c1/2,0)))/INDEX(lk_legs,3))&lt;(((2*IF(circ_int,0,eq_c2/2))+(PI()*(s_0+2*s_r+IF(circ_int,eq_c1/2,0))/2))+2*IF(circ_int,0,eq_c1/2)),IF(circ_int,0,eq_c1/2)-(((47+0.5)*(4*IF(circ_int,0,eq_c1/2)+4*IF(circ_int,0,eq_c2/2)+2*PI()*(s_0+2*s_r+IF(circ_int,eq_c1/2,0)))/INDEX(lk_legs,3))-((2*IF(circ_int,0,eq_c2/2))+(PI()*(s_0+2*s_r+IF(circ_int,eq_c1/2,0))/2))),IF(((47+0.5)*(4*IF(circ_int,0,eq_c1/2)+4*IF(circ_int,0,eq_c2/2)+2*PI()*(s_0+2*s_r+IF(circ_int,eq_c1/2,0)))/INDEX(lk_legs,3))&lt;((((2*IF(circ_int,0,eq_c2/2))+(PI()*(s_0+2*s_r+IF(circ_int,eq_c1/2,0))/2))+2*IF(circ_int,0,eq_c1/2))+(PI()*(s_0+2*s_r+IF(circ_int,eq_c1/2,0))/2)),-IF(circ_int,0,eq_c1/2)+(s_0+2*s_r+IF(circ_int,eq_c1/2,0))*COS(PI()/2+(((47+0.5)*(4*IF(circ_int,0,eq_c1/2)+4*IF(circ_int,0,eq_c2/2)+2*PI()*(s_0+2*s_r+IF(circ_int,eq_c1/2,0)))/INDEX(lk_legs,3))-(((2*IF(circ_int,0,eq_c2/2))+(PI()*(s_0+2*s_r+IF(circ_int,eq_c1/2,0))/2))+2*IF(circ_int,0,eq_c1/2)))/(s_0+2*s_r+IF(circ_int,eq_c1/2,0))),IF(((47+0.5)*(4*IF(circ_int,0,eq_c1/2)+4*IF(circ_int,0,eq_c2/2)+2*PI()*(s_0+2*s_r+IF(circ_int,eq_c1/2,0)))/INDEX(lk_legs,3))&lt;(((((2*IF(circ_int,0,eq_c2/2))+(PI()*(s_0+2*s_r+IF(circ_int,eq_c1/2,0))/2))+2*IF(circ_int,0,eq_c1/2))+(PI()*(s_0+2*s_r+IF(circ_int,eq_c1/2,0))/2))+2*IF(circ_int,0,eq_c2/2)),-IF(circ_int,0,eq_c1/2)-(s_0+2*s_r+IF(circ_int,eq_c1/2,0)),IF(((47+0.5)*(4*IF(circ_int,0,eq_c1/2)+4*IF(circ_int,0,eq_c2/2)+2*PI()*(s_0+2*s_r+IF(circ_int,eq_c1/2,0)))/INDEX(lk_legs,3))&lt;((((((2*IF(circ_int,0,eq_c2/2))+(PI()*(s_0+2*s_r+IF(circ_int,eq_c1/2,0))/2))+2*IF(circ_int,0,eq_c1/2))+(PI()*(s_0+2*s_r+IF(circ_int,eq_c1/2,0))/2))+2*IF(circ_int,0,eq_c2/2))+(PI()*(s_0+2*s_r+IF(circ_int,eq_c1/2,0))/2)),-IF(circ_int,0,eq_c1/2)+(s_0+2*s_r+IF(circ_int,eq_c1/2,0))*COS(PI()+(((47+0.5)*(4*IF(circ_int,0,eq_c1/2)+4*IF(circ_int,0,eq_c2/2)+2*PI()*(s_0+2*s_r+IF(circ_int,eq_c1/2,0)))/INDEX(lk_legs,3))-(((((2*IF(circ_int,0,eq_c2/2))+(PI()*(s_0+2*s_r+IF(circ_int,eq_c1/2,0))/2))+2*IF(circ_int,0,eq_c1/2))+(PI()*(s_0+2*s_r+IF(circ_int,eq_c1/2,0))/2))+2*IF(circ_int,0,eq_c2/2)))/(s_0+2*s_r+IF(circ_int,eq_c1/2,0))),IF(((47+0.5)*(4*IF(circ_int,0,eq_c1/2)+4*IF(circ_int,0,eq_c2/2)+2*PI()*(s_0+2*s_r+IF(circ_int,eq_c1/2,0)))/INDEX(lk_legs,3))&lt;(((((((2*IF(circ_int,0,eq_c2/2))+(PI()*(s_0+2*s_r+IF(circ_int,eq_c1/2,0))/2))+2*IF(circ_int,0,eq_c1/2))+(PI()*(s_0+2*s_r+IF(circ_int,eq_c1/2,0))/2))+2*IF(circ_int,0,eq_c2/2))+(PI()*(s_0+2*s_r+IF(circ_int,eq_c1/2,0))/2))+2*IF(circ_int,0,eq_c1/2)),-IF(circ_int,0,eq_c1/2)+(((47+0.5)*(4*IF(circ_int,0,eq_c1/2)+4*IF(circ_int,0,eq_c2/2)+2*PI()*(s_0+2*s_r+IF(circ_int,eq_c1/2,0)))/INDEX(lk_legs,3))-((((((2*IF(circ_int,0,eq_c2/2))+(PI()*(s_0+2*s_r+IF(circ_int,eq_c1/2,0))/2))+2*IF(circ_int,0,eq_c1/2))+(PI()*(s_0+2*s_r+IF(circ_int,eq_c1/2,0))/2))+2*IF(circ_int,0,eq_c2/2))+(PI()*(s_0+2*s_r+IF(circ_int,eq_c1/2,0))/2))),IF(circ_int,0,eq_c1/2)+(s_0+2*s_r+IF(circ_int,eq_c1/2,0))*COS(3*PI()/2+(((47+0.5)*(4*IF(circ_int,0,eq_c1/2)+4*IF(circ_int,0,eq_c2/2)+2*PI()*(s_0+2*s_r+IF(circ_int,eq_c1/2,0)))/INDEX(lk_legs,3))-(((((((2*IF(circ_int,0,eq_c2/2))+(PI()*(s_0+2*s_r+IF(circ_int,eq_c1/2,0))/2))+2*IF(circ_int,0,eq_c1/2))+(PI()*(s_0+2*s_r+IF(circ_int,eq_c1/2,0))/2))+2*IF(circ_int,0,eq_c2/2))+(PI()*(s_0+2*s_r+IF(circ_int,eq_c1/2,0))/2))+2*IF(circ_int,0,eq_c1/2)))/(s_0+2*s_r+IF(circ_int,eq_c1/2,0)))))))))),NA())</f>
        <v/>
      </c>
      <c r="BM50">
        <f>IF(AND(AND(links_on,3&lt;=n_per),INDEX(lk_kind,3)=1,47&lt;INDEX(lk_legs,3)),g_oy+IF(((47+0.5)*(4*IF(circ_int,0,eq_c1/2)+4*IF(circ_int,0,eq_c2/2)+2*PI()*(s_0+2*s_r+IF(circ_int,eq_c1/2,0)))/INDEX(lk_legs,3))&lt;(2*IF(circ_int,0,eq_c2/2)),-IF(circ_int,0,eq_c2/2)+((47+0.5)*(4*IF(circ_int,0,eq_c1/2)+4*IF(circ_int,0,eq_c2/2)+2*PI()*(s_0+2*s_r+IF(circ_int,eq_c1/2,0)))/INDEX(lk_legs,3)),IF(((47+0.5)*(4*IF(circ_int,0,eq_c1/2)+4*IF(circ_int,0,eq_c2/2)+2*PI()*(s_0+2*s_r+IF(circ_int,eq_c1/2,0)))/INDEX(lk_legs,3))&lt;((2*IF(circ_int,0,eq_c2/2))+(PI()*(s_0+2*s_r+IF(circ_int,eq_c1/2,0))/2)),IF(circ_int,0,eq_c2/2)+(s_0+2*s_r+IF(circ_int,eq_c1/2,0))*SIN((((47+0.5)*(4*IF(circ_int,0,eq_c1/2)+4*IF(circ_int,0,eq_c2/2)+2*PI()*(s_0+2*s_r+IF(circ_int,eq_c1/2,0)))/INDEX(lk_legs,3))-(2*IF(circ_int,0,eq_c2/2)))/(s_0+2*s_r+IF(circ_int,eq_c1/2,0))),IF(((47+0.5)*(4*IF(circ_int,0,eq_c1/2)+4*IF(circ_int,0,eq_c2/2)+2*PI()*(s_0+2*s_r+IF(circ_int,eq_c1/2,0)))/INDEX(lk_legs,3))&lt;(((2*IF(circ_int,0,eq_c2/2))+(PI()*(s_0+2*s_r+IF(circ_int,eq_c1/2,0))/2))+2*IF(circ_int,0,eq_c1/2)),IF(circ_int,0,eq_c2/2)+(s_0+2*s_r+IF(circ_int,eq_c1/2,0)),IF(((47+0.5)*(4*IF(circ_int,0,eq_c1/2)+4*IF(circ_int,0,eq_c2/2)+2*PI()*(s_0+2*s_r+IF(circ_int,eq_c1/2,0)))/INDEX(lk_legs,3))&lt;((((2*IF(circ_int,0,eq_c2/2))+(PI()*(s_0+2*s_r+IF(circ_int,eq_c1/2,0))/2))+2*IF(circ_int,0,eq_c1/2))+(PI()*(s_0+2*s_r+IF(circ_int,eq_c1/2,0))/2)),IF(circ_int,0,eq_c2/2)+(s_0+2*s_r+IF(circ_int,eq_c1/2,0))*SIN(PI()/2+(((47+0.5)*(4*IF(circ_int,0,eq_c1/2)+4*IF(circ_int,0,eq_c2/2)+2*PI()*(s_0+2*s_r+IF(circ_int,eq_c1/2,0)))/INDEX(lk_legs,3))-(((2*IF(circ_int,0,eq_c2/2))+(PI()*(s_0+2*s_r+IF(circ_int,eq_c1/2,0))/2))+2*IF(circ_int,0,eq_c1/2)))/(s_0+2*s_r+IF(circ_int,eq_c1/2,0))),IF(((47+0.5)*(4*IF(circ_int,0,eq_c1/2)+4*IF(circ_int,0,eq_c2/2)+2*PI()*(s_0+2*s_r+IF(circ_int,eq_c1/2,0)))/INDEX(lk_legs,3))&lt;(((((2*IF(circ_int,0,eq_c2/2))+(PI()*(s_0+2*s_r+IF(circ_int,eq_c1/2,0))/2))+2*IF(circ_int,0,eq_c1/2))+(PI()*(s_0+2*s_r+IF(circ_int,eq_c1/2,0))/2))+2*IF(circ_int,0,eq_c2/2)),IF(circ_int,0,eq_c2/2)-(((47+0.5)*(4*IF(circ_int,0,eq_c1/2)+4*IF(circ_int,0,eq_c2/2)+2*PI()*(s_0+2*s_r+IF(circ_int,eq_c1/2,0)))/INDEX(lk_legs,3))-((((2*IF(circ_int,0,eq_c2/2))+(PI()*(s_0+2*s_r+IF(circ_int,eq_c1/2,0))/2))+2*IF(circ_int,0,eq_c1/2))+(PI()*(s_0+2*s_r+IF(circ_int,eq_c1/2,0))/2))),IF(((47+0.5)*(4*IF(circ_int,0,eq_c1/2)+4*IF(circ_int,0,eq_c2/2)+2*PI()*(s_0+2*s_r+IF(circ_int,eq_c1/2,0)))/INDEX(lk_legs,3))&lt;((((((2*IF(circ_int,0,eq_c2/2))+(PI()*(s_0+2*s_r+IF(circ_int,eq_c1/2,0))/2))+2*IF(circ_int,0,eq_c1/2))+(PI()*(s_0+2*s_r+IF(circ_int,eq_c1/2,0))/2))+2*IF(circ_int,0,eq_c2/2))+(PI()*(s_0+2*s_r+IF(circ_int,eq_c1/2,0))/2)),-IF(circ_int,0,eq_c2/2)+(s_0+2*s_r+IF(circ_int,eq_c1/2,0))*SIN(PI()+(((47+0.5)*(4*IF(circ_int,0,eq_c1/2)+4*IF(circ_int,0,eq_c2/2)+2*PI()*(s_0+2*s_r+IF(circ_int,eq_c1/2,0)))/INDEX(lk_legs,3))-(((((2*IF(circ_int,0,eq_c2/2))+(PI()*(s_0+2*s_r+IF(circ_int,eq_c1/2,0))/2))+2*IF(circ_int,0,eq_c1/2))+(PI()*(s_0+2*s_r+IF(circ_int,eq_c1/2,0))/2))+2*IF(circ_int,0,eq_c2/2)))/(s_0+2*s_r+IF(circ_int,eq_c1/2,0))),IF(((47+0.5)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(47+0.5)*(4*IF(circ_int,0,eq_c1/2)+4*IF(circ_int,0,eq_c2/2)+2*PI()*(s_0+2*s_r+IF(circ_int,eq_c1/2,0)))/INDEX(lk_legs,3))-(((((((2*IF(circ_int,0,eq_c2/2))+(PI()*(s_0+2*s_r+IF(circ_int,eq_c1/2,0))/2))+2*IF(circ_int,0,eq_c1/2))+(PI()*(s_0+2*s_r+IF(circ_int,eq_c1/2,0))/2))+2*IF(circ_int,0,eq_c2/2))+(PI()*(s_0+2*s_r+IF(circ_int,eq_c1/2,0))/2))+2*IF(circ_int,0,eq_c1/2)))/(s_0+2*s_r+IF(circ_int,eq_c1/2,0)))))))))),NA())</f>
        <v/>
      </c>
      <c r="BO50">
        <f>IF(AND(links_on,4&lt;=n_per),IF(circ_int,(g_ox)+(c_1/2+(s_0+3*s_r))*0.822984,CHOOSE(INDEX(lk_kind,4),(g_ox+eq_c1/2)+((s_0+3*s_r))*0.866025,0,eq_a1+eq_c1+(s_0+3*s_r),eq_a1+eq_c1+(s_0+3*s_r))),NA())</f>
        <v/>
      </c>
      <c r="BP50">
        <f>IF(AND(links_on,4&lt;=n_per),IF(circ_int,(g_oy)+(c_1/2+(s_0+3*s_r))*-0.568065,CHOOSE(INDEX(lk_kind,4),(g_oy-eq_c2/2)+((s_0+3*s_r))*-0.500000,g_oy-eq_c2/2-(s_0+3*s_r),0,0)),NA())</f>
        <v/>
      </c>
      <c r="BR50">
        <f>IF(AND(AND(links_on,4&lt;=n_per),INDEX(lk_kind,4)=1,47&lt;INDEX(lk_legs,4)),g_ox+IF(((47+0.5)*(4*IF(circ_int,0,eq_c1/2)+4*IF(circ_int,0,eq_c2/2)+2*PI()*(s_0+3*s_r+IF(circ_int,eq_c1/2,0)))/INDEX(lk_legs,4))&lt;(2*IF(circ_int,0,eq_c2/2)),IF(circ_int,0,eq_c1/2)+(s_0+3*s_r+IF(circ_int,eq_c1/2,0)),IF(((47+0.5)*(4*IF(circ_int,0,eq_c1/2)+4*IF(circ_int,0,eq_c2/2)+2*PI()*(s_0+3*s_r+IF(circ_int,eq_c1/2,0)))/INDEX(lk_legs,4))&lt;((2*IF(circ_int,0,eq_c2/2))+(PI()*(s_0+3*s_r+IF(circ_int,eq_c1/2,0))/2)),IF(circ_int,0,eq_c1/2)+(s_0+3*s_r+IF(circ_int,eq_c1/2,0))*COS((((47+0.5)*(4*IF(circ_int,0,eq_c1/2)+4*IF(circ_int,0,eq_c2/2)+2*PI()*(s_0+3*s_r+IF(circ_int,eq_c1/2,0)))/INDEX(lk_legs,4))-(2*IF(circ_int,0,eq_c2/2)))/(s_0+3*s_r+IF(circ_int,eq_c1/2,0))),IF(((47+0.5)*(4*IF(circ_int,0,eq_c1/2)+4*IF(circ_int,0,eq_c2/2)+2*PI()*(s_0+3*s_r+IF(circ_int,eq_c1/2,0)))/INDEX(lk_legs,4))&lt;(((2*IF(circ_int,0,eq_c2/2))+(PI()*(s_0+3*s_r+IF(circ_int,eq_c1/2,0))/2))+2*IF(circ_int,0,eq_c1/2)),IF(circ_int,0,eq_c1/2)-(((47+0.5)*(4*IF(circ_int,0,eq_c1/2)+4*IF(circ_int,0,eq_c2/2)+2*PI()*(s_0+3*s_r+IF(circ_int,eq_c1/2,0)))/INDEX(lk_legs,4))-((2*IF(circ_int,0,eq_c2/2))+(PI()*(s_0+3*s_r+IF(circ_int,eq_c1/2,0))/2))),IF(((47+0.5)*(4*IF(circ_int,0,eq_c1/2)+4*IF(circ_int,0,eq_c2/2)+2*PI()*(s_0+3*s_r+IF(circ_int,eq_c1/2,0)))/INDEX(lk_legs,4))&lt;((((2*IF(circ_int,0,eq_c2/2))+(PI()*(s_0+3*s_r+IF(circ_int,eq_c1/2,0))/2))+2*IF(circ_int,0,eq_c1/2))+(PI()*(s_0+3*s_r+IF(circ_int,eq_c1/2,0))/2)),-IF(circ_int,0,eq_c1/2)+(s_0+3*s_r+IF(circ_int,eq_c1/2,0))*COS(PI()/2+(((47+0.5)*(4*IF(circ_int,0,eq_c1/2)+4*IF(circ_int,0,eq_c2/2)+2*PI()*(s_0+3*s_r+IF(circ_int,eq_c1/2,0)))/INDEX(lk_legs,4))-(((2*IF(circ_int,0,eq_c2/2))+(PI()*(s_0+3*s_r+IF(circ_int,eq_c1/2,0))/2))+2*IF(circ_int,0,eq_c1/2)))/(s_0+3*s_r+IF(circ_int,eq_c1/2,0))),IF(((47+0.5)*(4*IF(circ_int,0,eq_c1/2)+4*IF(circ_int,0,eq_c2/2)+2*PI()*(s_0+3*s_r+IF(circ_int,eq_c1/2,0)))/INDEX(lk_legs,4))&lt;(((((2*IF(circ_int,0,eq_c2/2))+(PI()*(s_0+3*s_r+IF(circ_int,eq_c1/2,0))/2))+2*IF(circ_int,0,eq_c1/2))+(PI()*(s_0+3*s_r+IF(circ_int,eq_c1/2,0))/2))+2*IF(circ_int,0,eq_c2/2)),-IF(circ_int,0,eq_c1/2)-(s_0+3*s_r+IF(circ_int,eq_c1/2,0)),IF(((47+0.5)*(4*IF(circ_int,0,eq_c1/2)+4*IF(circ_int,0,eq_c2/2)+2*PI()*(s_0+3*s_r+IF(circ_int,eq_c1/2,0)))/INDEX(lk_legs,4))&lt;((((((2*IF(circ_int,0,eq_c2/2))+(PI()*(s_0+3*s_r+IF(circ_int,eq_c1/2,0))/2))+2*IF(circ_int,0,eq_c1/2))+(PI()*(s_0+3*s_r+IF(circ_int,eq_c1/2,0))/2))+2*IF(circ_int,0,eq_c2/2))+(PI()*(s_0+3*s_r+IF(circ_int,eq_c1/2,0))/2)),-IF(circ_int,0,eq_c1/2)+(s_0+3*s_r+IF(circ_int,eq_c1/2,0))*COS(PI()+(((47+0.5)*(4*IF(circ_int,0,eq_c1/2)+4*IF(circ_int,0,eq_c2/2)+2*PI()*(s_0+3*s_r+IF(circ_int,eq_c1/2,0)))/INDEX(lk_legs,4))-(((((2*IF(circ_int,0,eq_c2/2))+(PI()*(s_0+3*s_r+IF(circ_int,eq_c1/2,0))/2))+2*IF(circ_int,0,eq_c1/2))+(PI()*(s_0+3*s_r+IF(circ_int,eq_c1/2,0))/2))+2*IF(circ_int,0,eq_c2/2)))/(s_0+3*s_r+IF(circ_int,eq_c1/2,0))),IF(((47+0.5)*(4*IF(circ_int,0,eq_c1/2)+4*IF(circ_int,0,eq_c2/2)+2*PI()*(s_0+3*s_r+IF(circ_int,eq_c1/2,0)))/INDEX(lk_legs,4))&lt;(((((((2*IF(circ_int,0,eq_c2/2))+(PI()*(s_0+3*s_r+IF(circ_int,eq_c1/2,0))/2))+2*IF(circ_int,0,eq_c1/2))+(PI()*(s_0+3*s_r+IF(circ_int,eq_c1/2,0))/2))+2*IF(circ_int,0,eq_c2/2))+(PI()*(s_0+3*s_r+IF(circ_int,eq_c1/2,0))/2))+2*IF(circ_int,0,eq_c1/2)),-IF(circ_int,0,eq_c1/2)+(((47+0.5)*(4*IF(circ_int,0,eq_c1/2)+4*IF(circ_int,0,eq_c2/2)+2*PI()*(s_0+3*s_r+IF(circ_int,eq_c1/2,0)))/INDEX(lk_legs,4))-((((((2*IF(circ_int,0,eq_c2/2))+(PI()*(s_0+3*s_r+IF(circ_int,eq_c1/2,0))/2))+2*IF(circ_int,0,eq_c1/2))+(PI()*(s_0+3*s_r+IF(circ_int,eq_c1/2,0))/2))+2*IF(circ_int,0,eq_c2/2))+(PI()*(s_0+3*s_r+IF(circ_int,eq_c1/2,0))/2))),IF(circ_int,0,eq_c1/2)+(s_0+3*s_r+IF(circ_int,eq_c1/2,0))*COS(3*PI()/2+(((47+0.5)*(4*IF(circ_int,0,eq_c1/2)+4*IF(circ_int,0,eq_c2/2)+2*PI()*(s_0+3*s_r+IF(circ_int,eq_c1/2,0)))/INDEX(lk_legs,4))-(((((((2*IF(circ_int,0,eq_c2/2))+(PI()*(s_0+3*s_r+IF(circ_int,eq_c1/2,0))/2))+2*IF(circ_int,0,eq_c1/2))+(PI()*(s_0+3*s_r+IF(circ_int,eq_c1/2,0))/2))+2*IF(circ_int,0,eq_c2/2))+(PI()*(s_0+3*s_r+IF(circ_int,eq_c1/2,0))/2))+2*IF(circ_int,0,eq_c1/2)))/(s_0+3*s_r+IF(circ_int,eq_c1/2,0)))))))))),NA())</f>
        <v/>
      </c>
      <c r="BS50">
        <f>IF(AND(AND(links_on,4&lt;=n_per),INDEX(lk_kind,4)=1,47&lt;INDEX(lk_legs,4)),g_oy+IF(((47+0.5)*(4*IF(circ_int,0,eq_c1/2)+4*IF(circ_int,0,eq_c2/2)+2*PI()*(s_0+3*s_r+IF(circ_int,eq_c1/2,0)))/INDEX(lk_legs,4))&lt;(2*IF(circ_int,0,eq_c2/2)),-IF(circ_int,0,eq_c2/2)+((47+0.5)*(4*IF(circ_int,0,eq_c1/2)+4*IF(circ_int,0,eq_c2/2)+2*PI()*(s_0+3*s_r+IF(circ_int,eq_c1/2,0)))/INDEX(lk_legs,4)),IF(((47+0.5)*(4*IF(circ_int,0,eq_c1/2)+4*IF(circ_int,0,eq_c2/2)+2*PI()*(s_0+3*s_r+IF(circ_int,eq_c1/2,0)))/INDEX(lk_legs,4))&lt;((2*IF(circ_int,0,eq_c2/2))+(PI()*(s_0+3*s_r+IF(circ_int,eq_c1/2,0))/2)),IF(circ_int,0,eq_c2/2)+(s_0+3*s_r+IF(circ_int,eq_c1/2,0))*SIN((((47+0.5)*(4*IF(circ_int,0,eq_c1/2)+4*IF(circ_int,0,eq_c2/2)+2*PI()*(s_0+3*s_r+IF(circ_int,eq_c1/2,0)))/INDEX(lk_legs,4))-(2*IF(circ_int,0,eq_c2/2)))/(s_0+3*s_r+IF(circ_int,eq_c1/2,0))),IF(((47+0.5)*(4*IF(circ_int,0,eq_c1/2)+4*IF(circ_int,0,eq_c2/2)+2*PI()*(s_0+3*s_r+IF(circ_int,eq_c1/2,0)))/INDEX(lk_legs,4))&lt;(((2*IF(circ_int,0,eq_c2/2))+(PI()*(s_0+3*s_r+IF(circ_int,eq_c1/2,0))/2))+2*IF(circ_int,0,eq_c1/2)),IF(circ_int,0,eq_c2/2)+(s_0+3*s_r+IF(circ_int,eq_c1/2,0)),IF(((47+0.5)*(4*IF(circ_int,0,eq_c1/2)+4*IF(circ_int,0,eq_c2/2)+2*PI()*(s_0+3*s_r+IF(circ_int,eq_c1/2,0)))/INDEX(lk_legs,4))&lt;((((2*IF(circ_int,0,eq_c2/2))+(PI()*(s_0+3*s_r+IF(circ_int,eq_c1/2,0))/2))+2*IF(circ_int,0,eq_c1/2))+(PI()*(s_0+3*s_r+IF(circ_int,eq_c1/2,0))/2)),IF(circ_int,0,eq_c2/2)+(s_0+3*s_r+IF(circ_int,eq_c1/2,0))*SIN(PI()/2+(((47+0.5)*(4*IF(circ_int,0,eq_c1/2)+4*IF(circ_int,0,eq_c2/2)+2*PI()*(s_0+3*s_r+IF(circ_int,eq_c1/2,0)))/INDEX(lk_legs,4))-(((2*IF(circ_int,0,eq_c2/2))+(PI()*(s_0+3*s_r+IF(circ_int,eq_c1/2,0))/2))+2*IF(circ_int,0,eq_c1/2)))/(s_0+3*s_r+IF(circ_int,eq_c1/2,0))),IF(((47+0.5)*(4*IF(circ_int,0,eq_c1/2)+4*IF(circ_int,0,eq_c2/2)+2*PI()*(s_0+3*s_r+IF(circ_int,eq_c1/2,0)))/INDEX(lk_legs,4))&lt;(((((2*IF(circ_int,0,eq_c2/2))+(PI()*(s_0+3*s_r+IF(circ_int,eq_c1/2,0))/2))+2*IF(circ_int,0,eq_c1/2))+(PI()*(s_0+3*s_r+IF(circ_int,eq_c1/2,0))/2))+2*IF(circ_int,0,eq_c2/2)),IF(circ_int,0,eq_c2/2)-(((47+0.5)*(4*IF(circ_int,0,eq_c1/2)+4*IF(circ_int,0,eq_c2/2)+2*PI()*(s_0+3*s_r+IF(circ_int,eq_c1/2,0)))/INDEX(lk_legs,4))-((((2*IF(circ_int,0,eq_c2/2))+(PI()*(s_0+3*s_r+IF(circ_int,eq_c1/2,0))/2))+2*IF(circ_int,0,eq_c1/2))+(PI()*(s_0+3*s_r+IF(circ_int,eq_c1/2,0))/2))),IF(((47+0.5)*(4*IF(circ_int,0,eq_c1/2)+4*IF(circ_int,0,eq_c2/2)+2*PI()*(s_0+3*s_r+IF(circ_int,eq_c1/2,0)))/INDEX(lk_legs,4))&lt;((((((2*IF(circ_int,0,eq_c2/2))+(PI()*(s_0+3*s_r+IF(circ_int,eq_c1/2,0))/2))+2*IF(circ_int,0,eq_c1/2))+(PI()*(s_0+3*s_r+IF(circ_int,eq_c1/2,0))/2))+2*IF(circ_int,0,eq_c2/2))+(PI()*(s_0+3*s_r+IF(circ_int,eq_c1/2,0))/2)),-IF(circ_int,0,eq_c2/2)+(s_0+3*s_r+IF(circ_int,eq_c1/2,0))*SIN(PI()+(((47+0.5)*(4*IF(circ_int,0,eq_c1/2)+4*IF(circ_int,0,eq_c2/2)+2*PI()*(s_0+3*s_r+IF(circ_int,eq_c1/2,0)))/INDEX(lk_legs,4))-(((((2*IF(circ_int,0,eq_c2/2))+(PI()*(s_0+3*s_r+IF(circ_int,eq_c1/2,0))/2))+2*IF(circ_int,0,eq_c1/2))+(PI()*(s_0+3*s_r+IF(circ_int,eq_c1/2,0))/2))+2*IF(circ_int,0,eq_c2/2)))/(s_0+3*s_r+IF(circ_int,eq_c1/2,0))),IF(((47+0.5)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(47+0.5)*(4*IF(circ_int,0,eq_c1/2)+4*IF(circ_int,0,eq_c2/2)+2*PI()*(s_0+3*s_r+IF(circ_int,eq_c1/2,0)))/INDEX(lk_legs,4))-(((((((2*IF(circ_int,0,eq_c2/2))+(PI()*(s_0+3*s_r+IF(circ_int,eq_c1/2,0))/2))+2*IF(circ_int,0,eq_c1/2))+(PI()*(s_0+3*s_r+IF(circ_int,eq_c1/2,0))/2))+2*IF(circ_int,0,eq_c2/2))+(PI()*(s_0+3*s_r+IF(circ_int,eq_c1/2,0))/2))+2*IF(circ_int,0,eq_c1/2)))/(s_0+3*s_r+IF(circ_int,eq_c1/2,0)))))))))),NA())</f>
        <v/>
      </c>
      <c r="BU50">
        <f>IF(AND(links_on,5&lt;=n_per),IF(circ_int,(g_ox)+(c_1/2+(s_0+4*s_r))*0.822984,CHOOSE(INDEX(lk_kind,5),(g_ox+eq_c1/2)+((s_0+4*s_r))*0.866025,0,eq_a1+eq_c1+(s_0+4*s_r),eq_a1+eq_c1+(s_0+4*s_r))),NA())</f>
        <v/>
      </c>
      <c r="BV50">
        <f>IF(AND(links_on,5&lt;=n_per),IF(circ_int,(g_oy)+(c_1/2+(s_0+4*s_r))*-0.568065,CHOOSE(INDEX(lk_kind,5),(g_oy-eq_c2/2)+((s_0+4*s_r))*-0.500000,g_oy-eq_c2/2-(s_0+4*s_r),0,0)),NA())</f>
        <v/>
      </c>
      <c r="BX50">
        <f>IF(AND(AND(links_on,5&lt;=n_per),INDEX(lk_kind,5)=1,47&lt;INDEX(lk_legs,5)),g_ox+IF(((47+0.5)*(4*IF(circ_int,0,eq_c1/2)+4*IF(circ_int,0,eq_c2/2)+2*PI()*(s_0+4*s_r+IF(circ_int,eq_c1/2,0)))/INDEX(lk_legs,5))&lt;(2*IF(circ_int,0,eq_c2/2)),IF(circ_int,0,eq_c1/2)+(s_0+4*s_r+IF(circ_int,eq_c1/2,0)),IF(((47+0.5)*(4*IF(circ_int,0,eq_c1/2)+4*IF(circ_int,0,eq_c2/2)+2*PI()*(s_0+4*s_r+IF(circ_int,eq_c1/2,0)))/INDEX(lk_legs,5))&lt;((2*IF(circ_int,0,eq_c2/2))+(PI()*(s_0+4*s_r+IF(circ_int,eq_c1/2,0))/2)),IF(circ_int,0,eq_c1/2)+(s_0+4*s_r+IF(circ_int,eq_c1/2,0))*COS((((47+0.5)*(4*IF(circ_int,0,eq_c1/2)+4*IF(circ_int,0,eq_c2/2)+2*PI()*(s_0+4*s_r+IF(circ_int,eq_c1/2,0)))/INDEX(lk_legs,5))-(2*IF(circ_int,0,eq_c2/2)))/(s_0+4*s_r+IF(circ_int,eq_c1/2,0))),IF(((47+0.5)*(4*IF(circ_int,0,eq_c1/2)+4*IF(circ_int,0,eq_c2/2)+2*PI()*(s_0+4*s_r+IF(circ_int,eq_c1/2,0)))/INDEX(lk_legs,5))&lt;(((2*IF(circ_int,0,eq_c2/2))+(PI()*(s_0+4*s_r+IF(circ_int,eq_c1/2,0))/2))+2*IF(circ_int,0,eq_c1/2)),IF(circ_int,0,eq_c1/2)-(((47+0.5)*(4*IF(circ_int,0,eq_c1/2)+4*IF(circ_int,0,eq_c2/2)+2*PI()*(s_0+4*s_r+IF(circ_int,eq_c1/2,0)))/INDEX(lk_legs,5))-((2*IF(circ_int,0,eq_c2/2))+(PI()*(s_0+4*s_r+IF(circ_int,eq_c1/2,0))/2))),IF(((47+0.5)*(4*IF(circ_int,0,eq_c1/2)+4*IF(circ_int,0,eq_c2/2)+2*PI()*(s_0+4*s_r+IF(circ_int,eq_c1/2,0)))/INDEX(lk_legs,5))&lt;((((2*IF(circ_int,0,eq_c2/2))+(PI()*(s_0+4*s_r+IF(circ_int,eq_c1/2,0))/2))+2*IF(circ_int,0,eq_c1/2))+(PI()*(s_0+4*s_r+IF(circ_int,eq_c1/2,0))/2)),-IF(circ_int,0,eq_c1/2)+(s_0+4*s_r+IF(circ_int,eq_c1/2,0))*COS(PI()/2+(((47+0.5)*(4*IF(circ_int,0,eq_c1/2)+4*IF(circ_int,0,eq_c2/2)+2*PI()*(s_0+4*s_r+IF(circ_int,eq_c1/2,0)))/INDEX(lk_legs,5))-(((2*IF(circ_int,0,eq_c2/2))+(PI()*(s_0+4*s_r+IF(circ_int,eq_c1/2,0))/2))+2*IF(circ_int,0,eq_c1/2)))/(s_0+4*s_r+IF(circ_int,eq_c1/2,0))),IF(((47+0.5)*(4*IF(circ_int,0,eq_c1/2)+4*IF(circ_int,0,eq_c2/2)+2*PI()*(s_0+4*s_r+IF(circ_int,eq_c1/2,0)))/INDEX(lk_legs,5))&lt;(((((2*IF(circ_int,0,eq_c2/2))+(PI()*(s_0+4*s_r+IF(circ_int,eq_c1/2,0))/2))+2*IF(circ_int,0,eq_c1/2))+(PI()*(s_0+4*s_r+IF(circ_int,eq_c1/2,0))/2))+2*IF(circ_int,0,eq_c2/2)),-IF(circ_int,0,eq_c1/2)-(s_0+4*s_r+IF(circ_int,eq_c1/2,0)),IF(((47+0.5)*(4*IF(circ_int,0,eq_c1/2)+4*IF(circ_int,0,eq_c2/2)+2*PI()*(s_0+4*s_r+IF(circ_int,eq_c1/2,0)))/INDEX(lk_legs,5))&lt;((((((2*IF(circ_int,0,eq_c2/2))+(PI()*(s_0+4*s_r+IF(circ_int,eq_c1/2,0))/2))+2*IF(circ_int,0,eq_c1/2))+(PI()*(s_0+4*s_r+IF(circ_int,eq_c1/2,0))/2))+2*IF(circ_int,0,eq_c2/2))+(PI()*(s_0+4*s_r+IF(circ_int,eq_c1/2,0))/2)),-IF(circ_int,0,eq_c1/2)+(s_0+4*s_r+IF(circ_int,eq_c1/2,0))*COS(PI()+(((47+0.5)*(4*IF(circ_int,0,eq_c1/2)+4*IF(circ_int,0,eq_c2/2)+2*PI()*(s_0+4*s_r+IF(circ_int,eq_c1/2,0)))/INDEX(lk_legs,5))-(((((2*IF(circ_int,0,eq_c2/2))+(PI()*(s_0+4*s_r+IF(circ_int,eq_c1/2,0))/2))+2*IF(circ_int,0,eq_c1/2))+(PI()*(s_0+4*s_r+IF(circ_int,eq_c1/2,0))/2))+2*IF(circ_int,0,eq_c2/2)))/(s_0+4*s_r+IF(circ_int,eq_c1/2,0))),IF(((47+0.5)*(4*IF(circ_int,0,eq_c1/2)+4*IF(circ_int,0,eq_c2/2)+2*PI()*(s_0+4*s_r+IF(circ_int,eq_c1/2,0)))/INDEX(lk_legs,5))&lt;(((((((2*IF(circ_int,0,eq_c2/2))+(PI()*(s_0+4*s_r+IF(circ_int,eq_c1/2,0))/2))+2*IF(circ_int,0,eq_c1/2))+(PI()*(s_0+4*s_r+IF(circ_int,eq_c1/2,0))/2))+2*IF(circ_int,0,eq_c2/2))+(PI()*(s_0+4*s_r+IF(circ_int,eq_c1/2,0))/2))+2*IF(circ_int,0,eq_c1/2)),-IF(circ_int,0,eq_c1/2)+(((47+0.5)*(4*IF(circ_int,0,eq_c1/2)+4*IF(circ_int,0,eq_c2/2)+2*PI()*(s_0+4*s_r+IF(circ_int,eq_c1/2,0)))/INDEX(lk_legs,5))-((((((2*IF(circ_int,0,eq_c2/2))+(PI()*(s_0+4*s_r+IF(circ_int,eq_c1/2,0))/2))+2*IF(circ_int,0,eq_c1/2))+(PI()*(s_0+4*s_r+IF(circ_int,eq_c1/2,0))/2))+2*IF(circ_int,0,eq_c2/2))+(PI()*(s_0+4*s_r+IF(circ_int,eq_c1/2,0))/2))),IF(circ_int,0,eq_c1/2)+(s_0+4*s_r+IF(circ_int,eq_c1/2,0))*COS(3*PI()/2+(((47+0.5)*(4*IF(circ_int,0,eq_c1/2)+4*IF(circ_int,0,eq_c2/2)+2*PI()*(s_0+4*s_r+IF(circ_int,eq_c1/2,0)))/INDEX(lk_legs,5))-(((((((2*IF(circ_int,0,eq_c2/2))+(PI()*(s_0+4*s_r+IF(circ_int,eq_c1/2,0))/2))+2*IF(circ_int,0,eq_c1/2))+(PI()*(s_0+4*s_r+IF(circ_int,eq_c1/2,0))/2))+2*IF(circ_int,0,eq_c2/2))+(PI()*(s_0+4*s_r+IF(circ_int,eq_c1/2,0))/2))+2*IF(circ_int,0,eq_c1/2)))/(s_0+4*s_r+IF(circ_int,eq_c1/2,0)))))))))),NA())</f>
        <v/>
      </c>
      <c r="BY50">
        <f>IF(AND(AND(links_on,5&lt;=n_per),INDEX(lk_kind,5)=1,47&lt;INDEX(lk_legs,5)),g_oy+IF(((47+0.5)*(4*IF(circ_int,0,eq_c1/2)+4*IF(circ_int,0,eq_c2/2)+2*PI()*(s_0+4*s_r+IF(circ_int,eq_c1/2,0)))/INDEX(lk_legs,5))&lt;(2*IF(circ_int,0,eq_c2/2)),-IF(circ_int,0,eq_c2/2)+((47+0.5)*(4*IF(circ_int,0,eq_c1/2)+4*IF(circ_int,0,eq_c2/2)+2*PI()*(s_0+4*s_r+IF(circ_int,eq_c1/2,0)))/INDEX(lk_legs,5)),IF(((47+0.5)*(4*IF(circ_int,0,eq_c1/2)+4*IF(circ_int,0,eq_c2/2)+2*PI()*(s_0+4*s_r+IF(circ_int,eq_c1/2,0)))/INDEX(lk_legs,5))&lt;((2*IF(circ_int,0,eq_c2/2))+(PI()*(s_0+4*s_r+IF(circ_int,eq_c1/2,0))/2)),IF(circ_int,0,eq_c2/2)+(s_0+4*s_r+IF(circ_int,eq_c1/2,0))*SIN((((47+0.5)*(4*IF(circ_int,0,eq_c1/2)+4*IF(circ_int,0,eq_c2/2)+2*PI()*(s_0+4*s_r+IF(circ_int,eq_c1/2,0)))/INDEX(lk_legs,5))-(2*IF(circ_int,0,eq_c2/2)))/(s_0+4*s_r+IF(circ_int,eq_c1/2,0))),IF(((47+0.5)*(4*IF(circ_int,0,eq_c1/2)+4*IF(circ_int,0,eq_c2/2)+2*PI()*(s_0+4*s_r+IF(circ_int,eq_c1/2,0)))/INDEX(lk_legs,5))&lt;(((2*IF(circ_int,0,eq_c2/2))+(PI()*(s_0+4*s_r+IF(circ_int,eq_c1/2,0))/2))+2*IF(circ_int,0,eq_c1/2)),IF(circ_int,0,eq_c2/2)+(s_0+4*s_r+IF(circ_int,eq_c1/2,0)),IF(((47+0.5)*(4*IF(circ_int,0,eq_c1/2)+4*IF(circ_int,0,eq_c2/2)+2*PI()*(s_0+4*s_r+IF(circ_int,eq_c1/2,0)))/INDEX(lk_legs,5))&lt;((((2*IF(circ_int,0,eq_c2/2))+(PI()*(s_0+4*s_r+IF(circ_int,eq_c1/2,0))/2))+2*IF(circ_int,0,eq_c1/2))+(PI()*(s_0+4*s_r+IF(circ_int,eq_c1/2,0))/2)),IF(circ_int,0,eq_c2/2)+(s_0+4*s_r+IF(circ_int,eq_c1/2,0))*SIN(PI()/2+(((47+0.5)*(4*IF(circ_int,0,eq_c1/2)+4*IF(circ_int,0,eq_c2/2)+2*PI()*(s_0+4*s_r+IF(circ_int,eq_c1/2,0)))/INDEX(lk_legs,5))-(((2*IF(circ_int,0,eq_c2/2))+(PI()*(s_0+4*s_r+IF(circ_int,eq_c1/2,0))/2))+2*IF(circ_int,0,eq_c1/2)))/(s_0+4*s_r+IF(circ_int,eq_c1/2,0))),IF(((47+0.5)*(4*IF(circ_int,0,eq_c1/2)+4*IF(circ_int,0,eq_c2/2)+2*PI()*(s_0+4*s_r+IF(circ_int,eq_c1/2,0)))/INDEX(lk_legs,5))&lt;(((((2*IF(circ_int,0,eq_c2/2))+(PI()*(s_0+4*s_r+IF(circ_int,eq_c1/2,0))/2))+2*IF(circ_int,0,eq_c1/2))+(PI()*(s_0+4*s_r+IF(circ_int,eq_c1/2,0))/2))+2*IF(circ_int,0,eq_c2/2)),IF(circ_int,0,eq_c2/2)-(((47+0.5)*(4*IF(circ_int,0,eq_c1/2)+4*IF(circ_int,0,eq_c2/2)+2*PI()*(s_0+4*s_r+IF(circ_int,eq_c1/2,0)))/INDEX(lk_legs,5))-((((2*IF(circ_int,0,eq_c2/2))+(PI()*(s_0+4*s_r+IF(circ_int,eq_c1/2,0))/2))+2*IF(circ_int,0,eq_c1/2))+(PI()*(s_0+4*s_r+IF(circ_int,eq_c1/2,0))/2))),IF(((47+0.5)*(4*IF(circ_int,0,eq_c1/2)+4*IF(circ_int,0,eq_c2/2)+2*PI()*(s_0+4*s_r+IF(circ_int,eq_c1/2,0)))/INDEX(lk_legs,5))&lt;((((((2*IF(circ_int,0,eq_c2/2))+(PI()*(s_0+4*s_r+IF(circ_int,eq_c1/2,0))/2))+2*IF(circ_int,0,eq_c1/2))+(PI()*(s_0+4*s_r+IF(circ_int,eq_c1/2,0))/2))+2*IF(circ_int,0,eq_c2/2))+(PI()*(s_0+4*s_r+IF(circ_int,eq_c1/2,0))/2)),-IF(circ_int,0,eq_c2/2)+(s_0+4*s_r+IF(circ_int,eq_c1/2,0))*SIN(PI()+(((47+0.5)*(4*IF(circ_int,0,eq_c1/2)+4*IF(circ_int,0,eq_c2/2)+2*PI()*(s_0+4*s_r+IF(circ_int,eq_c1/2,0)))/INDEX(lk_legs,5))-(((((2*IF(circ_int,0,eq_c2/2))+(PI()*(s_0+4*s_r+IF(circ_int,eq_c1/2,0))/2))+2*IF(circ_int,0,eq_c1/2))+(PI()*(s_0+4*s_r+IF(circ_int,eq_c1/2,0))/2))+2*IF(circ_int,0,eq_c2/2)))/(s_0+4*s_r+IF(circ_int,eq_c1/2,0))),IF(((47+0.5)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(47+0.5)*(4*IF(circ_int,0,eq_c1/2)+4*IF(circ_int,0,eq_c2/2)+2*PI()*(s_0+4*s_r+IF(circ_int,eq_c1/2,0)))/INDEX(lk_legs,5))-(((((((2*IF(circ_int,0,eq_c2/2))+(PI()*(s_0+4*s_r+IF(circ_int,eq_c1/2,0))/2))+2*IF(circ_int,0,eq_c1/2))+(PI()*(s_0+4*s_r+IF(circ_int,eq_c1/2,0))/2))+2*IF(circ_int,0,eq_c2/2))+(PI()*(s_0+4*s_r+IF(circ_int,eq_c1/2,0))/2))+2*IF(circ_int,0,eq_c1/2)))/(s_0+4*s_r+IF(circ_int,eq_c1/2,0)))))))))),NA())</f>
        <v/>
      </c>
      <c r="CA50">
        <f>IF(AND(links_on,6&lt;=n_per),IF(circ_int,(g_ox)+(c_1/2+(s_0+5*s_r))*0.822984,CHOOSE(INDEX(lk_kind,6),(g_ox+eq_c1/2)+((s_0+5*s_r))*0.866025,0,eq_a1+eq_c1+(s_0+5*s_r),eq_a1+eq_c1+(s_0+5*s_r))),NA())</f>
        <v/>
      </c>
      <c r="CB50">
        <f>IF(AND(links_on,6&lt;=n_per),IF(circ_int,(g_oy)+(c_1/2+(s_0+5*s_r))*-0.568065,CHOOSE(INDEX(lk_kind,6),(g_oy-eq_c2/2)+((s_0+5*s_r))*-0.500000,g_oy-eq_c2/2-(s_0+5*s_r),0,0)),NA())</f>
        <v/>
      </c>
      <c r="CD50">
        <f>IF(AND(AND(links_on,6&lt;=n_per),INDEX(lk_kind,6)=1,47&lt;INDEX(lk_legs,6)),g_ox+IF(((47+0.5)*(4*IF(circ_int,0,eq_c1/2)+4*IF(circ_int,0,eq_c2/2)+2*PI()*(s_0+5*s_r+IF(circ_int,eq_c1/2,0)))/INDEX(lk_legs,6))&lt;(2*IF(circ_int,0,eq_c2/2)),IF(circ_int,0,eq_c1/2)+(s_0+5*s_r+IF(circ_int,eq_c1/2,0)),IF(((47+0.5)*(4*IF(circ_int,0,eq_c1/2)+4*IF(circ_int,0,eq_c2/2)+2*PI()*(s_0+5*s_r+IF(circ_int,eq_c1/2,0)))/INDEX(lk_legs,6))&lt;((2*IF(circ_int,0,eq_c2/2))+(PI()*(s_0+5*s_r+IF(circ_int,eq_c1/2,0))/2)),IF(circ_int,0,eq_c1/2)+(s_0+5*s_r+IF(circ_int,eq_c1/2,0))*COS((((47+0.5)*(4*IF(circ_int,0,eq_c1/2)+4*IF(circ_int,0,eq_c2/2)+2*PI()*(s_0+5*s_r+IF(circ_int,eq_c1/2,0)))/INDEX(lk_legs,6))-(2*IF(circ_int,0,eq_c2/2)))/(s_0+5*s_r+IF(circ_int,eq_c1/2,0))),IF(((47+0.5)*(4*IF(circ_int,0,eq_c1/2)+4*IF(circ_int,0,eq_c2/2)+2*PI()*(s_0+5*s_r+IF(circ_int,eq_c1/2,0)))/INDEX(lk_legs,6))&lt;(((2*IF(circ_int,0,eq_c2/2))+(PI()*(s_0+5*s_r+IF(circ_int,eq_c1/2,0))/2))+2*IF(circ_int,0,eq_c1/2)),IF(circ_int,0,eq_c1/2)-(((47+0.5)*(4*IF(circ_int,0,eq_c1/2)+4*IF(circ_int,0,eq_c2/2)+2*PI()*(s_0+5*s_r+IF(circ_int,eq_c1/2,0)))/INDEX(lk_legs,6))-((2*IF(circ_int,0,eq_c2/2))+(PI()*(s_0+5*s_r+IF(circ_int,eq_c1/2,0))/2))),IF(((47+0.5)*(4*IF(circ_int,0,eq_c1/2)+4*IF(circ_int,0,eq_c2/2)+2*PI()*(s_0+5*s_r+IF(circ_int,eq_c1/2,0)))/INDEX(lk_legs,6))&lt;((((2*IF(circ_int,0,eq_c2/2))+(PI()*(s_0+5*s_r+IF(circ_int,eq_c1/2,0))/2))+2*IF(circ_int,0,eq_c1/2))+(PI()*(s_0+5*s_r+IF(circ_int,eq_c1/2,0))/2)),-IF(circ_int,0,eq_c1/2)+(s_0+5*s_r+IF(circ_int,eq_c1/2,0))*COS(PI()/2+(((47+0.5)*(4*IF(circ_int,0,eq_c1/2)+4*IF(circ_int,0,eq_c2/2)+2*PI()*(s_0+5*s_r+IF(circ_int,eq_c1/2,0)))/INDEX(lk_legs,6))-(((2*IF(circ_int,0,eq_c2/2))+(PI()*(s_0+5*s_r+IF(circ_int,eq_c1/2,0))/2))+2*IF(circ_int,0,eq_c1/2)))/(s_0+5*s_r+IF(circ_int,eq_c1/2,0))),IF(((47+0.5)*(4*IF(circ_int,0,eq_c1/2)+4*IF(circ_int,0,eq_c2/2)+2*PI()*(s_0+5*s_r+IF(circ_int,eq_c1/2,0)))/INDEX(lk_legs,6))&lt;(((((2*IF(circ_int,0,eq_c2/2))+(PI()*(s_0+5*s_r+IF(circ_int,eq_c1/2,0))/2))+2*IF(circ_int,0,eq_c1/2))+(PI()*(s_0+5*s_r+IF(circ_int,eq_c1/2,0))/2))+2*IF(circ_int,0,eq_c2/2)),-IF(circ_int,0,eq_c1/2)-(s_0+5*s_r+IF(circ_int,eq_c1/2,0)),IF(((47+0.5)*(4*IF(circ_int,0,eq_c1/2)+4*IF(circ_int,0,eq_c2/2)+2*PI()*(s_0+5*s_r+IF(circ_int,eq_c1/2,0)))/INDEX(lk_legs,6))&lt;((((((2*IF(circ_int,0,eq_c2/2))+(PI()*(s_0+5*s_r+IF(circ_int,eq_c1/2,0))/2))+2*IF(circ_int,0,eq_c1/2))+(PI()*(s_0+5*s_r+IF(circ_int,eq_c1/2,0))/2))+2*IF(circ_int,0,eq_c2/2))+(PI()*(s_0+5*s_r+IF(circ_int,eq_c1/2,0))/2)),-IF(circ_int,0,eq_c1/2)+(s_0+5*s_r+IF(circ_int,eq_c1/2,0))*COS(PI()+(((47+0.5)*(4*IF(circ_int,0,eq_c1/2)+4*IF(circ_int,0,eq_c2/2)+2*PI()*(s_0+5*s_r+IF(circ_int,eq_c1/2,0)))/INDEX(lk_legs,6))-(((((2*IF(circ_int,0,eq_c2/2))+(PI()*(s_0+5*s_r+IF(circ_int,eq_c1/2,0))/2))+2*IF(circ_int,0,eq_c1/2))+(PI()*(s_0+5*s_r+IF(circ_int,eq_c1/2,0))/2))+2*IF(circ_int,0,eq_c2/2)))/(s_0+5*s_r+IF(circ_int,eq_c1/2,0))),IF(((47+0.5)*(4*IF(circ_int,0,eq_c1/2)+4*IF(circ_int,0,eq_c2/2)+2*PI()*(s_0+5*s_r+IF(circ_int,eq_c1/2,0)))/INDEX(lk_legs,6))&lt;(((((((2*IF(circ_int,0,eq_c2/2))+(PI()*(s_0+5*s_r+IF(circ_int,eq_c1/2,0))/2))+2*IF(circ_int,0,eq_c1/2))+(PI()*(s_0+5*s_r+IF(circ_int,eq_c1/2,0))/2))+2*IF(circ_int,0,eq_c2/2))+(PI()*(s_0+5*s_r+IF(circ_int,eq_c1/2,0))/2))+2*IF(circ_int,0,eq_c1/2)),-IF(circ_int,0,eq_c1/2)+(((47+0.5)*(4*IF(circ_int,0,eq_c1/2)+4*IF(circ_int,0,eq_c2/2)+2*PI()*(s_0+5*s_r+IF(circ_int,eq_c1/2,0)))/INDEX(lk_legs,6))-((((((2*IF(circ_int,0,eq_c2/2))+(PI()*(s_0+5*s_r+IF(circ_int,eq_c1/2,0))/2))+2*IF(circ_int,0,eq_c1/2))+(PI()*(s_0+5*s_r+IF(circ_int,eq_c1/2,0))/2))+2*IF(circ_int,0,eq_c2/2))+(PI()*(s_0+5*s_r+IF(circ_int,eq_c1/2,0))/2))),IF(circ_int,0,eq_c1/2)+(s_0+5*s_r+IF(circ_int,eq_c1/2,0))*COS(3*PI()/2+(((47+0.5)*(4*IF(circ_int,0,eq_c1/2)+4*IF(circ_int,0,eq_c2/2)+2*PI()*(s_0+5*s_r+IF(circ_int,eq_c1/2,0)))/INDEX(lk_legs,6))-(((((((2*IF(circ_int,0,eq_c2/2))+(PI()*(s_0+5*s_r+IF(circ_int,eq_c1/2,0))/2))+2*IF(circ_int,0,eq_c1/2))+(PI()*(s_0+5*s_r+IF(circ_int,eq_c1/2,0))/2))+2*IF(circ_int,0,eq_c2/2))+(PI()*(s_0+5*s_r+IF(circ_int,eq_c1/2,0))/2))+2*IF(circ_int,0,eq_c1/2)))/(s_0+5*s_r+IF(circ_int,eq_c1/2,0)))))))))),NA())</f>
        <v/>
      </c>
      <c r="CE50">
        <f>IF(AND(AND(links_on,6&lt;=n_per),INDEX(lk_kind,6)=1,47&lt;INDEX(lk_legs,6)),g_oy+IF(((47+0.5)*(4*IF(circ_int,0,eq_c1/2)+4*IF(circ_int,0,eq_c2/2)+2*PI()*(s_0+5*s_r+IF(circ_int,eq_c1/2,0)))/INDEX(lk_legs,6))&lt;(2*IF(circ_int,0,eq_c2/2)),-IF(circ_int,0,eq_c2/2)+((47+0.5)*(4*IF(circ_int,0,eq_c1/2)+4*IF(circ_int,0,eq_c2/2)+2*PI()*(s_0+5*s_r+IF(circ_int,eq_c1/2,0)))/INDEX(lk_legs,6)),IF(((47+0.5)*(4*IF(circ_int,0,eq_c1/2)+4*IF(circ_int,0,eq_c2/2)+2*PI()*(s_0+5*s_r+IF(circ_int,eq_c1/2,0)))/INDEX(lk_legs,6))&lt;((2*IF(circ_int,0,eq_c2/2))+(PI()*(s_0+5*s_r+IF(circ_int,eq_c1/2,0))/2)),IF(circ_int,0,eq_c2/2)+(s_0+5*s_r+IF(circ_int,eq_c1/2,0))*SIN((((47+0.5)*(4*IF(circ_int,0,eq_c1/2)+4*IF(circ_int,0,eq_c2/2)+2*PI()*(s_0+5*s_r+IF(circ_int,eq_c1/2,0)))/INDEX(lk_legs,6))-(2*IF(circ_int,0,eq_c2/2)))/(s_0+5*s_r+IF(circ_int,eq_c1/2,0))),IF(((47+0.5)*(4*IF(circ_int,0,eq_c1/2)+4*IF(circ_int,0,eq_c2/2)+2*PI()*(s_0+5*s_r+IF(circ_int,eq_c1/2,0)))/INDEX(lk_legs,6))&lt;(((2*IF(circ_int,0,eq_c2/2))+(PI()*(s_0+5*s_r+IF(circ_int,eq_c1/2,0))/2))+2*IF(circ_int,0,eq_c1/2)),IF(circ_int,0,eq_c2/2)+(s_0+5*s_r+IF(circ_int,eq_c1/2,0)),IF(((47+0.5)*(4*IF(circ_int,0,eq_c1/2)+4*IF(circ_int,0,eq_c2/2)+2*PI()*(s_0+5*s_r+IF(circ_int,eq_c1/2,0)))/INDEX(lk_legs,6))&lt;((((2*IF(circ_int,0,eq_c2/2))+(PI()*(s_0+5*s_r+IF(circ_int,eq_c1/2,0))/2))+2*IF(circ_int,0,eq_c1/2))+(PI()*(s_0+5*s_r+IF(circ_int,eq_c1/2,0))/2)),IF(circ_int,0,eq_c2/2)+(s_0+5*s_r+IF(circ_int,eq_c1/2,0))*SIN(PI()/2+(((47+0.5)*(4*IF(circ_int,0,eq_c1/2)+4*IF(circ_int,0,eq_c2/2)+2*PI()*(s_0+5*s_r+IF(circ_int,eq_c1/2,0)))/INDEX(lk_legs,6))-(((2*IF(circ_int,0,eq_c2/2))+(PI()*(s_0+5*s_r+IF(circ_int,eq_c1/2,0))/2))+2*IF(circ_int,0,eq_c1/2)))/(s_0+5*s_r+IF(circ_int,eq_c1/2,0))),IF(((47+0.5)*(4*IF(circ_int,0,eq_c1/2)+4*IF(circ_int,0,eq_c2/2)+2*PI()*(s_0+5*s_r+IF(circ_int,eq_c1/2,0)))/INDEX(lk_legs,6))&lt;(((((2*IF(circ_int,0,eq_c2/2))+(PI()*(s_0+5*s_r+IF(circ_int,eq_c1/2,0))/2))+2*IF(circ_int,0,eq_c1/2))+(PI()*(s_0+5*s_r+IF(circ_int,eq_c1/2,0))/2))+2*IF(circ_int,0,eq_c2/2)),IF(circ_int,0,eq_c2/2)-(((47+0.5)*(4*IF(circ_int,0,eq_c1/2)+4*IF(circ_int,0,eq_c2/2)+2*PI()*(s_0+5*s_r+IF(circ_int,eq_c1/2,0)))/INDEX(lk_legs,6))-((((2*IF(circ_int,0,eq_c2/2))+(PI()*(s_0+5*s_r+IF(circ_int,eq_c1/2,0))/2))+2*IF(circ_int,0,eq_c1/2))+(PI()*(s_0+5*s_r+IF(circ_int,eq_c1/2,0))/2))),IF(((47+0.5)*(4*IF(circ_int,0,eq_c1/2)+4*IF(circ_int,0,eq_c2/2)+2*PI()*(s_0+5*s_r+IF(circ_int,eq_c1/2,0)))/INDEX(lk_legs,6))&lt;((((((2*IF(circ_int,0,eq_c2/2))+(PI()*(s_0+5*s_r+IF(circ_int,eq_c1/2,0))/2))+2*IF(circ_int,0,eq_c1/2))+(PI()*(s_0+5*s_r+IF(circ_int,eq_c1/2,0))/2))+2*IF(circ_int,0,eq_c2/2))+(PI()*(s_0+5*s_r+IF(circ_int,eq_c1/2,0))/2)),-IF(circ_int,0,eq_c2/2)+(s_0+5*s_r+IF(circ_int,eq_c1/2,0))*SIN(PI()+(((47+0.5)*(4*IF(circ_int,0,eq_c1/2)+4*IF(circ_int,0,eq_c2/2)+2*PI()*(s_0+5*s_r+IF(circ_int,eq_c1/2,0)))/INDEX(lk_legs,6))-(((((2*IF(circ_int,0,eq_c2/2))+(PI()*(s_0+5*s_r+IF(circ_int,eq_c1/2,0))/2))+2*IF(circ_int,0,eq_c1/2))+(PI()*(s_0+5*s_r+IF(circ_int,eq_c1/2,0))/2))+2*IF(circ_int,0,eq_c2/2)))/(s_0+5*s_r+IF(circ_int,eq_c1/2,0))),IF(((47+0.5)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(47+0.5)*(4*IF(circ_int,0,eq_c1/2)+4*IF(circ_int,0,eq_c2/2)+2*PI()*(s_0+5*s_r+IF(circ_int,eq_c1/2,0)))/INDEX(lk_legs,6))-(((((((2*IF(circ_int,0,eq_c2/2))+(PI()*(s_0+5*s_r+IF(circ_int,eq_c1/2,0))/2))+2*IF(circ_int,0,eq_c1/2))+(PI()*(s_0+5*s_r+IF(circ_int,eq_c1/2,0))/2))+2*IF(circ_int,0,eq_c2/2))+(PI()*(s_0+5*s_r+IF(circ_int,eq_c1/2,0))/2))+2*IF(circ_int,0,eq_c1/2)))/(s_0+5*s_r+IF(circ_int,eq_c1/2,0)))))))))),NA())</f>
        <v/>
      </c>
      <c r="CG50">
        <f>IF(AND(links_on,7&lt;=n_per),IF(circ_int,(g_ox)+(c_1/2+(s_0+6*s_r))*0.822984,CHOOSE(INDEX(lk_kind,7),(g_ox+eq_c1/2)+((s_0+6*s_r))*0.866025,0,eq_a1+eq_c1+(s_0+6*s_r),eq_a1+eq_c1+(s_0+6*s_r))),NA())</f>
        <v/>
      </c>
      <c r="CH50">
        <f>IF(AND(links_on,7&lt;=n_per),IF(circ_int,(g_oy)+(c_1/2+(s_0+6*s_r))*-0.568065,CHOOSE(INDEX(lk_kind,7),(g_oy-eq_c2/2)+((s_0+6*s_r))*-0.500000,g_oy-eq_c2/2-(s_0+6*s_r),0,0)),NA())</f>
        <v/>
      </c>
      <c r="CJ50">
        <f>IF(AND(AND(links_on,7&lt;=n_per),INDEX(lk_kind,7)=1,47&lt;INDEX(lk_legs,7)),g_ox+IF(((47+0.5)*(4*IF(circ_int,0,eq_c1/2)+4*IF(circ_int,0,eq_c2/2)+2*PI()*(s_0+6*s_r+IF(circ_int,eq_c1/2,0)))/INDEX(lk_legs,7))&lt;(2*IF(circ_int,0,eq_c2/2)),IF(circ_int,0,eq_c1/2)+(s_0+6*s_r+IF(circ_int,eq_c1/2,0)),IF(((47+0.5)*(4*IF(circ_int,0,eq_c1/2)+4*IF(circ_int,0,eq_c2/2)+2*PI()*(s_0+6*s_r+IF(circ_int,eq_c1/2,0)))/INDEX(lk_legs,7))&lt;((2*IF(circ_int,0,eq_c2/2))+(PI()*(s_0+6*s_r+IF(circ_int,eq_c1/2,0))/2)),IF(circ_int,0,eq_c1/2)+(s_0+6*s_r+IF(circ_int,eq_c1/2,0))*COS((((47+0.5)*(4*IF(circ_int,0,eq_c1/2)+4*IF(circ_int,0,eq_c2/2)+2*PI()*(s_0+6*s_r+IF(circ_int,eq_c1/2,0)))/INDEX(lk_legs,7))-(2*IF(circ_int,0,eq_c2/2)))/(s_0+6*s_r+IF(circ_int,eq_c1/2,0))),IF(((47+0.5)*(4*IF(circ_int,0,eq_c1/2)+4*IF(circ_int,0,eq_c2/2)+2*PI()*(s_0+6*s_r+IF(circ_int,eq_c1/2,0)))/INDEX(lk_legs,7))&lt;(((2*IF(circ_int,0,eq_c2/2))+(PI()*(s_0+6*s_r+IF(circ_int,eq_c1/2,0))/2))+2*IF(circ_int,0,eq_c1/2)),IF(circ_int,0,eq_c1/2)-(((47+0.5)*(4*IF(circ_int,0,eq_c1/2)+4*IF(circ_int,0,eq_c2/2)+2*PI()*(s_0+6*s_r+IF(circ_int,eq_c1/2,0)))/INDEX(lk_legs,7))-((2*IF(circ_int,0,eq_c2/2))+(PI()*(s_0+6*s_r+IF(circ_int,eq_c1/2,0))/2))),IF(((47+0.5)*(4*IF(circ_int,0,eq_c1/2)+4*IF(circ_int,0,eq_c2/2)+2*PI()*(s_0+6*s_r+IF(circ_int,eq_c1/2,0)))/INDEX(lk_legs,7))&lt;((((2*IF(circ_int,0,eq_c2/2))+(PI()*(s_0+6*s_r+IF(circ_int,eq_c1/2,0))/2))+2*IF(circ_int,0,eq_c1/2))+(PI()*(s_0+6*s_r+IF(circ_int,eq_c1/2,0))/2)),-IF(circ_int,0,eq_c1/2)+(s_0+6*s_r+IF(circ_int,eq_c1/2,0))*COS(PI()/2+(((47+0.5)*(4*IF(circ_int,0,eq_c1/2)+4*IF(circ_int,0,eq_c2/2)+2*PI()*(s_0+6*s_r+IF(circ_int,eq_c1/2,0)))/INDEX(lk_legs,7))-(((2*IF(circ_int,0,eq_c2/2))+(PI()*(s_0+6*s_r+IF(circ_int,eq_c1/2,0))/2))+2*IF(circ_int,0,eq_c1/2)))/(s_0+6*s_r+IF(circ_int,eq_c1/2,0))),IF(((47+0.5)*(4*IF(circ_int,0,eq_c1/2)+4*IF(circ_int,0,eq_c2/2)+2*PI()*(s_0+6*s_r+IF(circ_int,eq_c1/2,0)))/INDEX(lk_legs,7))&lt;(((((2*IF(circ_int,0,eq_c2/2))+(PI()*(s_0+6*s_r+IF(circ_int,eq_c1/2,0))/2))+2*IF(circ_int,0,eq_c1/2))+(PI()*(s_0+6*s_r+IF(circ_int,eq_c1/2,0))/2))+2*IF(circ_int,0,eq_c2/2)),-IF(circ_int,0,eq_c1/2)-(s_0+6*s_r+IF(circ_int,eq_c1/2,0)),IF(((47+0.5)*(4*IF(circ_int,0,eq_c1/2)+4*IF(circ_int,0,eq_c2/2)+2*PI()*(s_0+6*s_r+IF(circ_int,eq_c1/2,0)))/INDEX(lk_legs,7))&lt;((((((2*IF(circ_int,0,eq_c2/2))+(PI()*(s_0+6*s_r+IF(circ_int,eq_c1/2,0))/2))+2*IF(circ_int,0,eq_c1/2))+(PI()*(s_0+6*s_r+IF(circ_int,eq_c1/2,0))/2))+2*IF(circ_int,0,eq_c2/2))+(PI()*(s_0+6*s_r+IF(circ_int,eq_c1/2,0))/2)),-IF(circ_int,0,eq_c1/2)+(s_0+6*s_r+IF(circ_int,eq_c1/2,0))*COS(PI()+(((47+0.5)*(4*IF(circ_int,0,eq_c1/2)+4*IF(circ_int,0,eq_c2/2)+2*PI()*(s_0+6*s_r+IF(circ_int,eq_c1/2,0)))/INDEX(lk_legs,7))-(((((2*IF(circ_int,0,eq_c2/2))+(PI()*(s_0+6*s_r+IF(circ_int,eq_c1/2,0))/2))+2*IF(circ_int,0,eq_c1/2))+(PI()*(s_0+6*s_r+IF(circ_int,eq_c1/2,0))/2))+2*IF(circ_int,0,eq_c2/2)))/(s_0+6*s_r+IF(circ_int,eq_c1/2,0))),IF(((47+0.5)*(4*IF(circ_int,0,eq_c1/2)+4*IF(circ_int,0,eq_c2/2)+2*PI()*(s_0+6*s_r+IF(circ_int,eq_c1/2,0)))/INDEX(lk_legs,7))&lt;(((((((2*IF(circ_int,0,eq_c2/2))+(PI()*(s_0+6*s_r+IF(circ_int,eq_c1/2,0))/2))+2*IF(circ_int,0,eq_c1/2))+(PI()*(s_0+6*s_r+IF(circ_int,eq_c1/2,0))/2))+2*IF(circ_int,0,eq_c2/2))+(PI()*(s_0+6*s_r+IF(circ_int,eq_c1/2,0))/2))+2*IF(circ_int,0,eq_c1/2)),-IF(circ_int,0,eq_c1/2)+(((47+0.5)*(4*IF(circ_int,0,eq_c1/2)+4*IF(circ_int,0,eq_c2/2)+2*PI()*(s_0+6*s_r+IF(circ_int,eq_c1/2,0)))/INDEX(lk_legs,7))-((((((2*IF(circ_int,0,eq_c2/2))+(PI()*(s_0+6*s_r+IF(circ_int,eq_c1/2,0))/2))+2*IF(circ_int,0,eq_c1/2))+(PI()*(s_0+6*s_r+IF(circ_int,eq_c1/2,0))/2))+2*IF(circ_int,0,eq_c2/2))+(PI()*(s_0+6*s_r+IF(circ_int,eq_c1/2,0))/2))),IF(circ_int,0,eq_c1/2)+(s_0+6*s_r+IF(circ_int,eq_c1/2,0))*COS(3*PI()/2+(((47+0.5)*(4*IF(circ_int,0,eq_c1/2)+4*IF(circ_int,0,eq_c2/2)+2*PI()*(s_0+6*s_r+IF(circ_int,eq_c1/2,0)))/INDEX(lk_legs,7))-(((((((2*IF(circ_int,0,eq_c2/2))+(PI()*(s_0+6*s_r+IF(circ_int,eq_c1/2,0))/2))+2*IF(circ_int,0,eq_c1/2))+(PI()*(s_0+6*s_r+IF(circ_int,eq_c1/2,0))/2))+2*IF(circ_int,0,eq_c2/2))+(PI()*(s_0+6*s_r+IF(circ_int,eq_c1/2,0))/2))+2*IF(circ_int,0,eq_c1/2)))/(s_0+6*s_r+IF(circ_int,eq_c1/2,0)))))))))),NA())</f>
        <v/>
      </c>
      <c r="CK50">
        <f>IF(AND(AND(links_on,7&lt;=n_per),INDEX(lk_kind,7)=1,47&lt;INDEX(lk_legs,7)),g_oy+IF(((47+0.5)*(4*IF(circ_int,0,eq_c1/2)+4*IF(circ_int,0,eq_c2/2)+2*PI()*(s_0+6*s_r+IF(circ_int,eq_c1/2,0)))/INDEX(lk_legs,7))&lt;(2*IF(circ_int,0,eq_c2/2)),-IF(circ_int,0,eq_c2/2)+((47+0.5)*(4*IF(circ_int,0,eq_c1/2)+4*IF(circ_int,0,eq_c2/2)+2*PI()*(s_0+6*s_r+IF(circ_int,eq_c1/2,0)))/INDEX(lk_legs,7)),IF(((47+0.5)*(4*IF(circ_int,0,eq_c1/2)+4*IF(circ_int,0,eq_c2/2)+2*PI()*(s_0+6*s_r+IF(circ_int,eq_c1/2,0)))/INDEX(lk_legs,7))&lt;((2*IF(circ_int,0,eq_c2/2))+(PI()*(s_0+6*s_r+IF(circ_int,eq_c1/2,0))/2)),IF(circ_int,0,eq_c2/2)+(s_0+6*s_r+IF(circ_int,eq_c1/2,0))*SIN((((47+0.5)*(4*IF(circ_int,0,eq_c1/2)+4*IF(circ_int,0,eq_c2/2)+2*PI()*(s_0+6*s_r+IF(circ_int,eq_c1/2,0)))/INDEX(lk_legs,7))-(2*IF(circ_int,0,eq_c2/2)))/(s_0+6*s_r+IF(circ_int,eq_c1/2,0))),IF(((47+0.5)*(4*IF(circ_int,0,eq_c1/2)+4*IF(circ_int,0,eq_c2/2)+2*PI()*(s_0+6*s_r+IF(circ_int,eq_c1/2,0)))/INDEX(lk_legs,7))&lt;(((2*IF(circ_int,0,eq_c2/2))+(PI()*(s_0+6*s_r+IF(circ_int,eq_c1/2,0))/2))+2*IF(circ_int,0,eq_c1/2)),IF(circ_int,0,eq_c2/2)+(s_0+6*s_r+IF(circ_int,eq_c1/2,0)),IF(((47+0.5)*(4*IF(circ_int,0,eq_c1/2)+4*IF(circ_int,0,eq_c2/2)+2*PI()*(s_0+6*s_r+IF(circ_int,eq_c1/2,0)))/INDEX(lk_legs,7))&lt;((((2*IF(circ_int,0,eq_c2/2))+(PI()*(s_0+6*s_r+IF(circ_int,eq_c1/2,0))/2))+2*IF(circ_int,0,eq_c1/2))+(PI()*(s_0+6*s_r+IF(circ_int,eq_c1/2,0))/2)),IF(circ_int,0,eq_c2/2)+(s_0+6*s_r+IF(circ_int,eq_c1/2,0))*SIN(PI()/2+(((47+0.5)*(4*IF(circ_int,0,eq_c1/2)+4*IF(circ_int,0,eq_c2/2)+2*PI()*(s_0+6*s_r+IF(circ_int,eq_c1/2,0)))/INDEX(lk_legs,7))-(((2*IF(circ_int,0,eq_c2/2))+(PI()*(s_0+6*s_r+IF(circ_int,eq_c1/2,0))/2))+2*IF(circ_int,0,eq_c1/2)))/(s_0+6*s_r+IF(circ_int,eq_c1/2,0))),IF(((47+0.5)*(4*IF(circ_int,0,eq_c1/2)+4*IF(circ_int,0,eq_c2/2)+2*PI()*(s_0+6*s_r+IF(circ_int,eq_c1/2,0)))/INDEX(lk_legs,7))&lt;(((((2*IF(circ_int,0,eq_c2/2))+(PI()*(s_0+6*s_r+IF(circ_int,eq_c1/2,0))/2))+2*IF(circ_int,0,eq_c1/2))+(PI()*(s_0+6*s_r+IF(circ_int,eq_c1/2,0))/2))+2*IF(circ_int,0,eq_c2/2)),IF(circ_int,0,eq_c2/2)-(((47+0.5)*(4*IF(circ_int,0,eq_c1/2)+4*IF(circ_int,0,eq_c2/2)+2*PI()*(s_0+6*s_r+IF(circ_int,eq_c1/2,0)))/INDEX(lk_legs,7))-((((2*IF(circ_int,0,eq_c2/2))+(PI()*(s_0+6*s_r+IF(circ_int,eq_c1/2,0))/2))+2*IF(circ_int,0,eq_c1/2))+(PI()*(s_0+6*s_r+IF(circ_int,eq_c1/2,0))/2))),IF(((47+0.5)*(4*IF(circ_int,0,eq_c1/2)+4*IF(circ_int,0,eq_c2/2)+2*PI()*(s_0+6*s_r+IF(circ_int,eq_c1/2,0)))/INDEX(lk_legs,7))&lt;((((((2*IF(circ_int,0,eq_c2/2))+(PI()*(s_0+6*s_r+IF(circ_int,eq_c1/2,0))/2))+2*IF(circ_int,0,eq_c1/2))+(PI()*(s_0+6*s_r+IF(circ_int,eq_c1/2,0))/2))+2*IF(circ_int,0,eq_c2/2))+(PI()*(s_0+6*s_r+IF(circ_int,eq_c1/2,0))/2)),-IF(circ_int,0,eq_c2/2)+(s_0+6*s_r+IF(circ_int,eq_c1/2,0))*SIN(PI()+(((47+0.5)*(4*IF(circ_int,0,eq_c1/2)+4*IF(circ_int,0,eq_c2/2)+2*PI()*(s_0+6*s_r+IF(circ_int,eq_c1/2,0)))/INDEX(lk_legs,7))-(((((2*IF(circ_int,0,eq_c2/2))+(PI()*(s_0+6*s_r+IF(circ_int,eq_c1/2,0))/2))+2*IF(circ_int,0,eq_c1/2))+(PI()*(s_0+6*s_r+IF(circ_int,eq_c1/2,0))/2))+2*IF(circ_int,0,eq_c2/2)))/(s_0+6*s_r+IF(circ_int,eq_c1/2,0))),IF(((47+0.5)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(47+0.5)*(4*IF(circ_int,0,eq_c1/2)+4*IF(circ_int,0,eq_c2/2)+2*PI()*(s_0+6*s_r+IF(circ_int,eq_c1/2,0)))/INDEX(lk_legs,7))-(((((((2*IF(circ_int,0,eq_c2/2))+(PI()*(s_0+6*s_r+IF(circ_int,eq_c1/2,0))/2))+2*IF(circ_int,0,eq_c1/2))+(PI()*(s_0+6*s_r+IF(circ_int,eq_c1/2,0))/2))+2*IF(circ_int,0,eq_c2/2))+(PI()*(s_0+6*s_r+IF(circ_int,eq_c1/2,0))/2))+2*IF(circ_int,0,eq_c1/2)))/(s_0+6*s_r+IF(circ_int,eq_c1/2,0)))))))))),NA())</f>
        <v/>
      </c>
      <c r="CM50">
        <f>IF(AND(links_on,8&lt;=n_per),IF(circ_int,(g_ox)+(c_1/2+(s_0+7*s_r))*0.822984,CHOOSE(INDEX(lk_kind,8),(g_ox+eq_c1/2)+((s_0+7*s_r))*0.866025,0,eq_a1+eq_c1+(s_0+7*s_r),eq_a1+eq_c1+(s_0+7*s_r))),NA())</f>
        <v/>
      </c>
      <c r="CN50">
        <f>IF(AND(links_on,8&lt;=n_per),IF(circ_int,(g_oy)+(c_1/2+(s_0+7*s_r))*-0.568065,CHOOSE(INDEX(lk_kind,8),(g_oy-eq_c2/2)+((s_0+7*s_r))*-0.500000,g_oy-eq_c2/2-(s_0+7*s_r),0,0)),NA())</f>
        <v/>
      </c>
      <c r="CP50">
        <f>IF(AND(AND(links_on,8&lt;=n_per),INDEX(lk_kind,8)=1,47&lt;INDEX(lk_legs,8)),g_ox+IF(((47+0.5)*(4*IF(circ_int,0,eq_c1/2)+4*IF(circ_int,0,eq_c2/2)+2*PI()*(s_0+7*s_r+IF(circ_int,eq_c1/2,0)))/INDEX(lk_legs,8))&lt;(2*IF(circ_int,0,eq_c2/2)),IF(circ_int,0,eq_c1/2)+(s_0+7*s_r+IF(circ_int,eq_c1/2,0)),IF(((47+0.5)*(4*IF(circ_int,0,eq_c1/2)+4*IF(circ_int,0,eq_c2/2)+2*PI()*(s_0+7*s_r+IF(circ_int,eq_c1/2,0)))/INDEX(lk_legs,8))&lt;((2*IF(circ_int,0,eq_c2/2))+(PI()*(s_0+7*s_r+IF(circ_int,eq_c1/2,0))/2)),IF(circ_int,0,eq_c1/2)+(s_0+7*s_r+IF(circ_int,eq_c1/2,0))*COS((((47+0.5)*(4*IF(circ_int,0,eq_c1/2)+4*IF(circ_int,0,eq_c2/2)+2*PI()*(s_0+7*s_r+IF(circ_int,eq_c1/2,0)))/INDEX(lk_legs,8))-(2*IF(circ_int,0,eq_c2/2)))/(s_0+7*s_r+IF(circ_int,eq_c1/2,0))),IF(((47+0.5)*(4*IF(circ_int,0,eq_c1/2)+4*IF(circ_int,0,eq_c2/2)+2*PI()*(s_0+7*s_r+IF(circ_int,eq_c1/2,0)))/INDEX(lk_legs,8))&lt;(((2*IF(circ_int,0,eq_c2/2))+(PI()*(s_0+7*s_r+IF(circ_int,eq_c1/2,0))/2))+2*IF(circ_int,0,eq_c1/2)),IF(circ_int,0,eq_c1/2)-(((47+0.5)*(4*IF(circ_int,0,eq_c1/2)+4*IF(circ_int,0,eq_c2/2)+2*PI()*(s_0+7*s_r+IF(circ_int,eq_c1/2,0)))/INDEX(lk_legs,8))-((2*IF(circ_int,0,eq_c2/2))+(PI()*(s_0+7*s_r+IF(circ_int,eq_c1/2,0))/2))),IF(((47+0.5)*(4*IF(circ_int,0,eq_c1/2)+4*IF(circ_int,0,eq_c2/2)+2*PI()*(s_0+7*s_r+IF(circ_int,eq_c1/2,0)))/INDEX(lk_legs,8))&lt;((((2*IF(circ_int,0,eq_c2/2))+(PI()*(s_0+7*s_r+IF(circ_int,eq_c1/2,0))/2))+2*IF(circ_int,0,eq_c1/2))+(PI()*(s_0+7*s_r+IF(circ_int,eq_c1/2,0))/2)),-IF(circ_int,0,eq_c1/2)+(s_0+7*s_r+IF(circ_int,eq_c1/2,0))*COS(PI()/2+(((47+0.5)*(4*IF(circ_int,0,eq_c1/2)+4*IF(circ_int,0,eq_c2/2)+2*PI()*(s_0+7*s_r+IF(circ_int,eq_c1/2,0)))/INDEX(lk_legs,8))-(((2*IF(circ_int,0,eq_c2/2))+(PI()*(s_0+7*s_r+IF(circ_int,eq_c1/2,0))/2))+2*IF(circ_int,0,eq_c1/2)))/(s_0+7*s_r+IF(circ_int,eq_c1/2,0))),IF(((47+0.5)*(4*IF(circ_int,0,eq_c1/2)+4*IF(circ_int,0,eq_c2/2)+2*PI()*(s_0+7*s_r+IF(circ_int,eq_c1/2,0)))/INDEX(lk_legs,8))&lt;(((((2*IF(circ_int,0,eq_c2/2))+(PI()*(s_0+7*s_r+IF(circ_int,eq_c1/2,0))/2))+2*IF(circ_int,0,eq_c1/2))+(PI()*(s_0+7*s_r+IF(circ_int,eq_c1/2,0))/2))+2*IF(circ_int,0,eq_c2/2)),-IF(circ_int,0,eq_c1/2)-(s_0+7*s_r+IF(circ_int,eq_c1/2,0)),IF(((47+0.5)*(4*IF(circ_int,0,eq_c1/2)+4*IF(circ_int,0,eq_c2/2)+2*PI()*(s_0+7*s_r+IF(circ_int,eq_c1/2,0)))/INDEX(lk_legs,8))&lt;((((((2*IF(circ_int,0,eq_c2/2))+(PI()*(s_0+7*s_r+IF(circ_int,eq_c1/2,0))/2))+2*IF(circ_int,0,eq_c1/2))+(PI()*(s_0+7*s_r+IF(circ_int,eq_c1/2,0))/2))+2*IF(circ_int,0,eq_c2/2))+(PI()*(s_0+7*s_r+IF(circ_int,eq_c1/2,0))/2)),-IF(circ_int,0,eq_c1/2)+(s_0+7*s_r+IF(circ_int,eq_c1/2,0))*COS(PI()+(((47+0.5)*(4*IF(circ_int,0,eq_c1/2)+4*IF(circ_int,0,eq_c2/2)+2*PI()*(s_0+7*s_r+IF(circ_int,eq_c1/2,0)))/INDEX(lk_legs,8))-(((((2*IF(circ_int,0,eq_c2/2))+(PI()*(s_0+7*s_r+IF(circ_int,eq_c1/2,0))/2))+2*IF(circ_int,0,eq_c1/2))+(PI()*(s_0+7*s_r+IF(circ_int,eq_c1/2,0))/2))+2*IF(circ_int,0,eq_c2/2)))/(s_0+7*s_r+IF(circ_int,eq_c1/2,0))),IF(((47+0.5)*(4*IF(circ_int,0,eq_c1/2)+4*IF(circ_int,0,eq_c2/2)+2*PI()*(s_0+7*s_r+IF(circ_int,eq_c1/2,0)))/INDEX(lk_legs,8))&lt;(((((((2*IF(circ_int,0,eq_c2/2))+(PI()*(s_0+7*s_r+IF(circ_int,eq_c1/2,0))/2))+2*IF(circ_int,0,eq_c1/2))+(PI()*(s_0+7*s_r+IF(circ_int,eq_c1/2,0))/2))+2*IF(circ_int,0,eq_c2/2))+(PI()*(s_0+7*s_r+IF(circ_int,eq_c1/2,0))/2))+2*IF(circ_int,0,eq_c1/2)),-IF(circ_int,0,eq_c1/2)+(((47+0.5)*(4*IF(circ_int,0,eq_c1/2)+4*IF(circ_int,0,eq_c2/2)+2*PI()*(s_0+7*s_r+IF(circ_int,eq_c1/2,0)))/INDEX(lk_legs,8))-((((((2*IF(circ_int,0,eq_c2/2))+(PI()*(s_0+7*s_r+IF(circ_int,eq_c1/2,0))/2))+2*IF(circ_int,0,eq_c1/2))+(PI()*(s_0+7*s_r+IF(circ_int,eq_c1/2,0))/2))+2*IF(circ_int,0,eq_c2/2))+(PI()*(s_0+7*s_r+IF(circ_int,eq_c1/2,0))/2))),IF(circ_int,0,eq_c1/2)+(s_0+7*s_r+IF(circ_int,eq_c1/2,0))*COS(3*PI()/2+(((47+0.5)*(4*IF(circ_int,0,eq_c1/2)+4*IF(circ_int,0,eq_c2/2)+2*PI()*(s_0+7*s_r+IF(circ_int,eq_c1/2,0)))/INDEX(lk_legs,8))-(((((((2*IF(circ_int,0,eq_c2/2))+(PI()*(s_0+7*s_r+IF(circ_int,eq_c1/2,0))/2))+2*IF(circ_int,0,eq_c1/2))+(PI()*(s_0+7*s_r+IF(circ_int,eq_c1/2,0))/2))+2*IF(circ_int,0,eq_c2/2))+(PI()*(s_0+7*s_r+IF(circ_int,eq_c1/2,0))/2))+2*IF(circ_int,0,eq_c1/2)))/(s_0+7*s_r+IF(circ_int,eq_c1/2,0)))))))))),NA())</f>
        <v/>
      </c>
      <c r="CQ50">
        <f>IF(AND(AND(links_on,8&lt;=n_per),INDEX(lk_kind,8)=1,47&lt;INDEX(lk_legs,8)),g_oy+IF(((47+0.5)*(4*IF(circ_int,0,eq_c1/2)+4*IF(circ_int,0,eq_c2/2)+2*PI()*(s_0+7*s_r+IF(circ_int,eq_c1/2,0)))/INDEX(lk_legs,8))&lt;(2*IF(circ_int,0,eq_c2/2)),-IF(circ_int,0,eq_c2/2)+((47+0.5)*(4*IF(circ_int,0,eq_c1/2)+4*IF(circ_int,0,eq_c2/2)+2*PI()*(s_0+7*s_r+IF(circ_int,eq_c1/2,0)))/INDEX(lk_legs,8)),IF(((47+0.5)*(4*IF(circ_int,0,eq_c1/2)+4*IF(circ_int,0,eq_c2/2)+2*PI()*(s_0+7*s_r+IF(circ_int,eq_c1/2,0)))/INDEX(lk_legs,8))&lt;((2*IF(circ_int,0,eq_c2/2))+(PI()*(s_0+7*s_r+IF(circ_int,eq_c1/2,0))/2)),IF(circ_int,0,eq_c2/2)+(s_0+7*s_r+IF(circ_int,eq_c1/2,0))*SIN((((47+0.5)*(4*IF(circ_int,0,eq_c1/2)+4*IF(circ_int,0,eq_c2/2)+2*PI()*(s_0+7*s_r+IF(circ_int,eq_c1/2,0)))/INDEX(lk_legs,8))-(2*IF(circ_int,0,eq_c2/2)))/(s_0+7*s_r+IF(circ_int,eq_c1/2,0))),IF(((47+0.5)*(4*IF(circ_int,0,eq_c1/2)+4*IF(circ_int,0,eq_c2/2)+2*PI()*(s_0+7*s_r+IF(circ_int,eq_c1/2,0)))/INDEX(lk_legs,8))&lt;(((2*IF(circ_int,0,eq_c2/2))+(PI()*(s_0+7*s_r+IF(circ_int,eq_c1/2,0))/2))+2*IF(circ_int,0,eq_c1/2)),IF(circ_int,0,eq_c2/2)+(s_0+7*s_r+IF(circ_int,eq_c1/2,0)),IF(((47+0.5)*(4*IF(circ_int,0,eq_c1/2)+4*IF(circ_int,0,eq_c2/2)+2*PI()*(s_0+7*s_r+IF(circ_int,eq_c1/2,0)))/INDEX(lk_legs,8))&lt;((((2*IF(circ_int,0,eq_c2/2))+(PI()*(s_0+7*s_r+IF(circ_int,eq_c1/2,0))/2))+2*IF(circ_int,0,eq_c1/2))+(PI()*(s_0+7*s_r+IF(circ_int,eq_c1/2,0))/2)),IF(circ_int,0,eq_c2/2)+(s_0+7*s_r+IF(circ_int,eq_c1/2,0))*SIN(PI()/2+(((47+0.5)*(4*IF(circ_int,0,eq_c1/2)+4*IF(circ_int,0,eq_c2/2)+2*PI()*(s_0+7*s_r+IF(circ_int,eq_c1/2,0)))/INDEX(lk_legs,8))-(((2*IF(circ_int,0,eq_c2/2))+(PI()*(s_0+7*s_r+IF(circ_int,eq_c1/2,0))/2))+2*IF(circ_int,0,eq_c1/2)))/(s_0+7*s_r+IF(circ_int,eq_c1/2,0))),IF(((47+0.5)*(4*IF(circ_int,0,eq_c1/2)+4*IF(circ_int,0,eq_c2/2)+2*PI()*(s_0+7*s_r+IF(circ_int,eq_c1/2,0)))/INDEX(lk_legs,8))&lt;(((((2*IF(circ_int,0,eq_c2/2))+(PI()*(s_0+7*s_r+IF(circ_int,eq_c1/2,0))/2))+2*IF(circ_int,0,eq_c1/2))+(PI()*(s_0+7*s_r+IF(circ_int,eq_c1/2,0))/2))+2*IF(circ_int,0,eq_c2/2)),IF(circ_int,0,eq_c2/2)-(((47+0.5)*(4*IF(circ_int,0,eq_c1/2)+4*IF(circ_int,0,eq_c2/2)+2*PI()*(s_0+7*s_r+IF(circ_int,eq_c1/2,0)))/INDEX(lk_legs,8))-((((2*IF(circ_int,0,eq_c2/2))+(PI()*(s_0+7*s_r+IF(circ_int,eq_c1/2,0))/2))+2*IF(circ_int,0,eq_c1/2))+(PI()*(s_0+7*s_r+IF(circ_int,eq_c1/2,0))/2))),IF(((47+0.5)*(4*IF(circ_int,0,eq_c1/2)+4*IF(circ_int,0,eq_c2/2)+2*PI()*(s_0+7*s_r+IF(circ_int,eq_c1/2,0)))/INDEX(lk_legs,8))&lt;((((((2*IF(circ_int,0,eq_c2/2))+(PI()*(s_0+7*s_r+IF(circ_int,eq_c1/2,0))/2))+2*IF(circ_int,0,eq_c1/2))+(PI()*(s_0+7*s_r+IF(circ_int,eq_c1/2,0))/2))+2*IF(circ_int,0,eq_c2/2))+(PI()*(s_0+7*s_r+IF(circ_int,eq_c1/2,0))/2)),-IF(circ_int,0,eq_c2/2)+(s_0+7*s_r+IF(circ_int,eq_c1/2,0))*SIN(PI()+(((47+0.5)*(4*IF(circ_int,0,eq_c1/2)+4*IF(circ_int,0,eq_c2/2)+2*PI()*(s_0+7*s_r+IF(circ_int,eq_c1/2,0)))/INDEX(lk_legs,8))-(((((2*IF(circ_int,0,eq_c2/2))+(PI()*(s_0+7*s_r+IF(circ_int,eq_c1/2,0))/2))+2*IF(circ_int,0,eq_c1/2))+(PI()*(s_0+7*s_r+IF(circ_int,eq_c1/2,0))/2))+2*IF(circ_int,0,eq_c2/2)))/(s_0+7*s_r+IF(circ_int,eq_c1/2,0))),IF(((47+0.5)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(47+0.5)*(4*IF(circ_int,0,eq_c1/2)+4*IF(circ_int,0,eq_c2/2)+2*PI()*(s_0+7*s_r+IF(circ_int,eq_c1/2,0)))/INDEX(lk_legs,8))-(((((((2*IF(circ_int,0,eq_c2/2))+(PI()*(s_0+7*s_r+IF(circ_int,eq_c1/2,0))/2))+2*IF(circ_int,0,eq_c1/2))+(PI()*(s_0+7*s_r+IF(circ_int,eq_c1/2,0))/2))+2*IF(circ_int,0,eq_c2/2))+(PI()*(s_0+7*s_r+IF(circ_int,eq_c1/2,0))/2))+2*IF(circ_int,0,eq_c1/2)))/(s_0+7*s_r+IF(circ_int,eq_c1/2,0)))))))))),NA())</f>
        <v/>
      </c>
      <c r="CS50">
        <f>IF(AND(links_on,9&lt;=n_per),IF(circ_int,(g_ox)+(c_1/2+(s_0+8*s_r))*0.822984,CHOOSE(INDEX(lk_kind,9),(g_ox+eq_c1/2)+((s_0+8*s_r))*0.866025,0,eq_a1+eq_c1+(s_0+8*s_r),eq_a1+eq_c1+(s_0+8*s_r))),NA())</f>
        <v/>
      </c>
      <c r="CT50">
        <f>IF(AND(links_on,9&lt;=n_per),IF(circ_int,(g_oy)+(c_1/2+(s_0+8*s_r))*-0.568065,CHOOSE(INDEX(lk_kind,9),(g_oy-eq_c2/2)+((s_0+8*s_r))*-0.500000,g_oy-eq_c2/2-(s_0+8*s_r),0,0)),NA())</f>
        <v/>
      </c>
      <c r="CV50">
        <f>IF(AND(AND(links_on,9&lt;=n_per),INDEX(lk_kind,9)=1,47&lt;INDEX(lk_legs,9)),g_ox+IF(((47+0.5)*(4*IF(circ_int,0,eq_c1/2)+4*IF(circ_int,0,eq_c2/2)+2*PI()*(s_0+8*s_r+IF(circ_int,eq_c1/2,0)))/INDEX(lk_legs,9))&lt;(2*IF(circ_int,0,eq_c2/2)),IF(circ_int,0,eq_c1/2)+(s_0+8*s_r+IF(circ_int,eq_c1/2,0)),IF(((47+0.5)*(4*IF(circ_int,0,eq_c1/2)+4*IF(circ_int,0,eq_c2/2)+2*PI()*(s_0+8*s_r+IF(circ_int,eq_c1/2,0)))/INDEX(lk_legs,9))&lt;((2*IF(circ_int,0,eq_c2/2))+(PI()*(s_0+8*s_r+IF(circ_int,eq_c1/2,0))/2)),IF(circ_int,0,eq_c1/2)+(s_0+8*s_r+IF(circ_int,eq_c1/2,0))*COS((((47+0.5)*(4*IF(circ_int,0,eq_c1/2)+4*IF(circ_int,0,eq_c2/2)+2*PI()*(s_0+8*s_r+IF(circ_int,eq_c1/2,0)))/INDEX(lk_legs,9))-(2*IF(circ_int,0,eq_c2/2)))/(s_0+8*s_r+IF(circ_int,eq_c1/2,0))),IF(((47+0.5)*(4*IF(circ_int,0,eq_c1/2)+4*IF(circ_int,0,eq_c2/2)+2*PI()*(s_0+8*s_r+IF(circ_int,eq_c1/2,0)))/INDEX(lk_legs,9))&lt;(((2*IF(circ_int,0,eq_c2/2))+(PI()*(s_0+8*s_r+IF(circ_int,eq_c1/2,0))/2))+2*IF(circ_int,0,eq_c1/2)),IF(circ_int,0,eq_c1/2)-(((47+0.5)*(4*IF(circ_int,0,eq_c1/2)+4*IF(circ_int,0,eq_c2/2)+2*PI()*(s_0+8*s_r+IF(circ_int,eq_c1/2,0)))/INDEX(lk_legs,9))-((2*IF(circ_int,0,eq_c2/2))+(PI()*(s_0+8*s_r+IF(circ_int,eq_c1/2,0))/2))),IF(((47+0.5)*(4*IF(circ_int,0,eq_c1/2)+4*IF(circ_int,0,eq_c2/2)+2*PI()*(s_0+8*s_r+IF(circ_int,eq_c1/2,0)))/INDEX(lk_legs,9))&lt;((((2*IF(circ_int,0,eq_c2/2))+(PI()*(s_0+8*s_r+IF(circ_int,eq_c1/2,0))/2))+2*IF(circ_int,0,eq_c1/2))+(PI()*(s_0+8*s_r+IF(circ_int,eq_c1/2,0))/2)),-IF(circ_int,0,eq_c1/2)+(s_0+8*s_r+IF(circ_int,eq_c1/2,0))*COS(PI()/2+(((47+0.5)*(4*IF(circ_int,0,eq_c1/2)+4*IF(circ_int,0,eq_c2/2)+2*PI()*(s_0+8*s_r+IF(circ_int,eq_c1/2,0)))/INDEX(lk_legs,9))-(((2*IF(circ_int,0,eq_c2/2))+(PI()*(s_0+8*s_r+IF(circ_int,eq_c1/2,0))/2))+2*IF(circ_int,0,eq_c1/2)))/(s_0+8*s_r+IF(circ_int,eq_c1/2,0))),IF(((47+0.5)*(4*IF(circ_int,0,eq_c1/2)+4*IF(circ_int,0,eq_c2/2)+2*PI()*(s_0+8*s_r+IF(circ_int,eq_c1/2,0)))/INDEX(lk_legs,9))&lt;(((((2*IF(circ_int,0,eq_c2/2))+(PI()*(s_0+8*s_r+IF(circ_int,eq_c1/2,0))/2))+2*IF(circ_int,0,eq_c1/2))+(PI()*(s_0+8*s_r+IF(circ_int,eq_c1/2,0))/2))+2*IF(circ_int,0,eq_c2/2)),-IF(circ_int,0,eq_c1/2)-(s_0+8*s_r+IF(circ_int,eq_c1/2,0)),IF(((47+0.5)*(4*IF(circ_int,0,eq_c1/2)+4*IF(circ_int,0,eq_c2/2)+2*PI()*(s_0+8*s_r+IF(circ_int,eq_c1/2,0)))/INDEX(lk_legs,9))&lt;((((((2*IF(circ_int,0,eq_c2/2))+(PI()*(s_0+8*s_r+IF(circ_int,eq_c1/2,0))/2))+2*IF(circ_int,0,eq_c1/2))+(PI()*(s_0+8*s_r+IF(circ_int,eq_c1/2,0))/2))+2*IF(circ_int,0,eq_c2/2))+(PI()*(s_0+8*s_r+IF(circ_int,eq_c1/2,0))/2)),-IF(circ_int,0,eq_c1/2)+(s_0+8*s_r+IF(circ_int,eq_c1/2,0))*COS(PI()+(((47+0.5)*(4*IF(circ_int,0,eq_c1/2)+4*IF(circ_int,0,eq_c2/2)+2*PI()*(s_0+8*s_r+IF(circ_int,eq_c1/2,0)))/INDEX(lk_legs,9))-(((((2*IF(circ_int,0,eq_c2/2))+(PI()*(s_0+8*s_r+IF(circ_int,eq_c1/2,0))/2))+2*IF(circ_int,0,eq_c1/2))+(PI()*(s_0+8*s_r+IF(circ_int,eq_c1/2,0))/2))+2*IF(circ_int,0,eq_c2/2)))/(s_0+8*s_r+IF(circ_int,eq_c1/2,0))),IF(((47+0.5)*(4*IF(circ_int,0,eq_c1/2)+4*IF(circ_int,0,eq_c2/2)+2*PI()*(s_0+8*s_r+IF(circ_int,eq_c1/2,0)))/INDEX(lk_legs,9))&lt;(((((((2*IF(circ_int,0,eq_c2/2))+(PI()*(s_0+8*s_r+IF(circ_int,eq_c1/2,0))/2))+2*IF(circ_int,0,eq_c1/2))+(PI()*(s_0+8*s_r+IF(circ_int,eq_c1/2,0))/2))+2*IF(circ_int,0,eq_c2/2))+(PI()*(s_0+8*s_r+IF(circ_int,eq_c1/2,0))/2))+2*IF(circ_int,0,eq_c1/2)),-IF(circ_int,0,eq_c1/2)+(((47+0.5)*(4*IF(circ_int,0,eq_c1/2)+4*IF(circ_int,0,eq_c2/2)+2*PI()*(s_0+8*s_r+IF(circ_int,eq_c1/2,0)))/INDEX(lk_legs,9))-((((((2*IF(circ_int,0,eq_c2/2))+(PI()*(s_0+8*s_r+IF(circ_int,eq_c1/2,0))/2))+2*IF(circ_int,0,eq_c1/2))+(PI()*(s_0+8*s_r+IF(circ_int,eq_c1/2,0))/2))+2*IF(circ_int,0,eq_c2/2))+(PI()*(s_0+8*s_r+IF(circ_int,eq_c1/2,0))/2))),IF(circ_int,0,eq_c1/2)+(s_0+8*s_r+IF(circ_int,eq_c1/2,0))*COS(3*PI()/2+(((47+0.5)*(4*IF(circ_int,0,eq_c1/2)+4*IF(circ_int,0,eq_c2/2)+2*PI()*(s_0+8*s_r+IF(circ_int,eq_c1/2,0)))/INDEX(lk_legs,9))-(((((((2*IF(circ_int,0,eq_c2/2))+(PI()*(s_0+8*s_r+IF(circ_int,eq_c1/2,0))/2))+2*IF(circ_int,0,eq_c1/2))+(PI()*(s_0+8*s_r+IF(circ_int,eq_c1/2,0))/2))+2*IF(circ_int,0,eq_c2/2))+(PI()*(s_0+8*s_r+IF(circ_int,eq_c1/2,0))/2))+2*IF(circ_int,0,eq_c1/2)))/(s_0+8*s_r+IF(circ_int,eq_c1/2,0)))))))))),NA())</f>
        <v/>
      </c>
      <c r="CW50">
        <f>IF(AND(AND(links_on,9&lt;=n_per),INDEX(lk_kind,9)=1,47&lt;INDEX(lk_legs,9)),g_oy+IF(((47+0.5)*(4*IF(circ_int,0,eq_c1/2)+4*IF(circ_int,0,eq_c2/2)+2*PI()*(s_0+8*s_r+IF(circ_int,eq_c1/2,0)))/INDEX(lk_legs,9))&lt;(2*IF(circ_int,0,eq_c2/2)),-IF(circ_int,0,eq_c2/2)+((47+0.5)*(4*IF(circ_int,0,eq_c1/2)+4*IF(circ_int,0,eq_c2/2)+2*PI()*(s_0+8*s_r+IF(circ_int,eq_c1/2,0)))/INDEX(lk_legs,9)),IF(((47+0.5)*(4*IF(circ_int,0,eq_c1/2)+4*IF(circ_int,0,eq_c2/2)+2*PI()*(s_0+8*s_r+IF(circ_int,eq_c1/2,0)))/INDEX(lk_legs,9))&lt;((2*IF(circ_int,0,eq_c2/2))+(PI()*(s_0+8*s_r+IF(circ_int,eq_c1/2,0))/2)),IF(circ_int,0,eq_c2/2)+(s_0+8*s_r+IF(circ_int,eq_c1/2,0))*SIN((((47+0.5)*(4*IF(circ_int,0,eq_c1/2)+4*IF(circ_int,0,eq_c2/2)+2*PI()*(s_0+8*s_r+IF(circ_int,eq_c1/2,0)))/INDEX(lk_legs,9))-(2*IF(circ_int,0,eq_c2/2)))/(s_0+8*s_r+IF(circ_int,eq_c1/2,0))),IF(((47+0.5)*(4*IF(circ_int,0,eq_c1/2)+4*IF(circ_int,0,eq_c2/2)+2*PI()*(s_0+8*s_r+IF(circ_int,eq_c1/2,0)))/INDEX(lk_legs,9))&lt;(((2*IF(circ_int,0,eq_c2/2))+(PI()*(s_0+8*s_r+IF(circ_int,eq_c1/2,0))/2))+2*IF(circ_int,0,eq_c1/2)),IF(circ_int,0,eq_c2/2)+(s_0+8*s_r+IF(circ_int,eq_c1/2,0)),IF(((47+0.5)*(4*IF(circ_int,0,eq_c1/2)+4*IF(circ_int,0,eq_c2/2)+2*PI()*(s_0+8*s_r+IF(circ_int,eq_c1/2,0)))/INDEX(lk_legs,9))&lt;((((2*IF(circ_int,0,eq_c2/2))+(PI()*(s_0+8*s_r+IF(circ_int,eq_c1/2,0))/2))+2*IF(circ_int,0,eq_c1/2))+(PI()*(s_0+8*s_r+IF(circ_int,eq_c1/2,0))/2)),IF(circ_int,0,eq_c2/2)+(s_0+8*s_r+IF(circ_int,eq_c1/2,0))*SIN(PI()/2+(((47+0.5)*(4*IF(circ_int,0,eq_c1/2)+4*IF(circ_int,0,eq_c2/2)+2*PI()*(s_0+8*s_r+IF(circ_int,eq_c1/2,0)))/INDEX(lk_legs,9))-(((2*IF(circ_int,0,eq_c2/2))+(PI()*(s_0+8*s_r+IF(circ_int,eq_c1/2,0))/2))+2*IF(circ_int,0,eq_c1/2)))/(s_0+8*s_r+IF(circ_int,eq_c1/2,0))),IF(((47+0.5)*(4*IF(circ_int,0,eq_c1/2)+4*IF(circ_int,0,eq_c2/2)+2*PI()*(s_0+8*s_r+IF(circ_int,eq_c1/2,0)))/INDEX(lk_legs,9))&lt;(((((2*IF(circ_int,0,eq_c2/2))+(PI()*(s_0+8*s_r+IF(circ_int,eq_c1/2,0))/2))+2*IF(circ_int,0,eq_c1/2))+(PI()*(s_0+8*s_r+IF(circ_int,eq_c1/2,0))/2))+2*IF(circ_int,0,eq_c2/2)),IF(circ_int,0,eq_c2/2)-(((47+0.5)*(4*IF(circ_int,0,eq_c1/2)+4*IF(circ_int,0,eq_c2/2)+2*PI()*(s_0+8*s_r+IF(circ_int,eq_c1/2,0)))/INDEX(lk_legs,9))-((((2*IF(circ_int,0,eq_c2/2))+(PI()*(s_0+8*s_r+IF(circ_int,eq_c1/2,0))/2))+2*IF(circ_int,0,eq_c1/2))+(PI()*(s_0+8*s_r+IF(circ_int,eq_c1/2,0))/2))),IF(((47+0.5)*(4*IF(circ_int,0,eq_c1/2)+4*IF(circ_int,0,eq_c2/2)+2*PI()*(s_0+8*s_r+IF(circ_int,eq_c1/2,0)))/INDEX(lk_legs,9))&lt;((((((2*IF(circ_int,0,eq_c2/2))+(PI()*(s_0+8*s_r+IF(circ_int,eq_c1/2,0))/2))+2*IF(circ_int,0,eq_c1/2))+(PI()*(s_0+8*s_r+IF(circ_int,eq_c1/2,0))/2))+2*IF(circ_int,0,eq_c2/2))+(PI()*(s_0+8*s_r+IF(circ_int,eq_c1/2,0))/2)),-IF(circ_int,0,eq_c2/2)+(s_0+8*s_r+IF(circ_int,eq_c1/2,0))*SIN(PI()+(((47+0.5)*(4*IF(circ_int,0,eq_c1/2)+4*IF(circ_int,0,eq_c2/2)+2*PI()*(s_0+8*s_r+IF(circ_int,eq_c1/2,0)))/INDEX(lk_legs,9))-(((((2*IF(circ_int,0,eq_c2/2))+(PI()*(s_0+8*s_r+IF(circ_int,eq_c1/2,0))/2))+2*IF(circ_int,0,eq_c1/2))+(PI()*(s_0+8*s_r+IF(circ_int,eq_c1/2,0))/2))+2*IF(circ_int,0,eq_c2/2)))/(s_0+8*s_r+IF(circ_int,eq_c1/2,0))),IF(((47+0.5)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(47+0.5)*(4*IF(circ_int,0,eq_c1/2)+4*IF(circ_int,0,eq_c2/2)+2*PI()*(s_0+8*s_r+IF(circ_int,eq_c1/2,0)))/INDEX(lk_legs,9))-(((((((2*IF(circ_int,0,eq_c2/2))+(PI()*(s_0+8*s_r+IF(circ_int,eq_c1/2,0))/2))+2*IF(circ_int,0,eq_c1/2))+(PI()*(s_0+8*s_r+IF(circ_int,eq_c1/2,0))/2))+2*IF(circ_int,0,eq_c2/2))+(PI()*(s_0+8*s_r+IF(circ_int,eq_c1/2,0))/2))+2*IF(circ_int,0,eq_c1/2)))/(s_0+8*s_r+IF(circ_int,eq_c1/2,0)))))))))),NA())</f>
        <v/>
      </c>
      <c r="CY50">
        <f>IF(AND(links_on,10&lt;=n_per),IF(circ_int,(g_ox)+(c_1/2+(s_0+9*s_r))*0.822984,CHOOSE(INDEX(lk_kind,10),(g_ox+eq_c1/2)+((s_0+9*s_r))*0.866025,0,eq_a1+eq_c1+(s_0+9*s_r),eq_a1+eq_c1+(s_0+9*s_r))),NA())</f>
        <v/>
      </c>
      <c r="CZ50">
        <f>IF(AND(links_on,10&lt;=n_per),IF(circ_int,(g_oy)+(c_1/2+(s_0+9*s_r))*-0.568065,CHOOSE(INDEX(lk_kind,10),(g_oy-eq_c2/2)+((s_0+9*s_r))*-0.500000,g_oy-eq_c2/2-(s_0+9*s_r),0,0)),NA())</f>
        <v/>
      </c>
      <c r="DB50">
        <f>IF(AND(AND(links_on,10&lt;=n_per),INDEX(lk_kind,10)=1,47&lt;INDEX(lk_legs,10)),g_ox+IF(((47+0.5)*(4*IF(circ_int,0,eq_c1/2)+4*IF(circ_int,0,eq_c2/2)+2*PI()*(s_0+9*s_r+IF(circ_int,eq_c1/2,0)))/INDEX(lk_legs,10))&lt;(2*IF(circ_int,0,eq_c2/2)),IF(circ_int,0,eq_c1/2)+(s_0+9*s_r+IF(circ_int,eq_c1/2,0)),IF(((47+0.5)*(4*IF(circ_int,0,eq_c1/2)+4*IF(circ_int,0,eq_c2/2)+2*PI()*(s_0+9*s_r+IF(circ_int,eq_c1/2,0)))/INDEX(lk_legs,10))&lt;((2*IF(circ_int,0,eq_c2/2))+(PI()*(s_0+9*s_r+IF(circ_int,eq_c1/2,0))/2)),IF(circ_int,0,eq_c1/2)+(s_0+9*s_r+IF(circ_int,eq_c1/2,0))*COS((((47+0.5)*(4*IF(circ_int,0,eq_c1/2)+4*IF(circ_int,0,eq_c2/2)+2*PI()*(s_0+9*s_r+IF(circ_int,eq_c1/2,0)))/INDEX(lk_legs,10))-(2*IF(circ_int,0,eq_c2/2)))/(s_0+9*s_r+IF(circ_int,eq_c1/2,0))),IF(((47+0.5)*(4*IF(circ_int,0,eq_c1/2)+4*IF(circ_int,0,eq_c2/2)+2*PI()*(s_0+9*s_r+IF(circ_int,eq_c1/2,0)))/INDEX(lk_legs,10))&lt;(((2*IF(circ_int,0,eq_c2/2))+(PI()*(s_0+9*s_r+IF(circ_int,eq_c1/2,0))/2))+2*IF(circ_int,0,eq_c1/2)),IF(circ_int,0,eq_c1/2)-(((47+0.5)*(4*IF(circ_int,0,eq_c1/2)+4*IF(circ_int,0,eq_c2/2)+2*PI()*(s_0+9*s_r+IF(circ_int,eq_c1/2,0)))/INDEX(lk_legs,10))-((2*IF(circ_int,0,eq_c2/2))+(PI()*(s_0+9*s_r+IF(circ_int,eq_c1/2,0))/2))),IF(((47+0.5)*(4*IF(circ_int,0,eq_c1/2)+4*IF(circ_int,0,eq_c2/2)+2*PI()*(s_0+9*s_r+IF(circ_int,eq_c1/2,0)))/INDEX(lk_legs,10))&lt;((((2*IF(circ_int,0,eq_c2/2))+(PI()*(s_0+9*s_r+IF(circ_int,eq_c1/2,0))/2))+2*IF(circ_int,0,eq_c1/2))+(PI()*(s_0+9*s_r+IF(circ_int,eq_c1/2,0))/2)),-IF(circ_int,0,eq_c1/2)+(s_0+9*s_r+IF(circ_int,eq_c1/2,0))*COS(PI()/2+(((47+0.5)*(4*IF(circ_int,0,eq_c1/2)+4*IF(circ_int,0,eq_c2/2)+2*PI()*(s_0+9*s_r+IF(circ_int,eq_c1/2,0)))/INDEX(lk_legs,10))-(((2*IF(circ_int,0,eq_c2/2))+(PI()*(s_0+9*s_r+IF(circ_int,eq_c1/2,0))/2))+2*IF(circ_int,0,eq_c1/2)))/(s_0+9*s_r+IF(circ_int,eq_c1/2,0))),IF(((47+0.5)*(4*IF(circ_int,0,eq_c1/2)+4*IF(circ_int,0,eq_c2/2)+2*PI()*(s_0+9*s_r+IF(circ_int,eq_c1/2,0)))/INDEX(lk_legs,10))&lt;(((((2*IF(circ_int,0,eq_c2/2))+(PI()*(s_0+9*s_r+IF(circ_int,eq_c1/2,0))/2))+2*IF(circ_int,0,eq_c1/2))+(PI()*(s_0+9*s_r+IF(circ_int,eq_c1/2,0))/2))+2*IF(circ_int,0,eq_c2/2)),-IF(circ_int,0,eq_c1/2)-(s_0+9*s_r+IF(circ_int,eq_c1/2,0)),IF(((47+0.5)*(4*IF(circ_int,0,eq_c1/2)+4*IF(circ_int,0,eq_c2/2)+2*PI()*(s_0+9*s_r+IF(circ_int,eq_c1/2,0)))/INDEX(lk_legs,10))&lt;((((((2*IF(circ_int,0,eq_c2/2))+(PI()*(s_0+9*s_r+IF(circ_int,eq_c1/2,0))/2))+2*IF(circ_int,0,eq_c1/2))+(PI()*(s_0+9*s_r+IF(circ_int,eq_c1/2,0))/2))+2*IF(circ_int,0,eq_c2/2))+(PI()*(s_0+9*s_r+IF(circ_int,eq_c1/2,0))/2)),-IF(circ_int,0,eq_c1/2)+(s_0+9*s_r+IF(circ_int,eq_c1/2,0))*COS(PI()+(((47+0.5)*(4*IF(circ_int,0,eq_c1/2)+4*IF(circ_int,0,eq_c2/2)+2*PI()*(s_0+9*s_r+IF(circ_int,eq_c1/2,0)))/INDEX(lk_legs,10))-(((((2*IF(circ_int,0,eq_c2/2))+(PI()*(s_0+9*s_r+IF(circ_int,eq_c1/2,0))/2))+2*IF(circ_int,0,eq_c1/2))+(PI()*(s_0+9*s_r+IF(circ_int,eq_c1/2,0))/2))+2*IF(circ_int,0,eq_c2/2)))/(s_0+9*s_r+IF(circ_int,eq_c1/2,0))),IF(((47+0.5)*(4*IF(circ_int,0,eq_c1/2)+4*IF(circ_int,0,eq_c2/2)+2*PI()*(s_0+9*s_r+IF(circ_int,eq_c1/2,0)))/INDEX(lk_legs,10))&lt;(((((((2*IF(circ_int,0,eq_c2/2))+(PI()*(s_0+9*s_r+IF(circ_int,eq_c1/2,0))/2))+2*IF(circ_int,0,eq_c1/2))+(PI()*(s_0+9*s_r+IF(circ_int,eq_c1/2,0))/2))+2*IF(circ_int,0,eq_c2/2))+(PI()*(s_0+9*s_r+IF(circ_int,eq_c1/2,0))/2))+2*IF(circ_int,0,eq_c1/2)),-IF(circ_int,0,eq_c1/2)+(((47+0.5)*(4*IF(circ_int,0,eq_c1/2)+4*IF(circ_int,0,eq_c2/2)+2*PI()*(s_0+9*s_r+IF(circ_int,eq_c1/2,0)))/INDEX(lk_legs,10))-((((((2*IF(circ_int,0,eq_c2/2))+(PI()*(s_0+9*s_r+IF(circ_int,eq_c1/2,0))/2))+2*IF(circ_int,0,eq_c1/2))+(PI()*(s_0+9*s_r+IF(circ_int,eq_c1/2,0))/2))+2*IF(circ_int,0,eq_c2/2))+(PI()*(s_0+9*s_r+IF(circ_int,eq_c1/2,0))/2))),IF(circ_int,0,eq_c1/2)+(s_0+9*s_r+IF(circ_int,eq_c1/2,0))*COS(3*PI()/2+(((47+0.5)*(4*IF(circ_int,0,eq_c1/2)+4*IF(circ_int,0,eq_c2/2)+2*PI()*(s_0+9*s_r+IF(circ_int,eq_c1/2,0)))/INDEX(lk_legs,10))-(((((((2*IF(circ_int,0,eq_c2/2))+(PI()*(s_0+9*s_r+IF(circ_int,eq_c1/2,0))/2))+2*IF(circ_int,0,eq_c1/2))+(PI()*(s_0+9*s_r+IF(circ_int,eq_c1/2,0))/2))+2*IF(circ_int,0,eq_c2/2))+(PI()*(s_0+9*s_r+IF(circ_int,eq_c1/2,0))/2))+2*IF(circ_int,0,eq_c1/2)))/(s_0+9*s_r+IF(circ_int,eq_c1/2,0)))))))))),NA())</f>
        <v/>
      </c>
      <c r="DC50">
        <f>IF(AND(AND(links_on,10&lt;=n_per),INDEX(lk_kind,10)=1,47&lt;INDEX(lk_legs,10)),g_oy+IF(((47+0.5)*(4*IF(circ_int,0,eq_c1/2)+4*IF(circ_int,0,eq_c2/2)+2*PI()*(s_0+9*s_r+IF(circ_int,eq_c1/2,0)))/INDEX(lk_legs,10))&lt;(2*IF(circ_int,0,eq_c2/2)),-IF(circ_int,0,eq_c2/2)+((47+0.5)*(4*IF(circ_int,0,eq_c1/2)+4*IF(circ_int,0,eq_c2/2)+2*PI()*(s_0+9*s_r+IF(circ_int,eq_c1/2,0)))/INDEX(lk_legs,10)),IF(((47+0.5)*(4*IF(circ_int,0,eq_c1/2)+4*IF(circ_int,0,eq_c2/2)+2*PI()*(s_0+9*s_r+IF(circ_int,eq_c1/2,0)))/INDEX(lk_legs,10))&lt;((2*IF(circ_int,0,eq_c2/2))+(PI()*(s_0+9*s_r+IF(circ_int,eq_c1/2,0))/2)),IF(circ_int,0,eq_c2/2)+(s_0+9*s_r+IF(circ_int,eq_c1/2,0))*SIN((((47+0.5)*(4*IF(circ_int,0,eq_c1/2)+4*IF(circ_int,0,eq_c2/2)+2*PI()*(s_0+9*s_r+IF(circ_int,eq_c1/2,0)))/INDEX(lk_legs,10))-(2*IF(circ_int,0,eq_c2/2)))/(s_0+9*s_r+IF(circ_int,eq_c1/2,0))),IF(((47+0.5)*(4*IF(circ_int,0,eq_c1/2)+4*IF(circ_int,0,eq_c2/2)+2*PI()*(s_0+9*s_r+IF(circ_int,eq_c1/2,0)))/INDEX(lk_legs,10))&lt;(((2*IF(circ_int,0,eq_c2/2))+(PI()*(s_0+9*s_r+IF(circ_int,eq_c1/2,0))/2))+2*IF(circ_int,0,eq_c1/2)),IF(circ_int,0,eq_c2/2)+(s_0+9*s_r+IF(circ_int,eq_c1/2,0)),IF(((47+0.5)*(4*IF(circ_int,0,eq_c1/2)+4*IF(circ_int,0,eq_c2/2)+2*PI()*(s_0+9*s_r+IF(circ_int,eq_c1/2,0)))/INDEX(lk_legs,10))&lt;((((2*IF(circ_int,0,eq_c2/2))+(PI()*(s_0+9*s_r+IF(circ_int,eq_c1/2,0))/2))+2*IF(circ_int,0,eq_c1/2))+(PI()*(s_0+9*s_r+IF(circ_int,eq_c1/2,0))/2)),IF(circ_int,0,eq_c2/2)+(s_0+9*s_r+IF(circ_int,eq_c1/2,0))*SIN(PI()/2+(((47+0.5)*(4*IF(circ_int,0,eq_c1/2)+4*IF(circ_int,0,eq_c2/2)+2*PI()*(s_0+9*s_r+IF(circ_int,eq_c1/2,0)))/INDEX(lk_legs,10))-(((2*IF(circ_int,0,eq_c2/2))+(PI()*(s_0+9*s_r+IF(circ_int,eq_c1/2,0))/2))+2*IF(circ_int,0,eq_c1/2)))/(s_0+9*s_r+IF(circ_int,eq_c1/2,0))),IF(((47+0.5)*(4*IF(circ_int,0,eq_c1/2)+4*IF(circ_int,0,eq_c2/2)+2*PI()*(s_0+9*s_r+IF(circ_int,eq_c1/2,0)))/INDEX(lk_legs,10))&lt;(((((2*IF(circ_int,0,eq_c2/2))+(PI()*(s_0+9*s_r+IF(circ_int,eq_c1/2,0))/2))+2*IF(circ_int,0,eq_c1/2))+(PI()*(s_0+9*s_r+IF(circ_int,eq_c1/2,0))/2))+2*IF(circ_int,0,eq_c2/2)),IF(circ_int,0,eq_c2/2)-(((47+0.5)*(4*IF(circ_int,0,eq_c1/2)+4*IF(circ_int,0,eq_c2/2)+2*PI()*(s_0+9*s_r+IF(circ_int,eq_c1/2,0)))/INDEX(lk_legs,10))-((((2*IF(circ_int,0,eq_c2/2))+(PI()*(s_0+9*s_r+IF(circ_int,eq_c1/2,0))/2))+2*IF(circ_int,0,eq_c1/2))+(PI()*(s_0+9*s_r+IF(circ_int,eq_c1/2,0))/2))),IF(((47+0.5)*(4*IF(circ_int,0,eq_c1/2)+4*IF(circ_int,0,eq_c2/2)+2*PI()*(s_0+9*s_r+IF(circ_int,eq_c1/2,0)))/INDEX(lk_legs,10))&lt;((((((2*IF(circ_int,0,eq_c2/2))+(PI()*(s_0+9*s_r+IF(circ_int,eq_c1/2,0))/2))+2*IF(circ_int,0,eq_c1/2))+(PI()*(s_0+9*s_r+IF(circ_int,eq_c1/2,0))/2))+2*IF(circ_int,0,eq_c2/2))+(PI()*(s_0+9*s_r+IF(circ_int,eq_c1/2,0))/2)),-IF(circ_int,0,eq_c2/2)+(s_0+9*s_r+IF(circ_int,eq_c1/2,0))*SIN(PI()+(((47+0.5)*(4*IF(circ_int,0,eq_c1/2)+4*IF(circ_int,0,eq_c2/2)+2*PI()*(s_0+9*s_r+IF(circ_int,eq_c1/2,0)))/INDEX(lk_legs,10))-(((((2*IF(circ_int,0,eq_c2/2))+(PI()*(s_0+9*s_r+IF(circ_int,eq_c1/2,0))/2))+2*IF(circ_int,0,eq_c1/2))+(PI()*(s_0+9*s_r+IF(circ_int,eq_c1/2,0))/2))+2*IF(circ_int,0,eq_c2/2)))/(s_0+9*s_r+IF(circ_int,eq_c1/2,0))),IF(((47+0.5)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(47+0.5)*(4*IF(circ_int,0,eq_c1/2)+4*IF(circ_int,0,eq_c2/2)+2*PI()*(s_0+9*s_r+IF(circ_int,eq_c1/2,0)))/INDEX(lk_legs,10))-(((((((2*IF(circ_int,0,eq_c2/2))+(PI()*(s_0+9*s_r+IF(circ_int,eq_c1/2,0))/2))+2*IF(circ_int,0,eq_c1/2))+(PI()*(s_0+9*s_r+IF(circ_int,eq_c1/2,0))/2))+2*IF(circ_int,0,eq_c2/2))+(PI()*(s_0+9*s_r+IF(circ_int,eq_c1/2,0))/2))+2*IF(circ_int,0,eq_c1/2)))/(s_0+9*s_r+IF(circ_int,eq_c1/2,0)))))))))),NA())</f>
        <v/>
      </c>
      <c r="DE50">
        <f>IF(AND(links_on,11&lt;=n_per),IF(circ_int,(g_ox)+(c_1/2+(s_0+10*s_r))*0.822984,CHOOSE(INDEX(lk_kind,11),(g_ox+eq_c1/2)+((s_0+10*s_r))*0.866025,0,eq_a1+eq_c1+(s_0+10*s_r),eq_a1+eq_c1+(s_0+10*s_r))),NA())</f>
        <v/>
      </c>
      <c r="DF50">
        <f>IF(AND(links_on,11&lt;=n_per),IF(circ_int,(g_oy)+(c_1/2+(s_0+10*s_r))*-0.568065,CHOOSE(INDEX(lk_kind,11),(g_oy-eq_c2/2)+((s_0+10*s_r))*-0.500000,g_oy-eq_c2/2-(s_0+10*s_r),0,0)),NA())</f>
        <v/>
      </c>
      <c r="DH50">
        <f>IF(AND(AND(links_on,11&lt;=n_per),INDEX(lk_kind,11)=1,47&lt;INDEX(lk_legs,11)),g_ox+IF(((47+0.5)*(4*IF(circ_int,0,eq_c1/2)+4*IF(circ_int,0,eq_c2/2)+2*PI()*(s_0+10*s_r+IF(circ_int,eq_c1/2,0)))/INDEX(lk_legs,11))&lt;(2*IF(circ_int,0,eq_c2/2)),IF(circ_int,0,eq_c1/2)+(s_0+10*s_r+IF(circ_int,eq_c1/2,0)),IF(((47+0.5)*(4*IF(circ_int,0,eq_c1/2)+4*IF(circ_int,0,eq_c2/2)+2*PI()*(s_0+10*s_r+IF(circ_int,eq_c1/2,0)))/INDEX(lk_legs,11))&lt;((2*IF(circ_int,0,eq_c2/2))+(PI()*(s_0+10*s_r+IF(circ_int,eq_c1/2,0))/2)),IF(circ_int,0,eq_c1/2)+(s_0+10*s_r+IF(circ_int,eq_c1/2,0))*COS((((47+0.5)*(4*IF(circ_int,0,eq_c1/2)+4*IF(circ_int,0,eq_c2/2)+2*PI()*(s_0+10*s_r+IF(circ_int,eq_c1/2,0)))/INDEX(lk_legs,11))-(2*IF(circ_int,0,eq_c2/2)))/(s_0+10*s_r+IF(circ_int,eq_c1/2,0))),IF(((47+0.5)*(4*IF(circ_int,0,eq_c1/2)+4*IF(circ_int,0,eq_c2/2)+2*PI()*(s_0+10*s_r+IF(circ_int,eq_c1/2,0)))/INDEX(lk_legs,11))&lt;(((2*IF(circ_int,0,eq_c2/2))+(PI()*(s_0+10*s_r+IF(circ_int,eq_c1/2,0))/2))+2*IF(circ_int,0,eq_c1/2)),IF(circ_int,0,eq_c1/2)-(((47+0.5)*(4*IF(circ_int,0,eq_c1/2)+4*IF(circ_int,0,eq_c2/2)+2*PI()*(s_0+10*s_r+IF(circ_int,eq_c1/2,0)))/INDEX(lk_legs,11))-((2*IF(circ_int,0,eq_c2/2))+(PI()*(s_0+10*s_r+IF(circ_int,eq_c1/2,0))/2))),IF(((47+0.5)*(4*IF(circ_int,0,eq_c1/2)+4*IF(circ_int,0,eq_c2/2)+2*PI()*(s_0+10*s_r+IF(circ_int,eq_c1/2,0)))/INDEX(lk_legs,11))&lt;((((2*IF(circ_int,0,eq_c2/2))+(PI()*(s_0+10*s_r+IF(circ_int,eq_c1/2,0))/2))+2*IF(circ_int,0,eq_c1/2))+(PI()*(s_0+10*s_r+IF(circ_int,eq_c1/2,0))/2)),-IF(circ_int,0,eq_c1/2)+(s_0+10*s_r+IF(circ_int,eq_c1/2,0))*COS(PI()/2+(((47+0.5)*(4*IF(circ_int,0,eq_c1/2)+4*IF(circ_int,0,eq_c2/2)+2*PI()*(s_0+10*s_r+IF(circ_int,eq_c1/2,0)))/INDEX(lk_legs,11))-(((2*IF(circ_int,0,eq_c2/2))+(PI()*(s_0+10*s_r+IF(circ_int,eq_c1/2,0))/2))+2*IF(circ_int,0,eq_c1/2)))/(s_0+10*s_r+IF(circ_int,eq_c1/2,0))),IF(((47+0.5)*(4*IF(circ_int,0,eq_c1/2)+4*IF(circ_int,0,eq_c2/2)+2*PI()*(s_0+10*s_r+IF(circ_int,eq_c1/2,0)))/INDEX(lk_legs,11))&lt;(((((2*IF(circ_int,0,eq_c2/2))+(PI()*(s_0+10*s_r+IF(circ_int,eq_c1/2,0))/2))+2*IF(circ_int,0,eq_c1/2))+(PI()*(s_0+10*s_r+IF(circ_int,eq_c1/2,0))/2))+2*IF(circ_int,0,eq_c2/2)),-IF(circ_int,0,eq_c1/2)-(s_0+10*s_r+IF(circ_int,eq_c1/2,0)),IF(((47+0.5)*(4*IF(circ_int,0,eq_c1/2)+4*IF(circ_int,0,eq_c2/2)+2*PI()*(s_0+10*s_r+IF(circ_int,eq_c1/2,0)))/INDEX(lk_legs,11))&lt;((((((2*IF(circ_int,0,eq_c2/2))+(PI()*(s_0+10*s_r+IF(circ_int,eq_c1/2,0))/2))+2*IF(circ_int,0,eq_c1/2))+(PI()*(s_0+10*s_r+IF(circ_int,eq_c1/2,0))/2))+2*IF(circ_int,0,eq_c2/2))+(PI()*(s_0+10*s_r+IF(circ_int,eq_c1/2,0))/2)),-IF(circ_int,0,eq_c1/2)+(s_0+10*s_r+IF(circ_int,eq_c1/2,0))*COS(PI()+(((47+0.5)*(4*IF(circ_int,0,eq_c1/2)+4*IF(circ_int,0,eq_c2/2)+2*PI()*(s_0+10*s_r+IF(circ_int,eq_c1/2,0)))/INDEX(lk_legs,11))-(((((2*IF(circ_int,0,eq_c2/2))+(PI()*(s_0+10*s_r+IF(circ_int,eq_c1/2,0))/2))+2*IF(circ_int,0,eq_c1/2))+(PI()*(s_0+10*s_r+IF(circ_int,eq_c1/2,0))/2))+2*IF(circ_int,0,eq_c2/2)))/(s_0+10*s_r+IF(circ_int,eq_c1/2,0))),IF(((47+0.5)*(4*IF(circ_int,0,eq_c1/2)+4*IF(circ_int,0,eq_c2/2)+2*PI()*(s_0+10*s_r+IF(circ_int,eq_c1/2,0)))/INDEX(lk_legs,11))&lt;(((((((2*IF(circ_int,0,eq_c2/2))+(PI()*(s_0+10*s_r+IF(circ_int,eq_c1/2,0))/2))+2*IF(circ_int,0,eq_c1/2))+(PI()*(s_0+10*s_r+IF(circ_int,eq_c1/2,0))/2))+2*IF(circ_int,0,eq_c2/2))+(PI()*(s_0+10*s_r+IF(circ_int,eq_c1/2,0))/2))+2*IF(circ_int,0,eq_c1/2)),-IF(circ_int,0,eq_c1/2)+(((47+0.5)*(4*IF(circ_int,0,eq_c1/2)+4*IF(circ_int,0,eq_c2/2)+2*PI()*(s_0+10*s_r+IF(circ_int,eq_c1/2,0)))/INDEX(lk_legs,11))-((((((2*IF(circ_int,0,eq_c2/2))+(PI()*(s_0+10*s_r+IF(circ_int,eq_c1/2,0))/2))+2*IF(circ_int,0,eq_c1/2))+(PI()*(s_0+10*s_r+IF(circ_int,eq_c1/2,0))/2))+2*IF(circ_int,0,eq_c2/2))+(PI()*(s_0+10*s_r+IF(circ_int,eq_c1/2,0))/2))),IF(circ_int,0,eq_c1/2)+(s_0+10*s_r+IF(circ_int,eq_c1/2,0))*COS(3*PI()/2+(((47+0.5)*(4*IF(circ_int,0,eq_c1/2)+4*IF(circ_int,0,eq_c2/2)+2*PI()*(s_0+10*s_r+IF(circ_int,eq_c1/2,0)))/INDEX(lk_legs,11))-(((((((2*IF(circ_int,0,eq_c2/2))+(PI()*(s_0+10*s_r+IF(circ_int,eq_c1/2,0))/2))+2*IF(circ_int,0,eq_c1/2))+(PI()*(s_0+10*s_r+IF(circ_int,eq_c1/2,0))/2))+2*IF(circ_int,0,eq_c2/2))+(PI()*(s_0+10*s_r+IF(circ_int,eq_c1/2,0))/2))+2*IF(circ_int,0,eq_c1/2)))/(s_0+10*s_r+IF(circ_int,eq_c1/2,0)))))))))),NA())</f>
        <v/>
      </c>
      <c r="DI50">
        <f>IF(AND(AND(links_on,11&lt;=n_per),INDEX(lk_kind,11)=1,47&lt;INDEX(lk_legs,11)),g_oy+IF(((47+0.5)*(4*IF(circ_int,0,eq_c1/2)+4*IF(circ_int,0,eq_c2/2)+2*PI()*(s_0+10*s_r+IF(circ_int,eq_c1/2,0)))/INDEX(lk_legs,11))&lt;(2*IF(circ_int,0,eq_c2/2)),-IF(circ_int,0,eq_c2/2)+((47+0.5)*(4*IF(circ_int,0,eq_c1/2)+4*IF(circ_int,0,eq_c2/2)+2*PI()*(s_0+10*s_r+IF(circ_int,eq_c1/2,0)))/INDEX(lk_legs,11)),IF(((47+0.5)*(4*IF(circ_int,0,eq_c1/2)+4*IF(circ_int,0,eq_c2/2)+2*PI()*(s_0+10*s_r+IF(circ_int,eq_c1/2,0)))/INDEX(lk_legs,11))&lt;((2*IF(circ_int,0,eq_c2/2))+(PI()*(s_0+10*s_r+IF(circ_int,eq_c1/2,0))/2)),IF(circ_int,0,eq_c2/2)+(s_0+10*s_r+IF(circ_int,eq_c1/2,0))*SIN((((47+0.5)*(4*IF(circ_int,0,eq_c1/2)+4*IF(circ_int,0,eq_c2/2)+2*PI()*(s_0+10*s_r+IF(circ_int,eq_c1/2,0)))/INDEX(lk_legs,11))-(2*IF(circ_int,0,eq_c2/2)))/(s_0+10*s_r+IF(circ_int,eq_c1/2,0))),IF(((47+0.5)*(4*IF(circ_int,0,eq_c1/2)+4*IF(circ_int,0,eq_c2/2)+2*PI()*(s_0+10*s_r+IF(circ_int,eq_c1/2,0)))/INDEX(lk_legs,11))&lt;(((2*IF(circ_int,0,eq_c2/2))+(PI()*(s_0+10*s_r+IF(circ_int,eq_c1/2,0))/2))+2*IF(circ_int,0,eq_c1/2)),IF(circ_int,0,eq_c2/2)+(s_0+10*s_r+IF(circ_int,eq_c1/2,0)),IF(((47+0.5)*(4*IF(circ_int,0,eq_c1/2)+4*IF(circ_int,0,eq_c2/2)+2*PI()*(s_0+10*s_r+IF(circ_int,eq_c1/2,0)))/INDEX(lk_legs,11))&lt;((((2*IF(circ_int,0,eq_c2/2))+(PI()*(s_0+10*s_r+IF(circ_int,eq_c1/2,0))/2))+2*IF(circ_int,0,eq_c1/2))+(PI()*(s_0+10*s_r+IF(circ_int,eq_c1/2,0))/2)),IF(circ_int,0,eq_c2/2)+(s_0+10*s_r+IF(circ_int,eq_c1/2,0))*SIN(PI()/2+(((47+0.5)*(4*IF(circ_int,0,eq_c1/2)+4*IF(circ_int,0,eq_c2/2)+2*PI()*(s_0+10*s_r+IF(circ_int,eq_c1/2,0)))/INDEX(lk_legs,11))-(((2*IF(circ_int,0,eq_c2/2))+(PI()*(s_0+10*s_r+IF(circ_int,eq_c1/2,0))/2))+2*IF(circ_int,0,eq_c1/2)))/(s_0+10*s_r+IF(circ_int,eq_c1/2,0))),IF(((47+0.5)*(4*IF(circ_int,0,eq_c1/2)+4*IF(circ_int,0,eq_c2/2)+2*PI()*(s_0+10*s_r+IF(circ_int,eq_c1/2,0)))/INDEX(lk_legs,11))&lt;(((((2*IF(circ_int,0,eq_c2/2))+(PI()*(s_0+10*s_r+IF(circ_int,eq_c1/2,0))/2))+2*IF(circ_int,0,eq_c1/2))+(PI()*(s_0+10*s_r+IF(circ_int,eq_c1/2,0))/2))+2*IF(circ_int,0,eq_c2/2)),IF(circ_int,0,eq_c2/2)-(((47+0.5)*(4*IF(circ_int,0,eq_c1/2)+4*IF(circ_int,0,eq_c2/2)+2*PI()*(s_0+10*s_r+IF(circ_int,eq_c1/2,0)))/INDEX(lk_legs,11))-((((2*IF(circ_int,0,eq_c2/2))+(PI()*(s_0+10*s_r+IF(circ_int,eq_c1/2,0))/2))+2*IF(circ_int,0,eq_c1/2))+(PI()*(s_0+10*s_r+IF(circ_int,eq_c1/2,0))/2))),IF(((47+0.5)*(4*IF(circ_int,0,eq_c1/2)+4*IF(circ_int,0,eq_c2/2)+2*PI()*(s_0+10*s_r+IF(circ_int,eq_c1/2,0)))/INDEX(lk_legs,11))&lt;((((((2*IF(circ_int,0,eq_c2/2))+(PI()*(s_0+10*s_r+IF(circ_int,eq_c1/2,0))/2))+2*IF(circ_int,0,eq_c1/2))+(PI()*(s_0+10*s_r+IF(circ_int,eq_c1/2,0))/2))+2*IF(circ_int,0,eq_c2/2))+(PI()*(s_0+10*s_r+IF(circ_int,eq_c1/2,0))/2)),-IF(circ_int,0,eq_c2/2)+(s_0+10*s_r+IF(circ_int,eq_c1/2,0))*SIN(PI()+(((47+0.5)*(4*IF(circ_int,0,eq_c1/2)+4*IF(circ_int,0,eq_c2/2)+2*PI()*(s_0+10*s_r+IF(circ_int,eq_c1/2,0)))/INDEX(lk_legs,11))-(((((2*IF(circ_int,0,eq_c2/2))+(PI()*(s_0+10*s_r+IF(circ_int,eq_c1/2,0))/2))+2*IF(circ_int,0,eq_c1/2))+(PI()*(s_0+10*s_r+IF(circ_int,eq_c1/2,0))/2))+2*IF(circ_int,0,eq_c2/2)))/(s_0+10*s_r+IF(circ_int,eq_c1/2,0))),IF(((47+0.5)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(47+0.5)*(4*IF(circ_int,0,eq_c1/2)+4*IF(circ_int,0,eq_c2/2)+2*PI()*(s_0+10*s_r+IF(circ_int,eq_c1/2,0)))/INDEX(lk_legs,11))-(((((((2*IF(circ_int,0,eq_c2/2))+(PI()*(s_0+10*s_r+IF(circ_int,eq_c1/2,0))/2))+2*IF(circ_int,0,eq_c1/2))+(PI()*(s_0+10*s_r+IF(circ_int,eq_c1/2,0))/2))+2*IF(circ_int,0,eq_c2/2))+(PI()*(s_0+10*s_r+IF(circ_int,eq_c1/2,0))/2))+2*IF(circ_int,0,eq_c1/2)))/(s_0+10*s_r+IF(circ_int,eq_c1/2,0)))))))))),NA())</f>
        <v/>
      </c>
      <c r="DK50">
        <f>IF(AND(links_on,12&lt;=n_per),IF(circ_int,(g_ox)+(c_1/2+(s_0+11*s_r))*0.822984,CHOOSE(INDEX(lk_kind,12),(g_ox+eq_c1/2)+((s_0+11*s_r))*0.866025,0,eq_a1+eq_c1+(s_0+11*s_r),eq_a1+eq_c1+(s_0+11*s_r))),NA())</f>
        <v/>
      </c>
      <c r="DL50">
        <f>IF(AND(links_on,12&lt;=n_per),IF(circ_int,(g_oy)+(c_1/2+(s_0+11*s_r))*-0.568065,CHOOSE(INDEX(lk_kind,12),(g_oy-eq_c2/2)+((s_0+11*s_r))*-0.500000,g_oy-eq_c2/2-(s_0+11*s_r),0,0)),NA())</f>
        <v/>
      </c>
      <c r="DN50">
        <f>IF(AND(AND(links_on,12&lt;=n_per),INDEX(lk_kind,12)=1,47&lt;INDEX(lk_legs,12)),g_ox+IF(((47+0.5)*(4*IF(circ_int,0,eq_c1/2)+4*IF(circ_int,0,eq_c2/2)+2*PI()*(s_0+11*s_r+IF(circ_int,eq_c1/2,0)))/INDEX(lk_legs,12))&lt;(2*IF(circ_int,0,eq_c2/2)),IF(circ_int,0,eq_c1/2)+(s_0+11*s_r+IF(circ_int,eq_c1/2,0)),IF(((47+0.5)*(4*IF(circ_int,0,eq_c1/2)+4*IF(circ_int,0,eq_c2/2)+2*PI()*(s_0+11*s_r+IF(circ_int,eq_c1/2,0)))/INDEX(lk_legs,12))&lt;((2*IF(circ_int,0,eq_c2/2))+(PI()*(s_0+11*s_r+IF(circ_int,eq_c1/2,0))/2)),IF(circ_int,0,eq_c1/2)+(s_0+11*s_r+IF(circ_int,eq_c1/2,0))*COS((((47+0.5)*(4*IF(circ_int,0,eq_c1/2)+4*IF(circ_int,0,eq_c2/2)+2*PI()*(s_0+11*s_r+IF(circ_int,eq_c1/2,0)))/INDEX(lk_legs,12))-(2*IF(circ_int,0,eq_c2/2)))/(s_0+11*s_r+IF(circ_int,eq_c1/2,0))),IF(((47+0.5)*(4*IF(circ_int,0,eq_c1/2)+4*IF(circ_int,0,eq_c2/2)+2*PI()*(s_0+11*s_r+IF(circ_int,eq_c1/2,0)))/INDEX(lk_legs,12))&lt;(((2*IF(circ_int,0,eq_c2/2))+(PI()*(s_0+11*s_r+IF(circ_int,eq_c1/2,0))/2))+2*IF(circ_int,0,eq_c1/2)),IF(circ_int,0,eq_c1/2)-(((47+0.5)*(4*IF(circ_int,0,eq_c1/2)+4*IF(circ_int,0,eq_c2/2)+2*PI()*(s_0+11*s_r+IF(circ_int,eq_c1/2,0)))/INDEX(lk_legs,12))-((2*IF(circ_int,0,eq_c2/2))+(PI()*(s_0+11*s_r+IF(circ_int,eq_c1/2,0))/2))),IF(((47+0.5)*(4*IF(circ_int,0,eq_c1/2)+4*IF(circ_int,0,eq_c2/2)+2*PI()*(s_0+11*s_r+IF(circ_int,eq_c1/2,0)))/INDEX(lk_legs,12))&lt;((((2*IF(circ_int,0,eq_c2/2))+(PI()*(s_0+11*s_r+IF(circ_int,eq_c1/2,0))/2))+2*IF(circ_int,0,eq_c1/2))+(PI()*(s_0+11*s_r+IF(circ_int,eq_c1/2,0))/2)),-IF(circ_int,0,eq_c1/2)+(s_0+11*s_r+IF(circ_int,eq_c1/2,0))*COS(PI()/2+(((47+0.5)*(4*IF(circ_int,0,eq_c1/2)+4*IF(circ_int,0,eq_c2/2)+2*PI()*(s_0+11*s_r+IF(circ_int,eq_c1/2,0)))/INDEX(lk_legs,12))-(((2*IF(circ_int,0,eq_c2/2))+(PI()*(s_0+11*s_r+IF(circ_int,eq_c1/2,0))/2))+2*IF(circ_int,0,eq_c1/2)))/(s_0+11*s_r+IF(circ_int,eq_c1/2,0))),IF(((47+0.5)*(4*IF(circ_int,0,eq_c1/2)+4*IF(circ_int,0,eq_c2/2)+2*PI()*(s_0+11*s_r+IF(circ_int,eq_c1/2,0)))/INDEX(lk_legs,12))&lt;(((((2*IF(circ_int,0,eq_c2/2))+(PI()*(s_0+11*s_r+IF(circ_int,eq_c1/2,0))/2))+2*IF(circ_int,0,eq_c1/2))+(PI()*(s_0+11*s_r+IF(circ_int,eq_c1/2,0))/2))+2*IF(circ_int,0,eq_c2/2)),-IF(circ_int,0,eq_c1/2)-(s_0+11*s_r+IF(circ_int,eq_c1/2,0)),IF(((47+0.5)*(4*IF(circ_int,0,eq_c1/2)+4*IF(circ_int,0,eq_c2/2)+2*PI()*(s_0+11*s_r+IF(circ_int,eq_c1/2,0)))/INDEX(lk_legs,12))&lt;((((((2*IF(circ_int,0,eq_c2/2))+(PI()*(s_0+11*s_r+IF(circ_int,eq_c1/2,0))/2))+2*IF(circ_int,0,eq_c1/2))+(PI()*(s_0+11*s_r+IF(circ_int,eq_c1/2,0))/2))+2*IF(circ_int,0,eq_c2/2))+(PI()*(s_0+11*s_r+IF(circ_int,eq_c1/2,0))/2)),-IF(circ_int,0,eq_c1/2)+(s_0+11*s_r+IF(circ_int,eq_c1/2,0))*COS(PI()+(((47+0.5)*(4*IF(circ_int,0,eq_c1/2)+4*IF(circ_int,0,eq_c2/2)+2*PI()*(s_0+11*s_r+IF(circ_int,eq_c1/2,0)))/INDEX(lk_legs,12))-(((((2*IF(circ_int,0,eq_c2/2))+(PI()*(s_0+11*s_r+IF(circ_int,eq_c1/2,0))/2))+2*IF(circ_int,0,eq_c1/2))+(PI()*(s_0+11*s_r+IF(circ_int,eq_c1/2,0))/2))+2*IF(circ_int,0,eq_c2/2)))/(s_0+11*s_r+IF(circ_int,eq_c1/2,0))),IF(((47+0.5)*(4*IF(circ_int,0,eq_c1/2)+4*IF(circ_int,0,eq_c2/2)+2*PI()*(s_0+11*s_r+IF(circ_int,eq_c1/2,0)))/INDEX(lk_legs,12))&lt;(((((((2*IF(circ_int,0,eq_c2/2))+(PI()*(s_0+11*s_r+IF(circ_int,eq_c1/2,0))/2))+2*IF(circ_int,0,eq_c1/2))+(PI()*(s_0+11*s_r+IF(circ_int,eq_c1/2,0))/2))+2*IF(circ_int,0,eq_c2/2))+(PI()*(s_0+11*s_r+IF(circ_int,eq_c1/2,0))/2))+2*IF(circ_int,0,eq_c1/2)),-IF(circ_int,0,eq_c1/2)+(((47+0.5)*(4*IF(circ_int,0,eq_c1/2)+4*IF(circ_int,0,eq_c2/2)+2*PI()*(s_0+11*s_r+IF(circ_int,eq_c1/2,0)))/INDEX(lk_legs,12))-((((((2*IF(circ_int,0,eq_c2/2))+(PI()*(s_0+11*s_r+IF(circ_int,eq_c1/2,0))/2))+2*IF(circ_int,0,eq_c1/2))+(PI()*(s_0+11*s_r+IF(circ_int,eq_c1/2,0))/2))+2*IF(circ_int,0,eq_c2/2))+(PI()*(s_0+11*s_r+IF(circ_int,eq_c1/2,0))/2))),IF(circ_int,0,eq_c1/2)+(s_0+11*s_r+IF(circ_int,eq_c1/2,0))*COS(3*PI()/2+(((47+0.5)*(4*IF(circ_int,0,eq_c1/2)+4*IF(circ_int,0,eq_c2/2)+2*PI()*(s_0+11*s_r+IF(circ_int,eq_c1/2,0)))/INDEX(lk_legs,12))-(((((((2*IF(circ_int,0,eq_c2/2))+(PI()*(s_0+11*s_r+IF(circ_int,eq_c1/2,0))/2))+2*IF(circ_int,0,eq_c1/2))+(PI()*(s_0+11*s_r+IF(circ_int,eq_c1/2,0))/2))+2*IF(circ_int,0,eq_c2/2))+(PI()*(s_0+11*s_r+IF(circ_int,eq_c1/2,0))/2))+2*IF(circ_int,0,eq_c1/2)))/(s_0+11*s_r+IF(circ_int,eq_c1/2,0)))))))))),NA())</f>
        <v/>
      </c>
      <c r="DO50">
        <f>IF(AND(AND(links_on,12&lt;=n_per),INDEX(lk_kind,12)=1,47&lt;INDEX(lk_legs,12)),g_oy+IF(((47+0.5)*(4*IF(circ_int,0,eq_c1/2)+4*IF(circ_int,0,eq_c2/2)+2*PI()*(s_0+11*s_r+IF(circ_int,eq_c1/2,0)))/INDEX(lk_legs,12))&lt;(2*IF(circ_int,0,eq_c2/2)),-IF(circ_int,0,eq_c2/2)+((47+0.5)*(4*IF(circ_int,0,eq_c1/2)+4*IF(circ_int,0,eq_c2/2)+2*PI()*(s_0+11*s_r+IF(circ_int,eq_c1/2,0)))/INDEX(lk_legs,12)),IF(((47+0.5)*(4*IF(circ_int,0,eq_c1/2)+4*IF(circ_int,0,eq_c2/2)+2*PI()*(s_0+11*s_r+IF(circ_int,eq_c1/2,0)))/INDEX(lk_legs,12))&lt;((2*IF(circ_int,0,eq_c2/2))+(PI()*(s_0+11*s_r+IF(circ_int,eq_c1/2,0))/2)),IF(circ_int,0,eq_c2/2)+(s_0+11*s_r+IF(circ_int,eq_c1/2,0))*SIN((((47+0.5)*(4*IF(circ_int,0,eq_c1/2)+4*IF(circ_int,0,eq_c2/2)+2*PI()*(s_0+11*s_r+IF(circ_int,eq_c1/2,0)))/INDEX(lk_legs,12))-(2*IF(circ_int,0,eq_c2/2)))/(s_0+11*s_r+IF(circ_int,eq_c1/2,0))),IF(((47+0.5)*(4*IF(circ_int,0,eq_c1/2)+4*IF(circ_int,0,eq_c2/2)+2*PI()*(s_0+11*s_r+IF(circ_int,eq_c1/2,0)))/INDEX(lk_legs,12))&lt;(((2*IF(circ_int,0,eq_c2/2))+(PI()*(s_0+11*s_r+IF(circ_int,eq_c1/2,0))/2))+2*IF(circ_int,0,eq_c1/2)),IF(circ_int,0,eq_c2/2)+(s_0+11*s_r+IF(circ_int,eq_c1/2,0)),IF(((47+0.5)*(4*IF(circ_int,0,eq_c1/2)+4*IF(circ_int,0,eq_c2/2)+2*PI()*(s_0+11*s_r+IF(circ_int,eq_c1/2,0)))/INDEX(lk_legs,12))&lt;((((2*IF(circ_int,0,eq_c2/2))+(PI()*(s_0+11*s_r+IF(circ_int,eq_c1/2,0))/2))+2*IF(circ_int,0,eq_c1/2))+(PI()*(s_0+11*s_r+IF(circ_int,eq_c1/2,0))/2)),IF(circ_int,0,eq_c2/2)+(s_0+11*s_r+IF(circ_int,eq_c1/2,0))*SIN(PI()/2+(((47+0.5)*(4*IF(circ_int,0,eq_c1/2)+4*IF(circ_int,0,eq_c2/2)+2*PI()*(s_0+11*s_r+IF(circ_int,eq_c1/2,0)))/INDEX(lk_legs,12))-(((2*IF(circ_int,0,eq_c2/2))+(PI()*(s_0+11*s_r+IF(circ_int,eq_c1/2,0))/2))+2*IF(circ_int,0,eq_c1/2)))/(s_0+11*s_r+IF(circ_int,eq_c1/2,0))),IF(((47+0.5)*(4*IF(circ_int,0,eq_c1/2)+4*IF(circ_int,0,eq_c2/2)+2*PI()*(s_0+11*s_r+IF(circ_int,eq_c1/2,0)))/INDEX(lk_legs,12))&lt;(((((2*IF(circ_int,0,eq_c2/2))+(PI()*(s_0+11*s_r+IF(circ_int,eq_c1/2,0))/2))+2*IF(circ_int,0,eq_c1/2))+(PI()*(s_0+11*s_r+IF(circ_int,eq_c1/2,0))/2))+2*IF(circ_int,0,eq_c2/2)),IF(circ_int,0,eq_c2/2)-(((47+0.5)*(4*IF(circ_int,0,eq_c1/2)+4*IF(circ_int,0,eq_c2/2)+2*PI()*(s_0+11*s_r+IF(circ_int,eq_c1/2,0)))/INDEX(lk_legs,12))-((((2*IF(circ_int,0,eq_c2/2))+(PI()*(s_0+11*s_r+IF(circ_int,eq_c1/2,0))/2))+2*IF(circ_int,0,eq_c1/2))+(PI()*(s_0+11*s_r+IF(circ_int,eq_c1/2,0))/2))),IF(((47+0.5)*(4*IF(circ_int,0,eq_c1/2)+4*IF(circ_int,0,eq_c2/2)+2*PI()*(s_0+11*s_r+IF(circ_int,eq_c1/2,0)))/INDEX(lk_legs,12))&lt;((((((2*IF(circ_int,0,eq_c2/2))+(PI()*(s_0+11*s_r+IF(circ_int,eq_c1/2,0))/2))+2*IF(circ_int,0,eq_c1/2))+(PI()*(s_0+11*s_r+IF(circ_int,eq_c1/2,0))/2))+2*IF(circ_int,0,eq_c2/2))+(PI()*(s_0+11*s_r+IF(circ_int,eq_c1/2,0))/2)),-IF(circ_int,0,eq_c2/2)+(s_0+11*s_r+IF(circ_int,eq_c1/2,0))*SIN(PI()+(((47+0.5)*(4*IF(circ_int,0,eq_c1/2)+4*IF(circ_int,0,eq_c2/2)+2*PI()*(s_0+11*s_r+IF(circ_int,eq_c1/2,0)))/INDEX(lk_legs,12))-(((((2*IF(circ_int,0,eq_c2/2))+(PI()*(s_0+11*s_r+IF(circ_int,eq_c1/2,0))/2))+2*IF(circ_int,0,eq_c1/2))+(PI()*(s_0+11*s_r+IF(circ_int,eq_c1/2,0))/2))+2*IF(circ_int,0,eq_c2/2)))/(s_0+11*s_r+IF(circ_int,eq_c1/2,0))),IF(((47+0.5)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(47+0.5)*(4*IF(circ_int,0,eq_c1/2)+4*IF(circ_int,0,eq_c2/2)+2*PI()*(s_0+11*s_r+IF(circ_int,eq_c1/2,0)))/INDEX(lk_legs,12))-(((((((2*IF(circ_int,0,eq_c2/2))+(PI()*(s_0+11*s_r+IF(circ_int,eq_c1/2,0))/2))+2*IF(circ_int,0,eq_c1/2))+(PI()*(s_0+11*s_r+IF(circ_int,eq_c1/2,0))/2))+2*IF(circ_int,0,eq_c2/2))+(PI()*(s_0+11*s_r+IF(circ_int,eq_c1/2,0))/2))+2*IF(circ_int,0,eq_c1/2)))/(s_0+11*s_r+IF(circ_int,eq_c1/2,0)))))))))),NA())</f>
        <v/>
      </c>
    </row>
    <row r="51">
      <c r="A51">
        <f>IF(shape="Circular",(g_ox)+(c_1/2+0)*0.885456,CHOOSE(1,(g_ox+eq_c1/2)+(0)*0.923880,0,eq_a1+eq_c1+0,eq_a1+eq_c1+0))</f>
        <v/>
      </c>
      <c r="B51">
        <f>IF(shape="Circular",(g_oy)+(c_1/2+0)*-0.464723,CHOOSE(1,(g_oy-eq_c2/2)+(0)*-0.382683,g_oy-eq_c2/2-0,0,0))</f>
        <v/>
      </c>
      <c r="D51">
        <f>IF(circ_int,(g_ox)+(c_1/2+2*d_eff)*0.885456,CHOOSE(geo_idx,(g_ox+eq_c1/2)+(2*d_eff)*0.923880,0,eq_a1+eq_c1+2*d_eff,eq_a1+eq_c1+2*d_eff))</f>
        <v/>
      </c>
      <c r="E51">
        <f>IF(circ_int,(g_oy)+(c_1/2+2*d_eff)*-0.464723,CHOOSE(geo_idx,(g_oy-eq_c2/2)+(2*d_eff)*-0.382683,g_oy-eq_c2/2-2*d_eff,0,0))</f>
        <v/>
      </c>
      <c r="G51">
        <f>IF(AND(inputs_ok,punch_ok,A_sw&gt;0),IF(circ_int,(g_ox)+(c_1/2+r_out)*0.885456,CHOOSE(kind_out,(g_ox+eq_c1/2)+(r_out)*0.923880,0,eq_a1+eq_c1+r_out,eq_a1+eq_c1+r_out)),NA())</f>
        <v/>
      </c>
      <c r="H51">
        <f>IF(AND(inputs_ok,punch_ok,A_sw&gt;0),IF(circ_int,(g_oy)+(c_1/2+r_out)*-0.464723,CHOOSE(kind_out,(g_oy-eq_c2/2)+(r_out)*-0.382683,g_oy-eq_c2/2-r_out,0,0)),NA())</f>
        <v/>
      </c>
      <c r="AW51">
        <f>IF(AND(links_on,1&lt;=n_per),IF(circ_int,(g_ox)+(c_1/2+(s_0+0*s_r))*0.885456,CHOOSE(INDEX(lk_kind,1),(g_ox+eq_c1/2)+((s_0+0*s_r))*0.923880,0,eq_a1+eq_c1+(s_0+0*s_r),eq_a1+eq_c1+(s_0+0*s_r))),NA())</f>
        <v/>
      </c>
      <c r="AX51">
        <f>IF(AND(links_on,1&lt;=n_per),IF(circ_int,(g_oy)+(c_1/2+(s_0+0*s_r))*-0.464723,CHOOSE(INDEX(lk_kind,1),(g_oy-eq_c2/2)+((s_0+0*s_r))*-0.382683,g_oy-eq_c2/2-(s_0+0*s_r),0,0)),NA())</f>
        <v/>
      </c>
      <c r="AZ51">
        <f>IF(AND(AND(links_on,1&lt;=n_per),INDEX(lk_kind,1)=1,48&lt;INDEX(lk_legs,1)),g_ox+IF(((48+0.5)*(4*IF(circ_int,0,eq_c1/2)+4*IF(circ_int,0,eq_c2/2)+2*PI()*(s_0+0*s_r+IF(circ_int,eq_c1/2,0)))/INDEX(lk_legs,1))&lt;(2*IF(circ_int,0,eq_c2/2)),IF(circ_int,0,eq_c1/2)+(s_0+0*s_r+IF(circ_int,eq_c1/2,0)),IF(((48+0.5)*(4*IF(circ_int,0,eq_c1/2)+4*IF(circ_int,0,eq_c2/2)+2*PI()*(s_0+0*s_r+IF(circ_int,eq_c1/2,0)))/INDEX(lk_legs,1))&lt;((2*IF(circ_int,0,eq_c2/2))+(PI()*(s_0+0*s_r+IF(circ_int,eq_c1/2,0))/2)),IF(circ_int,0,eq_c1/2)+(s_0+0*s_r+IF(circ_int,eq_c1/2,0))*COS((((48+0.5)*(4*IF(circ_int,0,eq_c1/2)+4*IF(circ_int,0,eq_c2/2)+2*PI()*(s_0+0*s_r+IF(circ_int,eq_c1/2,0)))/INDEX(lk_legs,1))-(2*IF(circ_int,0,eq_c2/2)))/(s_0+0*s_r+IF(circ_int,eq_c1/2,0))),IF(((48+0.5)*(4*IF(circ_int,0,eq_c1/2)+4*IF(circ_int,0,eq_c2/2)+2*PI()*(s_0+0*s_r+IF(circ_int,eq_c1/2,0)))/INDEX(lk_legs,1))&lt;(((2*IF(circ_int,0,eq_c2/2))+(PI()*(s_0+0*s_r+IF(circ_int,eq_c1/2,0))/2))+2*IF(circ_int,0,eq_c1/2)),IF(circ_int,0,eq_c1/2)-(((48+0.5)*(4*IF(circ_int,0,eq_c1/2)+4*IF(circ_int,0,eq_c2/2)+2*PI()*(s_0+0*s_r+IF(circ_int,eq_c1/2,0)))/INDEX(lk_legs,1))-((2*IF(circ_int,0,eq_c2/2))+(PI()*(s_0+0*s_r+IF(circ_int,eq_c1/2,0))/2))),IF(((48+0.5)*(4*IF(circ_int,0,eq_c1/2)+4*IF(circ_int,0,eq_c2/2)+2*PI()*(s_0+0*s_r+IF(circ_int,eq_c1/2,0)))/INDEX(lk_legs,1))&lt;((((2*IF(circ_int,0,eq_c2/2))+(PI()*(s_0+0*s_r+IF(circ_int,eq_c1/2,0))/2))+2*IF(circ_int,0,eq_c1/2))+(PI()*(s_0+0*s_r+IF(circ_int,eq_c1/2,0))/2)),-IF(circ_int,0,eq_c1/2)+(s_0+0*s_r+IF(circ_int,eq_c1/2,0))*COS(PI()/2+(((48+0.5)*(4*IF(circ_int,0,eq_c1/2)+4*IF(circ_int,0,eq_c2/2)+2*PI()*(s_0+0*s_r+IF(circ_int,eq_c1/2,0)))/INDEX(lk_legs,1))-(((2*IF(circ_int,0,eq_c2/2))+(PI()*(s_0+0*s_r+IF(circ_int,eq_c1/2,0))/2))+2*IF(circ_int,0,eq_c1/2)))/(s_0+0*s_r+IF(circ_int,eq_c1/2,0))),IF(((48+0.5)*(4*IF(circ_int,0,eq_c1/2)+4*IF(circ_int,0,eq_c2/2)+2*PI()*(s_0+0*s_r+IF(circ_int,eq_c1/2,0)))/INDEX(lk_legs,1))&lt;(((((2*IF(circ_int,0,eq_c2/2))+(PI()*(s_0+0*s_r+IF(circ_int,eq_c1/2,0))/2))+2*IF(circ_int,0,eq_c1/2))+(PI()*(s_0+0*s_r+IF(circ_int,eq_c1/2,0))/2))+2*IF(circ_int,0,eq_c2/2)),-IF(circ_int,0,eq_c1/2)-(s_0+0*s_r+IF(circ_int,eq_c1/2,0)),IF(((48+0.5)*(4*IF(circ_int,0,eq_c1/2)+4*IF(circ_int,0,eq_c2/2)+2*PI()*(s_0+0*s_r+IF(circ_int,eq_c1/2,0)))/INDEX(lk_legs,1))&lt;((((((2*IF(circ_int,0,eq_c2/2))+(PI()*(s_0+0*s_r+IF(circ_int,eq_c1/2,0))/2))+2*IF(circ_int,0,eq_c1/2))+(PI()*(s_0+0*s_r+IF(circ_int,eq_c1/2,0))/2))+2*IF(circ_int,0,eq_c2/2))+(PI()*(s_0+0*s_r+IF(circ_int,eq_c1/2,0))/2)),-IF(circ_int,0,eq_c1/2)+(s_0+0*s_r+IF(circ_int,eq_c1/2,0))*COS(PI()+(((48+0.5)*(4*IF(circ_int,0,eq_c1/2)+4*IF(circ_int,0,eq_c2/2)+2*PI()*(s_0+0*s_r+IF(circ_int,eq_c1/2,0)))/INDEX(lk_legs,1))-(((((2*IF(circ_int,0,eq_c2/2))+(PI()*(s_0+0*s_r+IF(circ_int,eq_c1/2,0))/2))+2*IF(circ_int,0,eq_c1/2))+(PI()*(s_0+0*s_r+IF(circ_int,eq_c1/2,0))/2))+2*IF(circ_int,0,eq_c2/2)))/(s_0+0*s_r+IF(circ_int,eq_c1/2,0))),IF(((48+0.5)*(4*IF(circ_int,0,eq_c1/2)+4*IF(circ_int,0,eq_c2/2)+2*PI()*(s_0+0*s_r+IF(circ_int,eq_c1/2,0)))/INDEX(lk_legs,1))&lt;(((((((2*IF(circ_int,0,eq_c2/2))+(PI()*(s_0+0*s_r+IF(circ_int,eq_c1/2,0))/2))+2*IF(circ_int,0,eq_c1/2))+(PI()*(s_0+0*s_r+IF(circ_int,eq_c1/2,0))/2))+2*IF(circ_int,0,eq_c2/2))+(PI()*(s_0+0*s_r+IF(circ_int,eq_c1/2,0))/2))+2*IF(circ_int,0,eq_c1/2)),-IF(circ_int,0,eq_c1/2)+(((48+0.5)*(4*IF(circ_int,0,eq_c1/2)+4*IF(circ_int,0,eq_c2/2)+2*PI()*(s_0+0*s_r+IF(circ_int,eq_c1/2,0)))/INDEX(lk_legs,1))-((((((2*IF(circ_int,0,eq_c2/2))+(PI()*(s_0+0*s_r+IF(circ_int,eq_c1/2,0))/2))+2*IF(circ_int,0,eq_c1/2))+(PI()*(s_0+0*s_r+IF(circ_int,eq_c1/2,0))/2))+2*IF(circ_int,0,eq_c2/2))+(PI()*(s_0+0*s_r+IF(circ_int,eq_c1/2,0))/2))),IF(circ_int,0,eq_c1/2)+(s_0+0*s_r+IF(circ_int,eq_c1/2,0))*COS(3*PI()/2+(((48+0.5)*(4*IF(circ_int,0,eq_c1/2)+4*IF(circ_int,0,eq_c2/2)+2*PI()*(s_0+0*s_r+IF(circ_int,eq_c1/2,0)))/INDEX(lk_legs,1))-(((((((2*IF(circ_int,0,eq_c2/2))+(PI()*(s_0+0*s_r+IF(circ_int,eq_c1/2,0))/2))+2*IF(circ_int,0,eq_c1/2))+(PI()*(s_0+0*s_r+IF(circ_int,eq_c1/2,0))/2))+2*IF(circ_int,0,eq_c2/2))+(PI()*(s_0+0*s_r+IF(circ_int,eq_c1/2,0))/2))+2*IF(circ_int,0,eq_c1/2)))/(s_0+0*s_r+IF(circ_int,eq_c1/2,0)))))))))),NA())</f>
        <v/>
      </c>
      <c r="BA51">
        <f>IF(AND(AND(links_on,1&lt;=n_per),INDEX(lk_kind,1)=1,48&lt;INDEX(lk_legs,1)),g_oy+IF(((48+0.5)*(4*IF(circ_int,0,eq_c1/2)+4*IF(circ_int,0,eq_c2/2)+2*PI()*(s_0+0*s_r+IF(circ_int,eq_c1/2,0)))/INDEX(lk_legs,1))&lt;(2*IF(circ_int,0,eq_c2/2)),-IF(circ_int,0,eq_c2/2)+((48+0.5)*(4*IF(circ_int,0,eq_c1/2)+4*IF(circ_int,0,eq_c2/2)+2*PI()*(s_0+0*s_r+IF(circ_int,eq_c1/2,0)))/INDEX(lk_legs,1)),IF(((48+0.5)*(4*IF(circ_int,0,eq_c1/2)+4*IF(circ_int,0,eq_c2/2)+2*PI()*(s_0+0*s_r+IF(circ_int,eq_c1/2,0)))/INDEX(lk_legs,1))&lt;((2*IF(circ_int,0,eq_c2/2))+(PI()*(s_0+0*s_r+IF(circ_int,eq_c1/2,0))/2)),IF(circ_int,0,eq_c2/2)+(s_0+0*s_r+IF(circ_int,eq_c1/2,0))*SIN((((48+0.5)*(4*IF(circ_int,0,eq_c1/2)+4*IF(circ_int,0,eq_c2/2)+2*PI()*(s_0+0*s_r+IF(circ_int,eq_c1/2,0)))/INDEX(lk_legs,1))-(2*IF(circ_int,0,eq_c2/2)))/(s_0+0*s_r+IF(circ_int,eq_c1/2,0))),IF(((48+0.5)*(4*IF(circ_int,0,eq_c1/2)+4*IF(circ_int,0,eq_c2/2)+2*PI()*(s_0+0*s_r+IF(circ_int,eq_c1/2,0)))/INDEX(lk_legs,1))&lt;(((2*IF(circ_int,0,eq_c2/2))+(PI()*(s_0+0*s_r+IF(circ_int,eq_c1/2,0))/2))+2*IF(circ_int,0,eq_c1/2)),IF(circ_int,0,eq_c2/2)+(s_0+0*s_r+IF(circ_int,eq_c1/2,0)),IF(((48+0.5)*(4*IF(circ_int,0,eq_c1/2)+4*IF(circ_int,0,eq_c2/2)+2*PI()*(s_0+0*s_r+IF(circ_int,eq_c1/2,0)))/INDEX(lk_legs,1))&lt;((((2*IF(circ_int,0,eq_c2/2))+(PI()*(s_0+0*s_r+IF(circ_int,eq_c1/2,0))/2))+2*IF(circ_int,0,eq_c1/2))+(PI()*(s_0+0*s_r+IF(circ_int,eq_c1/2,0))/2)),IF(circ_int,0,eq_c2/2)+(s_0+0*s_r+IF(circ_int,eq_c1/2,0))*SIN(PI()/2+(((48+0.5)*(4*IF(circ_int,0,eq_c1/2)+4*IF(circ_int,0,eq_c2/2)+2*PI()*(s_0+0*s_r+IF(circ_int,eq_c1/2,0)))/INDEX(lk_legs,1))-(((2*IF(circ_int,0,eq_c2/2))+(PI()*(s_0+0*s_r+IF(circ_int,eq_c1/2,0))/2))+2*IF(circ_int,0,eq_c1/2)))/(s_0+0*s_r+IF(circ_int,eq_c1/2,0))),IF(((48+0.5)*(4*IF(circ_int,0,eq_c1/2)+4*IF(circ_int,0,eq_c2/2)+2*PI()*(s_0+0*s_r+IF(circ_int,eq_c1/2,0)))/INDEX(lk_legs,1))&lt;(((((2*IF(circ_int,0,eq_c2/2))+(PI()*(s_0+0*s_r+IF(circ_int,eq_c1/2,0))/2))+2*IF(circ_int,0,eq_c1/2))+(PI()*(s_0+0*s_r+IF(circ_int,eq_c1/2,0))/2))+2*IF(circ_int,0,eq_c2/2)),IF(circ_int,0,eq_c2/2)-(((48+0.5)*(4*IF(circ_int,0,eq_c1/2)+4*IF(circ_int,0,eq_c2/2)+2*PI()*(s_0+0*s_r+IF(circ_int,eq_c1/2,0)))/INDEX(lk_legs,1))-((((2*IF(circ_int,0,eq_c2/2))+(PI()*(s_0+0*s_r+IF(circ_int,eq_c1/2,0))/2))+2*IF(circ_int,0,eq_c1/2))+(PI()*(s_0+0*s_r+IF(circ_int,eq_c1/2,0))/2))),IF(((48+0.5)*(4*IF(circ_int,0,eq_c1/2)+4*IF(circ_int,0,eq_c2/2)+2*PI()*(s_0+0*s_r+IF(circ_int,eq_c1/2,0)))/INDEX(lk_legs,1))&lt;((((((2*IF(circ_int,0,eq_c2/2))+(PI()*(s_0+0*s_r+IF(circ_int,eq_c1/2,0))/2))+2*IF(circ_int,0,eq_c1/2))+(PI()*(s_0+0*s_r+IF(circ_int,eq_c1/2,0))/2))+2*IF(circ_int,0,eq_c2/2))+(PI()*(s_0+0*s_r+IF(circ_int,eq_c1/2,0))/2)),-IF(circ_int,0,eq_c2/2)+(s_0+0*s_r+IF(circ_int,eq_c1/2,0))*SIN(PI()+(((48+0.5)*(4*IF(circ_int,0,eq_c1/2)+4*IF(circ_int,0,eq_c2/2)+2*PI()*(s_0+0*s_r+IF(circ_int,eq_c1/2,0)))/INDEX(lk_legs,1))-(((((2*IF(circ_int,0,eq_c2/2))+(PI()*(s_0+0*s_r+IF(circ_int,eq_c1/2,0))/2))+2*IF(circ_int,0,eq_c1/2))+(PI()*(s_0+0*s_r+IF(circ_int,eq_c1/2,0))/2))+2*IF(circ_int,0,eq_c2/2)))/(s_0+0*s_r+IF(circ_int,eq_c1/2,0))),IF(((48+0.5)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(48+0.5)*(4*IF(circ_int,0,eq_c1/2)+4*IF(circ_int,0,eq_c2/2)+2*PI()*(s_0+0*s_r+IF(circ_int,eq_c1/2,0)))/INDEX(lk_legs,1))-(((((((2*IF(circ_int,0,eq_c2/2))+(PI()*(s_0+0*s_r+IF(circ_int,eq_c1/2,0))/2))+2*IF(circ_int,0,eq_c1/2))+(PI()*(s_0+0*s_r+IF(circ_int,eq_c1/2,0))/2))+2*IF(circ_int,0,eq_c2/2))+(PI()*(s_0+0*s_r+IF(circ_int,eq_c1/2,0))/2))+2*IF(circ_int,0,eq_c1/2)))/(s_0+0*s_r+IF(circ_int,eq_c1/2,0)))))))))),NA())</f>
        <v/>
      </c>
      <c r="BC51">
        <f>IF(AND(links_on,2&lt;=n_per),IF(circ_int,(g_ox)+(c_1/2+(s_0+1*s_r))*0.885456,CHOOSE(INDEX(lk_kind,2),(g_ox+eq_c1/2)+((s_0+1*s_r))*0.923880,0,eq_a1+eq_c1+(s_0+1*s_r),eq_a1+eq_c1+(s_0+1*s_r))),NA())</f>
        <v/>
      </c>
      <c r="BD51">
        <f>IF(AND(links_on,2&lt;=n_per),IF(circ_int,(g_oy)+(c_1/2+(s_0+1*s_r))*-0.464723,CHOOSE(INDEX(lk_kind,2),(g_oy-eq_c2/2)+((s_0+1*s_r))*-0.382683,g_oy-eq_c2/2-(s_0+1*s_r),0,0)),NA())</f>
        <v/>
      </c>
      <c r="BF51">
        <f>IF(AND(AND(links_on,2&lt;=n_per),INDEX(lk_kind,2)=1,48&lt;INDEX(lk_legs,2)),g_ox+IF(((48+0.5)*(4*IF(circ_int,0,eq_c1/2)+4*IF(circ_int,0,eq_c2/2)+2*PI()*(s_0+1*s_r+IF(circ_int,eq_c1/2,0)))/INDEX(lk_legs,2))&lt;(2*IF(circ_int,0,eq_c2/2)),IF(circ_int,0,eq_c1/2)+(s_0+1*s_r+IF(circ_int,eq_c1/2,0)),IF(((48+0.5)*(4*IF(circ_int,0,eq_c1/2)+4*IF(circ_int,0,eq_c2/2)+2*PI()*(s_0+1*s_r+IF(circ_int,eq_c1/2,0)))/INDEX(lk_legs,2))&lt;((2*IF(circ_int,0,eq_c2/2))+(PI()*(s_0+1*s_r+IF(circ_int,eq_c1/2,0))/2)),IF(circ_int,0,eq_c1/2)+(s_0+1*s_r+IF(circ_int,eq_c1/2,0))*COS((((48+0.5)*(4*IF(circ_int,0,eq_c1/2)+4*IF(circ_int,0,eq_c2/2)+2*PI()*(s_0+1*s_r+IF(circ_int,eq_c1/2,0)))/INDEX(lk_legs,2))-(2*IF(circ_int,0,eq_c2/2)))/(s_0+1*s_r+IF(circ_int,eq_c1/2,0))),IF(((48+0.5)*(4*IF(circ_int,0,eq_c1/2)+4*IF(circ_int,0,eq_c2/2)+2*PI()*(s_0+1*s_r+IF(circ_int,eq_c1/2,0)))/INDEX(lk_legs,2))&lt;(((2*IF(circ_int,0,eq_c2/2))+(PI()*(s_0+1*s_r+IF(circ_int,eq_c1/2,0))/2))+2*IF(circ_int,0,eq_c1/2)),IF(circ_int,0,eq_c1/2)-(((48+0.5)*(4*IF(circ_int,0,eq_c1/2)+4*IF(circ_int,0,eq_c2/2)+2*PI()*(s_0+1*s_r+IF(circ_int,eq_c1/2,0)))/INDEX(lk_legs,2))-((2*IF(circ_int,0,eq_c2/2))+(PI()*(s_0+1*s_r+IF(circ_int,eq_c1/2,0))/2))),IF(((48+0.5)*(4*IF(circ_int,0,eq_c1/2)+4*IF(circ_int,0,eq_c2/2)+2*PI()*(s_0+1*s_r+IF(circ_int,eq_c1/2,0)))/INDEX(lk_legs,2))&lt;((((2*IF(circ_int,0,eq_c2/2))+(PI()*(s_0+1*s_r+IF(circ_int,eq_c1/2,0))/2))+2*IF(circ_int,0,eq_c1/2))+(PI()*(s_0+1*s_r+IF(circ_int,eq_c1/2,0))/2)),-IF(circ_int,0,eq_c1/2)+(s_0+1*s_r+IF(circ_int,eq_c1/2,0))*COS(PI()/2+(((48+0.5)*(4*IF(circ_int,0,eq_c1/2)+4*IF(circ_int,0,eq_c2/2)+2*PI()*(s_0+1*s_r+IF(circ_int,eq_c1/2,0)))/INDEX(lk_legs,2))-(((2*IF(circ_int,0,eq_c2/2))+(PI()*(s_0+1*s_r+IF(circ_int,eq_c1/2,0))/2))+2*IF(circ_int,0,eq_c1/2)))/(s_0+1*s_r+IF(circ_int,eq_c1/2,0))),IF(((48+0.5)*(4*IF(circ_int,0,eq_c1/2)+4*IF(circ_int,0,eq_c2/2)+2*PI()*(s_0+1*s_r+IF(circ_int,eq_c1/2,0)))/INDEX(lk_legs,2))&lt;(((((2*IF(circ_int,0,eq_c2/2))+(PI()*(s_0+1*s_r+IF(circ_int,eq_c1/2,0))/2))+2*IF(circ_int,0,eq_c1/2))+(PI()*(s_0+1*s_r+IF(circ_int,eq_c1/2,0))/2))+2*IF(circ_int,0,eq_c2/2)),-IF(circ_int,0,eq_c1/2)-(s_0+1*s_r+IF(circ_int,eq_c1/2,0)),IF(((48+0.5)*(4*IF(circ_int,0,eq_c1/2)+4*IF(circ_int,0,eq_c2/2)+2*PI()*(s_0+1*s_r+IF(circ_int,eq_c1/2,0)))/INDEX(lk_legs,2))&lt;((((((2*IF(circ_int,0,eq_c2/2))+(PI()*(s_0+1*s_r+IF(circ_int,eq_c1/2,0))/2))+2*IF(circ_int,0,eq_c1/2))+(PI()*(s_0+1*s_r+IF(circ_int,eq_c1/2,0))/2))+2*IF(circ_int,0,eq_c2/2))+(PI()*(s_0+1*s_r+IF(circ_int,eq_c1/2,0))/2)),-IF(circ_int,0,eq_c1/2)+(s_0+1*s_r+IF(circ_int,eq_c1/2,0))*COS(PI()+(((48+0.5)*(4*IF(circ_int,0,eq_c1/2)+4*IF(circ_int,0,eq_c2/2)+2*PI()*(s_0+1*s_r+IF(circ_int,eq_c1/2,0)))/INDEX(lk_legs,2))-(((((2*IF(circ_int,0,eq_c2/2))+(PI()*(s_0+1*s_r+IF(circ_int,eq_c1/2,0))/2))+2*IF(circ_int,0,eq_c1/2))+(PI()*(s_0+1*s_r+IF(circ_int,eq_c1/2,0))/2))+2*IF(circ_int,0,eq_c2/2)))/(s_0+1*s_r+IF(circ_int,eq_c1/2,0))),IF(((48+0.5)*(4*IF(circ_int,0,eq_c1/2)+4*IF(circ_int,0,eq_c2/2)+2*PI()*(s_0+1*s_r+IF(circ_int,eq_c1/2,0)))/INDEX(lk_legs,2))&lt;(((((((2*IF(circ_int,0,eq_c2/2))+(PI()*(s_0+1*s_r+IF(circ_int,eq_c1/2,0))/2))+2*IF(circ_int,0,eq_c1/2))+(PI()*(s_0+1*s_r+IF(circ_int,eq_c1/2,0))/2))+2*IF(circ_int,0,eq_c2/2))+(PI()*(s_0+1*s_r+IF(circ_int,eq_c1/2,0))/2))+2*IF(circ_int,0,eq_c1/2)),-IF(circ_int,0,eq_c1/2)+(((48+0.5)*(4*IF(circ_int,0,eq_c1/2)+4*IF(circ_int,0,eq_c2/2)+2*PI()*(s_0+1*s_r+IF(circ_int,eq_c1/2,0)))/INDEX(lk_legs,2))-((((((2*IF(circ_int,0,eq_c2/2))+(PI()*(s_0+1*s_r+IF(circ_int,eq_c1/2,0))/2))+2*IF(circ_int,0,eq_c1/2))+(PI()*(s_0+1*s_r+IF(circ_int,eq_c1/2,0))/2))+2*IF(circ_int,0,eq_c2/2))+(PI()*(s_0+1*s_r+IF(circ_int,eq_c1/2,0))/2))),IF(circ_int,0,eq_c1/2)+(s_0+1*s_r+IF(circ_int,eq_c1/2,0))*COS(3*PI()/2+(((48+0.5)*(4*IF(circ_int,0,eq_c1/2)+4*IF(circ_int,0,eq_c2/2)+2*PI()*(s_0+1*s_r+IF(circ_int,eq_c1/2,0)))/INDEX(lk_legs,2))-(((((((2*IF(circ_int,0,eq_c2/2))+(PI()*(s_0+1*s_r+IF(circ_int,eq_c1/2,0))/2))+2*IF(circ_int,0,eq_c1/2))+(PI()*(s_0+1*s_r+IF(circ_int,eq_c1/2,0))/2))+2*IF(circ_int,0,eq_c2/2))+(PI()*(s_0+1*s_r+IF(circ_int,eq_c1/2,0))/2))+2*IF(circ_int,0,eq_c1/2)))/(s_0+1*s_r+IF(circ_int,eq_c1/2,0)))))))))),NA())</f>
        <v/>
      </c>
      <c r="BG51">
        <f>IF(AND(AND(links_on,2&lt;=n_per),INDEX(lk_kind,2)=1,48&lt;INDEX(lk_legs,2)),g_oy+IF(((48+0.5)*(4*IF(circ_int,0,eq_c1/2)+4*IF(circ_int,0,eq_c2/2)+2*PI()*(s_0+1*s_r+IF(circ_int,eq_c1/2,0)))/INDEX(lk_legs,2))&lt;(2*IF(circ_int,0,eq_c2/2)),-IF(circ_int,0,eq_c2/2)+((48+0.5)*(4*IF(circ_int,0,eq_c1/2)+4*IF(circ_int,0,eq_c2/2)+2*PI()*(s_0+1*s_r+IF(circ_int,eq_c1/2,0)))/INDEX(lk_legs,2)),IF(((48+0.5)*(4*IF(circ_int,0,eq_c1/2)+4*IF(circ_int,0,eq_c2/2)+2*PI()*(s_0+1*s_r+IF(circ_int,eq_c1/2,0)))/INDEX(lk_legs,2))&lt;((2*IF(circ_int,0,eq_c2/2))+(PI()*(s_0+1*s_r+IF(circ_int,eq_c1/2,0))/2)),IF(circ_int,0,eq_c2/2)+(s_0+1*s_r+IF(circ_int,eq_c1/2,0))*SIN((((48+0.5)*(4*IF(circ_int,0,eq_c1/2)+4*IF(circ_int,0,eq_c2/2)+2*PI()*(s_0+1*s_r+IF(circ_int,eq_c1/2,0)))/INDEX(lk_legs,2))-(2*IF(circ_int,0,eq_c2/2)))/(s_0+1*s_r+IF(circ_int,eq_c1/2,0))),IF(((48+0.5)*(4*IF(circ_int,0,eq_c1/2)+4*IF(circ_int,0,eq_c2/2)+2*PI()*(s_0+1*s_r+IF(circ_int,eq_c1/2,0)))/INDEX(lk_legs,2))&lt;(((2*IF(circ_int,0,eq_c2/2))+(PI()*(s_0+1*s_r+IF(circ_int,eq_c1/2,0))/2))+2*IF(circ_int,0,eq_c1/2)),IF(circ_int,0,eq_c2/2)+(s_0+1*s_r+IF(circ_int,eq_c1/2,0)),IF(((48+0.5)*(4*IF(circ_int,0,eq_c1/2)+4*IF(circ_int,0,eq_c2/2)+2*PI()*(s_0+1*s_r+IF(circ_int,eq_c1/2,0)))/INDEX(lk_legs,2))&lt;((((2*IF(circ_int,0,eq_c2/2))+(PI()*(s_0+1*s_r+IF(circ_int,eq_c1/2,0))/2))+2*IF(circ_int,0,eq_c1/2))+(PI()*(s_0+1*s_r+IF(circ_int,eq_c1/2,0))/2)),IF(circ_int,0,eq_c2/2)+(s_0+1*s_r+IF(circ_int,eq_c1/2,0))*SIN(PI()/2+(((48+0.5)*(4*IF(circ_int,0,eq_c1/2)+4*IF(circ_int,0,eq_c2/2)+2*PI()*(s_0+1*s_r+IF(circ_int,eq_c1/2,0)))/INDEX(lk_legs,2))-(((2*IF(circ_int,0,eq_c2/2))+(PI()*(s_0+1*s_r+IF(circ_int,eq_c1/2,0))/2))+2*IF(circ_int,0,eq_c1/2)))/(s_0+1*s_r+IF(circ_int,eq_c1/2,0))),IF(((48+0.5)*(4*IF(circ_int,0,eq_c1/2)+4*IF(circ_int,0,eq_c2/2)+2*PI()*(s_0+1*s_r+IF(circ_int,eq_c1/2,0)))/INDEX(lk_legs,2))&lt;(((((2*IF(circ_int,0,eq_c2/2))+(PI()*(s_0+1*s_r+IF(circ_int,eq_c1/2,0))/2))+2*IF(circ_int,0,eq_c1/2))+(PI()*(s_0+1*s_r+IF(circ_int,eq_c1/2,0))/2))+2*IF(circ_int,0,eq_c2/2)),IF(circ_int,0,eq_c2/2)-(((48+0.5)*(4*IF(circ_int,0,eq_c1/2)+4*IF(circ_int,0,eq_c2/2)+2*PI()*(s_0+1*s_r+IF(circ_int,eq_c1/2,0)))/INDEX(lk_legs,2))-((((2*IF(circ_int,0,eq_c2/2))+(PI()*(s_0+1*s_r+IF(circ_int,eq_c1/2,0))/2))+2*IF(circ_int,0,eq_c1/2))+(PI()*(s_0+1*s_r+IF(circ_int,eq_c1/2,0))/2))),IF(((48+0.5)*(4*IF(circ_int,0,eq_c1/2)+4*IF(circ_int,0,eq_c2/2)+2*PI()*(s_0+1*s_r+IF(circ_int,eq_c1/2,0)))/INDEX(lk_legs,2))&lt;((((((2*IF(circ_int,0,eq_c2/2))+(PI()*(s_0+1*s_r+IF(circ_int,eq_c1/2,0))/2))+2*IF(circ_int,0,eq_c1/2))+(PI()*(s_0+1*s_r+IF(circ_int,eq_c1/2,0))/2))+2*IF(circ_int,0,eq_c2/2))+(PI()*(s_0+1*s_r+IF(circ_int,eq_c1/2,0))/2)),-IF(circ_int,0,eq_c2/2)+(s_0+1*s_r+IF(circ_int,eq_c1/2,0))*SIN(PI()+(((48+0.5)*(4*IF(circ_int,0,eq_c1/2)+4*IF(circ_int,0,eq_c2/2)+2*PI()*(s_0+1*s_r+IF(circ_int,eq_c1/2,0)))/INDEX(lk_legs,2))-(((((2*IF(circ_int,0,eq_c2/2))+(PI()*(s_0+1*s_r+IF(circ_int,eq_c1/2,0))/2))+2*IF(circ_int,0,eq_c1/2))+(PI()*(s_0+1*s_r+IF(circ_int,eq_c1/2,0))/2))+2*IF(circ_int,0,eq_c2/2)))/(s_0+1*s_r+IF(circ_int,eq_c1/2,0))),IF(((48+0.5)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(48+0.5)*(4*IF(circ_int,0,eq_c1/2)+4*IF(circ_int,0,eq_c2/2)+2*PI()*(s_0+1*s_r+IF(circ_int,eq_c1/2,0)))/INDEX(lk_legs,2))-(((((((2*IF(circ_int,0,eq_c2/2))+(PI()*(s_0+1*s_r+IF(circ_int,eq_c1/2,0))/2))+2*IF(circ_int,0,eq_c1/2))+(PI()*(s_0+1*s_r+IF(circ_int,eq_c1/2,0))/2))+2*IF(circ_int,0,eq_c2/2))+(PI()*(s_0+1*s_r+IF(circ_int,eq_c1/2,0))/2))+2*IF(circ_int,0,eq_c1/2)))/(s_0+1*s_r+IF(circ_int,eq_c1/2,0)))))))))),NA())</f>
        <v/>
      </c>
      <c r="BI51">
        <f>IF(AND(links_on,3&lt;=n_per),IF(circ_int,(g_ox)+(c_1/2+(s_0+2*s_r))*0.885456,CHOOSE(INDEX(lk_kind,3),(g_ox+eq_c1/2)+((s_0+2*s_r))*0.923880,0,eq_a1+eq_c1+(s_0+2*s_r),eq_a1+eq_c1+(s_0+2*s_r))),NA())</f>
        <v/>
      </c>
      <c r="BJ51">
        <f>IF(AND(links_on,3&lt;=n_per),IF(circ_int,(g_oy)+(c_1/2+(s_0+2*s_r))*-0.464723,CHOOSE(INDEX(lk_kind,3),(g_oy-eq_c2/2)+((s_0+2*s_r))*-0.382683,g_oy-eq_c2/2-(s_0+2*s_r),0,0)),NA())</f>
        <v/>
      </c>
      <c r="BL51">
        <f>IF(AND(AND(links_on,3&lt;=n_per),INDEX(lk_kind,3)=1,48&lt;INDEX(lk_legs,3)),g_ox+IF(((48+0.5)*(4*IF(circ_int,0,eq_c1/2)+4*IF(circ_int,0,eq_c2/2)+2*PI()*(s_0+2*s_r+IF(circ_int,eq_c1/2,0)))/INDEX(lk_legs,3))&lt;(2*IF(circ_int,0,eq_c2/2)),IF(circ_int,0,eq_c1/2)+(s_0+2*s_r+IF(circ_int,eq_c1/2,0)),IF(((48+0.5)*(4*IF(circ_int,0,eq_c1/2)+4*IF(circ_int,0,eq_c2/2)+2*PI()*(s_0+2*s_r+IF(circ_int,eq_c1/2,0)))/INDEX(lk_legs,3))&lt;((2*IF(circ_int,0,eq_c2/2))+(PI()*(s_0+2*s_r+IF(circ_int,eq_c1/2,0))/2)),IF(circ_int,0,eq_c1/2)+(s_0+2*s_r+IF(circ_int,eq_c1/2,0))*COS((((48+0.5)*(4*IF(circ_int,0,eq_c1/2)+4*IF(circ_int,0,eq_c2/2)+2*PI()*(s_0+2*s_r+IF(circ_int,eq_c1/2,0)))/INDEX(lk_legs,3))-(2*IF(circ_int,0,eq_c2/2)))/(s_0+2*s_r+IF(circ_int,eq_c1/2,0))),IF(((48+0.5)*(4*IF(circ_int,0,eq_c1/2)+4*IF(circ_int,0,eq_c2/2)+2*PI()*(s_0+2*s_r+IF(circ_int,eq_c1/2,0)))/INDEX(lk_legs,3))&lt;(((2*IF(circ_int,0,eq_c2/2))+(PI()*(s_0+2*s_r+IF(circ_int,eq_c1/2,0))/2))+2*IF(circ_int,0,eq_c1/2)),IF(circ_int,0,eq_c1/2)-(((48+0.5)*(4*IF(circ_int,0,eq_c1/2)+4*IF(circ_int,0,eq_c2/2)+2*PI()*(s_0+2*s_r+IF(circ_int,eq_c1/2,0)))/INDEX(lk_legs,3))-((2*IF(circ_int,0,eq_c2/2))+(PI()*(s_0+2*s_r+IF(circ_int,eq_c1/2,0))/2))),IF(((48+0.5)*(4*IF(circ_int,0,eq_c1/2)+4*IF(circ_int,0,eq_c2/2)+2*PI()*(s_0+2*s_r+IF(circ_int,eq_c1/2,0)))/INDEX(lk_legs,3))&lt;((((2*IF(circ_int,0,eq_c2/2))+(PI()*(s_0+2*s_r+IF(circ_int,eq_c1/2,0))/2))+2*IF(circ_int,0,eq_c1/2))+(PI()*(s_0+2*s_r+IF(circ_int,eq_c1/2,0))/2)),-IF(circ_int,0,eq_c1/2)+(s_0+2*s_r+IF(circ_int,eq_c1/2,0))*COS(PI()/2+(((48+0.5)*(4*IF(circ_int,0,eq_c1/2)+4*IF(circ_int,0,eq_c2/2)+2*PI()*(s_0+2*s_r+IF(circ_int,eq_c1/2,0)))/INDEX(lk_legs,3))-(((2*IF(circ_int,0,eq_c2/2))+(PI()*(s_0+2*s_r+IF(circ_int,eq_c1/2,0))/2))+2*IF(circ_int,0,eq_c1/2)))/(s_0+2*s_r+IF(circ_int,eq_c1/2,0))),IF(((48+0.5)*(4*IF(circ_int,0,eq_c1/2)+4*IF(circ_int,0,eq_c2/2)+2*PI()*(s_0+2*s_r+IF(circ_int,eq_c1/2,0)))/INDEX(lk_legs,3))&lt;(((((2*IF(circ_int,0,eq_c2/2))+(PI()*(s_0+2*s_r+IF(circ_int,eq_c1/2,0))/2))+2*IF(circ_int,0,eq_c1/2))+(PI()*(s_0+2*s_r+IF(circ_int,eq_c1/2,0))/2))+2*IF(circ_int,0,eq_c2/2)),-IF(circ_int,0,eq_c1/2)-(s_0+2*s_r+IF(circ_int,eq_c1/2,0)),IF(((48+0.5)*(4*IF(circ_int,0,eq_c1/2)+4*IF(circ_int,0,eq_c2/2)+2*PI()*(s_0+2*s_r+IF(circ_int,eq_c1/2,0)))/INDEX(lk_legs,3))&lt;((((((2*IF(circ_int,0,eq_c2/2))+(PI()*(s_0+2*s_r+IF(circ_int,eq_c1/2,0))/2))+2*IF(circ_int,0,eq_c1/2))+(PI()*(s_0+2*s_r+IF(circ_int,eq_c1/2,0))/2))+2*IF(circ_int,0,eq_c2/2))+(PI()*(s_0+2*s_r+IF(circ_int,eq_c1/2,0))/2)),-IF(circ_int,0,eq_c1/2)+(s_0+2*s_r+IF(circ_int,eq_c1/2,0))*COS(PI()+(((48+0.5)*(4*IF(circ_int,0,eq_c1/2)+4*IF(circ_int,0,eq_c2/2)+2*PI()*(s_0+2*s_r+IF(circ_int,eq_c1/2,0)))/INDEX(lk_legs,3))-(((((2*IF(circ_int,0,eq_c2/2))+(PI()*(s_0+2*s_r+IF(circ_int,eq_c1/2,0))/2))+2*IF(circ_int,0,eq_c1/2))+(PI()*(s_0+2*s_r+IF(circ_int,eq_c1/2,0))/2))+2*IF(circ_int,0,eq_c2/2)))/(s_0+2*s_r+IF(circ_int,eq_c1/2,0))),IF(((48+0.5)*(4*IF(circ_int,0,eq_c1/2)+4*IF(circ_int,0,eq_c2/2)+2*PI()*(s_0+2*s_r+IF(circ_int,eq_c1/2,0)))/INDEX(lk_legs,3))&lt;(((((((2*IF(circ_int,0,eq_c2/2))+(PI()*(s_0+2*s_r+IF(circ_int,eq_c1/2,0))/2))+2*IF(circ_int,0,eq_c1/2))+(PI()*(s_0+2*s_r+IF(circ_int,eq_c1/2,0))/2))+2*IF(circ_int,0,eq_c2/2))+(PI()*(s_0+2*s_r+IF(circ_int,eq_c1/2,0))/2))+2*IF(circ_int,0,eq_c1/2)),-IF(circ_int,0,eq_c1/2)+(((48+0.5)*(4*IF(circ_int,0,eq_c1/2)+4*IF(circ_int,0,eq_c2/2)+2*PI()*(s_0+2*s_r+IF(circ_int,eq_c1/2,0)))/INDEX(lk_legs,3))-((((((2*IF(circ_int,0,eq_c2/2))+(PI()*(s_0+2*s_r+IF(circ_int,eq_c1/2,0))/2))+2*IF(circ_int,0,eq_c1/2))+(PI()*(s_0+2*s_r+IF(circ_int,eq_c1/2,0))/2))+2*IF(circ_int,0,eq_c2/2))+(PI()*(s_0+2*s_r+IF(circ_int,eq_c1/2,0))/2))),IF(circ_int,0,eq_c1/2)+(s_0+2*s_r+IF(circ_int,eq_c1/2,0))*COS(3*PI()/2+(((48+0.5)*(4*IF(circ_int,0,eq_c1/2)+4*IF(circ_int,0,eq_c2/2)+2*PI()*(s_0+2*s_r+IF(circ_int,eq_c1/2,0)))/INDEX(lk_legs,3))-(((((((2*IF(circ_int,0,eq_c2/2))+(PI()*(s_0+2*s_r+IF(circ_int,eq_c1/2,0))/2))+2*IF(circ_int,0,eq_c1/2))+(PI()*(s_0+2*s_r+IF(circ_int,eq_c1/2,0))/2))+2*IF(circ_int,0,eq_c2/2))+(PI()*(s_0+2*s_r+IF(circ_int,eq_c1/2,0))/2))+2*IF(circ_int,0,eq_c1/2)))/(s_0+2*s_r+IF(circ_int,eq_c1/2,0)))))))))),NA())</f>
        <v/>
      </c>
      <c r="BM51">
        <f>IF(AND(AND(links_on,3&lt;=n_per),INDEX(lk_kind,3)=1,48&lt;INDEX(lk_legs,3)),g_oy+IF(((48+0.5)*(4*IF(circ_int,0,eq_c1/2)+4*IF(circ_int,0,eq_c2/2)+2*PI()*(s_0+2*s_r+IF(circ_int,eq_c1/2,0)))/INDEX(lk_legs,3))&lt;(2*IF(circ_int,0,eq_c2/2)),-IF(circ_int,0,eq_c2/2)+((48+0.5)*(4*IF(circ_int,0,eq_c1/2)+4*IF(circ_int,0,eq_c2/2)+2*PI()*(s_0+2*s_r+IF(circ_int,eq_c1/2,0)))/INDEX(lk_legs,3)),IF(((48+0.5)*(4*IF(circ_int,0,eq_c1/2)+4*IF(circ_int,0,eq_c2/2)+2*PI()*(s_0+2*s_r+IF(circ_int,eq_c1/2,0)))/INDEX(lk_legs,3))&lt;((2*IF(circ_int,0,eq_c2/2))+(PI()*(s_0+2*s_r+IF(circ_int,eq_c1/2,0))/2)),IF(circ_int,0,eq_c2/2)+(s_0+2*s_r+IF(circ_int,eq_c1/2,0))*SIN((((48+0.5)*(4*IF(circ_int,0,eq_c1/2)+4*IF(circ_int,0,eq_c2/2)+2*PI()*(s_0+2*s_r+IF(circ_int,eq_c1/2,0)))/INDEX(lk_legs,3))-(2*IF(circ_int,0,eq_c2/2)))/(s_0+2*s_r+IF(circ_int,eq_c1/2,0))),IF(((48+0.5)*(4*IF(circ_int,0,eq_c1/2)+4*IF(circ_int,0,eq_c2/2)+2*PI()*(s_0+2*s_r+IF(circ_int,eq_c1/2,0)))/INDEX(lk_legs,3))&lt;(((2*IF(circ_int,0,eq_c2/2))+(PI()*(s_0+2*s_r+IF(circ_int,eq_c1/2,0))/2))+2*IF(circ_int,0,eq_c1/2)),IF(circ_int,0,eq_c2/2)+(s_0+2*s_r+IF(circ_int,eq_c1/2,0)),IF(((48+0.5)*(4*IF(circ_int,0,eq_c1/2)+4*IF(circ_int,0,eq_c2/2)+2*PI()*(s_0+2*s_r+IF(circ_int,eq_c1/2,0)))/INDEX(lk_legs,3))&lt;((((2*IF(circ_int,0,eq_c2/2))+(PI()*(s_0+2*s_r+IF(circ_int,eq_c1/2,0))/2))+2*IF(circ_int,0,eq_c1/2))+(PI()*(s_0+2*s_r+IF(circ_int,eq_c1/2,0))/2)),IF(circ_int,0,eq_c2/2)+(s_0+2*s_r+IF(circ_int,eq_c1/2,0))*SIN(PI()/2+(((48+0.5)*(4*IF(circ_int,0,eq_c1/2)+4*IF(circ_int,0,eq_c2/2)+2*PI()*(s_0+2*s_r+IF(circ_int,eq_c1/2,0)))/INDEX(lk_legs,3))-(((2*IF(circ_int,0,eq_c2/2))+(PI()*(s_0+2*s_r+IF(circ_int,eq_c1/2,0))/2))+2*IF(circ_int,0,eq_c1/2)))/(s_0+2*s_r+IF(circ_int,eq_c1/2,0))),IF(((48+0.5)*(4*IF(circ_int,0,eq_c1/2)+4*IF(circ_int,0,eq_c2/2)+2*PI()*(s_0+2*s_r+IF(circ_int,eq_c1/2,0)))/INDEX(lk_legs,3))&lt;(((((2*IF(circ_int,0,eq_c2/2))+(PI()*(s_0+2*s_r+IF(circ_int,eq_c1/2,0))/2))+2*IF(circ_int,0,eq_c1/2))+(PI()*(s_0+2*s_r+IF(circ_int,eq_c1/2,0))/2))+2*IF(circ_int,0,eq_c2/2)),IF(circ_int,0,eq_c2/2)-(((48+0.5)*(4*IF(circ_int,0,eq_c1/2)+4*IF(circ_int,0,eq_c2/2)+2*PI()*(s_0+2*s_r+IF(circ_int,eq_c1/2,0)))/INDEX(lk_legs,3))-((((2*IF(circ_int,0,eq_c2/2))+(PI()*(s_0+2*s_r+IF(circ_int,eq_c1/2,0))/2))+2*IF(circ_int,0,eq_c1/2))+(PI()*(s_0+2*s_r+IF(circ_int,eq_c1/2,0))/2))),IF(((48+0.5)*(4*IF(circ_int,0,eq_c1/2)+4*IF(circ_int,0,eq_c2/2)+2*PI()*(s_0+2*s_r+IF(circ_int,eq_c1/2,0)))/INDEX(lk_legs,3))&lt;((((((2*IF(circ_int,0,eq_c2/2))+(PI()*(s_0+2*s_r+IF(circ_int,eq_c1/2,0))/2))+2*IF(circ_int,0,eq_c1/2))+(PI()*(s_0+2*s_r+IF(circ_int,eq_c1/2,0))/2))+2*IF(circ_int,0,eq_c2/2))+(PI()*(s_0+2*s_r+IF(circ_int,eq_c1/2,0))/2)),-IF(circ_int,0,eq_c2/2)+(s_0+2*s_r+IF(circ_int,eq_c1/2,0))*SIN(PI()+(((48+0.5)*(4*IF(circ_int,0,eq_c1/2)+4*IF(circ_int,0,eq_c2/2)+2*PI()*(s_0+2*s_r+IF(circ_int,eq_c1/2,0)))/INDEX(lk_legs,3))-(((((2*IF(circ_int,0,eq_c2/2))+(PI()*(s_0+2*s_r+IF(circ_int,eq_c1/2,0))/2))+2*IF(circ_int,0,eq_c1/2))+(PI()*(s_0+2*s_r+IF(circ_int,eq_c1/2,0))/2))+2*IF(circ_int,0,eq_c2/2)))/(s_0+2*s_r+IF(circ_int,eq_c1/2,0))),IF(((48+0.5)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(48+0.5)*(4*IF(circ_int,0,eq_c1/2)+4*IF(circ_int,0,eq_c2/2)+2*PI()*(s_0+2*s_r+IF(circ_int,eq_c1/2,0)))/INDEX(lk_legs,3))-(((((((2*IF(circ_int,0,eq_c2/2))+(PI()*(s_0+2*s_r+IF(circ_int,eq_c1/2,0))/2))+2*IF(circ_int,0,eq_c1/2))+(PI()*(s_0+2*s_r+IF(circ_int,eq_c1/2,0))/2))+2*IF(circ_int,0,eq_c2/2))+(PI()*(s_0+2*s_r+IF(circ_int,eq_c1/2,0))/2))+2*IF(circ_int,0,eq_c1/2)))/(s_0+2*s_r+IF(circ_int,eq_c1/2,0)))))))))),NA())</f>
        <v/>
      </c>
      <c r="BO51">
        <f>IF(AND(links_on,4&lt;=n_per),IF(circ_int,(g_ox)+(c_1/2+(s_0+3*s_r))*0.885456,CHOOSE(INDEX(lk_kind,4),(g_ox+eq_c1/2)+((s_0+3*s_r))*0.923880,0,eq_a1+eq_c1+(s_0+3*s_r),eq_a1+eq_c1+(s_0+3*s_r))),NA())</f>
        <v/>
      </c>
      <c r="BP51">
        <f>IF(AND(links_on,4&lt;=n_per),IF(circ_int,(g_oy)+(c_1/2+(s_0+3*s_r))*-0.464723,CHOOSE(INDEX(lk_kind,4),(g_oy-eq_c2/2)+((s_0+3*s_r))*-0.382683,g_oy-eq_c2/2-(s_0+3*s_r),0,0)),NA())</f>
        <v/>
      </c>
      <c r="BR51">
        <f>IF(AND(AND(links_on,4&lt;=n_per),INDEX(lk_kind,4)=1,48&lt;INDEX(lk_legs,4)),g_ox+IF(((48+0.5)*(4*IF(circ_int,0,eq_c1/2)+4*IF(circ_int,0,eq_c2/2)+2*PI()*(s_0+3*s_r+IF(circ_int,eq_c1/2,0)))/INDEX(lk_legs,4))&lt;(2*IF(circ_int,0,eq_c2/2)),IF(circ_int,0,eq_c1/2)+(s_0+3*s_r+IF(circ_int,eq_c1/2,0)),IF(((48+0.5)*(4*IF(circ_int,0,eq_c1/2)+4*IF(circ_int,0,eq_c2/2)+2*PI()*(s_0+3*s_r+IF(circ_int,eq_c1/2,0)))/INDEX(lk_legs,4))&lt;((2*IF(circ_int,0,eq_c2/2))+(PI()*(s_0+3*s_r+IF(circ_int,eq_c1/2,0))/2)),IF(circ_int,0,eq_c1/2)+(s_0+3*s_r+IF(circ_int,eq_c1/2,0))*COS((((48+0.5)*(4*IF(circ_int,0,eq_c1/2)+4*IF(circ_int,0,eq_c2/2)+2*PI()*(s_0+3*s_r+IF(circ_int,eq_c1/2,0)))/INDEX(lk_legs,4))-(2*IF(circ_int,0,eq_c2/2)))/(s_0+3*s_r+IF(circ_int,eq_c1/2,0))),IF(((48+0.5)*(4*IF(circ_int,0,eq_c1/2)+4*IF(circ_int,0,eq_c2/2)+2*PI()*(s_0+3*s_r+IF(circ_int,eq_c1/2,0)))/INDEX(lk_legs,4))&lt;(((2*IF(circ_int,0,eq_c2/2))+(PI()*(s_0+3*s_r+IF(circ_int,eq_c1/2,0))/2))+2*IF(circ_int,0,eq_c1/2)),IF(circ_int,0,eq_c1/2)-(((48+0.5)*(4*IF(circ_int,0,eq_c1/2)+4*IF(circ_int,0,eq_c2/2)+2*PI()*(s_0+3*s_r+IF(circ_int,eq_c1/2,0)))/INDEX(lk_legs,4))-((2*IF(circ_int,0,eq_c2/2))+(PI()*(s_0+3*s_r+IF(circ_int,eq_c1/2,0))/2))),IF(((48+0.5)*(4*IF(circ_int,0,eq_c1/2)+4*IF(circ_int,0,eq_c2/2)+2*PI()*(s_0+3*s_r+IF(circ_int,eq_c1/2,0)))/INDEX(lk_legs,4))&lt;((((2*IF(circ_int,0,eq_c2/2))+(PI()*(s_0+3*s_r+IF(circ_int,eq_c1/2,0))/2))+2*IF(circ_int,0,eq_c1/2))+(PI()*(s_0+3*s_r+IF(circ_int,eq_c1/2,0))/2)),-IF(circ_int,0,eq_c1/2)+(s_0+3*s_r+IF(circ_int,eq_c1/2,0))*COS(PI()/2+(((48+0.5)*(4*IF(circ_int,0,eq_c1/2)+4*IF(circ_int,0,eq_c2/2)+2*PI()*(s_0+3*s_r+IF(circ_int,eq_c1/2,0)))/INDEX(lk_legs,4))-(((2*IF(circ_int,0,eq_c2/2))+(PI()*(s_0+3*s_r+IF(circ_int,eq_c1/2,0))/2))+2*IF(circ_int,0,eq_c1/2)))/(s_0+3*s_r+IF(circ_int,eq_c1/2,0))),IF(((48+0.5)*(4*IF(circ_int,0,eq_c1/2)+4*IF(circ_int,0,eq_c2/2)+2*PI()*(s_0+3*s_r+IF(circ_int,eq_c1/2,0)))/INDEX(lk_legs,4))&lt;(((((2*IF(circ_int,0,eq_c2/2))+(PI()*(s_0+3*s_r+IF(circ_int,eq_c1/2,0))/2))+2*IF(circ_int,0,eq_c1/2))+(PI()*(s_0+3*s_r+IF(circ_int,eq_c1/2,0))/2))+2*IF(circ_int,0,eq_c2/2)),-IF(circ_int,0,eq_c1/2)-(s_0+3*s_r+IF(circ_int,eq_c1/2,0)),IF(((48+0.5)*(4*IF(circ_int,0,eq_c1/2)+4*IF(circ_int,0,eq_c2/2)+2*PI()*(s_0+3*s_r+IF(circ_int,eq_c1/2,0)))/INDEX(lk_legs,4))&lt;((((((2*IF(circ_int,0,eq_c2/2))+(PI()*(s_0+3*s_r+IF(circ_int,eq_c1/2,0))/2))+2*IF(circ_int,0,eq_c1/2))+(PI()*(s_0+3*s_r+IF(circ_int,eq_c1/2,0))/2))+2*IF(circ_int,0,eq_c2/2))+(PI()*(s_0+3*s_r+IF(circ_int,eq_c1/2,0))/2)),-IF(circ_int,0,eq_c1/2)+(s_0+3*s_r+IF(circ_int,eq_c1/2,0))*COS(PI()+(((48+0.5)*(4*IF(circ_int,0,eq_c1/2)+4*IF(circ_int,0,eq_c2/2)+2*PI()*(s_0+3*s_r+IF(circ_int,eq_c1/2,0)))/INDEX(lk_legs,4))-(((((2*IF(circ_int,0,eq_c2/2))+(PI()*(s_0+3*s_r+IF(circ_int,eq_c1/2,0))/2))+2*IF(circ_int,0,eq_c1/2))+(PI()*(s_0+3*s_r+IF(circ_int,eq_c1/2,0))/2))+2*IF(circ_int,0,eq_c2/2)))/(s_0+3*s_r+IF(circ_int,eq_c1/2,0))),IF(((48+0.5)*(4*IF(circ_int,0,eq_c1/2)+4*IF(circ_int,0,eq_c2/2)+2*PI()*(s_0+3*s_r+IF(circ_int,eq_c1/2,0)))/INDEX(lk_legs,4))&lt;(((((((2*IF(circ_int,0,eq_c2/2))+(PI()*(s_0+3*s_r+IF(circ_int,eq_c1/2,0))/2))+2*IF(circ_int,0,eq_c1/2))+(PI()*(s_0+3*s_r+IF(circ_int,eq_c1/2,0))/2))+2*IF(circ_int,0,eq_c2/2))+(PI()*(s_0+3*s_r+IF(circ_int,eq_c1/2,0))/2))+2*IF(circ_int,0,eq_c1/2)),-IF(circ_int,0,eq_c1/2)+(((48+0.5)*(4*IF(circ_int,0,eq_c1/2)+4*IF(circ_int,0,eq_c2/2)+2*PI()*(s_0+3*s_r+IF(circ_int,eq_c1/2,0)))/INDEX(lk_legs,4))-((((((2*IF(circ_int,0,eq_c2/2))+(PI()*(s_0+3*s_r+IF(circ_int,eq_c1/2,0))/2))+2*IF(circ_int,0,eq_c1/2))+(PI()*(s_0+3*s_r+IF(circ_int,eq_c1/2,0))/2))+2*IF(circ_int,0,eq_c2/2))+(PI()*(s_0+3*s_r+IF(circ_int,eq_c1/2,0))/2))),IF(circ_int,0,eq_c1/2)+(s_0+3*s_r+IF(circ_int,eq_c1/2,0))*COS(3*PI()/2+(((48+0.5)*(4*IF(circ_int,0,eq_c1/2)+4*IF(circ_int,0,eq_c2/2)+2*PI()*(s_0+3*s_r+IF(circ_int,eq_c1/2,0)))/INDEX(lk_legs,4))-(((((((2*IF(circ_int,0,eq_c2/2))+(PI()*(s_0+3*s_r+IF(circ_int,eq_c1/2,0))/2))+2*IF(circ_int,0,eq_c1/2))+(PI()*(s_0+3*s_r+IF(circ_int,eq_c1/2,0))/2))+2*IF(circ_int,0,eq_c2/2))+(PI()*(s_0+3*s_r+IF(circ_int,eq_c1/2,0))/2))+2*IF(circ_int,0,eq_c1/2)))/(s_0+3*s_r+IF(circ_int,eq_c1/2,0)))))))))),NA())</f>
        <v/>
      </c>
      <c r="BS51">
        <f>IF(AND(AND(links_on,4&lt;=n_per),INDEX(lk_kind,4)=1,48&lt;INDEX(lk_legs,4)),g_oy+IF(((48+0.5)*(4*IF(circ_int,0,eq_c1/2)+4*IF(circ_int,0,eq_c2/2)+2*PI()*(s_0+3*s_r+IF(circ_int,eq_c1/2,0)))/INDEX(lk_legs,4))&lt;(2*IF(circ_int,0,eq_c2/2)),-IF(circ_int,0,eq_c2/2)+((48+0.5)*(4*IF(circ_int,0,eq_c1/2)+4*IF(circ_int,0,eq_c2/2)+2*PI()*(s_0+3*s_r+IF(circ_int,eq_c1/2,0)))/INDEX(lk_legs,4)),IF(((48+0.5)*(4*IF(circ_int,0,eq_c1/2)+4*IF(circ_int,0,eq_c2/2)+2*PI()*(s_0+3*s_r+IF(circ_int,eq_c1/2,0)))/INDEX(lk_legs,4))&lt;((2*IF(circ_int,0,eq_c2/2))+(PI()*(s_0+3*s_r+IF(circ_int,eq_c1/2,0))/2)),IF(circ_int,0,eq_c2/2)+(s_0+3*s_r+IF(circ_int,eq_c1/2,0))*SIN((((48+0.5)*(4*IF(circ_int,0,eq_c1/2)+4*IF(circ_int,0,eq_c2/2)+2*PI()*(s_0+3*s_r+IF(circ_int,eq_c1/2,0)))/INDEX(lk_legs,4))-(2*IF(circ_int,0,eq_c2/2)))/(s_0+3*s_r+IF(circ_int,eq_c1/2,0))),IF(((48+0.5)*(4*IF(circ_int,0,eq_c1/2)+4*IF(circ_int,0,eq_c2/2)+2*PI()*(s_0+3*s_r+IF(circ_int,eq_c1/2,0)))/INDEX(lk_legs,4))&lt;(((2*IF(circ_int,0,eq_c2/2))+(PI()*(s_0+3*s_r+IF(circ_int,eq_c1/2,0))/2))+2*IF(circ_int,0,eq_c1/2)),IF(circ_int,0,eq_c2/2)+(s_0+3*s_r+IF(circ_int,eq_c1/2,0)),IF(((48+0.5)*(4*IF(circ_int,0,eq_c1/2)+4*IF(circ_int,0,eq_c2/2)+2*PI()*(s_0+3*s_r+IF(circ_int,eq_c1/2,0)))/INDEX(lk_legs,4))&lt;((((2*IF(circ_int,0,eq_c2/2))+(PI()*(s_0+3*s_r+IF(circ_int,eq_c1/2,0))/2))+2*IF(circ_int,0,eq_c1/2))+(PI()*(s_0+3*s_r+IF(circ_int,eq_c1/2,0))/2)),IF(circ_int,0,eq_c2/2)+(s_0+3*s_r+IF(circ_int,eq_c1/2,0))*SIN(PI()/2+(((48+0.5)*(4*IF(circ_int,0,eq_c1/2)+4*IF(circ_int,0,eq_c2/2)+2*PI()*(s_0+3*s_r+IF(circ_int,eq_c1/2,0)))/INDEX(lk_legs,4))-(((2*IF(circ_int,0,eq_c2/2))+(PI()*(s_0+3*s_r+IF(circ_int,eq_c1/2,0))/2))+2*IF(circ_int,0,eq_c1/2)))/(s_0+3*s_r+IF(circ_int,eq_c1/2,0))),IF(((48+0.5)*(4*IF(circ_int,0,eq_c1/2)+4*IF(circ_int,0,eq_c2/2)+2*PI()*(s_0+3*s_r+IF(circ_int,eq_c1/2,0)))/INDEX(lk_legs,4))&lt;(((((2*IF(circ_int,0,eq_c2/2))+(PI()*(s_0+3*s_r+IF(circ_int,eq_c1/2,0))/2))+2*IF(circ_int,0,eq_c1/2))+(PI()*(s_0+3*s_r+IF(circ_int,eq_c1/2,0))/2))+2*IF(circ_int,0,eq_c2/2)),IF(circ_int,0,eq_c2/2)-(((48+0.5)*(4*IF(circ_int,0,eq_c1/2)+4*IF(circ_int,0,eq_c2/2)+2*PI()*(s_0+3*s_r+IF(circ_int,eq_c1/2,0)))/INDEX(lk_legs,4))-((((2*IF(circ_int,0,eq_c2/2))+(PI()*(s_0+3*s_r+IF(circ_int,eq_c1/2,0))/2))+2*IF(circ_int,0,eq_c1/2))+(PI()*(s_0+3*s_r+IF(circ_int,eq_c1/2,0))/2))),IF(((48+0.5)*(4*IF(circ_int,0,eq_c1/2)+4*IF(circ_int,0,eq_c2/2)+2*PI()*(s_0+3*s_r+IF(circ_int,eq_c1/2,0)))/INDEX(lk_legs,4))&lt;((((((2*IF(circ_int,0,eq_c2/2))+(PI()*(s_0+3*s_r+IF(circ_int,eq_c1/2,0))/2))+2*IF(circ_int,0,eq_c1/2))+(PI()*(s_0+3*s_r+IF(circ_int,eq_c1/2,0))/2))+2*IF(circ_int,0,eq_c2/2))+(PI()*(s_0+3*s_r+IF(circ_int,eq_c1/2,0))/2)),-IF(circ_int,0,eq_c2/2)+(s_0+3*s_r+IF(circ_int,eq_c1/2,0))*SIN(PI()+(((48+0.5)*(4*IF(circ_int,0,eq_c1/2)+4*IF(circ_int,0,eq_c2/2)+2*PI()*(s_0+3*s_r+IF(circ_int,eq_c1/2,0)))/INDEX(lk_legs,4))-(((((2*IF(circ_int,0,eq_c2/2))+(PI()*(s_0+3*s_r+IF(circ_int,eq_c1/2,0))/2))+2*IF(circ_int,0,eq_c1/2))+(PI()*(s_0+3*s_r+IF(circ_int,eq_c1/2,0))/2))+2*IF(circ_int,0,eq_c2/2)))/(s_0+3*s_r+IF(circ_int,eq_c1/2,0))),IF(((48+0.5)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(48+0.5)*(4*IF(circ_int,0,eq_c1/2)+4*IF(circ_int,0,eq_c2/2)+2*PI()*(s_0+3*s_r+IF(circ_int,eq_c1/2,0)))/INDEX(lk_legs,4))-(((((((2*IF(circ_int,0,eq_c2/2))+(PI()*(s_0+3*s_r+IF(circ_int,eq_c1/2,0))/2))+2*IF(circ_int,0,eq_c1/2))+(PI()*(s_0+3*s_r+IF(circ_int,eq_c1/2,0))/2))+2*IF(circ_int,0,eq_c2/2))+(PI()*(s_0+3*s_r+IF(circ_int,eq_c1/2,0))/2))+2*IF(circ_int,0,eq_c1/2)))/(s_0+3*s_r+IF(circ_int,eq_c1/2,0)))))))))),NA())</f>
        <v/>
      </c>
      <c r="BU51">
        <f>IF(AND(links_on,5&lt;=n_per),IF(circ_int,(g_ox)+(c_1/2+(s_0+4*s_r))*0.885456,CHOOSE(INDEX(lk_kind,5),(g_ox+eq_c1/2)+((s_0+4*s_r))*0.923880,0,eq_a1+eq_c1+(s_0+4*s_r),eq_a1+eq_c1+(s_0+4*s_r))),NA())</f>
        <v/>
      </c>
      <c r="BV51">
        <f>IF(AND(links_on,5&lt;=n_per),IF(circ_int,(g_oy)+(c_1/2+(s_0+4*s_r))*-0.464723,CHOOSE(INDEX(lk_kind,5),(g_oy-eq_c2/2)+((s_0+4*s_r))*-0.382683,g_oy-eq_c2/2-(s_0+4*s_r),0,0)),NA())</f>
        <v/>
      </c>
      <c r="BX51">
        <f>IF(AND(AND(links_on,5&lt;=n_per),INDEX(lk_kind,5)=1,48&lt;INDEX(lk_legs,5)),g_ox+IF(((48+0.5)*(4*IF(circ_int,0,eq_c1/2)+4*IF(circ_int,0,eq_c2/2)+2*PI()*(s_0+4*s_r+IF(circ_int,eq_c1/2,0)))/INDEX(lk_legs,5))&lt;(2*IF(circ_int,0,eq_c2/2)),IF(circ_int,0,eq_c1/2)+(s_0+4*s_r+IF(circ_int,eq_c1/2,0)),IF(((48+0.5)*(4*IF(circ_int,0,eq_c1/2)+4*IF(circ_int,0,eq_c2/2)+2*PI()*(s_0+4*s_r+IF(circ_int,eq_c1/2,0)))/INDEX(lk_legs,5))&lt;((2*IF(circ_int,0,eq_c2/2))+(PI()*(s_0+4*s_r+IF(circ_int,eq_c1/2,0))/2)),IF(circ_int,0,eq_c1/2)+(s_0+4*s_r+IF(circ_int,eq_c1/2,0))*COS((((48+0.5)*(4*IF(circ_int,0,eq_c1/2)+4*IF(circ_int,0,eq_c2/2)+2*PI()*(s_0+4*s_r+IF(circ_int,eq_c1/2,0)))/INDEX(lk_legs,5))-(2*IF(circ_int,0,eq_c2/2)))/(s_0+4*s_r+IF(circ_int,eq_c1/2,0))),IF(((48+0.5)*(4*IF(circ_int,0,eq_c1/2)+4*IF(circ_int,0,eq_c2/2)+2*PI()*(s_0+4*s_r+IF(circ_int,eq_c1/2,0)))/INDEX(lk_legs,5))&lt;(((2*IF(circ_int,0,eq_c2/2))+(PI()*(s_0+4*s_r+IF(circ_int,eq_c1/2,0))/2))+2*IF(circ_int,0,eq_c1/2)),IF(circ_int,0,eq_c1/2)-(((48+0.5)*(4*IF(circ_int,0,eq_c1/2)+4*IF(circ_int,0,eq_c2/2)+2*PI()*(s_0+4*s_r+IF(circ_int,eq_c1/2,0)))/INDEX(lk_legs,5))-((2*IF(circ_int,0,eq_c2/2))+(PI()*(s_0+4*s_r+IF(circ_int,eq_c1/2,0))/2))),IF(((48+0.5)*(4*IF(circ_int,0,eq_c1/2)+4*IF(circ_int,0,eq_c2/2)+2*PI()*(s_0+4*s_r+IF(circ_int,eq_c1/2,0)))/INDEX(lk_legs,5))&lt;((((2*IF(circ_int,0,eq_c2/2))+(PI()*(s_0+4*s_r+IF(circ_int,eq_c1/2,0))/2))+2*IF(circ_int,0,eq_c1/2))+(PI()*(s_0+4*s_r+IF(circ_int,eq_c1/2,0))/2)),-IF(circ_int,0,eq_c1/2)+(s_0+4*s_r+IF(circ_int,eq_c1/2,0))*COS(PI()/2+(((48+0.5)*(4*IF(circ_int,0,eq_c1/2)+4*IF(circ_int,0,eq_c2/2)+2*PI()*(s_0+4*s_r+IF(circ_int,eq_c1/2,0)))/INDEX(lk_legs,5))-(((2*IF(circ_int,0,eq_c2/2))+(PI()*(s_0+4*s_r+IF(circ_int,eq_c1/2,0))/2))+2*IF(circ_int,0,eq_c1/2)))/(s_0+4*s_r+IF(circ_int,eq_c1/2,0))),IF(((48+0.5)*(4*IF(circ_int,0,eq_c1/2)+4*IF(circ_int,0,eq_c2/2)+2*PI()*(s_0+4*s_r+IF(circ_int,eq_c1/2,0)))/INDEX(lk_legs,5))&lt;(((((2*IF(circ_int,0,eq_c2/2))+(PI()*(s_0+4*s_r+IF(circ_int,eq_c1/2,0))/2))+2*IF(circ_int,0,eq_c1/2))+(PI()*(s_0+4*s_r+IF(circ_int,eq_c1/2,0))/2))+2*IF(circ_int,0,eq_c2/2)),-IF(circ_int,0,eq_c1/2)-(s_0+4*s_r+IF(circ_int,eq_c1/2,0)),IF(((48+0.5)*(4*IF(circ_int,0,eq_c1/2)+4*IF(circ_int,0,eq_c2/2)+2*PI()*(s_0+4*s_r+IF(circ_int,eq_c1/2,0)))/INDEX(lk_legs,5))&lt;((((((2*IF(circ_int,0,eq_c2/2))+(PI()*(s_0+4*s_r+IF(circ_int,eq_c1/2,0))/2))+2*IF(circ_int,0,eq_c1/2))+(PI()*(s_0+4*s_r+IF(circ_int,eq_c1/2,0))/2))+2*IF(circ_int,0,eq_c2/2))+(PI()*(s_0+4*s_r+IF(circ_int,eq_c1/2,0))/2)),-IF(circ_int,0,eq_c1/2)+(s_0+4*s_r+IF(circ_int,eq_c1/2,0))*COS(PI()+(((48+0.5)*(4*IF(circ_int,0,eq_c1/2)+4*IF(circ_int,0,eq_c2/2)+2*PI()*(s_0+4*s_r+IF(circ_int,eq_c1/2,0)))/INDEX(lk_legs,5))-(((((2*IF(circ_int,0,eq_c2/2))+(PI()*(s_0+4*s_r+IF(circ_int,eq_c1/2,0))/2))+2*IF(circ_int,0,eq_c1/2))+(PI()*(s_0+4*s_r+IF(circ_int,eq_c1/2,0))/2))+2*IF(circ_int,0,eq_c2/2)))/(s_0+4*s_r+IF(circ_int,eq_c1/2,0))),IF(((48+0.5)*(4*IF(circ_int,0,eq_c1/2)+4*IF(circ_int,0,eq_c2/2)+2*PI()*(s_0+4*s_r+IF(circ_int,eq_c1/2,0)))/INDEX(lk_legs,5))&lt;(((((((2*IF(circ_int,0,eq_c2/2))+(PI()*(s_0+4*s_r+IF(circ_int,eq_c1/2,0))/2))+2*IF(circ_int,0,eq_c1/2))+(PI()*(s_0+4*s_r+IF(circ_int,eq_c1/2,0))/2))+2*IF(circ_int,0,eq_c2/2))+(PI()*(s_0+4*s_r+IF(circ_int,eq_c1/2,0))/2))+2*IF(circ_int,0,eq_c1/2)),-IF(circ_int,0,eq_c1/2)+(((48+0.5)*(4*IF(circ_int,0,eq_c1/2)+4*IF(circ_int,0,eq_c2/2)+2*PI()*(s_0+4*s_r+IF(circ_int,eq_c1/2,0)))/INDEX(lk_legs,5))-((((((2*IF(circ_int,0,eq_c2/2))+(PI()*(s_0+4*s_r+IF(circ_int,eq_c1/2,0))/2))+2*IF(circ_int,0,eq_c1/2))+(PI()*(s_0+4*s_r+IF(circ_int,eq_c1/2,0))/2))+2*IF(circ_int,0,eq_c2/2))+(PI()*(s_0+4*s_r+IF(circ_int,eq_c1/2,0))/2))),IF(circ_int,0,eq_c1/2)+(s_0+4*s_r+IF(circ_int,eq_c1/2,0))*COS(3*PI()/2+(((48+0.5)*(4*IF(circ_int,0,eq_c1/2)+4*IF(circ_int,0,eq_c2/2)+2*PI()*(s_0+4*s_r+IF(circ_int,eq_c1/2,0)))/INDEX(lk_legs,5))-(((((((2*IF(circ_int,0,eq_c2/2))+(PI()*(s_0+4*s_r+IF(circ_int,eq_c1/2,0))/2))+2*IF(circ_int,0,eq_c1/2))+(PI()*(s_0+4*s_r+IF(circ_int,eq_c1/2,0))/2))+2*IF(circ_int,0,eq_c2/2))+(PI()*(s_0+4*s_r+IF(circ_int,eq_c1/2,0))/2))+2*IF(circ_int,0,eq_c1/2)))/(s_0+4*s_r+IF(circ_int,eq_c1/2,0)))))))))),NA())</f>
        <v/>
      </c>
      <c r="BY51">
        <f>IF(AND(AND(links_on,5&lt;=n_per),INDEX(lk_kind,5)=1,48&lt;INDEX(lk_legs,5)),g_oy+IF(((48+0.5)*(4*IF(circ_int,0,eq_c1/2)+4*IF(circ_int,0,eq_c2/2)+2*PI()*(s_0+4*s_r+IF(circ_int,eq_c1/2,0)))/INDEX(lk_legs,5))&lt;(2*IF(circ_int,0,eq_c2/2)),-IF(circ_int,0,eq_c2/2)+((48+0.5)*(4*IF(circ_int,0,eq_c1/2)+4*IF(circ_int,0,eq_c2/2)+2*PI()*(s_0+4*s_r+IF(circ_int,eq_c1/2,0)))/INDEX(lk_legs,5)),IF(((48+0.5)*(4*IF(circ_int,0,eq_c1/2)+4*IF(circ_int,0,eq_c2/2)+2*PI()*(s_0+4*s_r+IF(circ_int,eq_c1/2,0)))/INDEX(lk_legs,5))&lt;((2*IF(circ_int,0,eq_c2/2))+(PI()*(s_0+4*s_r+IF(circ_int,eq_c1/2,0))/2)),IF(circ_int,0,eq_c2/2)+(s_0+4*s_r+IF(circ_int,eq_c1/2,0))*SIN((((48+0.5)*(4*IF(circ_int,0,eq_c1/2)+4*IF(circ_int,0,eq_c2/2)+2*PI()*(s_0+4*s_r+IF(circ_int,eq_c1/2,0)))/INDEX(lk_legs,5))-(2*IF(circ_int,0,eq_c2/2)))/(s_0+4*s_r+IF(circ_int,eq_c1/2,0))),IF(((48+0.5)*(4*IF(circ_int,0,eq_c1/2)+4*IF(circ_int,0,eq_c2/2)+2*PI()*(s_0+4*s_r+IF(circ_int,eq_c1/2,0)))/INDEX(lk_legs,5))&lt;(((2*IF(circ_int,0,eq_c2/2))+(PI()*(s_0+4*s_r+IF(circ_int,eq_c1/2,0))/2))+2*IF(circ_int,0,eq_c1/2)),IF(circ_int,0,eq_c2/2)+(s_0+4*s_r+IF(circ_int,eq_c1/2,0)),IF(((48+0.5)*(4*IF(circ_int,0,eq_c1/2)+4*IF(circ_int,0,eq_c2/2)+2*PI()*(s_0+4*s_r+IF(circ_int,eq_c1/2,0)))/INDEX(lk_legs,5))&lt;((((2*IF(circ_int,0,eq_c2/2))+(PI()*(s_0+4*s_r+IF(circ_int,eq_c1/2,0))/2))+2*IF(circ_int,0,eq_c1/2))+(PI()*(s_0+4*s_r+IF(circ_int,eq_c1/2,0))/2)),IF(circ_int,0,eq_c2/2)+(s_0+4*s_r+IF(circ_int,eq_c1/2,0))*SIN(PI()/2+(((48+0.5)*(4*IF(circ_int,0,eq_c1/2)+4*IF(circ_int,0,eq_c2/2)+2*PI()*(s_0+4*s_r+IF(circ_int,eq_c1/2,0)))/INDEX(lk_legs,5))-(((2*IF(circ_int,0,eq_c2/2))+(PI()*(s_0+4*s_r+IF(circ_int,eq_c1/2,0))/2))+2*IF(circ_int,0,eq_c1/2)))/(s_0+4*s_r+IF(circ_int,eq_c1/2,0))),IF(((48+0.5)*(4*IF(circ_int,0,eq_c1/2)+4*IF(circ_int,0,eq_c2/2)+2*PI()*(s_0+4*s_r+IF(circ_int,eq_c1/2,0)))/INDEX(lk_legs,5))&lt;(((((2*IF(circ_int,0,eq_c2/2))+(PI()*(s_0+4*s_r+IF(circ_int,eq_c1/2,0))/2))+2*IF(circ_int,0,eq_c1/2))+(PI()*(s_0+4*s_r+IF(circ_int,eq_c1/2,0))/2))+2*IF(circ_int,0,eq_c2/2)),IF(circ_int,0,eq_c2/2)-(((48+0.5)*(4*IF(circ_int,0,eq_c1/2)+4*IF(circ_int,0,eq_c2/2)+2*PI()*(s_0+4*s_r+IF(circ_int,eq_c1/2,0)))/INDEX(lk_legs,5))-((((2*IF(circ_int,0,eq_c2/2))+(PI()*(s_0+4*s_r+IF(circ_int,eq_c1/2,0))/2))+2*IF(circ_int,0,eq_c1/2))+(PI()*(s_0+4*s_r+IF(circ_int,eq_c1/2,0))/2))),IF(((48+0.5)*(4*IF(circ_int,0,eq_c1/2)+4*IF(circ_int,0,eq_c2/2)+2*PI()*(s_0+4*s_r+IF(circ_int,eq_c1/2,0)))/INDEX(lk_legs,5))&lt;((((((2*IF(circ_int,0,eq_c2/2))+(PI()*(s_0+4*s_r+IF(circ_int,eq_c1/2,0))/2))+2*IF(circ_int,0,eq_c1/2))+(PI()*(s_0+4*s_r+IF(circ_int,eq_c1/2,0))/2))+2*IF(circ_int,0,eq_c2/2))+(PI()*(s_0+4*s_r+IF(circ_int,eq_c1/2,0))/2)),-IF(circ_int,0,eq_c2/2)+(s_0+4*s_r+IF(circ_int,eq_c1/2,0))*SIN(PI()+(((48+0.5)*(4*IF(circ_int,0,eq_c1/2)+4*IF(circ_int,0,eq_c2/2)+2*PI()*(s_0+4*s_r+IF(circ_int,eq_c1/2,0)))/INDEX(lk_legs,5))-(((((2*IF(circ_int,0,eq_c2/2))+(PI()*(s_0+4*s_r+IF(circ_int,eq_c1/2,0))/2))+2*IF(circ_int,0,eq_c1/2))+(PI()*(s_0+4*s_r+IF(circ_int,eq_c1/2,0))/2))+2*IF(circ_int,0,eq_c2/2)))/(s_0+4*s_r+IF(circ_int,eq_c1/2,0))),IF(((48+0.5)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(48+0.5)*(4*IF(circ_int,0,eq_c1/2)+4*IF(circ_int,0,eq_c2/2)+2*PI()*(s_0+4*s_r+IF(circ_int,eq_c1/2,0)))/INDEX(lk_legs,5))-(((((((2*IF(circ_int,0,eq_c2/2))+(PI()*(s_0+4*s_r+IF(circ_int,eq_c1/2,0))/2))+2*IF(circ_int,0,eq_c1/2))+(PI()*(s_0+4*s_r+IF(circ_int,eq_c1/2,0))/2))+2*IF(circ_int,0,eq_c2/2))+(PI()*(s_0+4*s_r+IF(circ_int,eq_c1/2,0))/2))+2*IF(circ_int,0,eq_c1/2)))/(s_0+4*s_r+IF(circ_int,eq_c1/2,0)))))))))),NA())</f>
        <v/>
      </c>
      <c r="CA51">
        <f>IF(AND(links_on,6&lt;=n_per),IF(circ_int,(g_ox)+(c_1/2+(s_0+5*s_r))*0.885456,CHOOSE(INDEX(lk_kind,6),(g_ox+eq_c1/2)+((s_0+5*s_r))*0.923880,0,eq_a1+eq_c1+(s_0+5*s_r),eq_a1+eq_c1+(s_0+5*s_r))),NA())</f>
        <v/>
      </c>
      <c r="CB51">
        <f>IF(AND(links_on,6&lt;=n_per),IF(circ_int,(g_oy)+(c_1/2+(s_0+5*s_r))*-0.464723,CHOOSE(INDEX(lk_kind,6),(g_oy-eq_c2/2)+((s_0+5*s_r))*-0.382683,g_oy-eq_c2/2-(s_0+5*s_r),0,0)),NA())</f>
        <v/>
      </c>
      <c r="CD51">
        <f>IF(AND(AND(links_on,6&lt;=n_per),INDEX(lk_kind,6)=1,48&lt;INDEX(lk_legs,6)),g_ox+IF(((48+0.5)*(4*IF(circ_int,0,eq_c1/2)+4*IF(circ_int,0,eq_c2/2)+2*PI()*(s_0+5*s_r+IF(circ_int,eq_c1/2,0)))/INDEX(lk_legs,6))&lt;(2*IF(circ_int,0,eq_c2/2)),IF(circ_int,0,eq_c1/2)+(s_0+5*s_r+IF(circ_int,eq_c1/2,0)),IF(((48+0.5)*(4*IF(circ_int,0,eq_c1/2)+4*IF(circ_int,0,eq_c2/2)+2*PI()*(s_0+5*s_r+IF(circ_int,eq_c1/2,0)))/INDEX(lk_legs,6))&lt;((2*IF(circ_int,0,eq_c2/2))+(PI()*(s_0+5*s_r+IF(circ_int,eq_c1/2,0))/2)),IF(circ_int,0,eq_c1/2)+(s_0+5*s_r+IF(circ_int,eq_c1/2,0))*COS((((48+0.5)*(4*IF(circ_int,0,eq_c1/2)+4*IF(circ_int,0,eq_c2/2)+2*PI()*(s_0+5*s_r+IF(circ_int,eq_c1/2,0)))/INDEX(lk_legs,6))-(2*IF(circ_int,0,eq_c2/2)))/(s_0+5*s_r+IF(circ_int,eq_c1/2,0))),IF(((48+0.5)*(4*IF(circ_int,0,eq_c1/2)+4*IF(circ_int,0,eq_c2/2)+2*PI()*(s_0+5*s_r+IF(circ_int,eq_c1/2,0)))/INDEX(lk_legs,6))&lt;(((2*IF(circ_int,0,eq_c2/2))+(PI()*(s_0+5*s_r+IF(circ_int,eq_c1/2,0))/2))+2*IF(circ_int,0,eq_c1/2)),IF(circ_int,0,eq_c1/2)-(((48+0.5)*(4*IF(circ_int,0,eq_c1/2)+4*IF(circ_int,0,eq_c2/2)+2*PI()*(s_0+5*s_r+IF(circ_int,eq_c1/2,0)))/INDEX(lk_legs,6))-((2*IF(circ_int,0,eq_c2/2))+(PI()*(s_0+5*s_r+IF(circ_int,eq_c1/2,0))/2))),IF(((48+0.5)*(4*IF(circ_int,0,eq_c1/2)+4*IF(circ_int,0,eq_c2/2)+2*PI()*(s_0+5*s_r+IF(circ_int,eq_c1/2,0)))/INDEX(lk_legs,6))&lt;((((2*IF(circ_int,0,eq_c2/2))+(PI()*(s_0+5*s_r+IF(circ_int,eq_c1/2,0))/2))+2*IF(circ_int,0,eq_c1/2))+(PI()*(s_0+5*s_r+IF(circ_int,eq_c1/2,0))/2)),-IF(circ_int,0,eq_c1/2)+(s_0+5*s_r+IF(circ_int,eq_c1/2,0))*COS(PI()/2+(((48+0.5)*(4*IF(circ_int,0,eq_c1/2)+4*IF(circ_int,0,eq_c2/2)+2*PI()*(s_0+5*s_r+IF(circ_int,eq_c1/2,0)))/INDEX(lk_legs,6))-(((2*IF(circ_int,0,eq_c2/2))+(PI()*(s_0+5*s_r+IF(circ_int,eq_c1/2,0))/2))+2*IF(circ_int,0,eq_c1/2)))/(s_0+5*s_r+IF(circ_int,eq_c1/2,0))),IF(((48+0.5)*(4*IF(circ_int,0,eq_c1/2)+4*IF(circ_int,0,eq_c2/2)+2*PI()*(s_0+5*s_r+IF(circ_int,eq_c1/2,0)))/INDEX(lk_legs,6))&lt;(((((2*IF(circ_int,0,eq_c2/2))+(PI()*(s_0+5*s_r+IF(circ_int,eq_c1/2,0))/2))+2*IF(circ_int,0,eq_c1/2))+(PI()*(s_0+5*s_r+IF(circ_int,eq_c1/2,0))/2))+2*IF(circ_int,0,eq_c2/2)),-IF(circ_int,0,eq_c1/2)-(s_0+5*s_r+IF(circ_int,eq_c1/2,0)),IF(((48+0.5)*(4*IF(circ_int,0,eq_c1/2)+4*IF(circ_int,0,eq_c2/2)+2*PI()*(s_0+5*s_r+IF(circ_int,eq_c1/2,0)))/INDEX(lk_legs,6))&lt;((((((2*IF(circ_int,0,eq_c2/2))+(PI()*(s_0+5*s_r+IF(circ_int,eq_c1/2,0))/2))+2*IF(circ_int,0,eq_c1/2))+(PI()*(s_0+5*s_r+IF(circ_int,eq_c1/2,0))/2))+2*IF(circ_int,0,eq_c2/2))+(PI()*(s_0+5*s_r+IF(circ_int,eq_c1/2,0))/2)),-IF(circ_int,0,eq_c1/2)+(s_0+5*s_r+IF(circ_int,eq_c1/2,0))*COS(PI()+(((48+0.5)*(4*IF(circ_int,0,eq_c1/2)+4*IF(circ_int,0,eq_c2/2)+2*PI()*(s_0+5*s_r+IF(circ_int,eq_c1/2,0)))/INDEX(lk_legs,6))-(((((2*IF(circ_int,0,eq_c2/2))+(PI()*(s_0+5*s_r+IF(circ_int,eq_c1/2,0))/2))+2*IF(circ_int,0,eq_c1/2))+(PI()*(s_0+5*s_r+IF(circ_int,eq_c1/2,0))/2))+2*IF(circ_int,0,eq_c2/2)))/(s_0+5*s_r+IF(circ_int,eq_c1/2,0))),IF(((48+0.5)*(4*IF(circ_int,0,eq_c1/2)+4*IF(circ_int,0,eq_c2/2)+2*PI()*(s_0+5*s_r+IF(circ_int,eq_c1/2,0)))/INDEX(lk_legs,6))&lt;(((((((2*IF(circ_int,0,eq_c2/2))+(PI()*(s_0+5*s_r+IF(circ_int,eq_c1/2,0))/2))+2*IF(circ_int,0,eq_c1/2))+(PI()*(s_0+5*s_r+IF(circ_int,eq_c1/2,0))/2))+2*IF(circ_int,0,eq_c2/2))+(PI()*(s_0+5*s_r+IF(circ_int,eq_c1/2,0))/2))+2*IF(circ_int,0,eq_c1/2)),-IF(circ_int,0,eq_c1/2)+(((48+0.5)*(4*IF(circ_int,0,eq_c1/2)+4*IF(circ_int,0,eq_c2/2)+2*PI()*(s_0+5*s_r+IF(circ_int,eq_c1/2,0)))/INDEX(lk_legs,6))-((((((2*IF(circ_int,0,eq_c2/2))+(PI()*(s_0+5*s_r+IF(circ_int,eq_c1/2,0))/2))+2*IF(circ_int,0,eq_c1/2))+(PI()*(s_0+5*s_r+IF(circ_int,eq_c1/2,0))/2))+2*IF(circ_int,0,eq_c2/2))+(PI()*(s_0+5*s_r+IF(circ_int,eq_c1/2,0))/2))),IF(circ_int,0,eq_c1/2)+(s_0+5*s_r+IF(circ_int,eq_c1/2,0))*COS(3*PI()/2+(((48+0.5)*(4*IF(circ_int,0,eq_c1/2)+4*IF(circ_int,0,eq_c2/2)+2*PI()*(s_0+5*s_r+IF(circ_int,eq_c1/2,0)))/INDEX(lk_legs,6))-(((((((2*IF(circ_int,0,eq_c2/2))+(PI()*(s_0+5*s_r+IF(circ_int,eq_c1/2,0))/2))+2*IF(circ_int,0,eq_c1/2))+(PI()*(s_0+5*s_r+IF(circ_int,eq_c1/2,0))/2))+2*IF(circ_int,0,eq_c2/2))+(PI()*(s_0+5*s_r+IF(circ_int,eq_c1/2,0))/2))+2*IF(circ_int,0,eq_c1/2)))/(s_0+5*s_r+IF(circ_int,eq_c1/2,0)))))))))),NA())</f>
        <v/>
      </c>
      <c r="CE51">
        <f>IF(AND(AND(links_on,6&lt;=n_per),INDEX(lk_kind,6)=1,48&lt;INDEX(lk_legs,6)),g_oy+IF(((48+0.5)*(4*IF(circ_int,0,eq_c1/2)+4*IF(circ_int,0,eq_c2/2)+2*PI()*(s_0+5*s_r+IF(circ_int,eq_c1/2,0)))/INDEX(lk_legs,6))&lt;(2*IF(circ_int,0,eq_c2/2)),-IF(circ_int,0,eq_c2/2)+((48+0.5)*(4*IF(circ_int,0,eq_c1/2)+4*IF(circ_int,0,eq_c2/2)+2*PI()*(s_0+5*s_r+IF(circ_int,eq_c1/2,0)))/INDEX(lk_legs,6)),IF(((48+0.5)*(4*IF(circ_int,0,eq_c1/2)+4*IF(circ_int,0,eq_c2/2)+2*PI()*(s_0+5*s_r+IF(circ_int,eq_c1/2,0)))/INDEX(lk_legs,6))&lt;((2*IF(circ_int,0,eq_c2/2))+(PI()*(s_0+5*s_r+IF(circ_int,eq_c1/2,0))/2)),IF(circ_int,0,eq_c2/2)+(s_0+5*s_r+IF(circ_int,eq_c1/2,0))*SIN((((48+0.5)*(4*IF(circ_int,0,eq_c1/2)+4*IF(circ_int,0,eq_c2/2)+2*PI()*(s_0+5*s_r+IF(circ_int,eq_c1/2,0)))/INDEX(lk_legs,6))-(2*IF(circ_int,0,eq_c2/2)))/(s_0+5*s_r+IF(circ_int,eq_c1/2,0))),IF(((48+0.5)*(4*IF(circ_int,0,eq_c1/2)+4*IF(circ_int,0,eq_c2/2)+2*PI()*(s_0+5*s_r+IF(circ_int,eq_c1/2,0)))/INDEX(lk_legs,6))&lt;(((2*IF(circ_int,0,eq_c2/2))+(PI()*(s_0+5*s_r+IF(circ_int,eq_c1/2,0))/2))+2*IF(circ_int,0,eq_c1/2)),IF(circ_int,0,eq_c2/2)+(s_0+5*s_r+IF(circ_int,eq_c1/2,0)),IF(((48+0.5)*(4*IF(circ_int,0,eq_c1/2)+4*IF(circ_int,0,eq_c2/2)+2*PI()*(s_0+5*s_r+IF(circ_int,eq_c1/2,0)))/INDEX(lk_legs,6))&lt;((((2*IF(circ_int,0,eq_c2/2))+(PI()*(s_0+5*s_r+IF(circ_int,eq_c1/2,0))/2))+2*IF(circ_int,0,eq_c1/2))+(PI()*(s_0+5*s_r+IF(circ_int,eq_c1/2,0))/2)),IF(circ_int,0,eq_c2/2)+(s_0+5*s_r+IF(circ_int,eq_c1/2,0))*SIN(PI()/2+(((48+0.5)*(4*IF(circ_int,0,eq_c1/2)+4*IF(circ_int,0,eq_c2/2)+2*PI()*(s_0+5*s_r+IF(circ_int,eq_c1/2,0)))/INDEX(lk_legs,6))-(((2*IF(circ_int,0,eq_c2/2))+(PI()*(s_0+5*s_r+IF(circ_int,eq_c1/2,0))/2))+2*IF(circ_int,0,eq_c1/2)))/(s_0+5*s_r+IF(circ_int,eq_c1/2,0))),IF(((48+0.5)*(4*IF(circ_int,0,eq_c1/2)+4*IF(circ_int,0,eq_c2/2)+2*PI()*(s_0+5*s_r+IF(circ_int,eq_c1/2,0)))/INDEX(lk_legs,6))&lt;(((((2*IF(circ_int,0,eq_c2/2))+(PI()*(s_0+5*s_r+IF(circ_int,eq_c1/2,0))/2))+2*IF(circ_int,0,eq_c1/2))+(PI()*(s_0+5*s_r+IF(circ_int,eq_c1/2,0))/2))+2*IF(circ_int,0,eq_c2/2)),IF(circ_int,0,eq_c2/2)-(((48+0.5)*(4*IF(circ_int,0,eq_c1/2)+4*IF(circ_int,0,eq_c2/2)+2*PI()*(s_0+5*s_r+IF(circ_int,eq_c1/2,0)))/INDEX(lk_legs,6))-((((2*IF(circ_int,0,eq_c2/2))+(PI()*(s_0+5*s_r+IF(circ_int,eq_c1/2,0))/2))+2*IF(circ_int,0,eq_c1/2))+(PI()*(s_0+5*s_r+IF(circ_int,eq_c1/2,0))/2))),IF(((48+0.5)*(4*IF(circ_int,0,eq_c1/2)+4*IF(circ_int,0,eq_c2/2)+2*PI()*(s_0+5*s_r+IF(circ_int,eq_c1/2,0)))/INDEX(lk_legs,6))&lt;((((((2*IF(circ_int,0,eq_c2/2))+(PI()*(s_0+5*s_r+IF(circ_int,eq_c1/2,0))/2))+2*IF(circ_int,0,eq_c1/2))+(PI()*(s_0+5*s_r+IF(circ_int,eq_c1/2,0))/2))+2*IF(circ_int,0,eq_c2/2))+(PI()*(s_0+5*s_r+IF(circ_int,eq_c1/2,0))/2)),-IF(circ_int,0,eq_c2/2)+(s_0+5*s_r+IF(circ_int,eq_c1/2,0))*SIN(PI()+(((48+0.5)*(4*IF(circ_int,0,eq_c1/2)+4*IF(circ_int,0,eq_c2/2)+2*PI()*(s_0+5*s_r+IF(circ_int,eq_c1/2,0)))/INDEX(lk_legs,6))-(((((2*IF(circ_int,0,eq_c2/2))+(PI()*(s_0+5*s_r+IF(circ_int,eq_c1/2,0))/2))+2*IF(circ_int,0,eq_c1/2))+(PI()*(s_0+5*s_r+IF(circ_int,eq_c1/2,0))/2))+2*IF(circ_int,0,eq_c2/2)))/(s_0+5*s_r+IF(circ_int,eq_c1/2,0))),IF(((48+0.5)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(48+0.5)*(4*IF(circ_int,0,eq_c1/2)+4*IF(circ_int,0,eq_c2/2)+2*PI()*(s_0+5*s_r+IF(circ_int,eq_c1/2,0)))/INDEX(lk_legs,6))-(((((((2*IF(circ_int,0,eq_c2/2))+(PI()*(s_0+5*s_r+IF(circ_int,eq_c1/2,0))/2))+2*IF(circ_int,0,eq_c1/2))+(PI()*(s_0+5*s_r+IF(circ_int,eq_c1/2,0))/2))+2*IF(circ_int,0,eq_c2/2))+(PI()*(s_0+5*s_r+IF(circ_int,eq_c1/2,0))/2))+2*IF(circ_int,0,eq_c1/2)))/(s_0+5*s_r+IF(circ_int,eq_c1/2,0)))))))))),NA())</f>
        <v/>
      </c>
      <c r="CG51">
        <f>IF(AND(links_on,7&lt;=n_per),IF(circ_int,(g_ox)+(c_1/2+(s_0+6*s_r))*0.885456,CHOOSE(INDEX(lk_kind,7),(g_ox+eq_c1/2)+((s_0+6*s_r))*0.923880,0,eq_a1+eq_c1+(s_0+6*s_r),eq_a1+eq_c1+(s_0+6*s_r))),NA())</f>
        <v/>
      </c>
      <c r="CH51">
        <f>IF(AND(links_on,7&lt;=n_per),IF(circ_int,(g_oy)+(c_1/2+(s_0+6*s_r))*-0.464723,CHOOSE(INDEX(lk_kind,7),(g_oy-eq_c2/2)+((s_0+6*s_r))*-0.382683,g_oy-eq_c2/2-(s_0+6*s_r),0,0)),NA())</f>
        <v/>
      </c>
      <c r="CJ51">
        <f>IF(AND(AND(links_on,7&lt;=n_per),INDEX(lk_kind,7)=1,48&lt;INDEX(lk_legs,7)),g_ox+IF(((48+0.5)*(4*IF(circ_int,0,eq_c1/2)+4*IF(circ_int,0,eq_c2/2)+2*PI()*(s_0+6*s_r+IF(circ_int,eq_c1/2,0)))/INDEX(lk_legs,7))&lt;(2*IF(circ_int,0,eq_c2/2)),IF(circ_int,0,eq_c1/2)+(s_0+6*s_r+IF(circ_int,eq_c1/2,0)),IF(((48+0.5)*(4*IF(circ_int,0,eq_c1/2)+4*IF(circ_int,0,eq_c2/2)+2*PI()*(s_0+6*s_r+IF(circ_int,eq_c1/2,0)))/INDEX(lk_legs,7))&lt;((2*IF(circ_int,0,eq_c2/2))+(PI()*(s_0+6*s_r+IF(circ_int,eq_c1/2,0))/2)),IF(circ_int,0,eq_c1/2)+(s_0+6*s_r+IF(circ_int,eq_c1/2,0))*COS((((48+0.5)*(4*IF(circ_int,0,eq_c1/2)+4*IF(circ_int,0,eq_c2/2)+2*PI()*(s_0+6*s_r+IF(circ_int,eq_c1/2,0)))/INDEX(lk_legs,7))-(2*IF(circ_int,0,eq_c2/2)))/(s_0+6*s_r+IF(circ_int,eq_c1/2,0))),IF(((48+0.5)*(4*IF(circ_int,0,eq_c1/2)+4*IF(circ_int,0,eq_c2/2)+2*PI()*(s_0+6*s_r+IF(circ_int,eq_c1/2,0)))/INDEX(lk_legs,7))&lt;(((2*IF(circ_int,0,eq_c2/2))+(PI()*(s_0+6*s_r+IF(circ_int,eq_c1/2,0))/2))+2*IF(circ_int,0,eq_c1/2)),IF(circ_int,0,eq_c1/2)-(((48+0.5)*(4*IF(circ_int,0,eq_c1/2)+4*IF(circ_int,0,eq_c2/2)+2*PI()*(s_0+6*s_r+IF(circ_int,eq_c1/2,0)))/INDEX(lk_legs,7))-((2*IF(circ_int,0,eq_c2/2))+(PI()*(s_0+6*s_r+IF(circ_int,eq_c1/2,0))/2))),IF(((48+0.5)*(4*IF(circ_int,0,eq_c1/2)+4*IF(circ_int,0,eq_c2/2)+2*PI()*(s_0+6*s_r+IF(circ_int,eq_c1/2,0)))/INDEX(lk_legs,7))&lt;((((2*IF(circ_int,0,eq_c2/2))+(PI()*(s_0+6*s_r+IF(circ_int,eq_c1/2,0))/2))+2*IF(circ_int,0,eq_c1/2))+(PI()*(s_0+6*s_r+IF(circ_int,eq_c1/2,0))/2)),-IF(circ_int,0,eq_c1/2)+(s_0+6*s_r+IF(circ_int,eq_c1/2,0))*COS(PI()/2+(((48+0.5)*(4*IF(circ_int,0,eq_c1/2)+4*IF(circ_int,0,eq_c2/2)+2*PI()*(s_0+6*s_r+IF(circ_int,eq_c1/2,0)))/INDEX(lk_legs,7))-(((2*IF(circ_int,0,eq_c2/2))+(PI()*(s_0+6*s_r+IF(circ_int,eq_c1/2,0))/2))+2*IF(circ_int,0,eq_c1/2)))/(s_0+6*s_r+IF(circ_int,eq_c1/2,0))),IF(((48+0.5)*(4*IF(circ_int,0,eq_c1/2)+4*IF(circ_int,0,eq_c2/2)+2*PI()*(s_0+6*s_r+IF(circ_int,eq_c1/2,0)))/INDEX(lk_legs,7))&lt;(((((2*IF(circ_int,0,eq_c2/2))+(PI()*(s_0+6*s_r+IF(circ_int,eq_c1/2,0))/2))+2*IF(circ_int,0,eq_c1/2))+(PI()*(s_0+6*s_r+IF(circ_int,eq_c1/2,0))/2))+2*IF(circ_int,0,eq_c2/2)),-IF(circ_int,0,eq_c1/2)-(s_0+6*s_r+IF(circ_int,eq_c1/2,0)),IF(((48+0.5)*(4*IF(circ_int,0,eq_c1/2)+4*IF(circ_int,0,eq_c2/2)+2*PI()*(s_0+6*s_r+IF(circ_int,eq_c1/2,0)))/INDEX(lk_legs,7))&lt;((((((2*IF(circ_int,0,eq_c2/2))+(PI()*(s_0+6*s_r+IF(circ_int,eq_c1/2,0))/2))+2*IF(circ_int,0,eq_c1/2))+(PI()*(s_0+6*s_r+IF(circ_int,eq_c1/2,0))/2))+2*IF(circ_int,0,eq_c2/2))+(PI()*(s_0+6*s_r+IF(circ_int,eq_c1/2,0))/2)),-IF(circ_int,0,eq_c1/2)+(s_0+6*s_r+IF(circ_int,eq_c1/2,0))*COS(PI()+(((48+0.5)*(4*IF(circ_int,0,eq_c1/2)+4*IF(circ_int,0,eq_c2/2)+2*PI()*(s_0+6*s_r+IF(circ_int,eq_c1/2,0)))/INDEX(lk_legs,7))-(((((2*IF(circ_int,0,eq_c2/2))+(PI()*(s_0+6*s_r+IF(circ_int,eq_c1/2,0))/2))+2*IF(circ_int,0,eq_c1/2))+(PI()*(s_0+6*s_r+IF(circ_int,eq_c1/2,0))/2))+2*IF(circ_int,0,eq_c2/2)))/(s_0+6*s_r+IF(circ_int,eq_c1/2,0))),IF(((48+0.5)*(4*IF(circ_int,0,eq_c1/2)+4*IF(circ_int,0,eq_c2/2)+2*PI()*(s_0+6*s_r+IF(circ_int,eq_c1/2,0)))/INDEX(lk_legs,7))&lt;(((((((2*IF(circ_int,0,eq_c2/2))+(PI()*(s_0+6*s_r+IF(circ_int,eq_c1/2,0))/2))+2*IF(circ_int,0,eq_c1/2))+(PI()*(s_0+6*s_r+IF(circ_int,eq_c1/2,0))/2))+2*IF(circ_int,0,eq_c2/2))+(PI()*(s_0+6*s_r+IF(circ_int,eq_c1/2,0))/2))+2*IF(circ_int,0,eq_c1/2)),-IF(circ_int,0,eq_c1/2)+(((48+0.5)*(4*IF(circ_int,0,eq_c1/2)+4*IF(circ_int,0,eq_c2/2)+2*PI()*(s_0+6*s_r+IF(circ_int,eq_c1/2,0)))/INDEX(lk_legs,7))-((((((2*IF(circ_int,0,eq_c2/2))+(PI()*(s_0+6*s_r+IF(circ_int,eq_c1/2,0))/2))+2*IF(circ_int,0,eq_c1/2))+(PI()*(s_0+6*s_r+IF(circ_int,eq_c1/2,0))/2))+2*IF(circ_int,0,eq_c2/2))+(PI()*(s_0+6*s_r+IF(circ_int,eq_c1/2,0))/2))),IF(circ_int,0,eq_c1/2)+(s_0+6*s_r+IF(circ_int,eq_c1/2,0))*COS(3*PI()/2+(((48+0.5)*(4*IF(circ_int,0,eq_c1/2)+4*IF(circ_int,0,eq_c2/2)+2*PI()*(s_0+6*s_r+IF(circ_int,eq_c1/2,0)))/INDEX(lk_legs,7))-(((((((2*IF(circ_int,0,eq_c2/2))+(PI()*(s_0+6*s_r+IF(circ_int,eq_c1/2,0))/2))+2*IF(circ_int,0,eq_c1/2))+(PI()*(s_0+6*s_r+IF(circ_int,eq_c1/2,0))/2))+2*IF(circ_int,0,eq_c2/2))+(PI()*(s_0+6*s_r+IF(circ_int,eq_c1/2,0))/2))+2*IF(circ_int,0,eq_c1/2)))/(s_0+6*s_r+IF(circ_int,eq_c1/2,0)))))))))),NA())</f>
        <v/>
      </c>
      <c r="CK51">
        <f>IF(AND(AND(links_on,7&lt;=n_per),INDEX(lk_kind,7)=1,48&lt;INDEX(lk_legs,7)),g_oy+IF(((48+0.5)*(4*IF(circ_int,0,eq_c1/2)+4*IF(circ_int,0,eq_c2/2)+2*PI()*(s_0+6*s_r+IF(circ_int,eq_c1/2,0)))/INDEX(lk_legs,7))&lt;(2*IF(circ_int,0,eq_c2/2)),-IF(circ_int,0,eq_c2/2)+((48+0.5)*(4*IF(circ_int,0,eq_c1/2)+4*IF(circ_int,0,eq_c2/2)+2*PI()*(s_0+6*s_r+IF(circ_int,eq_c1/2,0)))/INDEX(lk_legs,7)),IF(((48+0.5)*(4*IF(circ_int,0,eq_c1/2)+4*IF(circ_int,0,eq_c2/2)+2*PI()*(s_0+6*s_r+IF(circ_int,eq_c1/2,0)))/INDEX(lk_legs,7))&lt;((2*IF(circ_int,0,eq_c2/2))+(PI()*(s_0+6*s_r+IF(circ_int,eq_c1/2,0))/2)),IF(circ_int,0,eq_c2/2)+(s_0+6*s_r+IF(circ_int,eq_c1/2,0))*SIN((((48+0.5)*(4*IF(circ_int,0,eq_c1/2)+4*IF(circ_int,0,eq_c2/2)+2*PI()*(s_0+6*s_r+IF(circ_int,eq_c1/2,0)))/INDEX(lk_legs,7))-(2*IF(circ_int,0,eq_c2/2)))/(s_0+6*s_r+IF(circ_int,eq_c1/2,0))),IF(((48+0.5)*(4*IF(circ_int,0,eq_c1/2)+4*IF(circ_int,0,eq_c2/2)+2*PI()*(s_0+6*s_r+IF(circ_int,eq_c1/2,0)))/INDEX(lk_legs,7))&lt;(((2*IF(circ_int,0,eq_c2/2))+(PI()*(s_0+6*s_r+IF(circ_int,eq_c1/2,0))/2))+2*IF(circ_int,0,eq_c1/2)),IF(circ_int,0,eq_c2/2)+(s_0+6*s_r+IF(circ_int,eq_c1/2,0)),IF(((48+0.5)*(4*IF(circ_int,0,eq_c1/2)+4*IF(circ_int,0,eq_c2/2)+2*PI()*(s_0+6*s_r+IF(circ_int,eq_c1/2,0)))/INDEX(lk_legs,7))&lt;((((2*IF(circ_int,0,eq_c2/2))+(PI()*(s_0+6*s_r+IF(circ_int,eq_c1/2,0))/2))+2*IF(circ_int,0,eq_c1/2))+(PI()*(s_0+6*s_r+IF(circ_int,eq_c1/2,0))/2)),IF(circ_int,0,eq_c2/2)+(s_0+6*s_r+IF(circ_int,eq_c1/2,0))*SIN(PI()/2+(((48+0.5)*(4*IF(circ_int,0,eq_c1/2)+4*IF(circ_int,0,eq_c2/2)+2*PI()*(s_0+6*s_r+IF(circ_int,eq_c1/2,0)))/INDEX(lk_legs,7))-(((2*IF(circ_int,0,eq_c2/2))+(PI()*(s_0+6*s_r+IF(circ_int,eq_c1/2,0))/2))+2*IF(circ_int,0,eq_c1/2)))/(s_0+6*s_r+IF(circ_int,eq_c1/2,0))),IF(((48+0.5)*(4*IF(circ_int,0,eq_c1/2)+4*IF(circ_int,0,eq_c2/2)+2*PI()*(s_0+6*s_r+IF(circ_int,eq_c1/2,0)))/INDEX(lk_legs,7))&lt;(((((2*IF(circ_int,0,eq_c2/2))+(PI()*(s_0+6*s_r+IF(circ_int,eq_c1/2,0))/2))+2*IF(circ_int,0,eq_c1/2))+(PI()*(s_0+6*s_r+IF(circ_int,eq_c1/2,0))/2))+2*IF(circ_int,0,eq_c2/2)),IF(circ_int,0,eq_c2/2)-(((48+0.5)*(4*IF(circ_int,0,eq_c1/2)+4*IF(circ_int,0,eq_c2/2)+2*PI()*(s_0+6*s_r+IF(circ_int,eq_c1/2,0)))/INDEX(lk_legs,7))-((((2*IF(circ_int,0,eq_c2/2))+(PI()*(s_0+6*s_r+IF(circ_int,eq_c1/2,0))/2))+2*IF(circ_int,0,eq_c1/2))+(PI()*(s_0+6*s_r+IF(circ_int,eq_c1/2,0))/2))),IF(((48+0.5)*(4*IF(circ_int,0,eq_c1/2)+4*IF(circ_int,0,eq_c2/2)+2*PI()*(s_0+6*s_r+IF(circ_int,eq_c1/2,0)))/INDEX(lk_legs,7))&lt;((((((2*IF(circ_int,0,eq_c2/2))+(PI()*(s_0+6*s_r+IF(circ_int,eq_c1/2,0))/2))+2*IF(circ_int,0,eq_c1/2))+(PI()*(s_0+6*s_r+IF(circ_int,eq_c1/2,0))/2))+2*IF(circ_int,0,eq_c2/2))+(PI()*(s_0+6*s_r+IF(circ_int,eq_c1/2,0))/2)),-IF(circ_int,0,eq_c2/2)+(s_0+6*s_r+IF(circ_int,eq_c1/2,0))*SIN(PI()+(((48+0.5)*(4*IF(circ_int,0,eq_c1/2)+4*IF(circ_int,0,eq_c2/2)+2*PI()*(s_0+6*s_r+IF(circ_int,eq_c1/2,0)))/INDEX(lk_legs,7))-(((((2*IF(circ_int,0,eq_c2/2))+(PI()*(s_0+6*s_r+IF(circ_int,eq_c1/2,0))/2))+2*IF(circ_int,0,eq_c1/2))+(PI()*(s_0+6*s_r+IF(circ_int,eq_c1/2,0))/2))+2*IF(circ_int,0,eq_c2/2)))/(s_0+6*s_r+IF(circ_int,eq_c1/2,0))),IF(((48+0.5)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(48+0.5)*(4*IF(circ_int,0,eq_c1/2)+4*IF(circ_int,0,eq_c2/2)+2*PI()*(s_0+6*s_r+IF(circ_int,eq_c1/2,0)))/INDEX(lk_legs,7))-(((((((2*IF(circ_int,0,eq_c2/2))+(PI()*(s_0+6*s_r+IF(circ_int,eq_c1/2,0))/2))+2*IF(circ_int,0,eq_c1/2))+(PI()*(s_0+6*s_r+IF(circ_int,eq_c1/2,0))/2))+2*IF(circ_int,0,eq_c2/2))+(PI()*(s_0+6*s_r+IF(circ_int,eq_c1/2,0))/2))+2*IF(circ_int,0,eq_c1/2)))/(s_0+6*s_r+IF(circ_int,eq_c1/2,0)))))))))),NA())</f>
        <v/>
      </c>
      <c r="CM51">
        <f>IF(AND(links_on,8&lt;=n_per),IF(circ_int,(g_ox)+(c_1/2+(s_0+7*s_r))*0.885456,CHOOSE(INDEX(lk_kind,8),(g_ox+eq_c1/2)+((s_0+7*s_r))*0.923880,0,eq_a1+eq_c1+(s_0+7*s_r),eq_a1+eq_c1+(s_0+7*s_r))),NA())</f>
        <v/>
      </c>
      <c r="CN51">
        <f>IF(AND(links_on,8&lt;=n_per),IF(circ_int,(g_oy)+(c_1/2+(s_0+7*s_r))*-0.464723,CHOOSE(INDEX(lk_kind,8),(g_oy-eq_c2/2)+((s_0+7*s_r))*-0.382683,g_oy-eq_c2/2-(s_0+7*s_r),0,0)),NA())</f>
        <v/>
      </c>
      <c r="CP51">
        <f>IF(AND(AND(links_on,8&lt;=n_per),INDEX(lk_kind,8)=1,48&lt;INDEX(lk_legs,8)),g_ox+IF(((48+0.5)*(4*IF(circ_int,0,eq_c1/2)+4*IF(circ_int,0,eq_c2/2)+2*PI()*(s_0+7*s_r+IF(circ_int,eq_c1/2,0)))/INDEX(lk_legs,8))&lt;(2*IF(circ_int,0,eq_c2/2)),IF(circ_int,0,eq_c1/2)+(s_0+7*s_r+IF(circ_int,eq_c1/2,0)),IF(((48+0.5)*(4*IF(circ_int,0,eq_c1/2)+4*IF(circ_int,0,eq_c2/2)+2*PI()*(s_0+7*s_r+IF(circ_int,eq_c1/2,0)))/INDEX(lk_legs,8))&lt;((2*IF(circ_int,0,eq_c2/2))+(PI()*(s_0+7*s_r+IF(circ_int,eq_c1/2,0))/2)),IF(circ_int,0,eq_c1/2)+(s_0+7*s_r+IF(circ_int,eq_c1/2,0))*COS((((48+0.5)*(4*IF(circ_int,0,eq_c1/2)+4*IF(circ_int,0,eq_c2/2)+2*PI()*(s_0+7*s_r+IF(circ_int,eq_c1/2,0)))/INDEX(lk_legs,8))-(2*IF(circ_int,0,eq_c2/2)))/(s_0+7*s_r+IF(circ_int,eq_c1/2,0))),IF(((48+0.5)*(4*IF(circ_int,0,eq_c1/2)+4*IF(circ_int,0,eq_c2/2)+2*PI()*(s_0+7*s_r+IF(circ_int,eq_c1/2,0)))/INDEX(lk_legs,8))&lt;(((2*IF(circ_int,0,eq_c2/2))+(PI()*(s_0+7*s_r+IF(circ_int,eq_c1/2,0))/2))+2*IF(circ_int,0,eq_c1/2)),IF(circ_int,0,eq_c1/2)-(((48+0.5)*(4*IF(circ_int,0,eq_c1/2)+4*IF(circ_int,0,eq_c2/2)+2*PI()*(s_0+7*s_r+IF(circ_int,eq_c1/2,0)))/INDEX(lk_legs,8))-((2*IF(circ_int,0,eq_c2/2))+(PI()*(s_0+7*s_r+IF(circ_int,eq_c1/2,0))/2))),IF(((48+0.5)*(4*IF(circ_int,0,eq_c1/2)+4*IF(circ_int,0,eq_c2/2)+2*PI()*(s_0+7*s_r+IF(circ_int,eq_c1/2,0)))/INDEX(lk_legs,8))&lt;((((2*IF(circ_int,0,eq_c2/2))+(PI()*(s_0+7*s_r+IF(circ_int,eq_c1/2,0))/2))+2*IF(circ_int,0,eq_c1/2))+(PI()*(s_0+7*s_r+IF(circ_int,eq_c1/2,0))/2)),-IF(circ_int,0,eq_c1/2)+(s_0+7*s_r+IF(circ_int,eq_c1/2,0))*COS(PI()/2+(((48+0.5)*(4*IF(circ_int,0,eq_c1/2)+4*IF(circ_int,0,eq_c2/2)+2*PI()*(s_0+7*s_r+IF(circ_int,eq_c1/2,0)))/INDEX(lk_legs,8))-(((2*IF(circ_int,0,eq_c2/2))+(PI()*(s_0+7*s_r+IF(circ_int,eq_c1/2,0))/2))+2*IF(circ_int,0,eq_c1/2)))/(s_0+7*s_r+IF(circ_int,eq_c1/2,0))),IF(((48+0.5)*(4*IF(circ_int,0,eq_c1/2)+4*IF(circ_int,0,eq_c2/2)+2*PI()*(s_0+7*s_r+IF(circ_int,eq_c1/2,0)))/INDEX(lk_legs,8))&lt;(((((2*IF(circ_int,0,eq_c2/2))+(PI()*(s_0+7*s_r+IF(circ_int,eq_c1/2,0))/2))+2*IF(circ_int,0,eq_c1/2))+(PI()*(s_0+7*s_r+IF(circ_int,eq_c1/2,0))/2))+2*IF(circ_int,0,eq_c2/2)),-IF(circ_int,0,eq_c1/2)-(s_0+7*s_r+IF(circ_int,eq_c1/2,0)),IF(((48+0.5)*(4*IF(circ_int,0,eq_c1/2)+4*IF(circ_int,0,eq_c2/2)+2*PI()*(s_0+7*s_r+IF(circ_int,eq_c1/2,0)))/INDEX(lk_legs,8))&lt;((((((2*IF(circ_int,0,eq_c2/2))+(PI()*(s_0+7*s_r+IF(circ_int,eq_c1/2,0))/2))+2*IF(circ_int,0,eq_c1/2))+(PI()*(s_0+7*s_r+IF(circ_int,eq_c1/2,0))/2))+2*IF(circ_int,0,eq_c2/2))+(PI()*(s_0+7*s_r+IF(circ_int,eq_c1/2,0))/2)),-IF(circ_int,0,eq_c1/2)+(s_0+7*s_r+IF(circ_int,eq_c1/2,0))*COS(PI()+(((48+0.5)*(4*IF(circ_int,0,eq_c1/2)+4*IF(circ_int,0,eq_c2/2)+2*PI()*(s_0+7*s_r+IF(circ_int,eq_c1/2,0)))/INDEX(lk_legs,8))-(((((2*IF(circ_int,0,eq_c2/2))+(PI()*(s_0+7*s_r+IF(circ_int,eq_c1/2,0))/2))+2*IF(circ_int,0,eq_c1/2))+(PI()*(s_0+7*s_r+IF(circ_int,eq_c1/2,0))/2))+2*IF(circ_int,0,eq_c2/2)))/(s_0+7*s_r+IF(circ_int,eq_c1/2,0))),IF(((48+0.5)*(4*IF(circ_int,0,eq_c1/2)+4*IF(circ_int,0,eq_c2/2)+2*PI()*(s_0+7*s_r+IF(circ_int,eq_c1/2,0)))/INDEX(lk_legs,8))&lt;(((((((2*IF(circ_int,0,eq_c2/2))+(PI()*(s_0+7*s_r+IF(circ_int,eq_c1/2,0))/2))+2*IF(circ_int,0,eq_c1/2))+(PI()*(s_0+7*s_r+IF(circ_int,eq_c1/2,0))/2))+2*IF(circ_int,0,eq_c2/2))+(PI()*(s_0+7*s_r+IF(circ_int,eq_c1/2,0))/2))+2*IF(circ_int,0,eq_c1/2)),-IF(circ_int,0,eq_c1/2)+(((48+0.5)*(4*IF(circ_int,0,eq_c1/2)+4*IF(circ_int,0,eq_c2/2)+2*PI()*(s_0+7*s_r+IF(circ_int,eq_c1/2,0)))/INDEX(lk_legs,8))-((((((2*IF(circ_int,0,eq_c2/2))+(PI()*(s_0+7*s_r+IF(circ_int,eq_c1/2,0))/2))+2*IF(circ_int,0,eq_c1/2))+(PI()*(s_0+7*s_r+IF(circ_int,eq_c1/2,0))/2))+2*IF(circ_int,0,eq_c2/2))+(PI()*(s_0+7*s_r+IF(circ_int,eq_c1/2,0))/2))),IF(circ_int,0,eq_c1/2)+(s_0+7*s_r+IF(circ_int,eq_c1/2,0))*COS(3*PI()/2+(((48+0.5)*(4*IF(circ_int,0,eq_c1/2)+4*IF(circ_int,0,eq_c2/2)+2*PI()*(s_0+7*s_r+IF(circ_int,eq_c1/2,0)))/INDEX(lk_legs,8))-(((((((2*IF(circ_int,0,eq_c2/2))+(PI()*(s_0+7*s_r+IF(circ_int,eq_c1/2,0))/2))+2*IF(circ_int,0,eq_c1/2))+(PI()*(s_0+7*s_r+IF(circ_int,eq_c1/2,0))/2))+2*IF(circ_int,0,eq_c2/2))+(PI()*(s_0+7*s_r+IF(circ_int,eq_c1/2,0))/2))+2*IF(circ_int,0,eq_c1/2)))/(s_0+7*s_r+IF(circ_int,eq_c1/2,0)))))))))),NA())</f>
        <v/>
      </c>
      <c r="CQ51">
        <f>IF(AND(AND(links_on,8&lt;=n_per),INDEX(lk_kind,8)=1,48&lt;INDEX(lk_legs,8)),g_oy+IF(((48+0.5)*(4*IF(circ_int,0,eq_c1/2)+4*IF(circ_int,0,eq_c2/2)+2*PI()*(s_0+7*s_r+IF(circ_int,eq_c1/2,0)))/INDEX(lk_legs,8))&lt;(2*IF(circ_int,0,eq_c2/2)),-IF(circ_int,0,eq_c2/2)+((48+0.5)*(4*IF(circ_int,0,eq_c1/2)+4*IF(circ_int,0,eq_c2/2)+2*PI()*(s_0+7*s_r+IF(circ_int,eq_c1/2,0)))/INDEX(lk_legs,8)),IF(((48+0.5)*(4*IF(circ_int,0,eq_c1/2)+4*IF(circ_int,0,eq_c2/2)+2*PI()*(s_0+7*s_r+IF(circ_int,eq_c1/2,0)))/INDEX(lk_legs,8))&lt;((2*IF(circ_int,0,eq_c2/2))+(PI()*(s_0+7*s_r+IF(circ_int,eq_c1/2,0))/2)),IF(circ_int,0,eq_c2/2)+(s_0+7*s_r+IF(circ_int,eq_c1/2,0))*SIN((((48+0.5)*(4*IF(circ_int,0,eq_c1/2)+4*IF(circ_int,0,eq_c2/2)+2*PI()*(s_0+7*s_r+IF(circ_int,eq_c1/2,0)))/INDEX(lk_legs,8))-(2*IF(circ_int,0,eq_c2/2)))/(s_0+7*s_r+IF(circ_int,eq_c1/2,0))),IF(((48+0.5)*(4*IF(circ_int,0,eq_c1/2)+4*IF(circ_int,0,eq_c2/2)+2*PI()*(s_0+7*s_r+IF(circ_int,eq_c1/2,0)))/INDEX(lk_legs,8))&lt;(((2*IF(circ_int,0,eq_c2/2))+(PI()*(s_0+7*s_r+IF(circ_int,eq_c1/2,0))/2))+2*IF(circ_int,0,eq_c1/2)),IF(circ_int,0,eq_c2/2)+(s_0+7*s_r+IF(circ_int,eq_c1/2,0)),IF(((48+0.5)*(4*IF(circ_int,0,eq_c1/2)+4*IF(circ_int,0,eq_c2/2)+2*PI()*(s_0+7*s_r+IF(circ_int,eq_c1/2,0)))/INDEX(lk_legs,8))&lt;((((2*IF(circ_int,0,eq_c2/2))+(PI()*(s_0+7*s_r+IF(circ_int,eq_c1/2,0))/2))+2*IF(circ_int,0,eq_c1/2))+(PI()*(s_0+7*s_r+IF(circ_int,eq_c1/2,0))/2)),IF(circ_int,0,eq_c2/2)+(s_0+7*s_r+IF(circ_int,eq_c1/2,0))*SIN(PI()/2+(((48+0.5)*(4*IF(circ_int,0,eq_c1/2)+4*IF(circ_int,0,eq_c2/2)+2*PI()*(s_0+7*s_r+IF(circ_int,eq_c1/2,0)))/INDEX(lk_legs,8))-(((2*IF(circ_int,0,eq_c2/2))+(PI()*(s_0+7*s_r+IF(circ_int,eq_c1/2,0))/2))+2*IF(circ_int,0,eq_c1/2)))/(s_0+7*s_r+IF(circ_int,eq_c1/2,0))),IF(((48+0.5)*(4*IF(circ_int,0,eq_c1/2)+4*IF(circ_int,0,eq_c2/2)+2*PI()*(s_0+7*s_r+IF(circ_int,eq_c1/2,0)))/INDEX(lk_legs,8))&lt;(((((2*IF(circ_int,0,eq_c2/2))+(PI()*(s_0+7*s_r+IF(circ_int,eq_c1/2,0))/2))+2*IF(circ_int,0,eq_c1/2))+(PI()*(s_0+7*s_r+IF(circ_int,eq_c1/2,0))/2))+2*IF(circ_int,0,eq_c2/2)),IF(circ_int,0,eq_c2/2)-(((48+0.5)*(4*IF(circ_int,0,eq_c1/2)+4*IF(circ_int,0,eq_c2/2)+2*PI()*(s_0+7*s_r+IF(circ_int,eq_c1/2,0)))/INDEX(lk_legs,8))-((((2*IF(circ_int,0,eq_c2/2))+(PI()*(s_0+7*s_r+IF(circ_int,eq_c1/2,0))/2))+2*IF(circ_int,0,eq_c1/2))+(PI()*(s_0+7*s_r+IF(circ_int,eq_c1/2,0))/2))),IF(((48+0.5)*(4*IF(circ_int,0,eq_c1/2)+4*IF(circ_int,0,eq_c2/2)+2*PI()*(s_0+7*s_r+IF(circ_int,eq_c1/2,0)))/INDEX(lk_legs,8))&lt;((((((2*IF(circ_int,0,eq_c2/2))+(PI()*(s_0+7*s_r+IF(circ_int,eq_c1/2,0))/2))+2*IF(circ_int,0,eq_c1/2))+(PI()*(s_0+7*s_r+IF(circ_int,eq_c1/2,0))/2))+2*IF(circ_int,0,eq_c2/2))+(PI()*(s_0+7*s_r+IF(circ_int,eq_c1/2,0))/2)),-IF(circ_int,0,eq_c2/2)+(s_0+7*s_r+IF(circ_int,eq_c1/2,0))*SIN(PI()+(((48+0.5)*(4*IF(circ_int,0,eq_c1/2)+4*IF(circ_int,0,eq_c2/2)+2*PI()*(s_0+7*s_r+IF(circ_int,eq_c1/2,0)))/INDEX(lk_legs,8))-(((((2*IF(circ_int,0,eq_c2/2))+(PI()*(s_0+7*s_r+IF(circ_int,eq_c1/2,0))/2))+2*IF(circ_int,0,eq_c1/2))+(PI()*(s_0+7*s_r+IF(circ_int,eq_c1/2,0))/2))+2*IF(circ_int,0,eq_c2/2)))/(s_0+7*s_r+IF(circ_int,eq_c1/2,0))),IF(((48+0.5)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(48+0.5)*(4*IF(circ_int,0,eq_c1/2)+4*IF(circ_int,0,eq_c2/2)+2*PI()*(s_0+7*s_r+IF(circ_int,eq_c1/2,0)))/INDEX(lk_legs,8))-(((((((2*IF(circ_int,0,eq_c2/2))+(PI()*(s_0+7*s_r+IF(circ_int,eq_c1/2,0))/2))+2*IF(circ_int,0,eq_c1/2))+(PI()*(s_0+7*s_r+IF(circ_int,eq_c1/2,0))/2))+2*IF(circ_int,0,eq_c2/2))+(PI()*(s_0+7*s_r+IF(circ_int,eq_c1/2,0))/2))+2*IF(circ_int,0,eq_c1/2)))/(s_0+7*s_r+IF(circ_int,eq_c1/2,0)))))))))),NA())</f>
        <v/>
      </c>
      <c r="CS51">
        <f>IF(AND(links_on,9&lt;=n_per),IF(circ_int,(g_ox)+(c_1/2+(s_0+8*s_r))*0.885456,CHOOSE(INDEX(lk_kind,9),(g_ox+eq_c1/2)+((s_0+8*s_r))*0.923880,0,eq_a1+eq_c1+(s_0+8*s_r),eq_a1+eq_c1+(s_0+8*s_r))),NA())</f>
        <v/>
      </c>
      <c r="CT51">
        <f>IF(AND(links_on,9&lt;=n_per),IF(circ_int,(g_oy)+(c_1/2+(s_0+8*s_r))*-0.464723,CHOOSE(INDEX(lk_kind,9),(g_oy-eq_c2/2)+((s_0+8*s_r))*-0.382683,g_oy-eq_c2/2-(s_0+8*s_r),0,0)),NA())</f>
        <v/>
      </c>
      <c r="CV51">
        <f>IF(AND(AND(links_on,9&lt;=n_per),INDEX(lk_kind,9)=1,48&lt;INDEX(lk_legs,9)),g_ox+IF(((48+0.5)*(4*IF(circ_int,0,eq_c1/2)+4*IF(circ_int,0,eq_c2/2)+2*PI()*(s_0+8*s_r+IF(circ_int,eq_c1/2,0)))/INDEX(lk_legs,9))&lt;(2*IF(circ_int,0,eq_c2/2)),IF(circ_int,0,eq_c1/2)+(s_0+8*s_r+IF(circ_int,eq_c1/2,0)),IF(((48+0.5)*(4*IF(circ_int,0,eq_c1/2)+4*IF(circ_int,0,eq_c2/2)+2*PI()*(s_0+8*s_r+IF(circ_int,eq_c1/2,0)))/INDEX(lk_legs,9))&lt;((2*IF(circ_int,0,eq_c2/2))+(PI()*(s_0+8*s_r+IF(circ_int,eq_c1/2,0))/2)),IF(circ_int,0,eq_c1/2)+(s_0+8*s_r+IF(circ_int,eq_c1/2,0))*COS((((48+0.5)*(4*IF(circ_int,0,eq_c1/2)+4*IF(circ_int,0,eq_c2/2)+2*PI()*(s_0+8*s_r+IF(circ_int,eq_c1/2,0)))/INDEX(lk_legs,9))-(2*IF(circ_int,0,eq_c2/2)))/(s_0+8*s_r+IF(circ_int,eq_c1/2,0))),IF(((48+0.5)*(4*IF(circ_int,0,eq_c1/2)+4*IF(circ_int,0,eq_c2/2)+2*PI()*(s_0+8*s_r+IF(circ_int,eq_c1/2,0)))/INDEX(lk_legs,9))&lt;(((2*IF(circ_int,0,eq_c2/2))+(PI()*(s_0+8*s_r+IF(circ_int,eq_c1/2,0))/2))+2*IF(circ_int,0,eq_c1/2)),IF(circ_int,0,eq_c1/2)-(((48+0.5)*(4*IF(circ_int,0,eq_c1/2)+4*IF(circ_int,0,eq_c2/2)+2*PI()*(s_0+8*s_r+IF(circ_int,eq_c1/2,0)))/INDEX(lk_legs,9))-((2*IF(circ_int,0,eq_c2/2))+(PI()*(s_0+8*s_r+IF(circ_int,eq_c1/2,0))/2))),IF(((48+0.5)*(4*IF(circ_int,0,eq_c1/2)+4*IF(circ_int,0,eq_c2/2)+2*PI()*(s_0+8*s_r+IF(circ_int,eq_c1/2,0)))/INDEX(lk_legs,9))&lt;((((2*IF(circ_int,0,eq_c2/2))+(PI()*(s_0+8*s_r+IF(circ_int,eq_c1/2,0))/2))+2*IF(circ_int,0,eq_c1/2))+(PI()*(s_0+8*s_r+IF(circ_int,eq_c1/2,0))/2)),-IF(circ_int,0,eq_c1/2)+(s_0+8*s_r+IF(circ_int,eq_c1/2,0))*COS(PI()/2+(((48+0.5)*(4*IF(circ_int,0,eq_c1/2)+4*IF(circ_int,0,eq_c2/2)+2*PI()*(s_0+8*s_r+IF(circ_int,eq_c1/2,0)))/INDEX(lk_legs,9))-(((2*IF(circ_int,0,eq_c2/2))+(PI()*(s_0+8*s_r+IF(circ_int,eq_c1/2,0))/2))+2*IF(circ_int,0,eq_c1/2)))/(s_0+8*s_r+IF(circ_int,eq_c1/2,0))),IF(((48+0.5)*(4*IF(circ_int,0,eq_c1/2)+4*IF(circ_int,0,eq_c2/2)+2*PI()*(s_0+8*s_r+IF(circ_int,eq_c1/2,0)))/INDEX(lk_legs,9))&lt;(((((2*IF(circ_int,0,eq_c2/2))+(PI()*(s_0+8*s_r+IF(circ_int,eq_c1/2,0))/2))+2*IF(circ_int,0,eq_c1/2))+(PI()*(s_0+8*s_r+IF(circ_int,eq_c1/2,0))/2))+2*IF(circ_int,0,eq_c2/2)),-IF(circ_int,0,eq_c1/2)-(s_0+8*s_r+IF(circ_int,eq_c1/2,0)),IF(((48+0.5)*(4*IF(circ_int,0,eq_c1/2)+4*IF(circ_int,0,eq_c2/2)+2*PI()*(s_0+8*s_r+IF(circ_int,eq_c1/2,0)))/INDEX(lk_legs,9))&lt;((((((2*IF(circ_int,0,eq_c2/2))+(PI()*(s_0+8*s_r+IF(circ_int,eq_c1/2,0))/2))+2*IF(circ_int,0,eq_c1/2))+(PI()*(s_0+8*s_r+IF(circ_int,eq_c1/2,0))/2))+2*IF(circ_int,0,eq_c2/2))+(PI()*(s_0+8*s_r+IF(circ_int,eq_c1/2,0))/2)),-IF(circ_int,0,eq_c1/2)+(s_0+8*s_r+IF(circ_int,eq_c1/2,0))*COS(PI()+(((48+0.5)*(4*IF(circ_int,0,eq_c1/2)+4*IF(circ_int,0,eq_c2/2)+2*PI()*(s_0+8*s_r+IF(circ_int,eq_c1/2,0)))/INDEX(lk_legs,9))-(((((2*IF(circ_int,0,eq_c2/2))+(PI()*(s_0+8*s_r+IF(circ_int,eq_c1/2,0))/2))+2*IF(circ_int,0,eq_c1/2))+(PI()*(s_0+8*s_r+IF(circ_int,eq_c1/2,0))/2))+2*IF(circ_int,0,eq_c2/2)))/(s_0+8*s_r+IF(circ_int,eq_c1/2,0))),IF(((48+0.5)*(4*IF(circ_int,0,eq_c1/2)+4*IF(circ_int,0,eq_c2/2)+2*PI()*(s_0+8*s_r+IF(circ_int,eq_c1/2,0)))/INDEX(lk_legs,9))&lt;(((((((2*IF(circ_int,0,eq_c2/2))+(PI()*(s_0+8*s_r+IF(circ_int,eq_c1/2,0))/2))+2*IF(circ_int,0,eq_c1/2))+(PI()*(s_0+8*s_r+IF(circ_int,eq_c1/2,0))/2))+2*IF(circ_int,0,eq_c2/2))+(PI()*(s_0+8*s_r+IF(circ_int,eq_c1/2,0))/2))+2*IF(circ_int,0,eq_c1/2)),-IF(circ_int,0,eq_c1/2)+(((48+0.5)*(4*IF(circ_int,0,eq_c1/2)+4*IF(circ_int,0,eq_c2/2)+2*PI()*(s_0+8*s_r+IF(circ_int,eq_c1/2,0)))/INDEX(lk_legs,9))-((((((2*IF(circ_int,0,eq_c2/2))+(PI()*(s_0+8*s_r+IF(circ_int,eq_c1/2,0))/2))+2*IF(circ_int,0,eq_c1/2))+(PI()*(s_0+8*s_r+IF(circ_int,eq_c1/2,0))/2))+2*IF(circ_int,0,eq_c2/2))+(PI()*(s_0+8*s_r+IF(circ_int,eq_c1/2,0))/2))),IF(circ_int,0,eq_c1/2)+(s_0+8*s_r+IF(circ_int,eq_c1/2,0))*COS(3*PI()/2+(((48+0.5)*(4*IF(circ_int,0,eq_c1/2)+4*IF(circ_int,0,eq_c2/2)+2*PI()*(s_0+8*s_r+IF(circ_int,eq_c1/2,0)))/INDEX(lk_legs,9))-(((((((2*IF(circ_int,0,eq_c2/2))+(PI()*(s_0+8*s_r+IF(circ_int,eq_c1/2,0))/2))+2*IF(circ_int,0,eq_c1/2))+(PI()*(s_0+8*s_r+IF(circ_int,eq_c1/2,0))/2))+2*IF(circ_int,0,eq_c2/2))+(PI()*(s_0+8*s_r+IF(circ_int,eq_c1/2,0))/2))+2*IF(circ_int,0,eq_c1/2)))/(s_0+8*s_r+IF(circ_int,eq_c1/2,0)))))))))),NA())</f>
        <v/>
      </c>
      <c r="CW51">
        <f>IF(AND(AND(links_on,9&lt;=n_per),INDEX(lk_kind,9)=1,48&lt;INDEX(lk_legs,9)),g_oy+IF(((48+0.5)*(4*IF(circ_int,0,eq_c1/2)+4*IF(circ_int,0,eq_c2/2)+2*PI()*(s_0+8*s_r+IF(circ_int,eq_c1/2,0)))/INDEX(lk_legs,9))&lt;(2*IF(circ_int,0,eq_c2/2)),-IF(circ_int,0,eq_c2/2)+((48+0.5)*(4*IF(circ_int,0,eq_c1/2)+4*IF(circ_int,0,eq_c2/2)+2*PI()*(s_0+8*s_r+IF(circ_int,eq_c1/2,0)))/INDEX(lk_legs,9)),IF(((48+0.5)*(4*IF(circ_int,0,eq_c1/2)+4*IF(circ_int,0,eq_c2/2)+2*PI()*(s_0+8*s_r+IF(circ_int,eq_c1/2,0)))/INDEX(lk_legs,9))&lt;((2*IF(circ_int,0,eq_c2/2))+(PI()*(s_0+8*s_r+IF(circ_int,eq_c1/2,0))/2)),IF(circ_int,0,eq_c2/2)+(s_0+8*s_r+IF(circ_int,eq_c1/2,0))*SIN((((48+0.5)*(4*IF(circ_int,0,eq_c1/2)+4*IF(circ_int,0,eq_c2/2)+2*PI()*(s_0+8*s_r+IF(circ_int,eq_c1/2,0)))/INDEX(lk_legs,9))-(2*IF(circ_int,0,eq_c2/2)))/(s_0+8*s_r+IF(circ_int,eq_c1/2,0))),IF(((48+0.5)*(4*IF(circ_int,0,eq_c1/2)+4*IF(circ_int,0,eq_c2/2)+2*PI()*(s_0+8*s_r+IF(circ_int,eq_c1/2,0)))/INDEX(lk_legs,9))&lt;(((2*IF(circ_int,0,eq_c2/2))+(PI()*(s_0+8*s_r+IF(circ_int,eq_c1/2,0))/2))+2*IF(circ_int,0,eq_c1/2)),IF(circ_int,0,eq_c2/2)+(s_0+8*s_r+IF(circ_int,eq_c1/2,0)),IF(((48+0.5)*(4*IF(circ_int,0,eq_c1/2)+4*IF(circ_int,0,eq_c2/2)+2*PI()*(s_0+8*s_r+IF(circ_int,eq_c1/2,0)))/INDEX(lk_legs,9))&lt;((((2*IF(circ_int,0,eq_c2/2))+(PI()*(s_0+8*s_r+IF(circ_int,eq_c1/2,0))/2))+2*IF(circ_int,0,eq_c1/2))+(PI()*(s_0+8*s_r+IF(circ_int,eq_c1/2,0))/2)),IF(circ_int,0,eq_c2/2)+(s_0+8*s_r+IF(circ_int,eq_c1/2,0))*SIN(PI()/2+(((48+0.5)*(4*IF(circ_int,0,eq_c1/2)+4*IF(circ_int,0,eq_c2/2)+2*PI()*(s_0+8*s_r+IF(circ_int,eq_c1/2,0)))/INDEX(lk_legs,9))-(((2*IF(circ_int,0,eq_c2/2))+(PI()*(s_0+8*s_r+IF(circ_int,eq_c1/2,0))/2))+2*IF(circ_int,0,eq_c1/2)))/(s_0+8*s_r+IF(circ_int,eq_c1/2,0))),IF(((48+0.5)*(4*IF(circ_int,0,eq_c1/2)+4*IF(circ_int,0,eq_c2/2)+2*PI()*(s_0+8*s_r+IF(circ_int,eq_c1/2,0)))/INDEX(lk_legs,9))&lt;(((((2*IF(circ_int,0,eq_c2/2))+(PI()*(s_0+8*s_r+IF(circ_int,eq_c1/2,0))/2))+2*IF(circ_int,0,eq_c1/2))+(PI()*(s_0+8*s_r+IF(circ_int,eq_c1/2,0))/2))+2*IF(circ_int,0,eq_c2/2)),IF(circ_int,0,eq_c2/2)-(((48+0.5)*(4*IF(circ_int,0,eq_c1/2)+4*IF(circ_int,0,eq_c2/2)+2*PI()*(s_0+8*s_r+IF(circ_int,eq_c1/2,0)))/INDEX(lk_legs,9))-((((2*IF(circ_int,0,eq_c2/2))+(PI()*(s_0+8*s_r+IF(circ_int,eq_c1/2,0))/2))+2*IF(circ_int,0,eq_c1/2))+(PI()*(s_0+8*s_r+IF(circ_int,eq_c1/2,0))/2))),IF(((48+0.5)*(4*IF(circ_int,0,eq_c1/2)+4*IF(circ_int,0,eq_c2/2)+2*PI()*(s_0+8*s_r+IF(circ_int,eq_c1/2,0)))/INDEX(lk_legs,9))&lt;((((((2*IF(circ_int,0,eq_c2/2))+(PI()*(s_0+8*s_r+IF(circ_int,eq_c1/2,0))/2))+2*IF(circ_int,0,eq_c1/2))+(PI()*(s_0+8*s_r+IF(circ_int,eq_c1/2,0))/2))+2*IF(circ_int,0,eq_c2/2))+(PI()*(s_0+8*s_r+IF(circ_int,eq_c1/2,0))/2)),-IF(circ_int,0,eq_c2/2)+(s_0+8*s_r+IF(circ_int,eq_c1/2,0))*SIN(PI()+(((48+0.5)*(4*IF(circ_int,0,eq_c1/2)+4*IF(circ_int,0,eq_c2/2)+2*PI()*(s_0+8*s_r+IF(circ_int,eq_c1/2,0)))/INDEX(lk_legs,9))-(((((2*IF(circ_int,0,eq_c2/2))+(PI()*(s_0+8*s_r+IF(circ_int,eq_c1/2,0))/2))+2*IF(circ_int,0,eq_c1/2))+(PI()*(s_0+8*s_r+IF(circ_int,eq_c1/2,0))/2))+2*IF(circ_int,0,eq_c2/2)))/(s_0+8*s_r+IF(circ_int,eq_c1/2,0))),IF(((48+0.5)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(48+0.5)*(4*IF(circ_int,0,eq_c1/2)+4*IF(circ_int,0,eq_c2/2)+2*PI()*(s_0+8*s_r+IF(circ_int,eq_c1/2,0)))/INDEX(lk_legs,9))-(((((((2*IF(circ_int,0,eq_c2/2))+(PI()*(s_0+8*s_r+IF(circ_int,eq_c1/2,0))/2))+2*IF(circ_int,0,eq_c1/2))+(PI()*(s_0+8*s_r+IF(circ_int,eq_c1/2,0))/2))+2*IF(circ_int,0,eq_c2/2))+(PI()*(s_0+8*s_r+IF(circ_int,eq_c1/2,0))/2))+2*IF(circ_int,0,eq_c1/2)))/(s_0+8*s_r+IF(circ_int,eq_c1/2,0)))))))))),NA())</f>
        <v/>
      </c>
      <c r="CY51">
        <f>IF(AND(links_on,10&lt;=n_per),IF(circ_int,(g_ox)+(c_1/2+(s_0+9*s_r))*0.885456,CHOOSE(INDEX(lk_kind,10),(g_ox+eq_c1/2)+((s_0+9*s_r))*0.923880,0,eq_a1+eq_c1+(s_0+9*s_r),eq_a1+eq_c1+(s_0+9*s_r))),NA())</f>
        <v/>
      </c>
      <c r="CZ51">
        <f>IF(AND(links_on,10&lt;=n_per),IF(circ_int,(g_oy)+(c_1/2+(s_0+9*s_r))*-0.464723,CHOOSE(INDEX(lk_kind,10),(g_oy-eq_c2/2)+((s_0+9*s_r))*-0.382683,g_oy-eq_c2/2-(s_0+9*s_r),0,0)),NA())</f>
        <v/>
      </c>
      <c r="DB51">
        <f>IF(AND(AND(links_on,10&lt;=n_per),INDEX(lk_kind,10)=1,48&lt;INDEX(lk_legs,10)),g_ox+IF(((48+0.5)*(4*IF(circ_int,0,eq_c1/2)+4*IF(circ_int,0,eq_c2/2)+2*PI()*(s_0+9*s_r+IF(circ_int,eq_c1/2,0)))/INDEX(lk_legs,10))&lt;(2*IF(circ_int,0,eq_c2/2)),IF(circ_int,0,eq_c1/2)+(s_0+9*s_r+IF(circ_int,eq_c1/2,0)),IF(((48+0.5)*(4*IF(circ_int,0,eq_c1/2)+4*IF(circ_int,0,eq_c2/2)+2*PI()*(s_0+9*s_r+IF(circ_int,eq_c1/2,0)))/INDEX(lk_legs,10))&lt;((2*IF(circ_int,0,eq_c2/2))+(PI()*(s_0+9*s_r+IF(circ_int,eq_c1/2,0))/2)),IF(circ_int,0,eq_c1/2)+(s_0+9*s_r+IF(circ_int,eq_c1/2,0))*COS((((48+0.5)*(4*IF(circ_int,0,eq_c1/2)+4*IF(circ_int,0,eq_c2/2)+2*PI()*(s_0+9*s_r+IF(circ_int,eq_c1/2,0)))/INDEX(lk_legs,10))-(2*IF(circ_int,0,eq_c2/2)))/(s_0+9*s_r+IF(circ_int,eq_c1/2,0))),IF(((48+0.5)*(4*IF(circ_int,0,eq_c1/2)+4*IF(circ_int,0,eq_c2/2)+2*PI()*(s_0+9*s_r+IF(circ_int,eq_c1/2,0)))/INDEX(lk_legs,10))&lt;(((2*IF(circ_int,0,eq_c2/2))+(PI()*(s_0+9*s_r+IF(circ_int,eq_c1/2,0))/2))+2*IF(circ_int,0,eq_c1/2)),IF(circ_int,0,eq_c1/2)-(((48+0.5)*(4*IF(circ_int,0,eq_c1/2)+4*IF(circ_int,0,eq_c2/2)+2*PI()*(s_0+9*s_r+IF(circ_int,eq_c1/2,0)))/INDEX(lk_legs,10))-((2*IF(circ_int,0,eq_c2/2))+(PI()*(s_0+9*s_r+IF(circ_int,eq_c1/2,0))/2))),IF(((48+0.5)*(4*IF(circ_int,0,eq_c1/2)+4*IF(circ_int,0,eq_c2/2)+2*PI()*(s_0+9*s_r+IF(circ_int,eq_c1/2,0)))/INDEX(lk_legs,10))&lt;((((2*IF(circ_int,0,eq_c2/2))+(PI()*(s_0+9*s_r+IF(circ_int,eq_c1/2,0))/2))+2*IF(circ_int,0,eq_c1/2))+(PI()*(s_0+9*s_r+IF(circ_int,eq_c1/2,0))/2)),-IF(circ_int,0,eq_c1/2)+(s_0+9*s_r+IF(circ_int,eq_c1/2,0))*COS(PI()/2+(((48+0.5)*(4*IF(circ_int,0,eq_c1/2)+4*IF(circ_int,0,eq_c2/2)+2*PI()*(s_0+9*s_r+IF(circ_int,eq_c1/2,0)))/INDEX(lk_legs,10))-(((2*IF(circ_int,0,eq_c2/2))+(PI()*(s_0+9*s_r+IF(circ_int,eq_c1/2,0))/2))+2*IF(circ_int,0,eq_c1/2)))/(s_0+9*s_r+IF(circ_int,eq_c1/2,0))),IF(((48+0.5)*(4*IF(circ_int,0,eq_c1/2)+4*IF(circ_int,0,eq_c2/2)+2*PI()*(s_0+9*s_r+IF(circ_int,eq_c1/2,0)))/INDEX(lk_legs,10))&lt;(((((2*IF(circ_int,0,eq_c2/2))+(PI()*(s_0+9*s_r+IF(circ_int,eq_c1/2,0))/2))+2*IF(circ_int,0,eq_c1/2))+(PI()*(s_0+9*s_r+IF(circ_int,eq_c1/2,0))/2))+2*IF(circ_int,0,eq_c2/2)),-IF(circ_int,0,eq_c1/2)-(s_0+9*s_r+IF(circ_int,eq_c1/2,0)),IF(((48+0.5)*(4*IF(circ_int,0,eq_c1/2)+4*IF(circ_int,0,eq_c2/2)+2*PI()*(s_0+9*s_r+IF(circ_int,eq_c1/2,0)))/INDEX(lk_legs,10))&lt;((((((2*IF(circ_int,0,eq_c2/2))+(PI()*(s_0+9*s_r+IF(circ_int,eq_c1/2,0))/2))+2*IF(circ_int,0,eq_c1/2))+(PI()*(s_0+9*s_r+IF(circ_int,eq_c1/2,0))/2))+2*IF(circ_int,0,eq_c2/2))+(PI()*(s_0+9*s_r+IF(circ_int,eq_c1/2,0))/2)),-IF(circ_int,0,eq_c1/2)+(s_0+9*s_r+IF(circ_int,eq_c1/2,0))*COS(PI()+(((48+0.5)*(4*IF(circ_int,0,eq_c1/2)+4*IF(circ_int,0,eq_c2/2)+2*PI()*(s_0+9*s_r+IF(circ_int,eq_c1/2,0)))/INDEX(lk_legs,10))-(((((2*IF(circ_int,0,eq_c2/2))+(PI()*(s_0+9*s_r+IF(circ_int,eq_c1/2,0))/2))+2*IF(circ_int,0,eq_c1/2))+(PI()*(s_0+9*s_r+IF(circ_int,eq_c1/2,0))/2))+2*IF(circ_int,0,eq_c2/2)))/(s_0+9*s_r+IF(circ_int,eq_c1/2,0))),IF(((48+0.5)*(4*IF(circ_int,0,eq_c1/2)+4*IF(circ_int,0,eq_c2/2)+2*PI()*(s_0+9*s_r+IF(circ_int,eq_c1/2,0)))/INDEX(lk_legs,10))&lt;(((((((2*IF(circ_int,0,eq_c2/2))+(PI()*(s_0+9*s_r+IF(circ_int,eq_c1/2,0))/2))+2*IF(circ_int,0,eq_c1/2))+(PI()*(s_0+9*s_r+IF(circ_int,eq_c1/2,0))/2))+2*IF(circ_int,0,eq_c2/2))+(PI()*(s_0+9*s_r+IF(circ_int,eq_c1/2,0))/2))+2*IF(circ_int,0,eq_c1/2)),-IF(circ_int,0,eq_c1/2)+(((48+0.5)*(4*IF(circ_int,0,eq_c1/2)+4*IF(circ_int,0,eq_c2/2)+2*PI()*(s_0+9*s_r+IF(circ_int,eq_c1/2,0)))/INDEX(lk_legs,10))-((((((2*IF(circ_int,0,eq_c2/2))+(PI()*(s_0+9*s_r+IF(circ_int,eq_c1/2,0))/2))+2*IF(circ_int,0,eq_c1/2))+(PI()*(s_0+9*s_r+IF(circ_int,eq_c1/2,0))/2))+2*IF(circ_int,0,eq_c2/2))+(PI()*(s_0+9*s_r+IF(circ_int,eq_c1/2,0))/2))),IF(circ_int,0,eq_c1/2)+(s_0+9*s_r+IF(circ_int,eq_c1/2,0))*COS(3*PI()/2+(((48+0.5)*(4*IF(circ_int,0,eq_c1/2)+4*IF(circ_int,0,eq_c2/2)+2*PI()*(s_0+9*s_r+IF(circ_int,eq_c1/2,0)))/INDEX(lk_legs,10))-(((((((2*IF(circ_int,0,eq_c2/2))+(PI()*(s_0+9*s_r+IF(circ_int,eq_c1/2,0))/2))+2*IF(circ_int,0,eq_c1/2))+(PI()*(s_0+9*s_r+IF(circ_int,eq_c1/2,0))/2))+2*IF(circ_int,0,eq_c2/2))+(PI()*(s_0+9*s_r+IF(circ_int,eq_c1/2,0))/2))+2*IF(circ_int,0,eq_c1/2)))/(s_0+9*s_r+IF(circ_int,eq_c1/2,0)))))))))),NA())</f>
        <v/>
      </c>
      <c r="DC51">
        <f>IF(AND(AND(links_on,10&lt;=n_per),INDEX(lk_kind,10)=1,48&lt;INDEX(lk_legs,10)),g_oy+IF(((48+0.5)*(4*IF(circ_int,0,eq_c1/2)+4*IF(circ_int,0,eq_c2/2)+2*PI()*(s_0+9*s_r+IF(circ_int,eq_c1/2,0)))/INDEX(lk_legs,10))&lt;(2*IF(circ_int,0,eq_c2/2)),-IF(circ_int,0,eq_c2/2)+((48+0.5)*(4*IF(circ_int,0,eq_c1/2)+4*IF(circ_int,0,eq_c2/2)+2*PI()*(s_0+9*s_r+IF(circ_int,eq_c1/2,0)))/INDEX(lk_legs,10)),IF(((48+0.5)*(4*IF(circ_int,0,eq_c1/2)+4*IF(circ_int,0,eq_c2/2)+2*PI()*(s_0+9*s_r+IF(circ_int,eq_c1/2,0)))/INDEX(lk_legs,10))&lt;((2*IF(circ_int,0,eq_c2/2))+(PI()*(s_0+9*s_r+IF(circ_int,eq_c1/2,0))/2)),IF(circ_int,0,eq_c2/2)+(s_0+9*s_r+IF(circ_int,eq_c1/2,0))*SIN((((48+0.5)*(4*IF(circ_int,0,eq_c1/2)+4*IF(circ_int,0,eq_c2/2)+2*PI()*(s_0+9*s_r+IF(circ_int,eq_c1/2,0)))/INDEX(lk_legs,10))-(2*IF(circ_int,0,eq_c2/2)))/(s_0+9*s_r+IF(circ_int,eq_c1/2,0))),IF(((48+0.5)*(4*IF(circ_int,0,eq_c1/2)+4*IF(circ_int,0,eq_c2/2)+2*PI()*(s_0+9*s_r+IF(circ_int,eq_c1/2,0)))/INDEX(lk_legs,10))&lt;(((2*IF(circ_int,0,eq_c2/2))+(PI()*(s_0+9*s_r+IF(circ_int,eq_c1/2,0))/2))+2*IF(circ_int,0,eq_c1/2)),IF(circ_int,0,eq_c2/2)+(s_0+9*s_r+IF(circ_int,eq_c1/2,0)),IF(((48+0.5)*(4*IF(circ_int,0,eq_c1/2)+4*IF(circ_int,0,eq_c2/2)+2*PI()*(s_0+9*s_r+IF(circ_int,eq_c1/2,0)))/INDEX(lk_legs,10))&lt;((((2*IF(circ_int,0,eq_c2/2))+(PI()*(s_0+9*s_r+IF(circ_int,eq_c1/2,0))/2))+2*IF(circ_int,0,eq_c1/2))+(PI()*(s_0+9*s_r+IF(circ_int,eq_c1/2,0))/2)),IF(circ_int,0,eq_c2/2)+(s_0+9*s_r+IF(circ_int,eq_c1/2,0))*SIN(PI()/2+(((48+0.5)*(4*IF(circ_int,0,eq_c1/2)+4*IF(circ_int,0,eq_c2/2)+2*PI()*(s_0+9*s_r+IF(circ_int,eq_c1/2,0)))/INDEX(lk_legs,10))-(((2*IF(circ_int,0,eq_c2/2))+(PI()*(s_0+9*s_r+IF(circ_int,eq_c1/2,0))/2))+2*IF(circ_int,0,eq_c1/2)))/(s_0+9*s_r+IF(circ_int,eq_c1/2,0))),IF(((48+0.5)*(4*IF(circ_int,0,eq_c1/2)+4*IF(circ_int,0,eq_c2/2)+2*PI()*(s_0+9*s_r+IF(circ_int,eq_c1/2,0)))/INDEX(lk_legs,10))&lt;(((((2*IF(circ_int,0,eq_c2/2))+(PI()*(s_0+9*s_r+IF(circ_int,eq_c1/2,0))/2))+2*IF(circ_int,0,eq_c1/2))+(PI()*(s_0+9*s_r+IF(circ_int,eq_c1/2,0))/2))+2*IF(circ_int,0,eq_c2/2)),IF(circ_int,0,eq_c2/2)-(((48+0.5)*(4*IF(circ_int,0,eq_c1/2)+4*IF(circ_int,0,eq_c2/2)+2*PI()*(s_0+9*s_r+IF(circ_int,eq_c1/2,0)))/INDEX(lk_legs,10))-((((2*IF(circ_int,0,eq_c2/2))+(PI()*(s_0+9*s_r+IF(circ_int,eq_c1/2,0))/2))+2*IF(circ_int,0,eq_c1/2))+(PI()*(s_0+9*s_r+IF(circ_int,eq_c1/2,0))/2))),IF(((48+0.5)*(4*IF(circ_int,0,eq_c1/2)+4*IF(circ_int,0,eq_c2/2)+2*PI()*(s_0+9*s_r+IF(circ_int,eq_c1/2,0)))/INDEX(lk_legs,10))&lt;((((((2*IF(circ_int,0,eq_c2/2))+(PI()*(s_0+9*s_r+IF(circ_int,eq_c1/2,0))/2))+2*IF(circ_int,0,eq_c1/2))+(PI()*(s_0+9*s_r+IF(circ_int,eq_c1/2,0))/2))+2*IF(circ_int,0,eq_c2/2))+(PI()*(s_0+9*s_r+IF(circ_int,eq_c1/2,0))/2)),-IF(circ_int,0,eq_c2/2)+(s_0+9*s_r+IF(circ_int,eq_c1/2,0))*SIN(PI()+(((48+0.5)*(4*IF(circ_int,0,eq_c1/2)+4*IF(circ_int,0,eq_c2/2)+2*PI()*(s_0+9*s_r+IF(circ_int,eq_c1/2,0)))/INDEX(lk_legs,10))-(((((2*IF(circ_int,0,eq_c2/2))+(PI()*(s_0+9*s_r+IF(circ_int,eq_c1/2,0))/2))+2*IF(circ_int,0,eq_c1/2))+(PI()*(s_0+9*s_r+IF(circ_int,eq_c1/2,0))/2))+2*IF(circ_int,0,eq_c2/2)))/(s_0+9*s_r+IF(circ_int,eq_c1/2,0))),IF(((48+0.5)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(48+0.5)*(4*IF(circ_int,0,eq_c1/2)+4*IF(circ_int,0,eq_c2/2)+2*PI()*(s_0+9*s_r+IF(circ_int,eq_c1/2,0)))/INDEX(lk_legs,10))-(((((((2*IF(circ_int,0,eq_c2/2))+(PI()*(s_0+9*s_r+IF(circ_int,eq_c1/2,0))/2))+2*IF(circ_int,0,eq_c1/2))+(PI()*(s_0+9*s_r+IF(circ_int,eq_c1/2,0))/2))+2*IF(circ_int,0,eq_c2/2))+(PI()*(s_0+9*s_r+IF(circ_int,eq_c1/2,0))/2))+2*IF(circ_int,0,eq_c1/2)))/(s_0+9*s_r+IF(circ_int,eq_c1/2,0)))))))))),NA())</f>
        <v/>
      </c>
      <c r="DE51">
        <f>IF(AND(links_on,11&lt;=n_per),IF(circ_int,(g_ox)+(c_1/2+(s_0+10*s_r))*0.885456,CHOOSE(INDEX(lk_kind,11),(g_ox+eq_c1/2)+((s_0+10*s_r))*0.923880,0,eq_a1+eq_c1+(s_0+10*s_r),eq_a1+eq_c1+(s_0+10*s_r))),NA())</f>
        <v/>
      </c>
      <c r="DF51">
        <f>IF(AND(links_on,11&lt;=n_per),IF(circ_int,(g_oy)+(c_1/2+(s_0+10*s_r))*-0.464723,CHOOSE(INDEX(lk_kind,11),(g_oy-eq_c2/2)+((s_0+10*s_r))*-0.382683,g_oy-eq_c2/2-(s_0+10*s_r),0,0)),NA())</f>
        <v/>
      </c>
      <c r="DH51">
        <f>IF(AND(AND(links_on,11&lt;=n_per),INDEX(lk_kind,11)=1,48&lt;INDEX(lk_legs,11)),g_ox+IF(((48+0.5)*(4*IF(circ_int,0,eq_c1/2)+4*IF(circ_int,0,eq_c2/2)+2*PI()*(s_0+10*s_r+IF(circ_int,eq_c1/2,0)))/INDEX(lk_legs,11))&lt;(2*IF(circ_int,0,eq_c2/2)),IF(circ_int,0,eq_c1/2)+(s_0+10*s_r+IF(circ_int,eq_c1/2,0)),IF(((48+0.5)*(4*IF(circ_int,0,eq_c1/2)+4*IF(circ_int,0,eq_c2/2)+2*PI()*(s_0+10*s_r+IF(circ_int,eq_c1/2,0)))/INDEX(lk_legs,11))&lt;((2*IF(circ_int,0,eq_c2/2))+(PI()*(s_0+10*s_r+IF(circ_int,eq_c1/2,0))/2)),IF(circ_int,0,eq_c1/2)+(s_0+10*s_r+IF(circ_int,eq_c1/2,0))*COS((((48+0.5)*(4*IF(circ_int,0,eq_c1/2)+4*IF(circ_int,0,eq_c2/2)+2*PI()*(s_0+10*s_r+IF(circ_int,eq_c1/2,0)))/INDEX(lk_legs,11))-(2*IF(circ_int,0,eq_c2/2)))/(s_0+10*s_r+IF(circ_int,eq_c1/2,0))),IF(((48+0.5)*(4*IF(circ_int,0,eq_c1/2)+4*IF(circ_int,0,eq_c2/2)+2*PI()*(s_0+10*s_r+IF(circ_int,eq_c1/2,0)))/INDEX(lk_legs,11))&lt;(((2*IF(circ_int,0,eq_c2/2))+(PI()*(s_0+10*s_r+IF(circ_int,eq_c1/2,0))/2))+2*IF(circ_int,0,eq_c1/2)),IF(circ_int,0,eq_c1/2)-(((48+0.5)*(4*IF(circ_int,0,eq_c1/2)+4*IF(circ_int,0,eq_c2/2)+2*PI()*(s_0+10*s_r+IF(circ_int,eq_c1/2,0)))/INDEX(lk_legs,11))-((2*IF(circ_int,0,eq_c2/2))+(PI()*(s_0+10*s_r+IF(circ_int,eq_c1/2,0))/2))),IF(((48+0.5)*(4*IF(circ_int,0,eq_c1/2)+4*IF(circ_int,0,eq_c2/2)+2*PI()*(s_0+10*s_r+IF(circ_int,eq_c1/2,0)))/INDEX(lk_legs,11))&lt;((((2*IF(circ_int,0,eq_c2/2))+(PI()*(s_0+10*s_r+IF(circ_int,eq_c1/2,0))/2))+2*IF(circ_int,0,eq_c1/2))+(PI()*(s_0+10*s_r+IF(circ_int,eq_c1/2,0))/2)),-IF(circ_int,0,eq_c1/2)+(s_0+10*s_r+IF(circ_int,eq_c1/2,0))*COS(PI()/2+(((48+0.5)*(4*IF(circ_int,0,eq_c1/2)+4*IF(circ_int,0,eq_c2/2)+2*PI()*(s_0+10*s_r+IF(circ_int,eq_c1/2,0)))/INDEX(lk_legs,11))-(((2*IF(circ_int,0,eq_c2/2))+(PI()*(s_0+10*s_r+IF(circ_int,eq_c1/2,0))/2))+2*IF(circ_int,0,eq_c1/2)))/(s_0+10*s_r+IF(circ_int,eq_c1/2,0))),IF(((48+0.5)*(4*IF(circ_int,0,eq_c1/2)+4*IF(circ_int,0,eq_c2/2)+2*PI()*(s_0+10*s_r+IF(circ_int,eq_c1/2,0)))/INDEX(lk_legs,11))&lt;(((((2*IF(circ_int,0,eq_c2/2))+(PI()*(s_0+10*s_r+IF(circ_int,eq_c1/2,0))/2))+2*IF(circ_int,0,eq_c1/2))+(PI()*(s_0+10*s_r+IF(circ_int,eq_c1/2,0))/2))+2*IF(circ_int,0,eq_c2/2)),-IF(circ_int,0,eq_c1/2)-(s_0+10*s_r+IF(circ_int,eq_c1/2,0)),IF(((48+0.5)*(4*IF(circ_int,0,eq_c1/2)+4*IF(circ_int,0,eq_c2/2)+2*PI()*(s_0+10*s_r+IF(circ_int,eq_c1/2,0)))/INDEX(lk_legs,11))&lt;((((((2*IF(circ_int,0,eq_c2/2))+(PI()*(s_0+10*s_r+IF(circ_int,eq_c1/2,0))/2))+2*IF(circ_int,0,eq_c1/2))+(PI()*(s_0+10*s_r+IF(circ_int,eq_c1/2,0))/2))+2*IF(circ_int,0,eq_c2/2))+(PI()*(s_0+10*s_r+IF(circ_int,eq_c1/2,0))/2)),-IF(circ_int,0,eq_c1/2)+(s_0+10*s_r+IF(circ_int,eq_c1/2,0))*COS(PI()+(((48+0.5)*(4*IF(circ_int,0,eq_c1/2)+4*IF(circ_int,0,eq_c2/2)+2*PI()*(s_0+10*s_r+IF(circ_int,eq_c1/2,0)))/INDEX(lk_legs,11))-(((((2*IF(circ_int,0,eq_c2/2))+(PI()*(s_0+10*s_r+IF(circ_int,eq_c1/2,0))/2))+2*IF(circ_int,0,eq_c1/2))+(PI()*(s_0+10*s_r+IF(circ_int,eq_c1/2,0))/2))+2*IF(circ_int,0,eq_c2/2)))/(s_0+10*s_r+IF(circ_int,eq_c1/2,0))),IF(((48+0.5)*(4*IF(circ_int,0,eq_c1/2)+4*IF(circ_int,0,eq_c2/2)+2*PI()*(s_0+10*s_r+IF(circ_int,eq_c1/2,0)))/INDEX(lk_legs,11))&lt;(((((((2*IF(circ_int,0,eq_c2/2))+(PI()*(s_0+10*s_r+IF(circ_int,eq_c1/2,0))/2))+2*IF(circ_int,0,eq_c1/2))+(PI()*(s_0+10*s_r+IF(circ_int,eq_c1/2,0))/2))+2*IF(circ_int,0,eq_c2/2))+(PI()*(s_0+10*s_r+IF(circ_int,eq_c1/2,0))/2))+2*IF(circ_int,0,eq_c1/2)),-IF(circ_int,0,eq_c1/2)+(((48+0.5)*(4*IF(circ_int,0,eq_c1/2)+4*IF(circ_int,0,eq_c2/2)+2*PI()*(s_0+10*s_r+IF(circ_int,eq_c1/2,0)))/INDEX(lk_legs,11))-((((((2*IF(circ_int,0,eq_c2/2))+(PI()*(s_0+10*s_r+IF(circ_int,eq_c1/2,0))/2))+2*IF(circ_int,0,eq_c1/2))+(PI()*(s_0+10*s_r+IF(circ_int,eq_c1/2,0))/2))+2*IF(circ_int,0,eq_c2/2))+(PI()*(s_0+10*s_r+IF(circ_int,eq_c1/2,0))/2))),IF(circ_int,0,eq_c1/2)+(s_0+10*s_r+IF(circ_int,eq_c1/2,0))*COS(3*PI()/2+(((48+0.5)*(4*IF(circ_int,0,eq_c1/2)+4*IF(circ_int,0,eq_c2/2)+2*PI()*(s_0+10*s_r+IF(circ_int,eq_c1/2,0)))/INDEX(lk_legs,11))-(((((((2*IF(circ_int,0,eq_c2/2))+(PI()*(s_0+10*s_r+IF(circ_int,eq_c1/2,0))/2))+2*IF(circ_int,0,eq_c1/2))+(PI()*(s_0+10*s_r+IF(circ_int,eq_c1/2,0))/2))+2*IF(circ_int,0,eq_c2/2))+(PI()*(s_0+10*s_r+IF(circ_int,eq_c1/2,0))/2))+2*IF(circ_int,0,eq_c1/2)))/(s_0+10*s_r+IF(circ_int,eq_c1/2,0)))))))))),NA())</f>
        <v/>
      </c>
      <c r="DI51">
        <f>IF(AND(AND(links_on,11&lt;=n_per),INDEX(lk_kind,11)=1,48&lt;INDEX(lk_legs,11)),g_oy+IF(((48+0.5)*(4*IF(circ_int,0,eq_c1/2)+4*IF(circ_int,0,eq_c2/2)+2*PI()*(s_0+10*s_r+IF(circ_int,eq_c1/2,0)))/INDEX(lk_legs,11))&lt;(2*IF(circ_int,0,eq_c2/2)),-IF(circ_int,0,eq_c2/2)+((48+0.5)*(4*IF(circ_int,0,eq_c1/2)+4*IF(circ_int,0,eq_c2/2)+2*PI()*(s_0+10*s_r+IF(circ_int,eq_c1/2,0)))/INDEX(lk_legs,11)),IF(((48+0.5)*(4*IF(circ_int,0,eq_c1/2)+4*IF(circ_int,0,eq_c2/2)+2*PI()*(s_0+10*s_r+IF(circ_int,eq_c1/2,0)))/INDEX(lk_legs,11))&lt;((2*IF(circ_int,0,eq_c2/2))+(PI()*(s_0+10*s_r+IF(circ_int,eq_c1/2,0))/2)),IF(circ_int,0,eq_c2/2)+(s_0+10*s_r+IF(circ_int,eq_c1/2,0))*SIN((((48+0.5)*(4*IF(circ_int,0,eq_c1/2)+4*IF(circ_int,0,eq_c2/2)+2*PI()*(s_0+10*s_r+IF(circ_int,eq_c1/2,0)))/INDEX(lk_legs,11))-(2*IF(circ_int,0,eq_c2/2)))/(s_0+10*s_r+IF(circ_int,eq_c1/2,0))),IF(((48+0.5)*(4*IF(circ_int,0,eq_c1/2)+4*IF(circ_int,0,eq_c2/2)+2*PI()*(s_0+10*s_r+IF(circ_int,eq_c1/2,0)))/INDEX(lk_legs,11))&lt;(((2*IF(circ_int,0,eq_c2/2))+(PI()*(s_0+10*s_r+IF(circ_int,eq_c1/2,0))/2))+2*IF(circ_int,0,eq_c1/2)),IF(circ_int,0,eq_c2/2)+(s_0+10*s_r+IF(circ_int,eq_c1/2,0)),IF(((48+0.5)*(4*IF(circ_int,0,eq_c1/2)+4*IF(circ_int,0,eq_c2/2)+2*PI()*(s_0+10*s_r+IF(circ_int,eq_c1/2,0)))/INDEX(lk_legs,11))&lt;((((2*IF(circ_int,0,eq_c2/2))+(PI()*(s_0+10*s_r+IF(circ_int,eq_c1/2,0))/2))+2*IF(circ_int,0,eq_c1/2))+(PI()*(s_0+10*s_r+IF(circ_int,eq_c1/2,0))/2)),IF(circ_int,0,eq_c2/2)+(s_0+10*s_r+IF(circ_int,eq_c1/2,0))*SIN(PI()/2+(((48+0.5)*(4*IF(circ_int,0,eq_c1/2)+4*IF(circ_int,0,eq_c2/2)+2*PI()*(s_0+10*s_r+IF(circ_int,eq_c1/2,0)))/INDEX(lk_legs,11))-(((2*IF(circ_int,0,eq_c2/2))+(PI()*(s_0+10*s_r+IF(circ_int,eq_c1/2,0))/2))+2*IF(circ_int,0,eq_c1/2)))/(s_0+10*s_r+IF(circ_int,eq_c1/2,0))),IF(((48+0.5)*(4*IF(circ_int,0,eq_c1/2)+4*IF(circ_int,0,eq_c2/2)+2*PI()*(s_0+10*s_r+IF(circ_int,eq_c1/2,0)))/INDEX(lk_legs,11))&lt;(((((2*IF(circ_int,0,eq_c2/2))+(PI()*(s_0+10*s_r+IF(circ_int,eq_c1/2,0))/2))+2*IF(circ_int,0,eq_c1/2))+(PI()*(s_0+10*s_r+IF(circ_int,eq_c1/2,0))/2))+2*IF(circ_int,0,eq_c2/2)),IF(circ_int,0,eq_c2/2)-(((48+0.5)*(4*IF(circ_int,0,eq_c1/2)+4*IF(circ_int,0,eq_c2/2)+2*PI()*(s_0+10*s_r+IF(circ_int,eq_c1/2,0)))/INDEX(lk_legs,11))-((((2*IF(circ_int,0,eq_c2/2))+(PI()*(s_0+10*s_r+IF(circ_int,eq_c1/2,0))/2))+2*IF(circ_int,0,eq_c1/2))+(PI()*(s_0+10*s_r+IF(circ_int,eq_c1/2,0))/2))),IF(((48+0.5)*(4*IF(circ_int,0,eq_c1/2)+4*IF(circ_int,0,eq_c2/2)+2*PI()*(s_0+10*s_r+IF(circ_int,eq_c1/2,0)))/INDEX(lk_legs,11))&lt;((((((2*IF(circ_int,0,eq_c2/2))+(PI()*(s_0+10*s_r+IF(circ_int,eq_c1/2,0))/2))+2*IF(circ_int,0,eq_c1/2))+(PI()*(s_0+10*s_r+IF(circ_int,eq_c1/2,0))/2))+2*IF(circ_int,0,eq_c2/2))+(PI()*(s_0+10*s_r+IF(circ_int,eq_c1/2,0))/2)),-IF(circ_int,0,eq_c2/2)+(s_0+10*s_r+IF(circ_int,eq_c1/2,0))*SIN(PI()+(((48+0.5)*(4*IF(circ_int,0,eq_c1/2)+4*IF(circ_int,0,eq_c2/2)+2*PI()*(s_0+10*s_r+IF(circ_int,eq_c1/2,0)))/INDEX(lk_legs,11))-(((((2*IF(circ_int,0,eq_c2/2))+(PI()*(s_0+10*s_r+IF(circ_int,eq_c1/2,0))/2))+2*IF(circ_int,0,eq_c1/2))+(PI()*(s_0+10*s_r+IF(circ_int,eq_c1/2,0))/2))+2*IF(circ_int,0,eq_c2/2)))/(s_0+10*s_r+IF(circ_int,eq_c1/2,0))),IF(((48+0.5)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(48+0.5)*(4*IF(circ_int,0,eq_c1/2)+4*IF(circ_int,0,eq_c2/2)+2*PI()*(s_0+10*s_r+IF(circ_int,eq_c1/2,0)))/INDEX(lk_legs,11))-(((((((2*IF(circ_int,0,eq_c2/2))+(PI()*(s_0+10*s_r+IF(circ_int,eq_c1/2,0))/2))+2*IF(circ_int,0,eq_c1/2))+(PI()*(s_0+10*s_r+IF(circ_int,eq_c1/2,0))/2))+2*IF(circ_int,0,eq_c2/2))+(PI()*(s_0+10*s_r+IF(circ_int,eq_c1/2,0))/2))+2*IF(circ_int,0,eq_c1/2)))/(s_0+10*s_r+IF(circ_int,eq_c1/2,0)))))))))),NA())</f>
        <v/>
      </c>
      <c r="DK51">
        <f>IF(AND(links_on,12&lt;=n_per),IF(circ_int,(g_ox)+(c_1/2+(s_0+11*s_r))*0.885456,CHOOSE(INDEX(lk_kind,12),(g_ox+eq_c1/2)+((s_0+11*s_r))*0.923880,0,eq_a1+eq_c1+(s_0+11*s_r),eq_a1+eq_c1+(s_0+11*s_r))),NA())</f>
        <v/>
      </c>
      <c r="DL51">
        <f>IF(AND(links_on,12&lt;=n_per),IF(circ_int,(g_oy)+(c_1/2+(s_0+11*s_r))*-0.464723,CHOOSE(INDEX(lk_kind,12),(g_oy-eq_c2/2)+((s_0+11*s_r))*-0.382683,g_oy-eq_c2/2-(s_0+11*s_r),0,0)),NA())</f>
        <v/>
      </c>
      <c r="DN51">
        <f>IF(AND(AND(links_on,12&lt;=n_per),INDEX(lk_kind,12)=1,48&lt;INDEX(lk_legs,12)),g_ox+IF(((48+0.5)*(4*IF(circ_int,0,eq_c1/2)+4*IF(circ_int,0,eq_c2/2)+2*PI()*(s_0+11*s_r+IF(circ_int,eq_c1/2,0)))/INDEX(lk_legs,12))&lt;(2*IF(circ_int,0,eq_c2/2)),IF(circ_int,0,eq_c1/2)+(s_0+11*s_r+IF(circ_int,eq_c1/2,0)),IF(((48+0.5)*(4*IF(circ_int,0,eq_c1/2)+4*IF(circ_int,0,eq_c2/2)+2*PI()*(s_0+11*s_r+IF(circ_int,eq_c1/2,0)))/INDEX(lk_legs,12))&lt;((2*IF(circ_int,0,eq_c2/2))+(PI()*(s_0+11*s_r+IF(circ_int,eq_c1/2,0))/2)),IF(circ_int,0,eq_c1/2)+(s_0+11*s_r+IF(circ_int,eq_c1/2,0))*COS((((48+0.5)*(4*IF(circ_int,0,eq_c1/2)+4*IF(circ_int,0,eq_c2/2)+2*PI()*(s_0+11*s_r+IF(circ_int,eq_c1/2,0)))/INDEX(lk_legs,12))-(2*IF(circ_int,0,eq_c2/2)))/(s_0+11*s_r+IF(circ_int,eq_c1/2,0))),IF(((48+0.5)*(4*IF(circ_int,0,eq_c1/2)+4*IF(circ_int,0,eq_c2/2)+2*PI()*(s_0+11*s_r+IF(circ_int,eq_c1/2,0)))/INDEX(lk_legs,12))&lt;(((2*IF(circ_int,0,eq_c2/2))+(PI()*(s_0+11*s_r+IF(circ_int,eq_c1/2,0))/2))+2*IF(circ_int,0,eq_c1/2)),IF(circ_int,0,eq_c1/2)-(((48+0.5)*(4*IF(circ_int,0,eq_c1/2)+4*IF(circ_int,0,eq_c2/2)+2*PI()*(s_0+11*s_r+IF(circ_int,eq_c1/2,0)))/INDEX(lk_legs,12))-((2*IF(circ_int,0,eq_c2/2))+(PI()*(s_0+11*s_r+IF(circ_int,eq_c1/2,0))/2))),IF(((48+0.5)*(4*IF(circ_int,0,eq_c1/2)+4*IF(circ_int,0,eq_c2/2)+2*PI()*(s_0+11*s_r+IF(circ_int,eq_c1/2,0)))/INDEX(lk_legs,12))&lt;((((2*IF(circ_int,0,eq_c2/2))+(PI()*(s_0+11*s_r+IF(circ_int,eq_c1/2,0))/2))+2*IF(circ_int,0,eq_c1/2))+(PI()*(s_0+11*s_r+IF(circ_int,eq_c1/2,0))/2)),-IF(circ_int,0,eq_c1/2)+(s_0+11*s_r+IF(circ_int,eq_c1/2,0))*COS(PI()/2+(((48+0.5)*(4*IF(circ_int,0,eq_c1/2)+4*IF(circ_int,0,eq_c2/2)+2*PI()*(s_0+11*s_r+IF(circ_int,eq_c1/2,0)))/INDEX(lk_legs,12))-(((2*IF(circ_int,0,eq_c2/2))+(PI()*(s_0+11*s_r+IF(circ_int,eq_c1/2,0))/2))+2*IF(circ_int,0,eq_c1/2)))/(s_0+11*s_r+IF(circ_int,eq_c1/2,0))),IF(((48+0.5)*(4*IF(circ_int,0,eq_c1/2)+4*IF(circ_int,0,eq_c2/2)+2*PI()*(s_0+11*s_r+IF(circ_int,eq_c1/2,0)))/INDEX(lk_legs,12))&lt;(((((2*IF(circ_int,0,eq_c2/2))+(PI()*(s_0+11*s_r+IF(circ_int,eq_c1/2,0))/2))+2*IF(circ_int,0,eq_c1/2))+(PI()*(s_0+11*s_r+IF(circ_int,eq_c1/2,0))/2))+2*IF(circ_int,0,eq_c2/2)),-IF(circ_int,0,eq_c1/2)-(s_0+11*s_r+IF(circ_int,eq_c1/2,0)),IF(((48+0.5)*(4*IF(circ_int,0,eq_c1/2)+4*IF(circ_int,0,eq_c2/2)+2*PI()*(s_0+11*s_r+IF(circ_int,eq_c1/2,0)))/INDEX(lk_legs,12))&lt;((((((2*IF(circ_int,0,eq_c2/2))+(PI()*(s_0+11*s_r+IF(circ_int,eq_c1/2,0))/2))+2*IF(circ_int,0,eq_c1/2))+(PI()*(s_0+11*s_r+IF(circ_int,eq_c1/2,0))/2))+2*IF(circ_int,0,eq_c2/2))+(PI()*(s_0+11*s_r+IF(circ_int,eq_c1/2,0))/2)),-IF(circ_int,0,eq_c1/2)+(s_0+11*s_r+IF(circ_int,eq_c1/2,0))*COS(PI()+(((48+0.5)*(4*IF(circ_int,0,eq_c1/2)+4*IF(circ_int,0,eq_c2/2)+2*PI()*(s_0+11*s_r+IF(circ_int,eq_c1/2,0)))/INDEX(lk_legs,12))-(((((2*IF(circ_int,0,eq_c2/2))+(PI()*(s_0+11*s_r+IF(circ_int,eq_c1/2,0))/2))+2*IF(circ_int,0,eq_c1/2))+(PI()*(s_0+11*s_r+IF(circ_int,eq_c1/2,0))/2))+2*IF(circ_int,0,eq_c2/2)))/(s_0+11*s_r+IF(circ_int,eq_c1/2,0))),IF(((48+0.5)*(4*IF(circ_int,0,eq_c1/2)+4*IF(circ_int,0,eq_c2/2)+2*PI()*(s_0+11*s_r+IF(circ_int,eq_c1/2,0)))/INDEX(lk_legs,12))&lt;(((((((2*IF(circ_int,0,eq_c2/2))+(PI()*(s_0+11*s_r+IF(circ_int,eq_c1/2,0))/2))+2*IF(circ_int,0,eq_c1/2))+(PI()*(s_0+11*s_r+IF(circ_int,eq_c1/2,0))/2))+2*IF(circ_int,0,eq_c2/2))+(PI()*(s_0+11*s_r+IF(circ_int,eq_c1/2,0))/2))+2*IF(circ_int,0,eq_c1/2)),-IF(circ_int,0,eq_c1/2)+(((48+0.5)*(4*IF(circ_int,0,eq_c1/2)+4*IF(circ_int,0,eq_c2/2)+2*PI()*(s_0+11*s_r+IF(circ_int,eq_c1/2,0)))/INDEX(lk_legs,12))-((((((2*IF(circ_int,0,eq_c2/2))+(PI()*(s_0+11*s_r+IF(circ_int,eq_c1/2,0))/2))+2*IF(circ_int,0,eq_c1/2))+(PI()*(s_0+11*s_r+IF(circ_int,eq_c1/2,0))/2))+2*IF(circ_int,0,eq_c2/2))+(PI()*(s_0+11*s_r+IF(circ_int,eq_c1/2,0))/2))),IF(circ_int,0,eq_c1/2)+(s_0+11*s_r+IF(circ_int,eq_c1/2,0))*COS(3*PI()/2+(((48+0.5)*(4*IF(circ_int,0,eq_c1/2)+4*IF(circ_int,0,eq_c2/2)+2*PI()*(s_0+11*s_r+IF(circ_int,eq_c1/2,0)))/INDEX(lk_legs,12))-(((((((2*IF(circ_int,0,eq_c2/2))+(PI()*(s_0+11*s_r+IF(circ_int,eq_c1/2,0))/2))+2*IF(circ_int,0,eq_c1/2))+(PI()*(s_0+11*s_r+IF(circ_int,eq_c1/2,0))/2))+2*IF(circ_int,0,eq_c2/2))+(PI()*(s_0+11*s_r+IF(circ_int,eq_c1/2,0))/2))+2*IF(circ_int,0,eq_c1/2)))/(s_0+11*s_r+IF(circ_int,eq_c1/2,0)))))))))),NA())</f>
        <v/>
      </c>
      <c r="DO51">
        <f>IF(AND(AND(links_on,12&lt;=n_per),INDEX(lk_kind,12)=1,48&lt;INDEX(lk_legs,12)),g_oy+IF(((48+0.5)*(4*IF(circ_int,0,eq_c1/2)+4*IF(circ_int,0,eq_c2/2)+2*PI()*(s_0+11*s_r+IF(circ_int,eq_c1/2,0)))/INDEX(lk_legs,12))&lt;(2*IF(circ_int,0,eq_c2/2)),-IF(circ_int,0,eq_c2/2)+((48+0.5)*(4*IF(circ_int,0,eq_c1/2)+4*IF(circ_int,0,eq_c2/2)+2*PI()*(s_0+11*s_r+IF(circ_int,eq_c1/2,0)))/INDEX(lk_legs,12)),IF(((48+0.5)*(4*IF(circ_int,0,eq_c1/2)+4*IF(circ_int,0,eq_c2/2)+2*PI()*(s_0+11*s_r+IF(circ_int,eq_c1/2,0)))/INDEX(lk_legs,12))&lt;((2*IF(circ_int,0,eq_c2/2))+(PI()*(s_0+11*s_r+IF(circ_int,eq_c1/2,0))/2)),IF(circ_int,0,eq_c2/2)+(s_0+11*s_r+IF(circ_int,eq_c1/2,0))*SIN((((48+0.5)*(4*IF(circ_int,0,eq_c1/2)+4*IF(circ_int,0,eq_c2/2)+2*PI()*(s_0+11*s_r+IF(circ_int,eq_c1/2,0)))/INDEX(lk_legs,12))-(2*IF(circ_int,0,eq_c2/2)))/(s_0+11*s_r+IF(circ_int,eq_c1/2,0))),IF(((48+0.5)*(4*IF(circ_int,0,eq_c1/2)+4*IF(circ_int,0,eq_c2/2)+2*PI()*(s_0+11*s_r+IF(circ_int,eq_c1/2,0)))/INDEX(lk_legs,12))&lt;(((2*IF(circ_int,0,eq_c2/2))+(PI()*(s_0+11*s_r+IF(circ_int,eq_c1/2,0))/2))+2*IF(circ_int,0,eq_c1/2)),IF(circ_int,0,eq_c2/2)+(s_0+11*s_r+IF(circ_int,eq_c1/2,0)),IF(((48+0.5)*(4*IF(circ_int,0,eq_c1/2)+4*IF(circ_int,0,eq_c2/2)+2*PI()*(s_0+11*s_r+IF(circ_int,eq_c1/2,0)))/INDEX(lk_legs,12))&lt;((((2*IF(circ_int,0,eq_c2/2))+(PI()*(s_0+11*s_r+IF(circ_int,eq_c1/2,0))/2))+2*IF(circ_int,0,eq_c1/2))+(PI()*(s_0+11*s_r+IF(circ_int,eq_c1/2,0))/2)),IF(circ_int,0,eq_c2/2)+(s_0+11*s_r+IF(circ_int,eq_c1/2,0))*SIN(PI()/2+(((48+0.5)*(4*IF(circ_int,0,eq_c1/2)+4*IF(circ_int,0,eq_c2/2)+2*PI()*(s_0+11*s_r+IF(circ_int,eq_c1/2,0)))/INDEX(lk_legs,12))-(((2*IF(circ_int,0,eq_c2/2))+(PI()*(s_0+11*s_r+IF(circ_int,eq_c1/2,0))/2))+2*IF(circ_int,0,eq_c1/2)))/(s_0+11*s_r+IF(circ_int,eq_c1/2,0))),IF(((48+0.5)*(4*IF(circ_int,0,eq_c1/2)+4*IF(circ_int,0,eq_c2/2)+2*PI()*(s_0+11*s_r+IF(circ_int,eq_c1/2,0)))/INDEX(lk_legs,12))&lt;(((((2*IF(circ_int,0,eq_c2/2))+(PI()*(s_0+11*s_r+IF(circ_int,eq_c1/2,0))/2))+2*IF(circ_int,0,eq_c1/2))+(PI()*(s_0+11*s_r+IF(circ_int,eq_c1/2,0))/2))+2*IF(circ_int,0,eq_c2/2)),IF(circ_int,0,eq_c2/2)-(((48+0.5)*(4*IF(circ_int,0,eq_c1/2)+4*IF(circ_int,0,eq_c2/2)+2*PI()*(s_0+11*s_r+IF(circ_int,eq_c1/2,0)))/INDEX(lk_legs,12))-((((2*IF(circ_int,0,eq_c2/2))+(PI()*(s_0+11*s_r+IF(circ_int,eq_c1/2,0))/2))+2*IF(circ_int,0,eq_c1/2))+(PI()*(s_0+11*s_r+IF(circ_int,eq_c1/2,0))/2))),IF(((48+0.5)*(4*IF(circ_int,0,eq_c1/2)+4*IF(circ_int,0,eq_c2/2)+2*PI()*(s_0+11*s_r+IF(circ_int,eq_c1/2,0)))/INDEX(lk_legs,12))&lt;((((((2*IF(circ_int,0,eq_c2/2))+(PI()*(s_0+11*s_r+IF(circ_int,eq_c1/2,0))/2))+2*IF(circ_int,0,eq_c1/2))+(PI()*(s_0+11*s_r+IF(circ_int,eq_c1/2,0))/2))+2*IF(circ_int,0,eq_c2/2))+(PI()*(s_0+11*s_r+IF(circ_int,eq_c1/2,0))/2)),-IF(circ_int,0,eq_c2/2)+(s_0+11*s_r+IF(circ_int,eq_c1/2,0))*SIN(PI()+(((48+0.5)*(4*IF(circ_int,0,eq_c1/2)+4*IF(circ_int,0,eq_c2/2)+2*PI()*(s_0+11*s_r+IF(circ_int,eq_c1/2,0)))/INDEX(lk_legs,12))-(((((2*IF(circ_int,0,eq_c2/2))+(PI()*(s_0+11*s_r+IF(circ_int,eq_c1/2,0))/2))+2*IF(circ_int,0,eq_c1/2))+(PI()*(s_0+11*s_r+IF(circ_int,eq_c1/2,0))/2))+2*IF(circ_int,0,eq_c2/2)))/(s_0+11*s_r+IF(circ_int,eq_c1/2,0))),IF(((48+0.5)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(48+0.5)*(4*IF(circ_int,0,eq_c1/2)+4*IF(circ_int,0,eq_c2/2)+2*PI()*(s_0+11*s_r+IF(circ_int,eq_c1/2,0)))/INDEX(lk_legs,12))-(((((((2*IF(circ_int,0,eq_c2/2))+(PI()*(s_0+11*s_r+IF(circ_int,eq_c1/2,0))/2))+2*IF(circ_int,0,eq_c1/2))+(PI()*(s_0+11*s_r+IF(circ_int,eq_c1/2,0))/2))+2*IF(circ_int,0,eq_c2/2))+(PI()*(s_0+11*s_r+IF(circ_int,eq_c1/2,0))/2))+2*IF(circ_int,0,eq_c1/2)))/(s_0+11*s_r+IF(circ_int,eq_c1/2,0)))))))))),NA())</f>
        <v/>
      </c>
    </row>
    <row r="52">
      <c r="A52">
        <f>IF(shape="Circular",(g_ox)+(c_1/2+0)*0.935016,CHOOSE(1,(g_ox+eq_c1/2)+(0)*0.965926,0,eq_a1+eq_c1+0,eq_a1+eq_c1+0))</f>
        <v/>
      </c>
      <c r="B52">
        <f>IF(shape="Circular",(g_oy)+(c_1/2+0)*-0.354605,CHOOSE(1,(g_oy-eq_c2/2)+(0)*-0.258819,g_oy-eq_c2/2-0,0,0))</f>
        <v/>
      </c>
      <c r="D52">
        <f>IF(circ_int,(g_ox)+(c_1/2+2*d_eff)*0.935016,CHOOSE(geo_idx,(g_ox+eq_c1/2)+(2*d_eff)*0.965926,0,eq_a1+eq_c1+2*d_eff,eq_a1+eq_c1+2*d_eff))</f>
        <v/>
      </c>
      <c r="E52">
        <f>IF(circ_int,(g_oy)+(c_1/2+2*d_eff)*-0.354605,CHOOSE(geo_idx,(g_oy-eq_c2/2)+(2*d_eff)*-0.258819,g_oy-eq_c2/2-2*d_eff,0,0))</f>
        <v/>
      </c>
      <c r="G52">
        <f>IF(AND(inputs_ok,punch_ok,A_sw&gt;0),IF(circ_int,(g_ox)+(c_1/2+r_out)*0.935016,CHOOSE(kind_out,(g_ox+eq_c1/2)+(r_out)*0.965926,0,eq_a1+eq_c1+r_out,eq_a1+eq_c1+r_out)),NA())</f>
        <v/>
      </c>
      <c r="H52">
        <f>IF(AND(inputs_ok,punch_ok,A_sw&gt;0),IF(circ_int,(g_oy)+(c_1/2+r_out)*-0.354605,CHOOSE(kind_out,(g_oy-eq_c2/2)+(r_out)*-0.258819,g_oy-eq_c2/2-r_out,0,0)),NA())</f>
        <v/>
      </c>
      <c r="AW52">
        <f>IF(AND(links_on,1&lt;=n_per),IF(circ_int,(g_ox)+(c_1/2+(s_0+0*s_r))*0.935016,CHOOSE(INDEX(lk_kind,1),(g_ox+eq_c1/2)+((s_0+0*s_r))*0.965926,0,eq_a1+eq_c1+(s_0+0*s_r),eq_a1+eq_c1+(s_0+0*s_r))),NA())</f>
        <v/>
      </c>
      <c r="AX52">
        <f>IF(AND(links_on,1&lt;=n_per),IF(circ_int,(g_oy)+(c_1/2+(s_0+0*s_r))*-0.354605,CHOOSE(INDEX(lk_kind,1),(g_oy-eq_c2/2)+((s_0+0*s_r))*-0.258819,g_oy-eq_c2/2-(s_0+0*s_r),0,0)),NA())</f>
        <v/>
      </c>
      <c r="AZ52">
        <f>IF(AND(AND(links_on,1&lt;=n_per),INDEX(lk_kind,1)=1,49&lt;INDEX(lk_legs,1)),g_ox+IF(((49+0.5)*(4*IF(circ_int,0,eq_c1/2)+4*IF(circ_int,0,eq_c2/2)+2*PI()*(s_0+0*s_r+IF(circ_int,eq_c1/2,0)))/INDEX(lk_legs,1))&lt;(2*IF(circ_int,0,eq_c2/2)),IF(circ_int,0,eq_c1/2)+(s_0+0*s_r+IF(circ_int,eq_c1/2,0)),IF(((49+0.5)*(4*IF(circ_int,0,eq_c1/2)+4*IF(circ_int,0,eq_c2/2)+2*PI()*(s_0+0*s_r+IF(circ_int,eq_c1/2,0)))/INDEX(lk_legs,1))&lt;((2*IF(circ_int,0,eq_c2/2))+(PI()*(s_0+0*s_r+IF(circ_int,eq_c1/2,0))/2)),IF(circ_int,0,eq_c1/2)+(s_0+0*s_r+IF(circ_int,eq_c1/2,0))*COS((((49+0.5)*(4*IF(circ_int,0,eq_c1/2)+4*IF(circ_int,0,eq_c2/2)+2*PI()*(s_0+0*s_r+IF(circ_int,eq_c1/2,0)))/INDEX(lk_legs,1))-(2*IF(circ_int,0,eq_c2/2)))/(s_0+0*s_r+IF(circ_int,eq_c1/2,0))),IF(((49+0.5)*(4*IF(circ_int,0,eq_c1/2)+4*IF(circ_int,0,eq_c2/2)+2*PI()*(s_0+0*s_r+IF(circ_int,eq_c1/2,0)))/INDEX(lk_legs,1))&lt;(((2*IF(circ_int,0,eq_c2/2))+(PI()*(s_0+0*s_r+IF(circ_int,eq_c1/2,0))/2))+2*IF(circ_int,0,eq_c1/2)),IF(circ_int,0,eq_c1/2)-(((49+0.5)*(4*IF(circ_int,0,eq_c1/2)+4*IF(circ_int,0,eq_c2/2)+2*PI()*(s_0+0*s_r+IF(circ_int,eq_c1/2,0)))/INDEX(lk_legs,1))-((2*IF(circ_int,0,eq_c2/2))+(PI()*(s_0+0*s_r+IF(circ_int,eq_c1/2,0))/2))),IF(((49+0.5)*(4*IF(circ_int,0,eq_c1/2)+4*IF(circ_int,0,eq_c2/2)+2*PI()*(s_0+0*s_r+IF(circ_int,eq_c1/2,0)))/INDEX(lk_legs,1))&lt;((((2*IF(circ_int,0,eq_c2/2))+(PI()*(s_0+0*s_r+IF(circ_int,eq_c1/2,0))/2))+2*IF(circ_int,0,eq_c1/2))+(PI()*(s_0+0*s_r+IF(circ_int,eq_c1/2,0))/2)),-IF(circ_int,0,eq_c1/2)+(s_0+0*s_r+IF(circ_int,eq_c1/2,0))*COS(PI()/2+(((49+0.5)*(4*IF(circ_int,0,eq_c1/2)+4*IF(circ_int,0,eq_c2/2)+2*PI()*(s_0+0*s_r+IF(circ_int,eq_c1/2,0)))/INDEX(lk_legs,1))-(((2*IF(circ_int,0,eq_c2/2))+(PI()*(s_0+0*s_r+IF(circ_int,eq_c1/2,0))/2))+2*IF(circ_int,0,eq_c1/2)))/(s_0+0*s_r+IF(circ_int,eq_c1/2,0))),IF(((49+0.5)*(4*IF(circ_int,0,eq_c1/2)+4*IF(circ_int,0,eq_c2/2)+2*PI()*(s_0+0*s_r+IF(circ_int,eq_c1/2,0)))/INDEX(lk_legs,1))&lt;(((((2*IF(circ_int,0,eq_c2/2))+(PI()*(s_0+0*s_r+IF(circ_int,eq_c1/2,0))/2))+2*IF(circ_int,0,eq_c1/2))+(PI()*(s_0+0*s_r+IF(circ_int,eq_c1/2,0))/2))+2*IF(circ_int,0,eq_c2/2)),-IF(circ_int,0,eq_c1/2)-(s_0+0*s_r+IF(circ_int,eq_c1/2,0)),IF(((49+0.5)*(4*IF(circ_int,0,eq_c1/2)+4*IF(circ_int,0,eq_c2/2)+2*PI()*(s_0+0*s_r+IF(circ_int,eq_c1/2,0)))/INDEX(lk_legs,1))&lt;((((((2*IF(circ_int,0,eq_c2/2))+(PI()*(s_0+0*s_r+IF(circ_int,eq_c1/2,0))/2))+2*IF(circ_int,0,eq_c1/2))+(PI()*(s_0+0*s_r+IF(circ_int,eq_c1/2,0))/2))+2*IF(circ_int,0,eq_c2/2))+(PI()*(s_0+0*s_r+IF(circ_int,eq_c1/2,0))/2)),-IF(circ_int,0,eq_c1/2)+(s_0+0*s_r+IF(circ_int,eq_c1/2,0))*COS(PI()+(((49+0.5)*(4*IF(circ_int,0,eq_c1/2)+4*IF(circ_int,0,eq_c2/2)+2*PI()*(s_0+0*s_r+IF(circ_int,eq_c1/2,0)))/INDEX(lk_legs,1))-(((((2*IF(circ_int,0,eq_c2/2))+(PI()*(s_0+0*s_r+IF(circ_int,eq_c1/2,0))/2))+2*IF(circ_int,0,eq_c1/2))+(PI()*(s_0+0*s_r+IF(circ_int,eq_c1/2,0))/2))+2*IF(circ_int,0,eq_c2/2)))/(s_0+0*s_r+IF(circ_int,eq_c1/2,0))),IF(((49+0.5)*(4*IF(circ_int,0,eq_c1/2)+4*IF(circ_int,0,eq_c2/2)+2*PI()*(s_0+0*s_r+IF(circ_int,eq_c1/2,0)))/INDEX(lk_legs,1))&lt;(((((((2*IF(circ_int,0,eq_c2/2))+(PI()*(s_0+0*s_r+IF(circ_int,eq_c1/2,0))/2))+2*IF(circ_int,0,eq_c1/2))+(PI()*(s_0+0*s_r+IF(circ_int,eq_c1/2,0))/2))+2*IF(circ_int,0,eq_c2/2))+(PI()*(s_0+0*s_r+IF(circ_int,eq_c1/2,0))/2))+2*IF(circ_int,0,eq_c1/2)),-IF(circ_int,0,eq_c1/2)+(((49+0.5)*(4*IF(circ_int,0,eq_c1/2)+4*IF(circ_int,0,eq_c2/2)+2*PI()*(s_0+0*s_r+IF(circ_int,eq_c1/2,0)))/INDEX(lk_legs,1))-((((((2*IF(circ_int,0,eq_c2/2))+(PI()*(s_0+0*s_r+IF(circ_int,eq_c1/2,0))/2))+2*IF(circ_int,0,eq_c1/2))+(PI()*(s_0+0*s_r+IF(circ_int,eq_c1/2,0))/2))+2*IF(circ_int,0,eq_c2/2))+(PI()*(s_0+0*s_r+IF(circ_int,eq_c1/2,0))/2))),IF(circ_int,0,eq_c1/2)+(s_0+0*s_r+IF(circ_int,eq_c1/2,0))*COS(3*PI()/2+(((49+0.5)*(4*IF(circ_int,0,eq_c1/2)+4*IF(circ_int,0,eq_c2/2)+2*PI()*(s_0+0*s_r+IF(circ_int,eq_c1/2,0)))/INDEX(lk_legs,1))-(((((((2*IF(circ_int,0,eq_c2/2))+(PI()*(s_0+0*s_r+IF(circ_int,eq_c1/2,0))/2))+2*IF(circ_int,0,eq_c1/2))+(PI()*(s_0+0*s_r+IF(circ_int,eq_c1/2,0))/2))+2*IF(circ_int,0,eq_c2/2))+(PI()*(s_0+0*s_r+IF(circ_int,eq_c1/2,0))/2))+2*IF(circ_int,0,eq_c1/2)))/(s_0+0*s_r+IF(circ_int,eq_c1/2,0)))))))))),NA())</f>
        <v/>
      </c>
      <c r="BA52">
        <f>IF(AND(AND(links_on,1&lt;=n_per),INDEX(lk_kind,1)=1,49&lt;INDEX(lk_legs,1)),g_oy+IF(((49+0.5)*(4*IF(circ_int,0,eq_c1/2)+4*IF(circ_int,0,eq_c2/2)+2*PI()*(s_0+0*s_r+IF(circ_int,eq_c1/2,0)))/INDEX(lk_legs,1))&lt;(2*IF(circ_int,0,eq_c2/2)),-IF(circ_int,0,eq_c2/2)+((49+0.5)*(4*IF(circ_int,0,eq_c1/2)+4*IF(circ_int,0,eq_c2/2)+2*PI()*(s_0+0*s_r+IF(circ_int,eq_c1/2,0)))/INDEX(lk_legs,1)),IF(((49+0.5)*(4*IF(circ_int,0,eq_c1/2)+4*IF(circ_int,0,eq_c2/2)+2*PI()*(s_0+0*s_r+IF(circ_int,eq_c1/2,0)))/INDEX(lk_legs,1))&lt;((2*IF(circ_int,0,eq_c2/2))+(PI()*(s_0+0*s_r+IF(circ_int,eq_c1/2,0))/2)),IF(circ_int,0,eq_c2/2)+(s_0+0*s_r+IF(circ_int,eq_c1/2,0))*SIN((((49+0.5)*(4*IF(circ_int,0,eq_c1/2)+4*IF(circ_int,0,eq_c2/2)+2*PI()*(s_0+0*s_r+IF(circ_int,eq_c1/2,0)))/INDEX(lk_legs,1))-(2*IF(circ_int,0,eq_c2/2)))/(s_0+0*s_r+IF(circ_int,eq_c1/2,0))),IF(((49+0.5)*(4*IF(circ_int,0,eq_c1/2)+4*IF(circ_int,0,eq_c2/2)+2*PI()*(s_0+0*s_r+IF(circ_int,eq_c1/2,0)))/INDEX(lk_legs,1))&lt;(((2*IF(circ_int,0,eq_c2/2))+(PI()*(s_0+0*s_r+IF(circ_int,eq_c1/2,0))/2))+2*IF(circ_int,0,eq_c1/2)),IF(circ_int,0,eq_c2/2)+(s_0+0*s_r+IF(circ_int,eq_c1/2,0)),IF(((49+0.5)*(4*IF(circ_int,0,eq_c1/2)+4*IF(circ_int,0,eq_c2/2)+2*PI()*(s_0+0*s_r+IF(circ_int,eq_c1/2,0)))/INDEX(lk_legs,1))&lt;((((2*IF(circ_int,0,eq_c2/2))+(PI()*(s_0+0*s_r+IF(circ_int,eq_c1/2,0))/2))+2*IF(circ_int,0,eq_c1/2))+(PI()*(s_0+0*s_r+IF(circ_int,eq_c1/2,0))/2)),IF(circ_int,0,eq_c2/2)+(s_0+0*s_r+IF(circ_int,eq_c1/2,0))*SIN(PI()/2+(((49+0.5)*(4*IF(circ_int,0,eq_c1/2)+4*IF(circ_int,0,eq_c2/2)+2*PI()*(s_0+0*s_r+IF(circ_int,eq_c1/2,0)))/INDEX(lk_legs,1))-(((2*IF(circ_int,0,eq_c2/2))+(PI()*(s_0+0*s_r+IF(circ_int,eq_c1/2,0))/2))+2*IF(circ_int,0,eq_c1/2)))/(s_0+0*s_r+IF(circ_int,eq_c1/2,0))),IF(((49+0.5)*(4*IF(circ_int,0,eq_c1/2)+4*IF(circ_int,0,eq_c2/2)+2*PI()*(s_0+0*s_r+IF(circ_int,eq_c1/2,0)))/INDEX(lk_legs,1))&lt;(((((2*IF(circ_int,0,eq_c2/2))+(PI()*(s_0+0*s_r+IF(circ_int,eq_c1/2,0))/2))+2*IF(circ_int,0,eq_c1/2))+(PI()*(s_0+0*s_r+IF(circ_int,eq_c1/2,0))/2))+2*IF(circ_int,0,eq_c2/2)),IF(circ_int,0,eq_c2/2)-(((49+0.5)*(4*IF(circ_int,0,eq_c1/2)+4*IF(circ_int,0,eq_c2/2)+2*PI()*(s_0+0*s_r+IF(circ_int,eq_c1/2,0)))/INDEX(lk_legs,1))-((((2*IF(circ_int,0,eq_c2/2))+(PI()*(s_0+0*s_r+IF(circ_int,eq_c1/2,0))/2))+2*IF(circ_int,0,eq_c1/2))+(PI()*(s_0+0*s_r+IF(circ_int,eq_c1/2,0))/2))),IF(((49+0.5)*(4*IF(circ_int,0,eq_c1/2)+4*IF(circ_int,0,eq_c2/2)+2*PI()*(s_0+0*s_r+IF(circ_int,eq_c1/2,0)))/INDEX(lk_legs,1))&lt;((((((2*IF(circ_int,0,eq_c2/2))+(PI()*(s_0+0*s_r+IF(circ_int,eq_c1/2,0))/2))+2*IF(circ_int,0,eq_c1/2))+(PI()*(s_0+0*s_r+IF(circ_int,eq_c1/2,0))/2))+2*IF(circ_int,0,eq_c2/2))+(PI()*(s_0+0*s_r+IF(circ_int,eq_c1/2,0))/2)),-IF(circ_int,0,eq_c2/2)+(s_0+0*s_r+IF(circ_int,eq_c1/2,0))*SIN(PI()+(((49+0.5)*(4*IF(circ_int,0,eq_c1/2)+4*IF(circ_int,0,eq_c2/2)+2*PI()*(s_0+0*s_r+IF(circ_int,eq_c1/2,0)))/INDEX(lk_legs,1))-(((((2*IF(circ_int,0,eq_c2/2))+(PI()*(s_0+0*s_r+IF(circ_int,eq_c1/2,0))/2))+2*IF(circ_int,0,eq_c1/2))+(PI()*(s_0+0*s_r+IF(circ_int,eq_c1/2,0))/2))+2*IF(circ_int,0,eq_c2/2)))/(s_0+0*s_r+IF(circ_int,eq_c1/2,0))),IF(((49+0.5)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(49+0.5)*(4*IF(circ_int,0,eq_c1/2)+4*IF(circ_int,0,eq_c2/2)+2*PI()*(s_0+0*s_r+IF(circ_int,eq_c1/2,0)))/INDEX(lk_legs,1))-(((((((2*IF(circ_int,0,eq_c2/2))+(PI()*(s_0+0*s_r+IF(circ_int,eq_c1/2,0))/2))+2*IF(circ_int,0,eq_c1/2))+(PI()*(s_0+0*s_r+IF(circ_int,eq_c1/2,0))/2))+2*IF(circ_int,0,eq_c2/2))+(PI()*(s_0+0*s_r+IF(circ_int,eq_c1/2,0))/2))+2*IF(circ_int,0,eq_c1/2)))/(s_0+0*s_r+IF(circ_int,eq_c1/2,0)))))))))),NA())</f>
        <v/>
      </c>
      <c r="BC52">
        <f>IF(AND(links_on,2&lt;=n_per),IF(circ_int,(g_ox)+(c_1/2+(s_0+1*s_r))*0.935016,CHOOSE(INDEX(lk_kind,2),(g_ox+eq_c1/2)+((s_0+1*s_r))*0.965926,0,eq_a1+eq_c1+(s_0+1*s_r),eq_a1+eq_c1+(s_0+1*s_r))),NA())</f>
        <v/>
      </c>
      <c r="BD52">
        <f>IF(AND(links_on,2&lt;=n_per),IF(circ_int,(g_oy)+(c_1/2+(s_0+1*s_r))*-0.354605,CHOOSE(INDEX(lk_kind,2),(g_oy-eq_c2/2)+((s_0+1*s_r))*-0.258819,g_oy-eq_c2/2-(s_0+1*s_r),0,0)),NA())</f>
        <v/>
      </c>
      <c r="BF52">
        <f>IF(AND(AND(links_on,2&lt;=n_per),INDEX(lk_kind,2)=1,49&lt;INDEX(lk_legs,2)),g_ox+IF(((49+0.5)*(4*IF(circ_int,0,eq_c1/2)+4*IF(circ_int,0,eq_c2/2)+2*PI()*(s_0+1*s_r+IF(circ_int,eq_c1/2,0)))/INDEX(lk_legs,2))&lt;(2*IF(circ_int,0,eq_c2/2)),IF(circ_int,0,eq_c1/2)+(s_0+1*s_r+IF(circ_int,eq_c1/2,0)),IF(((49+0.5)*(4*IF(circ_int,0,eq_c1/2)+4*IF(circ_int,0,eq_c2/2)+2*PI()*(s_0+1*s_r+IF(circ_int,eq_c1/2,0)))/INDEX(lk_legs,2))&lt;((2*IF(circ_int,0,eq_c2/2))+(PI()*(s_0+1*s_r+IF(circ_int,eq_c1/2,0))/2)),IF(circ_int,0,eq_c1/2)+(s_0+1*s_r+IF(circ_int,eq_c1/2,0))*COS((((49+0.5)*(4*IF(circ_int,0,eq_c1/2)+4*IF(circ_int,0,eq_c2/2)+2*PI()*(s_0+1*s_r+IF(circ_int,eq_c1/2,0)))/INDEX(lk_legs,2))-(2*IF(circ_int,0,eq_c2/2)))/(s_0+1*s_r+IF(circ_int,eq_c1/2,0))),IF(((49+0.5)*(4*IF(circ_int,0,eq_c1/2)+4*IF(circ_int,0,eq_c2/2)+2*PI()*(s_0+1*s_r+IF(circ_int,eq_c1/2,0)))/INDEX(lk_legs,2))&lt;(((2*IF(circ_int,0,eq_c2/2))+(PI()*(s_0+1*s_r+IF(circ_int,eq_c1/2,0))/2))+2*IF(circ_int,0,eq_c1/2)),IF(circ_int,0,eq_c1/2)-(((49+0.5)*(4*IF(circ_int,0,eq_c1/2)+4*IF(circ_int,0,eq_c2/2)+2*PI()*(s_0+1*s_r+IF(circ_int,eq_c1/2,0)))/INDEX(lk_legs,2))-((2*IF(circ_int,0,eq_c2/2))+(PI()*(s_0+1*s_r+IF(circ_int,eq_c1/2,0))/2))),IF(((49+0.5)*(4*IF(circ_int,0,eq_c1/2)+4*IF(circ_int,0,eq_c2/2)+2*PI()*(s_0+1*s_r+IF(circ_int,eq_c1/2,0)))/INDEX(lk_legs,2))&lt;((((2*IF(circ_int,0,eq_c2/2))+(PI()*(s_0+1*s_r+IF(circ_int,eq_c1/2,0))/2))+2*IF(circ_int,0,eq_c1/2))+(PI()*(s_0+1*s_r+IF(circ_int,eq_c1/2,0))/2)),-IF(circ_int,0,eq_c1/2)+(s_0+1*s_r+IF(circ_int,eq_c1/2,0))*COS(PI()/2+(((49+0.5)*(4*IF(circ_int,0,eq_c1/2)+4*IF(circ_int,0,eq_c2/2)+2*PI()*(s_0+1*s_r+IF(circ_int,eq_c1/2,0)))/INDEX(lk_legs,2))-(((2*IF(circ_int,0,eq_c2/2))+(PI()*(s_0+1*s_r+IF(circ_int,eq_c1/2,0))/2))+2*IF(circ_int,0,eq_c1/2)))/(s_0+1*s_r+IF(circ_int,eq_c1/2,0))),IF(((49+0.5)*(4*IF(circ_int,0,eq_c1/2)+4*IF(circ_int,0,eq_c2/2)+2*PI()*(s_0+1*s_r+IF(circ_int,eq_c1/2,0)))/INDEX(lk_legs,2))&lt;(((((2*IF(circ_int,0,eq_c2/2))+(PI()*(s_0+1*s_r+IF(circ_int,eq_c1/2,0))/2))+2*IF(circ_int,0,eq_c1/2))+(PI()*(s_0+1*s_r+IF(circ_int,eq_c1/2,0))/2))+2*IF(circ_int,0,eq_c2/2)),-IF(circ_int,0,eq_c1/2)-(s_0+1*s_r+IF(circ_int,eq_c1/2,0)),IF(((49+0.5)*(4*IF(circ_int,0,eq_c1/2)+4*IF(circ_int,0,eq_c2/2)+2*PI()*(s_0+1*s_r+IF(circ_int,eq_c1/2,0)))/INDEX(lk_legs,2))&lt;((((((2*IF(circ_int,0,eq_c2/2))+(PI()*(s_0+1*s_r+IF(circ_int,eq_c1/2,0))/2))+2*IF(circ_int,0,eq_c1/2))+(PI()*(s_0+1*s_r+IF(circ_int,eq_c1/2,0))/2))+2*IF(circ_int,0,eq_c2/2))+(PI()*(s_0+1*s_r+IF(circ_int,eq_c1/2,0))/2)),-IF(circ_int,0,eq_c1/2)+(s_0+1*s_r+IF(circ_int,eq_c1/2,0))*COS(PI()+(((49+0.5)*(4*IF(circ_int,0,eq_c1/2)+4*IF(circ_int,0,eq_c2/2)+2*PI()*(s_0+1*s_r+IF(circ_int,eq_c1/2,0)))/INDEX(lk_legs,2))-(((((2*IF(circ_int,0,eq_c2/2))+(PI()*(s_0+1*s_r+IF(circ_int,eq_c1/2,0))/2))+2*IF(circ_int,0,eq_c1/2))+(PI()*(s_0+1*s_r+IF(circ_int,eq_c1/2,0))/2))+2*IF(circ_int,0,eq_c2/2)))/(s_0+1*s_r+IF(circ_int,eq_c1/2,0))),IF(((49+0.5)*(4*IF(circ_int,0,eq_c1/2)+4*IF(circ_int,0,eq_c2/2)+2*PI()*(s_0+1*s_r+IF(circ_int,eq_c1/2,0)))/INDEX(lk_legs,2))&lt;(((((((2*IF(circ_int,0,eq_c2/2))+(PI()*(s_0+1*s_r+IF(circ_int,eq_c1/2,0))/2))+2*IF(circ_int,0,eq_c1/2))+(PI()*(s_0+1*s_r+IF(circ_int,eq_c1/2,0))/2))+2*IF(circ_int,0,eq_c2/2))+(PI()*(s_0+1*s_r+IF(circ_int,eq_c1/2,0))/2))+2*IF(circ_int,0,eq_c1/2)),-IF(circ_int,0,eq_c1/2)+(((49+0.5)*(4*IF(circ_int,0,eq_c1/2)+4*IF(circ_int,0,eq_c2/2)+2*PI()*(s_0+1*s_r+IF(circ_int,eq_c1/2,0)))/INDEX(lk_legs,2))-((((((2*IF(circ_int,0,eq_c2/2))+(PI()*(s_0+1*s_r+IF(circ_int,eq_c1/2,0))/2))+2*IF(circ_int,0,eq_c1/2))+(PI()*(s_0+1*s_r+IF(circ_int,eq_c1/2,0))/2))+2*IF(circ_int,0,eq_c2/2))+(PI()*(s_0+1*s_r+IF(circ_int,eq_c1/2,0))/2))),IF(circ_int,0,eq_c1/2)+(s_0+1*s_r+IF(circ_int,eq_c1/2,0))*COS(3*PI()/2+(((49+0.5)*(4*IF(circ_int,0,eq_c1/2)+4*IF(circ_int,0,eq_c2/2)+2*PI()*(s_0+1*s_r+IF(circ_int,eq_c1/2,0)))/INDEX(lk_legs,2))-(((((((2*IF(circ_int,0,eq_c2/2))+(PI()*(s_0+1*s_r+IF(circ_int,eq_c1/2,0))/2))+2*IF(circ_int,0,eq_c1/2))+(PI()*(s_0+1*s_r+IF(circ_int,eq_c1/2,0))/2))+2*IF(circ_int,0,eq_c2/2))+(PI()*(s_0+1*s_r+IF(circ_int,eq_c1/2,0))/2))+2*IF(circ_int,0,eq_c1/2)))/(s_0+1*s_r+IF(circ_int,eq_c1/2,0)))))))))),NA())</f>
        <v/>
      </c>
      <c r="BG52">
        <f>IF(AND(AND(links_on,2&lt;=n_per),INDEX(lk_kind,2)=1,49&lt;INDEX(lk_legs,2)),g_oy+IF(((49+0.5)*(4*IF(circ_int,0,eq_c1/2)+4*IF(circ_int,0,eq_c2/2)+2*PI()*(s_0+1*s_r+IF(circ_int,eq_c1/2,0)))/INDEX(lk_legs,2))&lt;(2*IF(circ_int,0,eq_c2/2)),-IF(circ_int,0,eq_c2/2)+((49+0.5)*(4*IF(circ_int,0,eq_c1/2)+4*IF(circ_int,0,eq_c2/2)+2*PI()*(s_0+1*s_r+IF(circ_int,eq_c1/2,0)))/INDEX(lk_legs,2)),IF(((49+0.5)*(4*IF(circ_int,0,eq_c1/2)+4*IF(circ_int,0,eq_c2/2)+2*PI()*(s_0+1*s_r+IF(circ_int,eq_c1/2,0)))/INDEX(lk_legs,2))&lt;((2*IF(circ_int,0,eq_c2/2))+(PI()*(s_0+1*s_r+IF(circ_int,eq_c1/2,0))/2)),IF(circ_int,0,eq_c2/2)+(s_0+1*s_r+IF(circ_int,eq_c1/2,0))*SIN((((49+0.5)*(4*IF(circ_int,0,eq_c1/2)+4*IF(circ_int,0,eq_c2/2)+2*PI()*(s_0+1*s_r+IF(circ_int,eq_c1/2,0)))/INDEX(lk_legs,2))-(2*IF(circ_int,0,eq_c2/2)))/(s_0+1*s_r+IF(circ_int,eq_c1/2,0))),IF(((49+0.5)*(4*IF(circ_int,0,eq_c1/2)+4*IF(circ_int,0,eq_c2/2)+2*PI()*(s_0+1*s_r+IF(circ_int,eq_c1/2,0)))/INDEX(lk_legs,2))&lt;(((2*IF(circ_int,0,eq_c2/2))+(PI()*(s_0+1*s_r+IF(circ_int,eq_c1/2,0))/2))+2*IF(circ_int,0,eq_c1/2)),IF(circ_int,0,eq_c2/2)+(s_0+1*s_r+IF(circ_int,eq_c1/2,0)),IF(((49+0.5)*(4*IF(circ_int,0,eq_c1/2)+4*IF(circ_int,0,eq_c2/2)+2*PI()*(s_0+1*s_r+IF(circ_int,eq_c1/2,0)))/INDEX(lk_legs,2))&lt;((((2*IF(circ_int,0,eq_c2/2))+(PI()*(s_0+1*s_r+IF(circ_int,eq_c1/2,0))/2))+2*IF(circ_int,0,eq_c1/2))+(PI()*(s_0+1*s_r+IF(circ_int,eq_c1/2,0))/2)),IF(circ_int,0,eq_c2/2)+(s_0+1*s_r+IF(circ_int,eq_c1/2,0))*SIN(PI()/2+(((49+0.5)*(4*IF(circ_int,0,eq_c1/2)+4*IF(circ_int,0,eq_c2/2)+2*PI()*(s_0+1*s_r+IF(circ_int,eq_c1/2,0)))/INDEX(lk_legs,2))-(((2*IF(circ_int,0,eq_c2/2))+(PI()*(s_0+1*s_r+IF(circ_int,eq_c1/2,0))/2))+2*IF(circ_int,0,eq_c1/2)))/(s_0+1*s_r+IF(circ_int,eq_c1/2,0))),IF(((49+0.5)*(4*IF(circ_int,0,eq_c1/2)+4*IF(circ_int,0,eq_c2/2)+2*PI()*(s_0+1*s_r+IF(circ_int,eq_c1/2,0)))/INDEX(lk_legs,2))&lt;(((((2*IF(circ_int,0,eq_c2/2))+(PI()*(s_0+1*s_r+IF(circ_int,eq_c1/2,0))/2))+2*IF(circ_int,0,eq_c1/2))+(PI()*(s_0+1*s_r+IF(circ_int,eq_c1/2,0))/2))+2*IF(circ_int,0,eq_c2/2)),IF(circ_int,0,eq_c2/2)-(((49+0.5)*(4*IF(circ_int,0,eq_c1/2)+4*IF(circ_int,0,eq_c2/2)+2*PI()*(s_0+1*s_r+IF(circ_int,eq_c1/2,0)))/INDEX(lk_legs,2))-((((2*IF(circ_int,0,eq_c2/2))+(PI()*(s_0+1*s_r+IF(circ_int,eq_c1/2,0))/2))+2*IF(circ_int,0,eq_c1/2))+(PI()*(s_0+1*s_r+IF(circ_int,eq_c1/2,0))/2))),IF(((49+0.5)*(4*IF(circ_int,0,eq_c1/2)+4*IF(circ_int,0,eq_c2/2)+2*PI()*(s_0+1*s_r+IF(circ_int,eq_c1/2,0)))/INDEX(lk_legs,2))&lt;((((((2*IF(circ_int,0,eq_c2/2))+(PI()*(s_0+1*s_r+IF(circ_int,eq_c1/2,0))/2))+2*IF(circ_int,0,eq_c1/2))+(PI()*(s_0+1*s_r+IF(circ_int,eq_c1/2,0))/2))+2*IF(circ_int,0,eq_c2/2))+(PI()*(s_0+1*s_r+IF(circ_int,eq_c1/2,0))/2)),-IF(circ_int,0,eq_c2/2)+(s_0+1*s_r+IF(circ_int,eq_c1/2,0))*SIN(PI()+(((49+0.5)*(4*IF(circ_int,0,eq_c1/2)+4*IF(circ_int,0,eq_c2/2)+2*PI()*(s_0+1*s_r+IF(circ_int,eq_c1/2,0)))/INDEX(lk_legs,2))-(((((2*IF(circ_int,0,eq_c2/2))+(PI()*(s_0+1*s_r+IF(circ_int,eq_c1/2,0))/2))+2*IF(circ_int,0,eq_c1/2))+(PI()*(s_0+1*s_r+IF(circ_int,eq_c1/2,0))/2))+2*IF(circ_int,0,eq_c2/2)))/(s_0+1*s_r+IF(circ_int,eq_c1/2,0))),IF(((49+0.5)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(49+0.5)*(4*IF(circ_int,0,eq_c1/2)+4*IF(circ_int,0,eq_c2/2)+2*PI()*(s_0+1*s_r+IF(circ_int,eq_c1/2,0)))/INDEX(lk_legs,2))-(((((((2*IF(circ_int,0,eq_c2/2))+(PI()*(s_0+1*s_r+IF(circ_int,eq_c1/2,0))/2))+2*IF(circ_int,0,eq_c1/2))+(PI()*(s_0+1*s_r+IF(circ_int,eq_c1/2,0))/2))+2*IF(circ_int,0,eq_c2/2))+(PI()*(s_0+1*s_r+IF(circ_int,eq_c1/2,0))/2))+2*IF(circ_int,0,eq_c1/2)))/(s_0+1*s_r+IF(circ_int,eq_c1/2,0)))))))))),NA())</f>
        <v/>
      </c>
      <c r="BI52">
        <f>IF(AND(links_on,3&lt;=n_per),IF(circ_int,(g_ox)+(c_1/2+(s_0+2*s_r))*0.935016,CHOOSE(INDEX(lk_kind,3),(g_ox+eq_c1/2)+((s_0+2*s_r))*0.965926,0,eq_a1+eq_c1+(s_0+2*s_r),eq_a1+eq_c1+(s_0+2*s_r))),NA())</f>
        <v/>
      </c>
      <c r="BJ52">
        <f>IF(AND(links_on,3&lt;=n_per),IF(circ_int,(g_oy)+(c_1/2+(s_0+2*s_r))*-0.354605,CHOOSE(INDEX(lk_kind,3),(g_oy-eq_c2/2)+((s_0+2*s_r))*-0.258819,g_oy-eq_c2/2-(s_0+2*s_r),0,0)),NA())</f>
        <v/>
      </c>
      <c r="BL52">
        <f>IF(AND(AND(links_on,3&lt;=n_per),INDEX(lk_kind,3)=1,49&lt;INDEX(lk_legs,3)),g_ox+IF(((49+0.5)*(4*IF(circ_int,0,eq_c1/2)+4*IF(circ_int,0,eq_c2/2)+2*PI()*(s_0+2*s_r+IF(circ_int,eq_c1/2,0)))/INDEX(lk_legs,3))&lt;(2*IF(circ_int,0,eq_c2/2)),IF(circ_int,0,eq_c1/2)+(s_0+2*s_r+IF(circ_int,eq_c1/2,0)),IF(((49+0.5)*(4*IF(circ_int,0,eq_c1/2)+4*IF(circ_int,0,eq_c2/2)+2*PI()*(s_0+2*s_r+IF(circ_int,eq_c1/2,0)))/INDEX(lk_legs,3))&lt;((2*IF(circ_int,0,eq_c2/2))+(PI()*(s_0+2*s_r+IF(circ_int,eq_c1/2,0))/2)),IF(circ_int,0,eq_c1/2)+(s_0+2*s_r+IF(circ_int,eq_c1/2,0))*COS((((49+0.5)*(4*IF(circ_int,0,eq_c1/2)+4*IF(circ_int,0,eq_c2/2)+2*PI()*(s_0+2*s_r+IF(circ_int,eq_c1/2,0)))/INDEX(lk_legs,3))-(2*IF(circ_int,0,eq_c2/2)))/(s_0+2*s_r+IF(circ_int,eq_c1/2,0))),IF(((49+0.5)*(4*IF(circ_int,0,eq_c1/2)+4*IF(circ_int,0,eq_c2/2)+2*PI()*(s_0+2*s_r+IF(circ_int,eq_c1/2,0)))/INDEX(lk_legs,3))&lt;(((2*IF(circ_int,0,eq_c2/2))+(PI()*(s_0+2*s_r+IF(circ_int,eq_c1/2,0))/2))+2*IF(circ_int,0,eq_c1/2)),IF(circ_int,0,eq_c1/2)-(((49+0.5)*(4*IF(circ_int,0,eq_c1/2)+4*IF(circ_int,0,eq_c2/2)+2*PI()*(s_0+2*s_r+IF(circ_int,eq_c1/2,0)))/INDEX(lk_legs,3))-((2*IF(circ_int,0,eq_c2/2))+(PI()*(s_0+2*s_r+IF(circ_int,eq_c1/2,0))/2))),IF(((49+0.5)*(4*IF(circ_int,0,eq_c1/2)+4*IF(circ_int,0,eq_c2/2)+2*PI()*(s_0+2*s_r+IF(circ_int,eq_c1/2,0)))/INDEX(lk_legs,3))&lt;((((2*IF(circ_int,0,eq_c2/2))+(PI()*(s_0+2*s_r+IF(circ_int,eq_c1/2,0))/2))+2*IF(circ_int,0,eq_c1/2))+(PI()*(s_0+2*s_r+IF(circ_int,eq_c1/2,0))/2)),-IF(circ_int,0,eq_c1/2)+(s_0+2*s_r+IF(circ_int,eq_c1/2,0))*COS(PI()/2+(((49+0.5)*(4*IF(circ_int,0,eq_c1/2)+4*IF(circ_int,0,eq_c2/2)+2*PI()*(s_0+2*s_r+IF(circ_int,eq_c1/2,0)))/INDEX(lk_legs,3))-(((2*IF(circ_int,0,eq_c2/2))+(PI()*(s_0+2*s_r+IF(circ_int,eq_c1/2,0))/2))+2*IF(circ_int,0,eq_c1/2)))/(s_0+2*s_r+IF(circ_int,eq_c1/2,0))),IF(((49+0.5)*(4*IF(circ_int,0,eq_c1/2)+4*IF(circ_int,0,eq_c2/2)+2*PI()*(s_0+2*s_r+IF(circ_int,eq_c1/2,0)))/INDEX(lk_legs,3))&lt;(((((2*IF(circ_int,0,eq_c2/2))+(PI()*(s_0+2*s_r+IF(circ_int,eq_c1/2,0))/2))+2*IF(circ_int,0,eq_c1/2))+(PI()*(s_0+2*s_r+IF(circ_int,eq_c1/2,0))/2))+2*IF(circ_int,0,eq_c2/2)),-IF(circ_int,0,eq_c1/2)-(s_0+2*s_r+IF(circ_int,eq_c1/2,0)),IF(((49+0.5)*(4*IF(circ_int,0,eq_c1/2)+4*IF(circ_int,0,eq_c2/2)+2*PI()*(s_0+2*s_r+IF(circ_int,eq_c1/2,0)))/INDEX(lk_legs,3))&lt;((((((2*IF(circ_int,0,eq_c2/2))+(PI()*(s_0+2*s_r+IF(circ_int,eq_c1/2,0))/2))+2*IF(circ_int,0,eq_c1/2))+(PI()*(s_0+2*s_r+IF(circ_int,eq_c1/2,0))/2))+2*IF(circ_int,0,eq_c2/2))+(PI()*(s_0+2*s_r+IF(circ_int,eq_c1/2,0))/2)),-IF(circ_int,0,eq_c1/2)+(s_0+2*s_r+IF(circ_int,eq_c1/2,0))*COS(PI()+(((49+0.5)*(4*IF(circ_int,0,eq_c1/2)+4*IF(circ_int,0,eq_c2/2)+2*PI()*(s_0+2*s_r+IF(circ_int,eq_c1/2,0)))/INDEX(lk_legs,3))-(((((2*IF(circ_int,0,eq_c2/2))+(PI()*(s_0+2*s_r+IF(circ_int,eq_c1/2,0))/2))+2*IF(circ_int,0,eq_c1/2))+(PI()*(s_0+2*s_r+IF(circ_int,eq_c1/2,0))/2))+2*IF(circ_int,0,eq_c2/2)))/(s_0+2*s_r+IF(circ_int,eq_c1/2,0))),IF(((49+0.5)*(4*IF(circ_int,0,eq_c1/2)+4*IF(circ_int,0,eq_c2/2)+2*PI()*(s_0+2*s_r+IF(circ_int,eq_c1/2,0)))/INDEX(lk_legs,3))&lt;(((((((2*IF(circ_int,0,eq_c2/2))+(PI()*(s_0+2*s_r+IF(circ_int,eq_c1/2,0))/2))+2*IF(circ_int,0,eq_c1/2))+(PI()*(s_0+2*s_r+IF(circ_int,eq_c1/2,0))/2))+2*IF(circ_int,0,eq_c2/2))+(PI()*(s_0+2*s_r+IF(circ_int,eq_c1/2,0))/2))+2*IF(circ_int,0,eq_c1/2)),-IF(circ_int,0,eq_c1/2)+(((49+0.5)*(4*IF(circ_int,0,eq_c1/2)+4*IF(circ_int,0,eq_c2/2)+2*PI()*(s_0+2*s_r+IF(circ_int,eq_c1/2,0)))/INDEX(lk_legs,3))-((((((2*IF(circ_int,0,eq_c2/2))+(PI()*(s_0+2*s_r+IF(circ_int,eq_c1/2,0))/2))+2*IF(circ_int,0,eq_c1/2))+(PI()*(s_0+2*s_r+IF(circ_int,eq_c1/2,0))/2))+2*IF(circ_int,0,eq_c2/2))+(PI()*(s_0+2*s_r+IF(circ_int,eq_c1/2,0))/2))),IF(circ_int,0,eq_c1/2)+(s_0+2*s_r+IF(circ_int,eq_c1/2,0))*COS(3*PI()/2+(((49+0.5)*(4*IF(circ_int,0,eq_c1/2)+4*IF(circ_int,0,eq_c2/2)+2*PI()*(s_0+2*s_r+IF(circ_int,eq_c1/2,0)))/INDEX(lk_legs,3))-(((((((2*IF(circ_int,0,eq_c2/2))+(PI()*(s_0+2*s_r+IF(circ_int,eq_c1/2,0))/2))+2*IF(circ_int,0,eq_c1/2))+(PI()*(s_0+2*s_r+IF(circ_int,eq_c1/2,0))/2))+2*IF(circ_int,0,eq_c2/2))+(PI()*(s_0+2*s_r+IF(circ_int,eq_c1/2,0))/2))+2*IF(circ_int,0,eq_c1/2)))/(s_0+2*s_r+IF(circ_int,eq_c1/2,0)))))))))),NA())</f>
        <v/>
      </c>
      <c r="BM52">
        <f>IF(AND(AND(links_on,3&lt;=n_per),INDEX(lk_kind,3)=1,49&lt;INDEX(lk_legs,3)),g_oy+IF(((49+0.5)*(4*IF(circ_int,0,eq_c1/2)+4*IF(circ_int,0,eq_c2/2)+2*PI()*(s_0+2*s_r+IF(circ_int,eq_c1/2,0)))/INDEX(lk_legs,3))&lt;(2*IF(circ_int,0,eq_c2/2)),-IF(circ_int,0,eq_c2/2)+((49+0.5)*(4*IF(circ_int,0,eq_c1/2)+4*IF(circ_int,0,eq_c2/2)+2*PI()*(s_0+2*s_r+IF(circ_int,eq_c1/2,0)))/INDEX(lk_legs,3)),IF(((49+0.5)*(4*IF(circ_int,0,eq_c1/2)+4*IF(circ_int,0,eq_c2/2)+2*PI()*(s_0+2*s_r+IF(circ_int,eq_c1/2,0)))/INDEX(lk_legs,3))&lt;((2*IF(circ_int,0,eq_c2/2))+(PI()*(s_0+2*s_r+IF(circ_int,eq_c1/2,0))/2)),IF(circ_int,0,eq_c2/2)+(s_0+2*s_r+IF(circ_int,eq_c1/2,0))*SIN((((49+0.5)*(4*IF(circ_int,0,eq_c1/2)+4*IF(circ_int,0,eq_c2/2)+2*PI()*(s_0+2*s_r+IF(circ_int,eq_c1/2,0)))/INDEX(lk_legs,3))-(2*IF(circ_int,0,eq_c2/2)))/(s_0+2*s_r+IF(circ_int,eq_c1/2,0))),IF(((49+0.5)*(4*IF(circ_int,0,eq_c1/2)+4*IF(circ_int,0,eq_c2/2)+2*PI()*(s_0+2*s_r+IF(circ_int,eq_c1/2,0)))/INDEX(lk_legs,3))&lt;(((2*IF(circ_int,0,eq_c2/2))+(PI()*(s_0+2*s_r+IF(circ_int,eq_c1/2,0))/2))+2*IF(circ_int,0,eq_c1/2)),IF(circ_int,0,eq_c2/2)+(s_0+2*s_r+IF(circ_int,eq_c1/2,0)),IF(((49+0.5)*(4*IF(circ_int,0,eq_c1/2)+4*IF(circ_int,0,eq_c2/2)+2*PI()*(s_0+2*s_r+IF(circ_int,eq_c1/2,0)))/INDEX(lk_legs,3))&lt;((((2*IF(circ_int,0,eq_c2/2))+(PI()*(s_0+2*s_r+IF(circ_int,eq_c1/2,0))/2))+2*IF(circ_int,0,eq_c1/2))+(PI()*(s_0+2*s_r+IF(circ_int,eq_c1/2,0))/2)),IF(circ_int,0,eq_c2/2)+(s_0+2*s_r+IF(circ_int,eq_c1/2,0))*SIN(PI()/2+(((49+0.5)*(4*IF(circ_int,0,eq_c1/2)+4*IF(circ_int,0,eq_c2/2)+2*PI()*(s_0+2*s_r+IF(circ_int,eq_c1/2,0)))/INDEX(lk_legs,3))-(((2*IF(circ_int,0,eq_c2/2))+(PI()*(s_0+2*s_r+IF(circ_int,eq_c1/2,0))/2))+2*IF(circ_int,0,eq_c1/2)))/(s_0+2*s_r+IF(circ_int,eq_c1/2,0))),IF(((49+0.5)*(4*IF(circ_int,0,eq_c1/2)+4*IF(circ_int,0,eq_c2/2)+2*PI()*(s_0+2*s_r+IF(circ_int,eq_c1/2,0)))/INDEX(lk_legs,3))&lt;(((((2*IF(circ_int,0,eq_c2/2))+(PI()*(s_0+2*s_r+IF(circ_int,eq_c1/2,0))/2))+2*IF(circ_int,0,eq_c1/2))+(PI()*(s_0+2*s_r+IF(circ_int,eq_c1/2,0))/2))+2*IF(circ_int,0,eq_c2/2)),IF(circ_int,0,eq_c2/2)-(((49+0.5)*(4*IF(circ_int,0,eq_c1/2)+4*IF(circ_int,0,eq_c2/2)+2*PI()*(s_0+2*s_r+IF(circ_int,eq_c1/2,0)))/INDEX(lk_legs,3))-((((2*IF(circ_int,0,eq_c2/2))+(PI()*(s_0+2*s_r+IF(circ_int,eq_c1/2,0))/2))+2*IF(circ_int,0,eq_c1/2))+(PI()*(s_0+2*s_r+IF(circ_int,eq_c1/2,0))/2))),IF(((49+0.5)*(4*IF(circ_int,0,eq_c1/2)+4*IF(circ_int,0,eq_c2/2)+2*PI()*(s_0+2*s_r+IF(circ_int,eq_c1/2,0)))/INDEX(lk_legs,3))&lt;((((((2*IF(circ_int,0,eq_c2/2))+(PI()*(s_0+2*s_r+IF(circ_int,eq_c1/2,0))/2))+2*IF(circ_int,0,eq_c1/2))+(PI()*(s_0+2*s_r+IF(circ_int,eq_c1/2,0))/2))+2*IF(circ_int,0,eq_c2/2))+(PI()*(s_0+2*s_r+IF(circ_int,eq_c1/2,0))/2)),-IF(circ_int,0,eq_c2/2)+(s_0+2*s_r+IF(circ_int,eq_c1/2,0))*SIN(PI()+(((49+0.5)*(4*IF(circ_int,0,eq_c1/2)+4*IF(circ_int,0,eq_c2/2)+2*PI()*(s_0+2*s_r+IF(circ_int,eq_c1/2,0)))/INDEX(lk_legs,3))-(((((2*IF(circ_int,0,eq_c2/2))+(PI()*(s_0+2*s_r+IF(circ_int,eq_c1/2,0))/2))+2*IF(circ_int,0,eq_c1/2))+(PI()*(s_0+2*s_r+IF(circ_int,eq_c1/2,0))/2))+2*IF(circ_int,0,eq_c2/2)))/(s_0+2*s_r+IF(circ_int,eq_c1/2,0))),IF(((49+0.5)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(49+0.5)*(4*IF(circ_int,0,eq_c1/2)+4*IF(circ_int,0,eq_c2/2)+2*PI()*(s_0+2*s_r+IF(circ_int,eq_c1/2,0)))/INDEX(lk_legs,3))-(((((((2*IF(circ_int,0,eq_c2/2))+(PI()*(s_0+2*s_r+IF(circ_int,eq_c1/2,0))/2))+2*IF(circ_int,0,eq_c1/2))+(PI()*(s_0+2*s_r+IF(circ_int,eq_c1/2,0))/2))+2*IF(circ_int,0,eq_c2/2))+(PI()*(s_0+2*s_r+IF(circ_int,eq_c1/2,0))/2))+2*IF(circ_int,0,eq_c1/2)))/(s_0+2*s_r+IF(circ_int,eq_c1/2,0)))))))))),NA())</f>
        <v/>
      </c>
      <c r="BO52">
        <f>IF(AND(links_on,4&lt;=n_per),IF(circ_int,(g_ox)+(c_1/2+(s_0+3*s_r))*0.935016,CHOOSE(INDEX(lk_kind,4),(g_ox+eq_c1/2)+((s_0+3*s_r))*0.965926,0,eq_a1+eq_c1+(s_0+3*s_r),eq_a1+eq_c1+(s_0+3*s_r))),NA())</f>
        <v/>
      </c>
      <c r="BP52">
        <f>IF(AND(links_on,4&lt;=n_per),IF(circ_int,(g_oy)+(c_1/2+(s_0+3*s_r))*-0.354605,CHOOSE(INDEX(lk_kind,4),(g_oy-eq_c2/2)+((s_0+3*s_r))*-0.258819,g_oy-eq_c2/2-(s_0+3*s_r),0,0)),NA())</f>
        <v/>
      </c>
      <c r="BR52">
        <f>IF(AND(AND(links_on,4&lt;=n_per),INDEX(lk_kind,4)=1,49&lt;INDEX(lk_legs,4)),g_ox+IF(((49+0.5)*(4*IF(circ_int,0,eq_c1/2)+4*IF(circ_int,0,eq_c2/2)+2*PI()*(s_0+3*s_r+IF(circ_int,eq_c1/2,0)))/INDEX(lk_legs,4))&lt;(2*IF(circ_int,0,eq_c2/2)),IF(circ_int,0,eq_c1/2)+(s_0+3*s_r+IF(circ_int,eq_c1/2,0)),IF(((49+0.5)*(4*IF(circ_int,0,eq_c1/2)+4*IF(circ_int,0,eq_c2/2)+2*PI()*(s_0+3*s_r+IF(circ_int,eq_c1/2,0)))/INDEX(lk_legs,4))&lt;((2*IF(circ_int,0,eq_c2/2))+(PI()*(s_0+3*s_r+IF(circ_int,eq_c1/2,0))/2)),IF(circ_int,0,eq_c1/2)+(s_0+3*s_r+IF(circ_int,eq_c1/2,0))*COS((((49+0.5)*(4*IF(circ_int,0,eq_c1/2)+4*IF(circ_int,0,eq_c2/2)+2*PI()*(s_0+3*s_r+IF(circ_int,eq_c1/2,0)))/INDEX(lk_legs,4))-(2*IF(circ_int,0,eq_c2/2)))/(s_0+3*s_r+IF(circ_int,eq_c1/2,0))),IF(((49+0.5)*(4*IF(circ_int,0,eq_c1/2)+4*IF(circ_int,0,eq_c2/2)+2*PI()*(s_0+3*s_r+IF(circ_int,eq_c1/2,0)))/INDEX(lk_legs,4))&lt;(((2*IF(circ_int,0,eq_c2/2))+(PI()*(s_0+3*s_r+IF(circ_int,eq_c1/2,0))/2))+2*IF(circ_int,0,eq_c1/2)),IF(circ_int,0,eq_c1/2)-(((49+0.5)*(4*IF(circ_int,0,eq_c1/2)+4*IF(circ_int,0,eq_c2/2)+2*PI()*(s_0+3*s_r+IF(circ_int,eq_c1/2,0)))/INDEX(lk_legs,4))-((2*IF(circ_int,0,eq_c2/2))+(PI()*(s_0+3*s_r+IF(circ_int,eq_c1/2,0))/2))),IF(((49+0.5)*(4*IF(circ_int,0,eq_c1/2)+4*IF(circ_int,0,eq_c2/2)+2*PI()*(s_0+3*s_r+IF(circ_int,eq_c1/2,0)))/INDEX(lk_legs,4))&lt;((((2*IF(circ_int,0,eq_c2/2))+(PI()*(s_0+3*s_r+IF(circ_int,eq_c1/2,0))/2))+2*IF(circ_int,0,eq_c1/2))+(PI()*(s_0+3*s_r+IF(circ_int,eq_c1/2,0))/2)),-IF(circ_int,0,eq_c1/2)+(s_0+3*s_r+IF(circ_int,eq_c1/2,0))*COS(PI()/2+(((49+0.5)*(4*IF(circ_int,0,eq_c1/2)+4*IF(circ_int,0,eq_c2/2)+2*PI()*(s_0+3*s_r+IF(circ_int,eq_c1/2,0)))/INDEX(lk_legs,4))-(((2*IF(circ_int,0,eq_c2/2))+(PI()*(s_0+3*s_r+IF(circ_int,eq_c1/2,0))/2))+2*IF(circ_int,0,eq_c1/2)))/(s_0+3*s_r+IF(circ_int,eq_c1/2,0))),IF(((49+0.5)*(4*IF(circ_int,0,eq_c1/2)+4*IF(circ_int,0,eq_c2/2)+2*PI()*(s_0+3*s_r+IF(circ_int,eq_c1/2,0)))/INDEX(lk_legs,4))&lt;(((((2*IF(circ_int,0,eq_c2/2))+(PI()*(s_0+3*s_r+IF(circ_int,eq_c1/2,0))/2))+2*IF(circ_int,0,eq_c1/2))+(PI()*(s_0+3*s_r+IF(circ_int,eq_c1/2,0))/2))+2*IF(circ_int,0,eq_c2/2)),-IF(circ_int,0,eq_c1/2)-(s_0+3*s_r+IF(circ_int,eq_c1/2,0)),IF(((49+0.5)*(4*IF(circ_int,0,eq_c1/2)+4*IF(circ_int,0,eq_c2/2)+2*PI()*(s_0+3*s_r+IF(circ_int,eq_c1/2,0)))/INDEX(lk_legs,4))&lt;((((((2*IF(circ_int,0,eq_c2/2))+(PI()*(s_0+3*s_r+IF(circ_int,eq_c1/2,0))/2))+2*IF(circ_int,0,eq_c1/2))+(PI()*(s_0+3*s_r+IF(circ_int,eq_c1/2,0))/2))+2*IF(circ_int,0,eq_c2/2))+(PI()*(s_0+3*s_r+IF(circ_int,eq_c1/2,0))/2)),-IF(circ_int,0,eq_c1/2)+(s_0+3*s_r+IF(circ_int,eq_c1/2,0))*COS(PI()+(((49+0.5)*(4*IF(circ_int,0,eq_c1/2)+4*IF(circ_int,0,eq_c2/2)+2*PI()*(s_0+3*s_r+IF(circ_int,eq_c1/2,0)))/INDEX(lk_legs,4))-(((((2*IF(circ_int,0,eq_c2/2))+(PI()*(s_0+3*s_r+IF(circ_int,eq_c1/2,0))/2))+2*IF(circ_int,0,eq_c1/2))+(PI()*(s_0+3*s_r+IF(circ_int,eq_c1/2,0))/2))+2*IF(circ_int,0,eq_c2/2)))/(s_0+3*s_r+IF(circ_int,eq_c1/2,0))),IF(((49+0.5)*(4*IF(circ_int,0,eq_c1/2)+4*IF(circ_int,0,eq_c2/2)+2*PI()*(s_0+3*s_r+IF(circ_int,eq_c1/2,0)))/INDEX(lk_legs,4))&lt;(((((((2*IF(circ_int,0,eq_c2/2))+(PI()*(s_0+3*s_r+IF(circ_int,eq_c1/2,0))/2))+2*IF(circ_int,0,eq_c1/2))+(PI()*(s_0+3*s_r+IF(circ_int,eq_c1/2,0))/2))+2*IF(circ_int,0,eq_c2/2))+(PI()*(s_0+3*s_r+IF(circ_int,eq_c1/2,0))/2))+2*IF(circ_int,0,eq_c1/2)),-IF(circ_int,0,eq_c1/2)+(((49+0.5)*(4*IF(circ_int,0,eq_c1/2)+4*IF(circ_int,0,eq_c2/2)+2*PI()*(s_0+3*s_r+IF(circ_int,eq_c1/2,0)))/INDEX(lk_legs,4))-((((((2*IF(circ_int,0,eq_c2/2))+(PI()*(s_0+3*s_r+IF(circ_int,eq_c1/2,0))/2))+2*IF(circ_int,0,eq_c1/2))+(PI()*(s_0+3*s_r+IF(circ_int,eq_c1/2,0))/2))+2*IF(circ_int,0,eq_c2/2))+(PI()*(s_0+3*s_r+IF(circ_int,eq_c1/2,0))/2))),IF(circ_int,0,eq_c1/2)+(s_0+3*s_r+IF(circ_int,eq_c1/2,0))*COS(3*PI()/2+(((49+0.5)*(4*IF(circ_int,0,eq_c1/2)+4*IF(circ_int,0,eq_c2/2)+2*PI()*(s_0+3*s_r+IF(circ_int,eq_c1/2,0)))/INDEX(lk_legs,4))-(((((((2*IF(circ_int,0,eq_c2/2))+(PI()*(s_0+3*s_r+IF(circ_int,eq_c1/2,0))/2))+2*IF(circ_int,0,eq_c1/2))+(PI()*(s_0+3*s_r+IF(circ_int,eq_c1/2,0))/2))+2*IF(circ_int,0,eq_c2/2))+(PI()*(s_0+3*s_r+IF(circ_int,eq_c1/2,0))/2))+2*IF(circ_int,0,eq_c1/2)))/(s_0+3*s_r+IF(circ_int,eq_c1/2,0)))))))))),NA())</f>
        <v/>
      </c>
      <c r="BS52">
        <f>IF(AND(AND(links_on,4&lt;=n_per),INDEX(lk_kind,4)=1,49&lt;INDEX(lk_legs,4)),g_oy+IF(((49+0.5)*(4*IF(circ_int,0,eq_c1/2)+4*IF(circ_int,0,eq_c2/2)+2*PI()*(s_0+3*s_r+IF(circ_int,eq_c1/2,0)))/INDEX(lk_legs,4))&lt;(2*IF(circ_int,0,eq_c2/2)),-IF(circ_int,0,eq_c2/2)+((49+0.5)*(4*IF(circ_int,0,eq_c1/2)+4*IF(circ_int,0,eq_c2/2)+2*PI()*(s_0+3*s_r+IF(circ_int,eq_c1/2,0)))/INDEX(lk_legs,4)),IF(((49+0.5)*(4*IF(circ_int,0,eq_c1/2)+4*IF(circ_int,0,eq_c2/2)+2*PI()*(s_0+3*s_r+IF(circ_int,eq_c1/2,0)))/INDEX(lk_legs,4))&lt;((2*IF(circ_int,0,eq_c2/2))+(PI()*(s_0+3*s_r+IF(circ_int,eq_c1/2,0))/2)),IF(circ_int,0,eq_c2/2)+(s_0+3*s_r+IF(circ_int,eq_c1/2,0))*SIN((((49+0.5)*(4*IF(circ_int,0,eq_c1/2)+4*IF(circ_int,0,eq_c2/2)+2*PI()*(s_0+3*s_r+IF(circ_int,eq_c1/2,0)))/INDEX(lk_legs,4))-(2*IF(circ_int,0,eq_c2/2)))/(s_0+3*s_r+IF(circ_int,eq_c1/2,0))),IF(((49+0.5)*(4*IF(circ_int,0,eq_c1/2)+4*IF(circ_int,0,eq_c2/2)+2*PI()*(s_0+3*s_r+IF(circ_int,eq_c1/2,0)))/INDEX(lk_legs,4))&lt;(((2*IF(circ_int,0,eq_c2/2))+(PI()*(s_0+3*s_r+IF(circ_int,eq_c1/2,0))/2))+2*IF(circ_int,0,eq_c1/2)),IF(circ_int,0,eq_c2/2)+(s_0+3*s_r+IF(circ_int,eq_c1/2,0)),IF(((49+0.5)*(4*IF(circ_int,0,eq_c1/2)+4*IF(circ_int,0,eq_c2/2)+2*PI()*(s_0+3*s_r+IF(circ_int,eq_c1/2,0)))/INDEX(lk_legs,4))&lt;((((2*IF(circ_int,0,eq_c2/2))+(PI()*(s_0+3*s_r+IF(circ_int,eq_c1/2,0))/2))+2*IF(circ_int,0,eq_c1/2))+(PI()*(s_0+3*s_r+IF(circ_int,eq_c1/2,0))/2)),IF(circ_int,0,eq_c2/2)+(s_0+3*s_r+IF(circ_int,eq_c1/2,0))*SIN(PI()/2+(((49+0.5)*(4*IF(circ_int,0,eq_c1/2)+4*IF(circ_int,0,eq_c2/2)+2*PI()*(s_0+3*s_r+IF(circ_int,eq_c1/2,0)))/INDEX(lk_legs,4))-(((2*IF(circ_int,0,eq_c2/2))+(PI()*(s_0+3*s_r+IF(circ_int,eq_c1/2,0))/2))+2*IF(circ_int,0,eq_c1/2)))/(s_0+3*s_r+IF(circ_int,eq_c1/2,0))),IF(((49+0.5)*(4*IF(circ_int,0,eq_c1/2)+4*IF(circ_int,0,eq_c2/2)+2*PI()*(s_0+3*s_r+IF(circ_int,eq_c1/2,0)))/INDEX(lk_legs,4))&lt;(((((2*IF(circ_int,0,eq_c2/2))+(PI()*(s_0+3*s_r+IF(circ_int,eq_c1/2,0))/2))+2*IF(circ_int,0,eq_c1/2))+(PI()*(s_0+3*s_r+IF(circ_int,eq_c1/2,0))/2))+2*IF(circ_int,0,eq_c2/2)),IF(circ_int,0,eq_c2/2)-(((49+0.5)*(4*IF(circ_int,0,eq_c1/2)+4*IF(circ_int,0,eq_c2/2)+2*PI()*(s_0+3*s_r+IF(circ_int,eq_c1/2,0)))/INDEX(lk_legs,4))-((((2*IF(circ_int,0,eq_c2/2))+(PI()*(s_0+3*s_r+IF(circ_int,eq_c1/2,0))/2))+2*IF(circ_int,0,eq_c1/2))+(PI()*(s_0+3*s_r+IF(circ_int,eq_c1/2,0))/2))),IF(((49+0.5)*(4*IF(circ_int,0,eq_c1/2)+4*IF(circ_int,0,eq_c2/2)+2*PI()*(s_0+3*s_r+IF(circ_int,eq_c1/2,0)))/INDEX(lk_legs,4))&lt;((((((2*IF(circ_int,0,eq_c2/2))+(PI()*(s_0+3*s_r+IF(circ_int,eq_c1/2,0))/2))+2*IF(circ_int,0,eq_c1/2))+(PI()*(s_0+3*s_r+IF(circ_int,eq_c1/2,0))/2))+2*IF(circ_int,0,eq_c2/2))+(PI()*(s_0+3*s_r+IF(circ_int,eq_c1/2,0))/2)),-IF(circ_int,0,eq_c2/2)+(s_0+3*s_r+IF(circ_int,eq_c1/2,0))*SIN(PI()+(((49+0.5)*(4*IF(circ_int,0,eq_c1/2)+4*IF(circ_int,0,eq_c2/2)+2*PI()*(s_0+3*s_r+IF(circ_int,eq_c1/2,0)))/INDEX(lk_legs,4))-(((((2*IF(circ_int,0,eq_c2/2))+(PI()*(s_0+3*s_r+IF(circ_int,eq_c1/2,0))/2))+2*IF(circ_int,0,eq_c1/2))+(PI()*(s_0+3*s_r+IF(circ_int,eq_c1/2,0))/2))+2*IF(circ_int,0,eq_c2/2)))/(s_0+3*s_r+IF(circ_int,eq_c1/2,0))),IF(((49+0.5)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(49+0.5)*(4*IF(circ_int,0,eq_c1/2)+4*IF(circ_int,0,eq_c2/2)+2*PI()*(s_0+3*s_r+IF(circ_int,eq_c1/2,0)))/INDEX(lk_legs,4))-(((((((2*IF(circ_int,0,eq_c2/2))+(PI()*(s_0+3*s_r+IF(circ_int,eq_c1/2,0))/2))+2*IF(circ_int,0,eq_c1/2))+(PI()*(s_0+3*s_r+IF(circ_int,eq_c1/2,0))/2))+2*IF(circ_int,0,eq_c2/2))+(PI()*(s_0+3*s_r+IF(circ_int,eq_c1/2,0))/2))+2*IF(circ_int,0,eq_c1/2)))/(s_0+3*s_r+IF(circ_int,eq_c1/2,0)))))))))),NA())</f>
        <v/>
      </c>
      <c r="BU52">
        <f>IF(AND(links_on,5&lt;=n_per),IF(circ_int,(g_ox)+(c_1/2+(s_0+4*s_r))*0.935016,CHOOSE(INDEX(lk_kind,5),(g_ox+eq_c1/2)+((s_0+4*s_r))*0.965926,0,eq_a1+eq_c1+(s_0+4*s_r),eq_a1+eq_c1+(s_0+4*s_r))),NA())</f>
        <v/>
      </c>
      <c r="BV52">
        <f>IF(AND(links_on,5&lt;=n_per),IF(circ_int,(g_oy)+(c_1/2+(s_0+4*s_r))*-0.354605,CHOOSE(INDEX(lk_kind,5),(g_oy-eq_c2/2)+((s_0+4*s_r))*-0.258819,g_oy-eq_c2/2-(s_0+4*s_r),0,0)),NA())</f>
        <v/>
      </c>
      <c r="BX52">
        <f>IF(AND(AND(links_on,5&lt;=n_per),INDEX(lk_kind,5)=1,49&lt;INDEX(lk_legs,5)),g_ox+IF(((49+0.5)*(4*IF(circ_int,0,eq_c1/2)+4*IF(circ_int,0,eq_c2/2)+2*PI()*(s_0+4*s_r+IF(circ_int,eq_c1/2,0)))/INDEX(lk_legs,5))&lt;(2*IF(circ_int,0,eq_c2/2)),IF(circ_int,0,eq_c1/2)+(s_0+4*s_r+IF(circ_int,eq_c1/2,0)),IF(((49+0.5)*(4*IF(circ_int,0,eq_c1/2)+4*IF(circ_int,0,eq_c2/2)+2*PI()*(s_0+4*s_r+IF(circ_int,eq_c1/2,0)))/INDEX(lk_legs,5))&lt;((2*IF(circ_int,0,eq_c2/2))+(PI()*(s_0+4*s_r+IF(circ_int,eq_c1/2,0))/2)),IF(circ_int,0,eq_c1/2)+(s_0+4*s_r+IF(circ_int,eq_c1/2,0))*COS((((49+0.5)*(4*IF(circ_int,0,eq_c1/2)+4*IF(circ_int,0,eq_c2/2)+2*PI()*(s_0+4*s_r+IF(circ_int,eq_c1/2,0)))/INDEX(lk_legs,5))-(2*IF(circ_int,0,eq_c2/2)))/(s_0+4*s_r+IF(circ_int,eq_c1/2,0))),IF(((49+0.5)*(4*IF(circ_int,0,eq_c1/2)+4*IF(circ_int,0,eq_c2/2)+2*PI()*(s_0+4*s_r+IF(circ_int,eq_c1/2,0)))/INDEX(lk_legs,5))&lt;(((2*IF(circ_int,0,eq_c2/2))+(PI()*(s_0+4*s_r+IF(circ_int,eq_c1/2,0))/2))+2*IF(circ_int,0,eq_c1/2)),IF(circ_int,0,eq_c1/2)-(((49+0.5)*(4*IF(circ_int,0,eq_c1/2)+4*IF(circ_int,0,eq_c2/2)+2*PI()*(s_0+4*s_r+IF(circ_int,eq_c1/2,0)))/INDEX(lk_legs,5))-((2*IF(circ_int,0,eq_c2/2))+(PI()*(s_0+4*s_r+IF(circ_int,eq_c1/2,0))/2))),IF(((49+0.5)*(4*IF(circ_int,0,eq_c1/2)+4*IF(circ_int,0,eq_c2/2)+2*PI()*(s_0+4*s_r+IF(circ_int,eq_c1/2,0)))/INDEX(lk_legs,5))&lt;((((2*IF(circ_int,0,eq_c2/2))+(PI()*(s_0+4*s_r+IF(circ_int,eq_c1/2,0))/2))+2*IF(circ_int,0,eq_c1/2))+(PI()*(s_0+4*s_r+IF(circ_int,eq_c1/2,0))/2)),-IF(circ_int,0,eq_c1/2)+(s_0+4*s_r+IF(circ_int,eq_c1/2,0))*COS(PI()/2+(((49+0.5)*(4*IF(circ_int,0,eq_c1/2)+4*IF(circ_int,0,eq_c2/2)+2*PI()*(s_0+4*s_r+IF(circ_int,eq_c1/2,0)))/INDEX(lk_legs,5))-(((2*IF(circ_int,0,eq_c2/2))+(PI()*(s_0+4*s_r+IF(circ_int,eq_c1/2,0))/2))+2*IF(circ_int,0,eq_c1/2)))/(s_0+4*s_r+IF(circ_int,eq_c1/2,0))),IF(((49+0.5)*(4*IF(circ_int,0,eq_c1/2)+4*IF(circ_int,0,eq_c2/2)+2*PI()*(s_0+4*s_r+IF(circ_int,eq_c1/2,0)))/INDEX(lk_legs,5))&lt;(((((2*IF(circ_int,0,eq_c2/2))+(PI()*(s_0+4*s_r+IF(circ_int,eq_c1/2,0))/2))+2*IF(circ_int,0,eq_c1/2))+(PI()*(s_0+4*s_r+IF(circ_int,eq_c1/2,0))/2))+2*IF(circ_int,0,eq_c2/2)),-IF(circ_int,0,eq_c1/2)-(s_0+4*s_r+IF(circ_int,eq_c1/2,0)),IF(((49+0.5)*(4*IF(circ_int,0,eq_c1/2)+4*IF(circ_int,0,eq_c2/2)+2*PI()*(s_0+4*s_r+IF(circ_int,eq_c1/2,0)))/INDEX(lk_legs,5))&lt;((((((2*IF(circ_int,0,eq_c2/2))+(PI()*(s_0+4*s_r+IF(circ_int,eq_c1/2,0))/2))+2*IF(circ_int,0,eq_c1/2))+(PI()*(s_0+4*s_r+IF(circ_int,eq_c1/2,0))/2))+2*IF(circ_int,0,eq_c2/2))+(PI()*(s_0+4*s_r+IF(circ_int,eq_c1/2,0))/2)),-IF(circ_int,0,eq_c1/2)+(s_0+4*s_r+IF(circ_int,eq_c1/2,0))*COS(PI()+(((49+0.5)*(4*IF(circ_int,0,eq_c1/2)+4*IF(circ_int,0,eq_c2/2)+2*PI()*(s_0+4*s_r+IF(circ_int,eq_c1/2,0)))/INDEX(lk_legs,5))-(((((2*IF(circ_int,0,eq_c2/2))+(PI()*(s_0+4*s_r+IF(circ_int,eq_c1/2,0))/2))+2*IF(circ_int,0,eq_c1/2))+(PI()*(s_0+4*s_r+IF(circ_int,eq_c1/2,0))/2))+2*IF(circ_int,0,eq_c2/2)))/(s_0+4*s_r+IF(circ_int,eq_c1/2,0))),IF(((49+0.5)*(4*IF(circ_int,0,eq_c1/2)+4*IF(circ_int,0,eq_c2/2)+2*PI()*(s_0+4*s_r+IF(circ_int,eq_c1/2,0)))/INDEX(lk_legs,5))&lt;(((((((2*IF(circ_int,0,eq_c2/2))+(PI()*(s_0+4*s_r+IF(circ_int,eq_c1/2,0))/2))+2*IF(circ_int,0,eq_c1/2))+(PI()*(s_0+4*s_r+IF(circ_int,eq_c1/2,0))/2))+2*IF(circ_int,0,eq_c2/2))+(PI()*(s_0+4*s_r+IF(circ_int,eq_c1/2,0))/2))+2*IF(circ_int,0,eq_c1/2)),-IF(circ_int,0,eq_c1/2)+(((49+0.5)*(4*IF(circ_int,0,eq_c1/2)+4*IF(circ_int,0,eq_c2/2)+2*PI()*(s_0+4*s_r+IF(circ_int,eq_c1/2,0)))/INDEX(lk_legs,5))-((((((2*IF(circ_int,0,eq_c2/2))+(PI()*(s_0+4*s_r+IF(circ_int,eq_c1/2,0))/2))+2*IF(circ_int,0,eq_c1/2))+(PI()*(s_0+4*s_r+IF(circ_int,eq_c1/2,0))/2))+2*IF(circ_int,0,eq_c2/2))+(PI()*(s_0+4*s_r+IF(circ_int,eq_c1/2,0))/2))),IF(circ_int,0,eq_c1/2)+(s_0+4*s_r+IF(circ_int,eq_c1/2,0))*COS(3*PI()/2+(((49+0.5)*(4*IF(circ_int,0,eq_c1/2)+4*IF(circ_int,0,eq_c2/2)+2*PI()*(s_0+4*s_r+IF(circ_int,eq_c1/2,0)))/INDEX(lk_legs,5))-(((((((2*IF(circ_int,0,eq_c2/2))+(PI()*(s_0+4*s_r+IF(circ_int,eq_c1/2,0))/2))+2*IF(circ_int,0,eq_c1/2))+(PI()*(s_0+4*s_r+IF(circ_int,eq_c1/2,0))/2))+2*IF(circ_int,0,eq_c2/2))+(PI()*(s_0+4*s_r+IF(circ_int,eq_c1/2,0))/2))+2*IF(circ_int,0,eq_c1/2)))/(s_0+4*s_r+IF(circ_int,eq_c1/2,0)))))))))),NA())</f>
        <v/>
      </c>
      <c r="BY52">
        <f>IF(AND(AND(links_on,5&lt;=n_per),INDEX(lk_kind,5)=1,49&lt;INDEX(lk_legs,5)),g_oy+IF(((49+0.5)*(4*IF(circ_int,0,eq_c1/2)+4*IF(circ_int,0,eq_c2/2)+2*PI()*(s_0+4*s_r+IF(circ_int,eq_c1/2,0)))/INDEX(lk_legs,5))&lt;(2*IF(circ_int,0,eq_c2/2)),-IF(circ_int,0,eq_c2/2)+((49+0.5)*(4*IF(circ_int,0,eq_c1/2)+4*IF(circ_int,0,eq_c2/2)+2*PI()*(s_0+4*s_r+IF(circ_int,eq_c1/2,0)))/INDEX(lk_legs,5)),IF(((49+0.5)*(4*IF(circ_int,0,eq_c1/2)+4*IF(circ_int,0,eq_c2/2)+2*PI()*(s_0+4*s_r+IF(circ_int,eq_c1/2,0)))/INDEX(lk_legs,5))&lt;((2*IF(circ_int,0,eq_c2/2))+(PI()*(s_0+4*s_r+IF(circ_int,eq_c1/2,0))/2)),IF(circ_int,0,eq_c2/2)+(s_0+4*s_r+IF(circ_int,eq_c1/2,0))*SIN((((49+0.5)*(4*IF(circ_int,0,eq_c1/2)+4*IF(circ_int,0,eq_c2/2)+2*PI()*(s_0+4*s_r+IF(circ_int,eq_c1/2,0)))/INDEX(lk_legs,5))-(2*IF(circ_int,0,eq_c2/2)))/(s_0+4*s_r+IF(circ_int,eq_c1/2,0))),IF(((49+0.5)*(4*IF(circ_int,0,eq_c1/2)+4*IF(circ_int,0,eq_c2/2)+2*PI()*(s_0+4*s_r+IF(circ_int,eq_c1/2,0)))/INDEX(lk_legs,5))&lt;(((2*IF(circ_int,0,eq_c2/2))+(PI()*(s_0+4*s_r+IF(circ_int,eq_c1/2,0))/2))+2*IF(circ_int,0,eq_c1/2)),IF(circ_int,0,eq_c2/2)+(s_0+4*s_r+IF(circ_int,eq_c1/2,0)),IF(((49+0.5)*(4*IF(circ_int,0,eq_c1/2)+4*IF(circ_int,0,eq_c2/2)+2*PI()*(s_0+4*s_r+IF(circ_int,eq_c1/2,0)))/INDEX(lk_legs,5))&lt;((((2*IF(circ_int,0,eq_c2/2))+(PI()*(s_0+4*s_r+IF(circ_int,eq_c1/2,0))/2))+2*IF(circ_int,0,eq_c1/2))+(PI()*(s_0+4*s_r+IF(circ_int,eq_c1/2,0))/2)),IF(circ_int,0,eq_c2/2)+(s_0+4*s_r+IF(circ_int,eq_c1/2,0))*SIN(PI()/2+(((49+0.5)*(4*IF(circ_int,0,eq_c1/2)+4*IF(circ_int,0,eq_c2/2)+2*PI()*(s_0+4*s_r+IF(circ_int,eq_c1/2,0)))/INDEX(lk_legs,5))-(((2*IF(circ_int,0,eq_c2/2))+(PI()*(s_0+4*s_r+IF(circ_int,eq_c1/2,0))/2))+2*IF(circ_int,0,eq_c1/2)))/(s_0+4*s_r+IF(circ_int,eq_c1/2,0))),IF(((49+0.5)*(4*IF(circ_int,0,eq_c1/2)+4*IF(circ_int,0,eq_c2/2)+2*PI()*(s_0+4*s_r+IF(circ_int,eq_c1/2,0)))/INDEX(lk_legs,5))&lt;(((((2*IF(circ_int,0,eq_c2/2))+(PI()*(s_0+4*s_r+IF(circ_int,eq_c1/2,0))/2))+2*IF(circ_int,0,eq_c1/2))+(PI()*(s_0+4*s_r+IF(circ_int,eq_c1/2,0))/2))+2*IF(circ_int,0,eq_c2/2)),IF(circ_int,0,eq_c2/2)-(((49+0.5)*(4*IF(circ_int,0,eq_c1/2)+4*IF(circ_int,0,eq_c2/2)+2*PI()*(s_0+4*s_r+IF(circ_int,eq_c1/2,0)))/INDEX(lk_legs,5))-((((2*IF(circ_int,0,eq_c2/2))+(PI()*(s_0+4*s_r+IF(circ_int,eq_c1/2,0))/2))+2*IF(circ_int,0,eq_c1/2))+(PI()*(s_0+4*s_r+IF(circ_int,eq_c1/2,0))/2))),IF(((49+0.5)*(4*IF(circ_int,0,eq_c1/2)+4*IF(circ_int,0,eq_c2/2)+2*PI()*(s_0+4*s_r+IF(circ_int,eq_c1/2,0)))/INDEX(lk_legs,5))&lt;((((((2*IF(circ_int,0,eq_c2/2))+(PI()*(s_0+4*s_r+IF(circ_int,eq_c1/2,0))/2))+2*IF(circ_int,0,eq_c1/2))+(PI()*(s_0+4*s_r+IF(circ_int,eq_c1/2,0))/2))+2*IF(circ_int,0,eq_c2/2))+(PI()*(s_0+4*s_r+IF(circ_int,eq_c1/2,0))/2)),-IF(circ_int,0,eq_c2/2)+(s_0+4*s_r+IF(circ_int,eq_c1/2,0))*SIN(PI()+(((49+0.5)*(4*IF(circ_int,0,eq_c1/2)+4*IF(circ_int,0,eq_c2/2)+2*PI()*(s_0+4*s_r+IF(circ_int,eq_c1/2,0)))/INDEX(lk_legs,5))-(((((2*IF(circ_int,0,eq_c2/2))+(PI()*(s_0+4*s_r+IF(circ_int,eq_c1/2,0))/2))+2*IF(circ_int,0,eq_c1/2))+(PI()*(s_0+4*s_r+IF(circ_int,eq_c1/2,0))/2))+2*IF(circ_int,0,eq_c2/2)))/(s_0+4*s_r+IF(circ_int,eq_c1/2,0))),IF(((49+0.5)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(49+0.5)*(4*IF(circ_int,0,eq_c1/2)+4*IF(circ_int,0,eq_c2/2)+2*PI()*(s_0+4*s_r+IF(circ_int,eq_c1/2,0)))/INDEX(lk_legs,5))-(((((((2*IF(circ_int,0,eq_c2/2))+(PI()*(s_0+4*s_r+IF(circ_int,eq_c1/2,0))/2))+2*IF(circ_int,0,eq_c1/2))+(PI()*(s_0+4*s_r+IF(circ_int,eq_c1/2,0))/2))+2*IF(circ_int,0,eq_c2/2))+(PI()*(s_0+4*s_r+IF(circ_int,eq_c1/2,0))/2))+2*IF(circ_int,0,eq_c1/2)))/(s_0+4*s_r+IF(circ_int,eq_c1/2,0)))))))))),NA())</f>
        <v/>
      </c>
      <c r="CA52">
        <f>IF(AND(links_on,6&lt;=n_per),IF(circ_int,(g_ox)+(c_1/2+(s_0+5*s_r))*0.935016,CHOOSE(INDEX(lk_kind,6),(g_ox+eq_c1/2)+((s_0+5*s_r))*0.965926,0,eq_a1+eq_c1+(s_0+5*s_r),eq_a1+eq_c1+(s_0+5*s_r))),NA())</f>
        <v/>
      </c>
      <c r="CB52">
        <f>IF(AND(links_on,6&lt;=n_per),IF(circ_int,(g_oy)+(c_1/2+(s_0+5*s_r))*-0.354605,CHOOSE(INDEX(lk_kind,6),(g_oy-eq_c2/2)+((s_0+5*s_r))*-0.258819,g_oy-eq_c2/2-(s_0+5*s_r),0,0)),NA())</f>
        <v/>
      </c>
      <c r="CD52">
        <f>IF(AND(AND(links_on,6&lt;=n_per),INDEX(lk_kind,6)=1,49&lt;INDEX(lk_legs,6)),g_ox+IF(((49+0.5)*(4*IF(circ_int,0,eq_c1/2)+4*IF(circ_int,0,eq_c2/2)+2*PI()*(s_0+5*s_r+IF(circ_int,eq_c1/2,0)))/INDEX(lk_legs,6))&lt;(2*IF(circ_int,0,eq_c2/2)),IF(circ_int,0,eq_c1/2)+(s_0+5*s_r+IF(circ_int,eq_c1/2,0)),IF(((49+0.5)*(4*IF(circ_int,0,eq_c1/2)+4*IF(circ_int,0,eq_c2/2)+2*PI()*(s_0+5*s_r+IF(circ_int,eq_c1/2,0)))/INDEX(lk_legs,6))&lt;((2*IF(circ_int,0,eq_c2/2))+(PI()*(s_0+5*s_r+IF(circ_int,eq_c1/2,0))/2)),IF(circ_int,0,eq_c1/2)+(s_0+5*s_r+IF(circ_int,eq_c1/2,0))*COS((((49+0.5)*(4*IF(circ_int,0,eq_c1/2)+4*IF(circ_int,0,eq_c2/2)+2*PI()*(s_0+5*s_r+IF(circ_int,eq_c1/2,0)))/INDEX(lk_legs,6))-(2*IF(circ_int,0,eq_c2/2)))/(s_0+5*s_r+IF(circ_int,eq_c1/2,0))),IF(((49+0.5)*(4*IF(circ_int,0,eq_c1/2)+4*IF(circ_int,0,eq_c2/2)+2*PI()*(s_0+5*s_r+IF(circ_int,eq_c1/2,0)))/INDEX(lk_legs,6))&lt;(((2*IF(circ_int,0,eq_c2/2))+(PI()*(s_0+5*s_r+IF(circ_int,eq_c1/2,0))/2))+2*IF(circ_int,0,eq_c1/2)),IF(circ_int,0,eq_c1/2)-(((49+0.5)*(4*IF(circ_int,0,eq_c1/2)+4*IF(circ_int,0,eq_c2/2)+2*PI()*(s_0+5*s_r+IF(circ_int,eq_c1/2,0)))/INDEX(lk_legs,6))-((2*IF(circ_int,0,eq_c2/2))+(PI()*(s_0+5*s_r+IF(circ_int,eq_c1/2,0))/2))),IF(((49+0.5)*(4*IF(circ_int,0,eq_c1/2)+4*IF(circ_int,0,eq_c2/2)+2*PI()*(s_0+5*s_r+IF(circ_int,eq_c1/2,0)))/INDEX(lk_legs,6))&lt;((((2*IF(circ_int,0,eq_c2/2))+(PI()*(s_0+5*s_r+IF(circ_int,eq_c1/2,0))/2))+2*IF(circ_int,0,eq_c1/2))+(PI()*(s_0+5*s_r+IF(circ_int,eq_c1/2,0))/2)),-IF(circ_int,0,eq_c1/2)+(s_0+5*s_r+IF(circ_int,eq_c1/2,0))*COS(PI()/2+(((49+0.5)*(4*IF(circ_int,0,eq_c1/2)+4*IF(circ_int,0,eq_c2/2)+2*PI()*(s_0+5*s_r+IF(circ_int,eq_c1/2,0)))/INDEX(lk_legs,6))-(((2*IF(circ_int,0,eq_c2/2))+(PI()*(s_0+5*s_r+IF(circ_int,eq_c1/2,0))/2))+2*IF(circ_int,0,eq_c1/2)))/(s_0+5*s_r+IF(circ_int,eq_c1/2,0))),IF(((49+0.5)*(4*IF(circ_int,0,eq_c1/2)+4*IF(circ_int,0,eq_c2/2)+2*PI()*(s_0+5*s_r+IF(circ_int,eq_c1/2,0)))/INDEX(lk_legs,6))&lt;(((((2*IF(circ_int,0,eq_c2/2))+(PI()*(s_0+5*s_r+IF(circ_int,eq_c1/2,0))/2))+2*IF(circ_int,0,eq_c1/2))+(PI()*(s_0+5*s_r+IF(circ_int,eq_c1/2,0))/2))+2*IF(circ_int,0,eq_c2/2)),-IF(circ_int,0,eq_c1/2)-(s_0+5*s_r+IF(circ_int,eq_c1/2,0)),IF(((49+0.5)*(4*IF(circ_int,0,eq_c1/2)+4*IF(circ_int,0,eq_c2/2)+2*PI()*(s_0+5*s_r+IF(circ_int,eq_c1/2,0)))/INDEX(lk_legs,6))&lt;((((((2*IF(circ_int,0,eq_c2/2))+(PI()*(s_0+5*s_r+IF(circ_int,eq_c1/2,0))/2))+2*IF(circ_int,0,eq_c1/2))+(PI()*(s_0+5*s_r+IF(circ_int,eq_c1/2,0))/2))+2*IF(circ_int,0,eq_c2/2))+(PI()*(s_0+5*s_r+IF(circ_int,eq_c1/2,0))/2)),-IF(circ_int,0,eq_c1/2)+(s_0+5*s_r+IF(circ_int,eq_c1/2,0))*COS(PI()+(((49+0.5)*(4*IF(circ_int,0,eq_c1/2)+4*IF(circ_int,0,eq_c2/2)+2*PI()*(s_0+5*s_r+IF(circ_int,eq_c1/2,0)))/INDEX(lk_legs,6))-(((((2*IF(circ_int,0,eq_c2/2))+(PI()*(s_0+5*s_r+IF(circ_int,eq_c1/2,0))/2))+2*IF(circ_int,0,eq_c1/2))+(PI()*(s_0+5*s_r+IF(circ_int,eq_c1/2,0))/2))+2*IF(circ_int,0,eq_c2/2)))/(s_0+5*s_r+IF(circ_int,eq_c1/2,0))),IF(((49+0.5)*(4*IF(circ_int,0,eq_c1/2)+4*IF(circ_int,0,eq_c2/2)+2*PI()*(s_0+5*s_r+IF(circ_int,eq_c1/2,0)))/INDEX(lk_legs,6))&lt;(((((((2*IF(circ_int,0,eq_c2/2))+(PI()*(s_0+5*s_r+IF(circ_int,eq_c1/2,0))/2))+2*IF(circ_int,0,eq_c1/2))+(PI()*(s_0+5*s_r+IF(circ_int,eq_c1/2,0))/2))+2*IF(circ_int,0,eq_c2/2))+(PI()*(s_0+5*s_r+IF(circ_int,eq_c1/2,0))/2))+2*IF(circ_int,0,eq_c1/2)),-IF(circ_int,0,eq_c1/2)+(((49+0.5)*(4*IF(circ_int,0,eq_c1/2)+4*IF(circ_int,0,eq_c2/2)+2*PI()*(s_0+5*s_r+IF(circ_int,eq_c1/2,0)))/INDEX(lk_legs,6))-((((((2*IF(circ_int,0,eq_c2/2))+(PI()*(s_0+5*s_r+IF(circ_int,eq_c1/2,0))/2))+2*IF(circ_int,0,eq_c1/2))+(PI()*(s_0+5*s_r+IF(circ_int,eq_c1/2,0))/2))+2*IF(circ_int,0,eq_c2/2))+(PI()*(s_0+5*s_r+IF(circ_int,eq_c1/2,0))/2))),IF(circ_int,0,eq_c1/2)+(s_0+5*s_r+IF(circ_int,eq_c1/2,0))*COS(3*PI()/2+(((49+0.5)*(4*IF(circ_int,0,eq_c1/2)+4*IF(circ_int,0,eq_c2/2)+2*PI()*(s_0+5*s_r+IF(circ_int,eq_c1/2,0)))/INDEX(lk_legs,6))-(((((((2*IF(circ_int,0,eq_c2/2))+(PI()*(s_0+5*s_r+IF(circ_int,eq_c1/2,0))/2))+2*IF(circ_int,0,eq_c1/2))+(PI()*(s_0+5*s_r+IF(circ_int,eq_c1/2,0))/2))+2*IF(circ_int,0,eq_c2/2))+(PI()*(s_0+5*s_r+IF(circ_int,eq_c1/2,0))/2))+2*IF(circ_int,0,eq_c1/2)))/(s_0+5*s_r+IF(circ_int,eq_c1/2,0)))))))))),NA())</f>
        <v/>
      </c>
      <c r="CE52">
        <f>IF(AND(AND(links_on,6&lt;=n_per),INDEX(lk_kind,6)=1,49&lt;INDEX(lk_legs,6)),g_oy+IF(((49+0.5)*(4*IF(circ_int,0,eq_c1/2)+4*IF(circ_int,0,eq_c2/2)+2*PI()*(s_0+5*s_r+IF(circ_int,eq_c1/2,0)))/INDEX(lk_legs,6))&lt;(2*IF(circ_int,0,eq_c2/2)),-IF(circ_int,0,eq_c2/2)+((49+0.5)*(4*IF(circ_int,0,eq_c1/2)+4*IF(circ_int,0,eq_c2/2)+2*PI()*(s_0+5*s_r+IF(circ_int,eq_c1/2,0)))/INDEX(lk_legs,6)),IF(((49+0.5)*(4*IF(circ_int,0,eq_c1/2)+4*IF(circ_int,0,eq_c2/2)+2*PI()*(s_0+5*s_r+IF(circ_int,eq_c1/2,0)))/INDEX(lk_legs,6))&lt;((2*IF(circ_int,0,eq_c2/2))+(PI()*(s_0+5*s_r+IF(circ_int,eq_c1/2,0))/2)),IF(circ_int,0,eq_c2/2)+(s_0+5*s_r+IF(circ_int,eq_c1/2,0))*SIN((((49+0.5)*(4*IF(circ_int,0,eq_c1/2)+4*IF(circ_int,0,eq_c2/2)+2*PI()*(s_0+5*s_r+IF(circ_int,eq_c1/2,0)))/INDEX(lk_legs,6))-(2*IF(circ_int,0,eq_c2/2)))/(s_0+5*s_r+IF(circ_int,eq_c1/2,0))),IF(((49+0.5)*(4*IF(circ_int,0,eq_c1/2)+4*IF(circ_int,0,eq_c2/2)+2*PI()*(s_0+5*s_r+IF(circ_int,eq_c1/2,0)))/INDEX(lk_legs,6))&lt;(((2*IF(circ_int,0,eq_c2/2))+(PI()*(s_0+5*s_r+IF(circ_int,eq_c1/2,0))/2))+2*IF(circ_int,0,eq_c1/2)),IF(circ_int,0,eq_c2/2)+(s_0+5*s_r+IF(circ_int,eq_c1/2,0)),IF(((49+0.5)*(4*IF(circ_int,0,eq_c1/2)+4*IF(circ_int,0,eq_c2/2)+2*PI()*(s_0+5*s_r+IF(circ_int,eq_c1/2,0)))/INDEX(lk_legs,6))&lt;((((2*IF(circ_int,0,eq_c2/2))+(PI()*(s_0+5*s_r+IF(circ_int,eq_c1/2,0))/2))+2*IF(circ_int,0,eq_c1/2))+(PI()*(s_0+5*s_r+IF(circ_int,eq_c1/2,0))/2)),IF(circ_int,0,eq_c2/2)+(s_0+5*s_r+IF(circ_int,eq_c1/2,0))*SIN(PI()/2+(((49+0.5)*(4*IF(circ_int,0,eq_c1/2)+4*IF(circ_int,0,eq_c2/2)+2*PI()*(s_0+5*s_r+IF(circ_int,eq_c1/2,0)))/INDEX(lk_legs,6))-(((2*IF(circ_int,0,eq_c2/2))+(PI()*(s_0+5*s_r+IF(circ_int,eq_c1/2,0))/2))+2*IF(circ_int,0,eq_c1/2)))/(s_0+5*s_r+IF(circ_int,eq_c1/2,0))),IF(((49+0.5)*(4*IF(circ_int,0,eq_c1/2)+4*IF(circ_int,0,eq_c2/2)+2*PI()*(s_0+5*s_r+IF(circ_int,eq_c1/2,0)))/INDEX(lk_legs,6))&lt;(((((2*IF(circ_int,0,eq_c2/2))+(PI()*(s_0+5*s_r+IF(circ_int,eq_c1/2,0))/2))+2*IF(circ_int,0,eq_c1/2))+(PI()*(s_0+5*s_r+IF(circ_int,eq_c1/2,0))/2))+2*IF(circ_int,0,eq_c2/2)),IF(circ_int,0,eq_c2/2)-(((49+0.5)*(4*IF(circ_int,0,eq_c1/2)+4*IF(circ_int,0,eq_c2/2)+2*PI()*(s_0+5*s_r+IF(circ_int,eq_c1/2,0)))/INDEX(lk_legs,6))-((((2*IF(circ_int,0,eq_c2/2))+(PI()*(s_0+5*s_r+IF(circ_int,eq_c1/2,0))/2))+2*IF(circ_int,0,eq_c1/2))+(PI()*(s_0+5*s_r+IF(circ_int,eq_c1/2,0))/2))),IF(((49+0.5)*(4*IF(circ_int,0,eq_c1/2)+4*IF(circ_int,0,eq_c2/2)+2*PI()*(s_0+5*s_r+IF(circ_int,eq_c1/2,0)))/INDEX(lk_legs,6))&lt;((((((2*IF(circ_int,0,eq_c2/2))+(PI()*(s_0+5*s_r+IF(circ_int,eq_c1/2,0))/2))+2*IF(circ_int,0,eq_c1/2))+(PI()*(s_0+5*s_r+IF(circ_int,eq_c1/2,0))/2))+2*IF(circ_int,0,eq_c2/2))+(PI()*(s_0+5*s_r+IF(circ_int,eq_c1/2,0))/2)),-IF(circ_int,0,eq_c2/2)+(s_0+5*s_r+IF(circ_int,eq_c1/2,0))*SIN(PI()+(((49+0.5)*(4*IF(circ_int,0,eq_c1/2)+4*IF(circ_int,0,eq_c2/2)+2*PI()*(s_0+5*s_r+IF(circ_int,eq_c1/2,0)))/INDEX(lk_legs,6))-(((((2*IF(circ_int,0,eq_c2/2))+(PI()*(s_0+5*s_r+IF(circ_int,eq_c1/2,0))/2))+2*IF(circ_int,0,eq_c1/2))+(PI()*(s_0+5*s_r+IF(circ_int,eq_c1/2,0))/2))+2*IF(circ_int,0,eq_c2/2)))/(s_0+5*s_r+IF(circ_int,eq_c1/2,0))),IF(((49+0.5)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(49+0.5)*(4*IF(circ_int,0,eq_c1/2)+4*IF(circ_int,0,eq_c2/2)+2*PI()*(s_0+5*s_r+IF(circ_int,eq_c1/2,0)))/INDEX(lk_legs,6))-(((((((2*IF(circ_int,0,eq_c2/2))+(PI()*(s_0+5*s_r+IF(circ_int,eq_c1/2,0))/2))+2*IF(circ_int,0,eq_c1/2))+(PI()*(s_0+5*s_r+IF(circ_int,eq_c1/2,0))/2))+2*IF(circ_int,0,eq_c2/2))+(PI()*(s_0+5*s_r+IF(circ_int,eq_c1/2,0))/2))+2*IF(circ_int,0,eq_c1/2)))/(s_0+5*s_r+IF(circ_int,eq_c1/2,0)))))))))),NA())</f>
        <v/>
      </c>
      <c r="CG52">
        <f>IF(AND(links_on,7&lt;=n_per),IF(circ_int,(g_ox)+(c_1/2+(s_0+6*s_r))*0.935016,CHOOSE(INDEX(lk_kind,7),(g_ox+eq_c1/2)+((s_0+6*s_r))*0.965926,0,eq_a1+eq_c1+(s_0+6*s_r),eq_a1+eq_c1+(s_0+6*s_r))),NA())</f>
        <v/>
      </c>
      <c r="CH52">
        <f>IF(AND(links_on,7&lt;=n_per),IF(circ_int,(g_oy)+(c_1/2+(s_0+6*s_r))*-0.354605,CHOOSE(INDEX(lk_kind,7),(g_oy-eq_c2/2)+((s_0+6*s_r))*-0.258819,g_oy-eq_c2/2-(s_0+6*s_r),0,0)),NA())</f>
        <v/>
      </c>
      <c r="CJ52">
        <f>IF(AND(AND(links_on,7&lt;=n_per),INDEX(lk_kind,7)=1,49&lt;INDEX(lk_legs,7)),g_ox+IF(((49+0.5)*(4*IF(circ_int,0,eq_c1/2)+4*IF(circ_int,0,eq_c2/2)+2*PI()*(s_0+6*s_r+IF(circ_int,eq_c1/2,0)))/INDEX(lk_legs,7))&lt;(2*IF(circ_int,0,eq_c2/2)),IF(circ_int,0,eq_c1/2)+(s_0+6*s_r+IF(circ_int,eq_c1/2,0)),IF(((49+0.5)*(4*IF(circ_int,0,eq_c1/2)+4*IF(circ_int,0,eq_c2/2)+2*PI()*(s_0+6*s_r+IF(circ_int,eq_c1/2,0)))/INDEX(lk_legs,7))&lt;((2*IF(circ_int,0,eq_c2/2))+(PI()*(s_0+6*s_r+IF(circ_int,eq_c1/2,0))/2)),IF(circ_int,0,eq_c1/2)+(s_0+6*s_r+IF(circ_int,eq_c1/2,0))*COS((((49+0.5)*(4*IF(circ_int,0,eq_c1/2)+4*IF(circ_int,0,eq_c2/2)+2*PI()*(s_0+6*s_r+IF(circ_int,eq_c1/2,0)))/INDEX(lk_legs,7))-(2*IF(circ_int,0,eq_c2/2)))/(s_0+6*s_r+IF(circ_int,eq_c1/2,0))),IF(((49+0.5)*(4*IF(circ_int,0,eq_c1/2)+4*IF(circ_int,0,eq_c2/2)+2*PI()*(s_0+6*s_r+IF(circ_int,eq_c1/2,0)))/INDEX(lk_legs,7))&lt;(((2*IF(circ_int,0,eq_c2/2))+(PI()*(s_0+6*s_r+IF(circ_int,eq_c1/2,0))/2))+2*IF(circ_int,0,eq_c1/2)),IF(circ_int,0,eq_c1/2)-(((49+0.5)*(4*IF(circ_int,0,eq_c1/2)+4*IF(circ_int,0,eq_c2/2)+2*PI()*(s_0+6*s_r+IF(circ_int,eq_c1/2,0)))/INDEX(lk_legs,7))-((2*IF(circ_int,0,eq_c2/2))+(PI()*(s_0+6*s_r+IF(circ_int,eq_c1/2,0))/2))),IF(((49+0.5)*(4*IF(circ_int,0,eq_c1/2)+4*IF(circ_int,0,eq_c2/2)+2*PI()*(s_0+6*s_r+IF(circ_int,eq_c1/2,0)))/INDEX(lk_legs,7))&lt;((((2*IF(circ_int,0,eq_c2/2))+(PI()*(s_0+6*s_r+IF(circ_int,eq_c1/2,0))/2))+2*IF(circ_int,0,eq_c1/2))+(PI()*(s_0+6*s_r+IF(circ_int,eq_c1/2,0))/2)),-IF(circ_int,0,eq_c1/2)+(s_0+6*s_r+IF(circ_int,eq_c1/2,0))*COS(PI()/2+(((49+0.5)*(4*IF(circ_int,0,eq_c1/2)+4*IF(circ_int,0,eq_c2/2)+2*PI()*(s_0+6*s_r+IF(circ_int,eq_c1/2,0)))/INDEX(lk_legs,7))-(((2*IF(circ_int,0,eq_c2/2))+(PI()*(s_0+6*s_r+IF(circ_int,eq_c1/2,0))/2))+2*IF(circ_int,0,eq_c1/2)))/(s_0+6*s_r+IF(circ_int,eq_c1/2,0))),IF(((49+0.5)*(4*IF(circ_int,0,eq_c1/2)+4*IF(circ_int,0,eq_c2/2)+2*PI()*(s_0+6*s_r+IF(circ_int,eq_c1/2,0)))/INDEX(lk_legs,7))&lt;(((((2*IF(circ_int,0,eq_c2/2))+(PI()*(s_0+6*s_r+IF(circ_int,eq_c1/2,0))/2))+2*IF(circ_int,0,eq_c1/2))+(PI()*(s_0+6*s_r+IF(circ_int,eq_c1/2,0))/2))+2*IF(circ_int,0,eq_c2/2)),-IF(circ_int,0,eq_c1/2)-(s_0+6*s_r+IF(circ_int,eq_c1/2,0)),IF(((49+0.5)*(4*IF(circ_int,0,eq_c1/2)+4*IF(circ_int,0,eq_c2/2)+2*PI()*(s_0+6*s_r+IF(circ_int,eq_c1/2,0)))/INDEX(lk_legs,7))&lt;((((((2*IF(circ_int,0,eq_c2/2))+(PI()*(s_0+6*s_r+IF(circ_int,eq_c1/2,0))/2))+2*IF(circ_int,0,eq_c1/2))+(PI()*(s_0+6*s_r+IF(circ_int,eq_c1/2,0))/2))+2*IF(circ_int,0,eq_c2/2))+(PI()*(s_0+6*s_r+IF(circ_int,eq_c1/2,0))/2)),-IF(circ_int,0,eq_c1/2)+(s_0+6*s_r+IF(circ_int,eq_c1/2,0))*COS(PI()+(((49+0.5)*(4*IF(circ_int,0,eq_c1/2)+4*IF(circ_int,0,eq_c2/2)+2*PI()*(s_0+6*s_r+IF(circ_int,eq_c1/2,0)))/INDEX(lk_legs,7))-(((((2*IF(circ_int,0,eq_c2/2))+(PI()*(s_0+6*s_r+IF(circ_int,eq_c1/2,0))/2))+2*IF(circ_int,0,eq_c1/2))+(PI()*(s_0+6*s_r+IF(circ_int,eq_c1/2,0))/2))+2*IF(circ_int,0,eq_c2/2)))/(s_0+6*s_r+IF(circ_int,eq_c1/2,0))),IF(((49+0.5)*(4*IF(circ_int,0,eq_c1/2)+4*IF(circ_int,0,eq_c2/2)+2*PI()*(s_0+6*s_r+IF(circ_int,eq_c1/2,0)))/INDEX(lk_legs,7))&lt;(((((((2*IF(circ_int,0,eq_c2/2))+(PI()*(s_0+6*s_r+IF(circ_int,eq_c1/2,0))/2))+2*IF(circ_int,0,eq_c1/2))+(PI()*(s_0+6*s_r+IF(circ_int,eq_c1/2,0))/2))+2*IF(circ_int,0,eq_c2/2))+(PI()*(s_0+6*s_r+IF(circ_int,eq_c1/2,0))/2))+2*IF(circ_int,0,eq_c1/2)),-IF(circ_int,0,eq_c1/2)+(((49+0.5)*(4*IF(circ_int,0,eq_c1/2)+4*IF(circ_int,0,eq_c2/2)+2*PI()*(s_0+6*s_r+IF(circ_int,eq_c1/2,0)))/INDEX(lk_legs,7))-((((((2*IF(circ_int,0,eq_c2/2))+(PI()*(s_0+6*s_r+IF(circ_int,eq_c1/2,0))/2))+2*IF(circ_int,0,eq_c1/2))+(PI()*(s_0+6*s_r+IF(circ_int,eq_c1/2,0))/2))+2*IF(circ_int,0,eq_c2/2))+(PI()*(s_0+6*s_r+IF(circ_int,eq_c1/2,0))/2))),IF(circ_int,0,eq_c1/2)+(s_0+6*s_r+IF(circ_int,eq_c1/2,0))*COS(3*PI()/2+(((49+0.5)*(4*IF(circ_int,0,eq_c1/2)+4*IF(circ_int,0,eq_c2/2)+2*PI()*(s_0+6*s_r+IF(circ_int,eq_c1/2,0)))/INDEX(lk_legs,7))-(((((((2*IF(circ_int,0,eq_c2/2))+(PI()*(s_0+6*s_r+IF(circ_int,eq_c1/2,0))/2))+2*IF(circ_int,0,eq_c1/2))+(PI()*(s_0+6*s_r+IF(circ_int,eq_c1/2,0))/2))+2*IF(circ_int,0,eq_c2/2))+(PI()*(s_0+6*s_r+IF(circ_int,eq_c1/2,0))/2))+2*IF(circ_int,0,eq_c1/2)))/(s_0+6*s_r+IF(circ_int,eq_c1/2,0)))))))))),NA())</f>
        <v/>
      </c>
      <c r="CK52">
        <f>IF(AND(AND(links_on,7&lt;=n_per),INDEX(lk_kind,7)=1,49&lt;INDEX(lk_legs,7)),g_oy+IF(((49+0.5)*(4*IF(circ_int,0,eq_c1/2)+4*IF(circ_int,0,eq_c2/2)+2*PI()*(s_0+6*s_r+IF(circ_int,eq_c1/2,0)))/INDEX(lk_legs,7))&lt;(2*IF(circ_int,0,eq_c2/2)),-IF(circ_int,0,eq_c2/2)+((49+0.5)*(4*IF(circ_int,0,eq_c1/2)+4*IF(circ_int,0,eq_c2/2)+2*PI()*(s_0+6*s_r+IF(circ_int,eq_c1/2,0)))/INDEX(lk_legs,7)),IF(((49+0.5)*(4*IF(circ_int,0,eq_c1/2)+4*IF(circ_int,0,eq_c2/2)+2*PI()*(s_0+6*s_r+IF(circ_int,eq_c1/2,0)))/INDEX(lk_legs,7))&lt;((2*IF(circ_int,0,eq_c2/2))+(PI()*(s_0+6*s_r+IF(circ_int,eq_c1/2,0))/2)),IF(circ_int,0,eq_c2/2)+(s_0+6*s_r+IF(circ_int,eq_c1/2,0))*SIN((((49+0.5)*(4*IF(circ_int,0,eq_c1/2)+4*IF(circ_int,0,eq_c2/2)+2*PI()*(s_0+6*s_r+IF(circ_int,eq_c1/2,0)))/INDEX(lk_legs,7))-(2*IF(circ_int,0,eq_c2/2)))/(s_0+6*s_r+IF(circ_int,eq_c1/2,0))),IF(((49+0.5)*(4*IF(circ_int,0,eq_c1/2)+4*IF(circ_int,0,eq_c2/2)+2*PI()*(s_0+6*s_r+IF(circ_int,eq_c1/2,0)))/INDEX(lk_legs,7))&lt;(((2*IF(circ_int,0,eq_c2/2))+(PI()*(s_0+6*s_r+IF(circ_int,eq_c1/2,0))/2))+2*IF(circ_int,0,eq_c1/2)),IF(circ_int,0,eq_c2/2)+(s_0+6*s_r+IF(circ_int,eq_c1/2,0)),IF(((49+0.5)*(4*IF(circ_int,0,eq_c1/2)+4*IF(circ_int,0,eq_c2/2)+2*PI()*(s_0+6*s_r+IF(circ_int,eq_c1/2,0)))/INDEX(lk_legs,7))&lt;((((2*IF(circ_int,0,eq_c2/2))+(PI()*(s_0+6*s_r+IF(circ_int,eq_c1/2,0))/2))+2*IF(circ_int,0,eq_c1/2))+(PI()*(s_0+6*s_r+IF(circ_int,eq_c1/2,0))/2)),IF(circ_int,0,eq_c2/2)+(s_0+6*s_r+IF(circ_int,eq_c1/2,0))*SIN(PI()/2+(((49+0.5)*(4*IF(circ_int,0,eq_c1/2)+4*IF(circ_int,0,eq_c2/2)+2*PI()*(s_0+6*s_r+IF(circ_int,eq_c1/2,0)))/INDEX(lk_legs,7))-(((2*IF(circ_int,0,eq_c2/2))+(PI()*(s_0+6*s_r+IF(circ_int,eq_c1/2,0))/2))+2*IF(circ_int,0,eq_c1/2)))/(s_0+6*s_r+IF(circ_int,eq_c1/2,0))),IF(((49+0.5)*(4*IF(circ_int,0,eq_c1/2)+4*IF(circ_int,0,eq_c2/2)+2*PI()*(s_0+6*s_r+IF(circ_int,eq_c1/2,0)))/INDEX(lk_legs,7))&lt;(((((2*IF(circ_int,0,eq_c2/2))+(PI()*(s_0+6*s_r+IF(circ_int,eq_c1/2,0))/2))+2*IF(circ_int,0,eq_c1/2))+(PI()*(s_0+6*s_r+IF(circ_int,eq_c1/2,0))/2))+2*IF(circ_int,0,eq_c2/2)),IF(circ_int,0,eq_c2/2)-(((49+0.5)*(4*IF(circ_int,0,eq_c1/2)+4*IF(circ_int,0,eq_c2/2)+2*PI()*(s_0+6*s_r+IF(circ_int,eq_c1/2,0)))/INDEX(lk_legs,7))-((((2*IF(circ_int,0,eq_c2/2))+(PI()*(s_0+6*s_r+IF(circ_int,eq_c1/2,0))/2))+2*IF(circ_int,0,eq_c1/2))+(PI()*(s_0+6*s_r+IF(circ_int,eq_c1/2,0))/2))),IF(((49+0.5)*(4*IF(circ_int,0,eq_c1/2)+4*IF(circ_int,0,eq_c2/2)+2*PI()*(s_0+6*s_r+IF(circ_int,eq_c1/2,0)))/INDEX(lk_legs,7))&lt;((((((2*IF(circ_int,0,eq_c2/2))+(PI()*(s_0+6*s_r+IF(circ_int,eq_c1/2,0))/2))+2*IF(circ_int,0,eq_c1/2))+(PI()*(s_0+6*s_r+IF(circ_int,eq_c1/2,0))/2))+2*IF(circ_int,0,eq_c2/2))+(PI()*(s_0+6*s_r+IF(circ_int,eq_c1/2,0))/2)),-IF(circ_int,0,eq_c2/2)+(s_0+6*s_r+IF(circ_int,eq_c1/2,0))*SIN(PI()+(((49+0.5)*(4*IF(circ_int,0,eq_c1/2)+4*IF(circ_int,0,eq_c2/2)+2*PI()*(s_0+6*s_r+IF(circ_int,eq_c1/2,0)))/INDEX(lk_legs,7))-(((((2*IF(circ_int,0,eq_c2/2))+(PI()*(s_0+6*s_r+IF(circ_int,eq_c1/2,0))/2))+2*IF(circ_int,0,eq_c1/2))+(PI()*(s_0+6*s_r+IF(circ_int,eq_c1/2,0))/2))+2*IF(circ_int,0,eq_c2/2)))/(s_0+6*s_r+IF(circ_int,eq_c1/2,0))),IF(((49+0.5)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(49+0.5)*(4*IF(circ_int,0,eq_c1/2)+4*IF(circ_int,0,eq_c2/2)+2*PI()*(s_0+6*s_r+IF(circ_int,eq_c1/2,0)))/INDEX(lk_legs,7))-(((((((2*IF(circ_int,0,eq_c2/2))+(PI()*(s_0+6*s_r+IF(circ_int,eq_c1/2,0))/2))+2*IF(circ_int,0,eq_c1/2))+(PI()*(s_0+6*s_r+IF(circ_int,eq_c1/2,0))/2))+2*IF(circ_int,0,eq_c2/2))+(PI()*(s_0+6*s_r+IF(circ_int,eq_c1/2,0))/2))+2*IF(circ_int,0,eq_c1/2)))/(s_0+6*s_r+IF(circ_int,eq_c1/2,0)))))))))),NA())</f>
        <v/>
      </c>
      <c r="CM52">
        <f>IF(AND(links_on,8&lt;=n_per),IF(circ_int,(g_ox)+(c_1/2+(s_0+7*s_r))*0.935016,CHOOSE(INDEX(lk_kind,8),(g_ox+eq_c1/2)+((s_0+7*s_r))*0.965926,0,eq_a1+eq_c1+(s_0+7*s_r),eq_a1+eq_c1+(s_0+7*s_r))),NA())</f>
        <v/>
      </c>
      <c r="CN52">
        <f>IF(AND(links_on,8&lt;=n_per),IF(circ_int,(g_oy)+(c_1/2+(s_0+7*s_r))*-0.354605,CHOOSE(INDEX(lk_kind,8),(g_oy-eq_c2/2)+((s_0+7*s_r))*-0.258819,g_oy-eq_c2/2-(s_0+7*s_r),0,0)),NA())</f>
        <v/>
      </c>
      <c r="CP52">
        <f>IF(AND(AND(links_on,8&lt;=n_per),INDEX(lk_kind,8)=1,49&lt;INDEX(lk_legs,8)),g_ox+IF(((49+0.5)*(4*IF(circ_int,0,eq_c1/2)+4*IF(circ_int,0,eq_c2/2)+2*PI()*(s_0+7*s_r+IF(circ_int,eq_c1/2,0)))/INDEX(lk_legs,8))&lt;(2*IF(circ_int,0,eq_c2/2)),IF(circ_int,0,eq_c1/2)+(s_0+7*s_r+IF(circ_int,eq_c1/2,0)),IF(((49+0.5)*(4*IF(circ_int,0,eq_c1/2)+4*IF(circ_int,0,eq_c2/2)+2*PI()*(s_0+7*s_r+IF(circ_int,eq_c1/2,0)))/INDEX(lk_legs,8))&lt;((2*IF(circ_int,0,eq_c2/2))+(PI()*(s_0+7*s_r+IF(circ_int,eq_c1/2,0))/2)),IF(circ_int,0,eq_c1/2)+(s_0+7*s_r+IF(circ_int,eq_c1/2,0))*COS((((49+0.5)*(4*IF(circ_int,0,eq_c1/2)+4*IF(circ_int,0,eq_c2/2)+2*PI()*(s_0+7*s_r+IF(circ_int,eq_c1/2,0)))/INDEX(lk_legs,8))-(2*IF(circ_int,0,eq_c2/2)))/(s_0+7*s_r+IF(circ_int,eq_c1/2,0))),IF(((49+0.5)*(4*IF(circ_int,0,eq_c1/2)+4*IF(circ_int,0,eq_c2/2)+2*PI()*(s_0+7*s_r+IF(circ_int,eq_c1/2,0)))/INDEX(lk_legs,8))&lt;(((2*IF(circ_int,0,eq_c2/2))+(PI()*(s_0+7*s_r+IF(circ_int,eq_c1/2,0))/2))+2*IF(circ_int,0,eq_c1/2)),IF(circ_int,0,eq_c1/2)-(((49+0.5)*(4*IF(circ_int,0,eq_c1/2)+4*IF(circ_int,0,eq_c2/2)+2*PI()*(s_0+7*s_r+IF(circ_int,eq_c1/2,0)))/INDEX(lk_legs,8))-((2*IF(circ_int,0,eq_c2/2))+(PI()*(s_0+7*s_r+IF(circ_int,eq_c1/2,0))/2))),IF(((49+0.5)*(4*IF(circ_int,0,eq_c1/2)+4*IF(circ_int,0,eq_c2/2)+2*PI()*(s_0+7*s_r+IF(circ_int,eq_c1/2,0)))/INDEX(lk_legs,8))&lt;((((2*IF(circ_int,0,eq_c2/2))+(PI()*(s_0+7*s_r+IF(circ_int,eq_c1/2,0))/2))+2*IF(circ_int,0,eq_c1/2))+(PI()*(s_0+7*s_r+IF(circ_int,eq_c1/2,0))/2)),-IF(circ_int,0,eq_c1/2)+(s_0+7*s_r+IF(circ_int,eq_c1/2,0))*COS(PI()/2+(((49+0.5)*(4*IF(circ_int,0,eq_c1/2)+4*IF(circ_int,0,eq_c2/2)+2*PI()*(s_0+7*s_r+IF(circ_int,eq_c1/2,0)))/INDEX(lk_legs,8))-(((2*IF(circ_int,0,eq_c2/2))+(PI()*(s_0+7*s_r+IF(circ_int,eq_c1/2,0))/2))+2*IF(circ_int,0,eq_c1/2)))/(s_0+7*s_r+IF(circ_int,eq_c1/2,0))),IF(((49+0.5)*(4*IF(circ_int,0,eq_c1/2)+4*IF(circ_int,0,eq_c2/2)+2*PI()*(s_0+7*s_r+IF(circ_int,eq_c1/2,0)))/INDEX(lk_legs,8))&lt;(((((2*IF(circ_int,0,eq_c2/2))+(PI()*(s_0+7*s_r+IF(circ_int,eq_c1/2,0))/2))+2*IF(circ_int,0,eq_c1/2))+(PI()*(s_0+7*s_r+IF(circ_int,eq_c1/2,0))/2))+2*IF(circ_int,0,eq_c2/2)),-IF(circ_int,0,eq_c1/2)-(s_0+7*s_r+IF(circ_int,eq_c1/2,0)),IF(((49+0.5)*(4*IF(circ_int,0,eq_c1/2)+4*IF(circ_int,0,eq_c2/2)+2*PI()*(s_0+7*s_r+IF(circ_int,eq_c1/2,0)))/INDEX(lk_legs,8))&lt;((((((2*IF(circ_int,0,eq_c2/2))+(PI()*(s_0+7*s_r+IF(circ_int,eq_c1/2,0))/2))+2*IF(circ_int,0,eq_c1/2))+(PI()*(s_0+7*s_r+IF(circ_int,eq_c1/2,0))/2))+2*IF(circ_int,0,eq_c2/2))+(PI()*(s_0+7*s_r+IF(circ_int,eq_c1/2,0))/2)),-IF(circ_int,0,eq_c1/2)+(s_0+7*s_r+IF(circ_int,eq_c1/2,0))*COS(PI()+(((49+0.5)*(4*IF(circ_int,0,eq_c1/2)+4*IF(circ_int,0,eq_c2/2)+2*PI()*(s_0+7*s_r+IF(circ_int,eq_c1/2,0)))/INDEX(lk_legs,8))-(((((2*IF(circ_int,0,eq_c2/2))+(PI()*(s_0+7*s_r+IF(circ_int,eq_c1/2,0))/2))+2*IF(circ_int,0,eq_c1/2))+(PI()*(s_0+7*s_r+IF(circ_int,eq_c1/2,0))/2))+2*IF(circ_int,0,eq_c2/2)))/(s_0+7*s_r+IF(circ_int,eq_c1/2,0))),IF(((49+0.5)*(4*IF(circ_int,0,eq_c1/2)+4*IF(circ_int,0,eq_c2/2)+2*PI()*(s_0+7*s_r+IF(circ_int,eq_c1/2,0)))/INDEX(lk_legs,8))&lt;(((((((2*IF(circ_int,0,eq_c2/2))+(PI()*(s_0+7*s_r+IF(circ_int,eq_c1/2,0))/2))+2*IF(circ_int,0,eq_c1/2))+(PI()*(s_0+7*s_r+IF(circ_int,eq_c1/2,0))/2))+2*IF(circ_int,0,eq_c2/2))+(PI()*(s_0+7*s_r+IF(circ_int,eq_c1/2,0))/2))+2*IF(circ_int,0,eq_c1/2)),-IF(circ_int,0,eq_c1/2)+(((49+0.5)*(4*IF(circ_int,0,eq_c1/2)+4*IF(circ_int,0,eq_c2/2)+2*PI()*(s_0+7*s_r+IF(circ_int,eq_c1/2,0)))/INDEX(lk_legs,8))-((((((2*IF(circ_int,0,eq_c2/2))+(PI()*(s_0+7*s_r+IF(circ_int,eq_c1/2,0))/2))+2*IF(circ_int,0,eq_c1/2))+(PI()*(s_0+7*s_r+IF(circ_int,eq_c1/2,0))/2))+2*IF(circ_int,0,eq_c2/2))+(PI()*(s_0+7*s_r+IF(circ_int,eq_c1/2,0))/2))),IF(circ_int,0,eq_c1/2)+(s_0+7*s_r+IF(circ_int,eq_c1/2,0))*COS(3*PI()/2+(((49+0.5)*(4*IF(circ_int,0,eq_c1/2)+4*IF(circ_int,0,eq_c2/2)+2*PI()*(s_0+7*s_r+IF(circ_int,eq_c1/2,0)))/INDEX(lk_legs,8))-(((((((2*IF(circ_int,0,eq_c2/2))+(PI()*(s_0+7*s_r+IF(circ_int,eq_c1/2,0))/2))+2*IF(circ_int,0,eq_c1/2))+(PI()*(s_0+7*s_r+IF(circ_int,eq_c1/2,0))/2))+2*IF(circ_int,0,eq_c2/2))+(PI()*(s_0+7*s_r+IF(circ_int,eq_c1/2,0))/2))+2*IF(circ_int,0,eq_c1/2)))/(s_0+7*s_r+IF(circ_int,eq_c1/2,0)))))))))),NA())</f>
        <v/>
      </c>
      <c r="CQ52">
        <f>IF(AND(AND(links_on,8&lt;=n_per),INDEX(lk_kind,8)=1,49&lt;INDEX(lk_legs,8)),g_oy+IF(((49+0.5)*(4*IF(circ_int,0,eq_c1/2)+4*IF(circ_int,0,eq_c2/2)+2*PI()*(s_0+7*s_r+IF(circ_int,eq_c1/2,0)))/INDEX(lk_legs,8))&lt;(2*IF(circ_int,0,eq_c2/2)),-IF(circ_int,0,eq_c2/2)+((49+0.5)*(4*IF(circ_int,0,eq_c1/2)+4*IF(circ_int,0,eq_c2/2)+2*PI()*(s_0+7*s_r+IF(circ_int,eq_c1/2,0)))/INDEX(lk_legs,8)),IF(((49+0.5)*(4*IF(circ_int,0,eq_c1/2)+4*IF(circ_int,0,eq_c2/2)+2*PI()*(s_0+7*s_r+IF(circ_int,eq_c1/2,0)))/INDEX(lk_legs,8))&lt;((2*IF(circ_int,0,eq_c2/2))+(PI()*(s_0+7*s_r+IF(circ_int,eq_c1/2,0))/2)),IF(circ_int,0,eq_c2/2)+(s_0+7*s_r+IF(circ_int,eq_c1/2,0))*SIN((((49+0.5)*(4*IF(circ_int,0,eq_c1/2)+4*IF(circ_int,0,eq_c2/2)+2*PI()*(s_0+7*s_r+IF(circ_int,eq_c1/2,0)))/INDEX(lk_legs,8))-(2*IF(circ_int,0,eq_c2/2)))/(s_0+7*s_r+IF(circ_int,eq_c1/2,0))),IF(((49+0.5)*(4*IF(circ_int,0,eq_c1/2)+4*IF(circ_int,0,eq_c2/2)+2*PI()*(s_0+7*s_r+IF(circ_int,eq_c1/2,0)))/INDEX(lk_legs,8))&lt;(((2*IF(circ_int,0,eq_c2/2))+(PI()*(s_0+7*s_r+IF(circ_int,eq_c1/2,0))/2))+2*IF(circ_int,0,eq_c1/2)),IF(circ_int,0,eq_c2/2)+(s_0+7*s_r+IF(circ_int,eq_c1/2,0)),IF(((49+0.5)*(4*IF(circ_int,0,eq_c1/2)+4*IF(circ_int,0,eq_c2/2)+2*PI()*(s_0+7*s_r+IF(circ_int,eq_c1/2,0)))/INDEX(lk_legs,8))&lt;((((2*IF(circ_int,0,eq_c2/2))+(PI()*(s_0+7*s_r+IF(circ_int,eq_c1/2,0))/2))+2*IF(circ_int,0,eq_c1/2))+(PI()*(s_0+7*s_r+IF(circ_int,eq_c1/2,0))/2)),IF(circ_int,0,eq_c2/2)+(s_0+7*s_r+IF(circ_int,eq_c1/2,0))*SIN(PI()/2+(((49+0.5)*(4*IF(circ_int,0,eq_c1/2)+4*IF(circ_int,0,eq_c2/2)+2*PI()*(s_0+7*s_r+IF(circ_int,eq_c1/2,0)))/INDEX(lk_legs,8))-(((2*IF(circ_int,0,eq_c2/2))+(PI()*(s_0+7*s_r+IF(circ_int,eq_c1/2,0))/2))+2*IF(circ_int,0,eq_c1/2)))/(s_0+7*s_r+IF(circ_int,eq_c1/2,0))),IF(((49+0.5)*(4*IF(circ_int,0,eq_c1/2)+4*IF(circ_int,0,eq_c2/2)+2*PI()*(s_0+7*s_r+IF(circ_int,eq_c1/2,0)))/INDEX(lk_legs,8))&lt;(((((2*IF(circ_int,0,eq_c2/2))+(PI()*(s_0+7*s_r+IF(circ_int,eq_c1/2,0))/2))+2*IF(circ_int,0,eq_c1/2))+(PI()*(s_0+7*s_r+IF(circ_int,eq_c1/2,0))/2))+2*IF(circ_int,0,eq_c2/2)),IF(circ_int,0,eq_c2/2)-(((49+0.5)*(4*IF(circ_int,0,eq_c1/2)+4*IF(circ_int,0,eq_c2/2)+2*PI()*(s_0+7*s_r+IF(circ_int,eq_c1/2,0)))/INDEX(lk_legs,8))-((((2*IF(circ_int,0,eq_c2/2))+(PI()*(s_0+7*s_r+IF(circ_int,eq_c1/2,0))/2))+2*IF(circ_int,0,eq_c1/2))+(PI()*(s_0+7*s_r+IF(circ_int,eq_c1/2,0))/2))),IF(((49+0.5)*(4*IF(circ_int,0,eq_c1/2)+4*IF(circ_int,0,eq_c2/2)+2*PI()*(s_0+7*s_r+IF(circ_int,eq_c1/2,0)))/INDEX(lk_legs,8))&lt;((((((2*IF(circ_int,0,eq_c2/2))+(PI()*(s_0+7*s_r+IF(circ_int,eq_c1/2,0))/2))+2*IF(circ_int,0,eq_c1/2))+(PI()*(s_0+7*s_r+IF(circ_int,eq_c1/2,0))/2))+2*IF(circ_int,0,eq_c2/2))+(PI()*(s_0+7*s_r+IF(circ_int,eq_c1/2,0))/2)),-IF(circ_int,0,eq_c2/2)+(s_0+7*s_r+IF(circ_int,eq_c1/2,0))*SIN(PI()+(((49+0.5)*(4*IF(circ_int,0,eq_c1/2)+4*IF(circ_int,0,eq_c2/2)+2*PI()*(s_0+7*s_r+IF(circ_int,eq_c1/2,0)))/INDEX(lk_legs,8))-(((((2*IF(circ_int,0,eq_c2/2))+(PI()*(s_0+7*s_r+IF(circ_int,eq_c1/2,0))/2))+2*IF(circ_int,0,eq_c1/2))+(PI()*(s_0+7*s_r+IF(circ_int,eq_c1/2,0))/2))+2*IF(circ_int,0,eq_c2/2)))/(s_0+7*s_r+IF(circ_int,eq_c1/2,0))),IF(((49+0.5)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(49+0.5)*(4*IF(circ_int,0,eq_c1/2)+4*IF(circ_int,0,eq_c2/2)+2*PI()*(s_0+7*s_r+IF(circ_int,eq_c1/2,0)))/INDEX(lk_legs,8))-(((((((2*IF(circ_int,0,eq_c2/2))+(PI()*(s_0+7*s_r+IF(circ_int,eq_c1/2,0))/2))+2*IF(circ_int,0,eq_c1/2))+(PI()*(s_0+7*s_r+IF(circ_int,eq_c1/2,0))/2))+2*IF(circ_int,0,eq_c2/2))+(PI()*(s_0+7*s_r+IF(circ_int,eq_c1/2,0))/2))+2*IF(circ_int,0,eq_c1/2)))/(s_0+7*s_r+IF(circ_int,eq_c1/2,0)))))))))),NA())</f>
        <v/>
      </c>
      <c r="CS52">
        <f>IF(AND(links_on,9&lt;=n_per),IF(circ_int,(g_ox)+(c_1/2+(s_0+8*s_r))*0.935016,CHOOSE(INDEX(lk_kind,9),(g_ox+eq_c1/2)+((s_0+8*s_r))*0.965926,0,eq_a1+eq_c1+(s_0+8*s_r),eq_a1+eq_c1+(s_0+8*s_r))),NA())</f>
        <v/>
      </c>
      <c r="CT52">
        <f>IF(AND(links_on,9&lt;=n_per),IF(circ_int,(g_oy)+(c_1/2+(s_0+8*s_r))*-0.354605,CHOOSE(INDEX(lk_kind,9),(g_oy-eq_c2/2)+((s_0+8*s_r))*-0.258819,g_oy-eq_c2/2-(s_0+8*s_r),0,0)),NA())</f>
        <v/>
      </c>
      <c r="CV52">
        <f>IF(AND(AND(links_on,9&lt;=n_per),INDEX(lk_kind,9)=1,49&lt;INDEX(lk_legs,9)),g_ox+IF(((49+0.5)*(4*IF(circ_int,0,eq_c1/2)+4*IF(circ_int,0,eq_c2/2)+2*PI()*(s_0+8*s_r+IF(circ_int,eq_c1/2,0)))/INDEX(lk_legs,9))&lt;(2*IF(circ_int,0,eq_c2/2)),IF(circ_int,0,eq_c1/2)+(s_0+8*s_r+IF(circ_int,eq_c1/2,0)),IF(((49+0.5)*(4*IF(circ_int,0,eq_c1/2)+4*IF(circ_int,0,eq_c2/2)+2*PI()*(s_0+8*s_r+IF(circ_int,eq_c1/2,0)))/INDEX(lk_legs,9))&lt;((2*IF(circ_int,0,eq_c2/2))+(PI()*(s_0+8*s_r+IF(circ_int,eq_c1/2,0))/2)),IF(circ_int,0,eq_c1/2)+(s_0+8*s_r+IF(circ_int,eq_c1/2,0))*COS((((49+0.5)*(4*IF(circ_int,0,eq_c1/2)+4*IF(circ_int,0,eq_c2/2)+2*PI()*(s_0+8*s_r+IF(circ_int,eq_c1/2,0)))/INDEX(lk_legs,9))-(2*IF(circ_int,0,eq_c2/2)))/(s_0+8*s_r+IF(circ_int,eq_c1/2,0))),IF(((49+0.5)*(4*IF(circ_int,0,eq_c1/2)+4*IF(circ_int,0,eq_c2/2)+2*PI()*(s_0+8*s_r+IF(circ_int,eq_c1/2,0)))/INDEX(lk_legs,9))&lt;(((2*IF(circ_int,0,eq_c2/2))+(PI()*(s_0+8*s_r+IF(circ_int,eq_c1/2,0))/2))+2*IF(circ_int,0,eq_c1/2)),IF(circ_int,0,eq_c1/2)-(((49+0.5)*(4*IF(circ_int,0,eq_c1/2)+4*IF(circ_int,0,eq_c2/2)+2*PI()*(s_0+8*s_r+IF(circ_int,eq_c1/2,0)))/INDEX(lk_legs,9))-((2*IF(circ_int,0,eq_c2/2))+(PI()*(s_0+8*s_r+IF(circ_int,eq_c1/2,0))/2))),IF(((49+0.5)*(4*IF(circ_int,0,eq_c1/2)+4*IF(circ_int,0,eq_c2/2)+2*PI()*(s_0+8*s_r+IF(circ_int,eq_c1/2,0)))/INDEX(lk_legs,9))&lt;((((2*IF(circ_int,0,eq_c2/2))+(PI()*(s_0+8*s_r+IF(circ_int,eq_c1/2,0))/2))+2*IF(circ_int,0,eq_c1/2))+(PI()*(s_0+8*s_r+IF(circ_int,eq_c1/2,0))/2)),-IF(circ_int,0,eq_c1/2)+(s_0+8*s_r+IF(circ_int,eq_c1/2,0))*COS(PI()/2+(((49+0.5)*(4*IF(circ_int,0,eq_c1/2)+4*IF(circ_int,0,eq_c2/2)+2*PI()*(s_0+8*s_r+IF(circ_int,eq_c1/2,0)))/INDEX(lk_legs,9))-(((2*IF(circ_int,0,eq_c2/2))+(PI()*(s_0+8*s_r+IF(circ_int,eq_c1/2,0))/2))+2*IF(circ_int,0,eq_c1/2)))/(s_0+8*s_r+IF(circ_int,eq_c1/2,0))),IF(((49+0.5)*(4*IF(circ_int,0,eq_c1/2)+4*IF(circ_int,0,eq_c2/2)+2*PI()*(s_0+8*s_r+IF(circ_int,eq_c1/2,0)))/INDEX(lk_legs,9))&lt;(((((2*IF(circ_int,0,eq_c2/2))+(PI()*(s_0+8*s_r+IF(circ_int,eq_c1/2,0))/2))+2*IF(circ_int,0,eq_c1/2))+(PI()*(s_0+8*s_r+IF(circ_int,eq_c1/2,0))/2))+2*IF(circ_int,0,eq_c2/2)),-IF(circ_int,0,eq_c1/2)-(s_0+8*s_r+IF(circ_int,eq_c1/2,0)),IF(((49+0.5)*(4*IF(circ_int,0,eq_c1/2)+4*IF(circ_int,0,eq_c2/2)+2*PI()*(s_0+8*s_r+IF(circ_int,eq_c1/2,0)))/INDEX(lk_legs,9))&lt;((((((2*IF(circ_int,0,eq_c2/2))+(PI()*(s_0+8*s_r+IF(circ_int,eq_c1/2,0))/2))+2*IF(circ_int,0,eq_c1/2))+(PI()*(s_0+8*s_r+IF(circ_int,eq_c1/2,0))/2))+2*IF(circ_int,0,eq_c2/2))+(PI()*(s_0+8*s_r+IF(circ_int,eq_c1/2,0))/2)),-IF(circ_int,0,eq_c1/2)+(s_0+8*s_r+IF(circ_int,eq_c1/2,0))*COS(PI()+(((49+0.5)*(4*IF(circ_int,0,eq_c1/2)+4*IF(circ_int,0,eq_c2/2)+2*PI()*(s_0+8*s_r+IF(circ_int,eq_c1/2,0)))/INDEX(lk_legs,9))-(((((2*IF(circ_int,0,eq_c2/2))+(PI()*(s_0+8*s_r+IF(circ_int,eq_c1/2,0))/2))+2*IF(circ_int,0,eq_c1/2))+(PI()*(s_0+8*s_r+IF(circ_int,eq_c1/2,0))/2))+2*IF(circ_int,0,eq_c2/2)))/(s_0+8*s_r+IF(circ_int,eq_c1/2,0))),IF(((49+0.5)*(4*IF(circ_int,0,eq_c1/2)+4*IF(circ_int,0,eq_c2/2)+2*PI()*(s_0+8*s_r+IF(circ_int,eq_c1/2,0)))/INDEX(lk_legs,9))&lt;(((((((2*IF(circ_int,0,eq_c2/2))+(PI()*(s_0+8*s_r+IF(circ_int,eq_c1/2,0))/2))+2*IF(circ_int,0,eq_c1/2))+(PI()*(s_0+8*s_r+IF(circ_int,eq_c1/2,0))/2))+2*IF(circ_int,0,eq_c2/2))+(PI()*(s_0+8*s_r+IF(circ_int,eq_c1/2,0))/2))+2*IF(circ_int,0,eq_c1/2)),-IF(circ_int,0,eq_c1/2)+(((49+0.5)*(4*IF(circ_int,0,eq_c1/2)+4*IF(circ_int,0,eq_c2/2)+2*PI()*(s_0+8*s_r+IF(circ_int,eq_c1/2,0)))/INDEX(lk_legs,9))-((((((2*IF(circ_int,0,eq_c2/2))+(PI()*(s_0+8*s_r+IF(circ_int,eq_c1/2,0))/2))+2*IF(circ_int,0,eq_c1/2))+(PI()*(s_0+8*s_r+IF(circ_int,eq_c1/2,0))/2))+2*IF(circ_int,0,eq_c2/2))+(PI()*(s_0+8*s_r+IF(circ_int,eq_c1/2,0))/2))),IF(circ_int,0,eq_c1/2)+(s_0+8*s_r+IF(circ_int,eq_c1/2,0))*COS(3*PI()/2+(((49+0.5)*(4*IF(circ_int,0,eq_c1/2)+4*IF(circ_int,0,eq_c2/2)+2*PI()*(s_0+8*s_r+IF(circ_int,eq_c1/2,0)))/INDEX(lk_legs,9))-(((((((2*IF(circ_int,0,eq_c2/2))+(PI()*(s_0+8*s_r+IF(circ_int,eq_c1/2,0))/2))+2*IF(circ_int,0,eq_c1/2))+(PI()*(s_0+8*s_r+IF(circ_int,eq_c1/2,0))/2))+2*IF(circ_int,0,eq_c2/2))+(PI()*(s_0+8*s_r+IF(circ_int,eq_c1/2,0))/2))+2*IF(circ_int,0,eq_c1/2)))/(s_0+8*s_r+IF(circ_int,eq_c1/2,0)))))))))),NA())</f>
        <v/>
      </c>
      <c r="CW52">
        <f>IF(AND(AND(links_on,9&lt;=n_per),INDEX(lk_kind,9)=1,49&lt;INDEX(lk_legs,9)),g_oy+IF(((49+0.5)*(4*IF(circ_int,0,eq_c1/2)+4*IF(circ_int,0,eq_c2/2)+2*PI()*(s_0+8*s_r+IF(circ_int,eq_c1/2,0)))/INDEX(lk_legs,9))&lt;(2*IF(circ_int,0,eq_c2/2)),-IF(circ_int,0,eq_c2/2)+((49+0.5)*(4*IF(circ_int,0,eq_c1/2)+4*IF(circ_int,0,eq_c2/2)+2*PI()*(s_0+8*s_r+IF(circ_int,eq_c1/2,0)))/INDEX(lk_legs,9)),IF(((49+0.5)*(4*IF(circ_int,0,eq_c1/2)+4*IF(circ_int,0,eq_c2/2)+2*PI()*(s_0+8*s_r+IF(circ_int,eq_c1/2,0)))/INDEX(lk_legs,9))&lt;((2*IF(circ_int,0,eq_c2/2))+(PI()*(s_0+8*s_r+IF(circ_int,eq_c1/2,0))/2)),IF(circ_int,0,eq_c2/2)+(s_0+8*s_r+IF(circ_int,eq_c1/2,0))*SIN((((49+0.5)*(4*IF(circ_int,0,eq_c1/2)+4*IF(circ_int,0,eq_c2/2)+2*PI()*(s_0+8*s_r+IF(circ_int,eq_c1/2,0)))/INDEX(lk_legs,9))-(2*IF(circ_int,0,eq_c2/2)))/(s_0+8*s_r+IF(circ_int,eq_c1/2,0))),IF(((49+0.5)*(4*IF(circ_int,0,eq_c1/2)+4*IF(circ_int,0,eq_c2/2)+2*PI()*(s_0+8*s_r+IF(circ_int,eq_c1/2,0)))/INDEX(lk_legs,9))&lt;(((2*IF(circ_int,0,eq_c2/2))+(PI()*(s_0+8*s_r+IF(circ_int,eq_c1/2,0))/2))+2*IF(circ_int,0,eq_c1/2)),IF(circ_int,0,eq_c2/2)+(s_0+8*s_r+IF(circ_int,eq_c1/2,0)),IF(((49+0.5)*(4*IF(circ_int,0,eq_c1/2)+4*IF(circ_int,0,eq_c2/2)+2*PI()*(s_0+8*s_r+IF(circ_int,eq_c1/2,0)))/INDEX(lk_legs,9))&lt;((((2*IF(circ_int,0,eq_c2/2))+(PI()*(s_0+8*s_r+IF(circ_int,eq_c1/2,0))/2))+2*IF(circ_int,0,eq_c1/2))+(PI()*(s_0+8*s_r+IF(circ_int,eq_c1/2,0))/2)),IF(circ_int,0,eq_c2/2)+(s_0+8*s_r+IF(circ_int,eq_c1/2,0))*SIN(PI()/2+(((49+0.5)*(4*IF(circ_int,0,eq_c1/2)+4*IF(circ_int,0,eq_c2/2)+2*PI()*(s_0+8*s_r+IF(circ_int,eq_c1/2,0)))/INDEX(lk_legs,9))-(((2*IF(circ_int,0,eq_c2/2))+(PI()*(s_0+8*s_r+IF(circ_int,eq_c1/2,0))/2))+2*IF(circ_int,0,eq_c1/2)))/(s_0+8*s_r+IF(circ_int,eq_c1/2,0))),IF(((49+0.5)*(4*IF(circ_int,0,eq_c1/2)+4*IF(circ_int,0,eq_c2/2)+2*PI()*(s_0+8*s_r+IF(circ_int,eq_c1/2,0)))/INDEX(lk_legs,9))&lt;(((((2*IF(circ_int,0,eq_c2/2))+(PI()*(s_0+8*s_r+IF(circ_int,eq_c1/2,0))/2))+2*IF(circ_int,0,eq_c1/2))+(PI()*(s_0+8*s_r+IF(circ_int,eq_c1/2,0))/2))+2*IF(circ_int,0,eq_c2/2)),IF(circ_int,0,eq_c2/2)-(((49+0.5)*(4*IF(circ_int,0,eq_c1/2)+4*IF(circ_int,0,eq_c2/2)+2*PI()*(s_0+8*s_r+IF(circ_int,eq_c1/2,0)))/INDEX(lk_legs,9))-((((2*IF(circ_int,0,eq_c2/2))+(PI()*(s_0+8*s_r+IF(circ_int,eq_c1/2,0))/2))+2*IF(circ_int,0,eq_c1/2))+(PI()*(s_0+8*s_r+IF(circ_int,eq_c1/2,0))/2))),IF(((49+0.5)*(4*IF(circ_int,0,eq_c1/2)+4*IF(circ_int,0,eq_c2/2)+2*PI()*(s_0+8*s_r+IF(circ_int,eq_c1/2,0)))/INDEX(lk_legs,9))&lt;((((((2*IF(circ_int,0,eq_c2/2))+(PI()*(s_0+8*s_r+IF(circ_int,eq_c1/2,0))/2))+2*IF(circ_int,0,eq_c1/2))+(PI()*(s_0+8*s_r+IF(circ_int,eq_c1/2,0))/2))+2*IF(circ_int,0,eq_c2/2))+(PI()*(s_0+8*s_r+IF(circ_int,eq_c1/2,0))/2)),-IF(circ_int,0,eq_c2/2)+(s_0+8*s_r+IF(circ_int,eq_c1/2,0))*SIN(PI()+(((49+0.5)*(4*IF(circ_int,0,eq_c1/2)+4*IF(circ_int,0,eq_c2/2)+2*PI()*(s_0+8*s_r+IF(circ_int,eq_c1/2,0)))/INDEX(lk_legs,9))-(((((2*IF(circ_int,0,eq_c2/2))+(PI()*(s_0+8*s_r+IF(circ_int,eq_c1/2,0))/2))+2*IF(circ_int,0,eq_c1/2))+(PI()*(s_0+8*s_r+IF(circ_int,eq_c1/2,0))/2))+2*IF(circ_int,0,eq_c2/2)))/(s_0+8*s_r+IF(circ_int,eq_c1/2,0))),IF(((49+0.5)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(49+0.5)*(4*IF(circ_int,0,eq_c1/2)+4*IF(circ_int,0,eq_c2/2)+2*PI()*(s_0+8*s_r+IF(circ_int,eq_c1/2,0)))/INDEX(lk_legs,9))-(((((((2*IF(circ_int,0,eq_c2/2))+(PI()*(s_0+8*s_r+IF(circ_int,eq_c1/2,0))/2))+2*IF(circ_int,0,eq_c1/2))+(PI()*(s_0+8*s_r+IF(circ_int,eq_c1/2,0))/2))+2*IF(circ_int,0,eq_c2/2))+(PI()*(s_0+8*s_r+IF(circ_int,eq_c1/2,0))/2))+2*IF(circ_int,0,eq_c1/2)))/(s_0+8*s_r+IF(circ_int,eq_c1/2,0)))))))))),NA())</f>
        <v/>
      </c>
      <c r="CY52">
        <f>IF(AND(links_on,10&lt;=n_per),IF(circ_int,(g_ox)+(c_1/2+(s_0+9*s_r))*0.935016,CHOOSE(INDEX(lk_kind,10),(g_ox+eq_c1/2)+((s_0+9*s_r))*0.965926,0,eq_a1+eq_c1+(s_0+9*s_r),eq_a1+eq_c1+(s_0+9*s_r))),NA())</f>
        <v/>
      </c>
      <c r="CZ52">
        <f>IF(AND(links_on,10&lt;=n_per),IF(circ_int,(g_oy)+(c_1/2+(s_0+9*s_r))*-0.354605,CHOOSE(INDEX(lk_kind,10),(g_oy-eq_c2/2)+((s_0+9*s_r))*-0.258819,g_oy-eq_c2/2-(s_0+9*s_r),0,0)),NA())</f>
        <v/>
      </c>
      <c r="DB52">
        <f>IF(AND(AND(links_on,10&lt;=n_per),INDEX(lk_kind,10)=1,49&lt;INDEX(lk_legs,10)),g_ox+IF(((49+0.5)*(4*IF(circ_int,0,eq_c1/2)+4*IF(circ_int,0,eq_c2/2)+2*PI()*(s_0+9*s_r+IF(circ_int,eq_c1/2,0)))/INDEX(lk_legs,10))&lt;(2*IF(circ_int,0,eq_c2/2)),IF(circ_int,0,eq_c1/2)+(s_0+9*s_r+IF(circ_int,eq_c1/2,0)),IF(((49+0.5)*(4*IF(circ_int,0,eq_c1/2)+4*IF(circ_int,0,eq_c2/2)+2*PI()*(s_0+9*s_r+IF(circ_int,eq_c1/2,0)))/INDEX(lk_legs,10))&lt;((2*IF(circ_int,0,eq_c2/2))+(PI()*(s_0+9*s_r+IF(circ_int,eq_c1/2,0))/2)),IF(circ_int,0,eq_c1/2)+(s_0+9*s_r+IF(circ_int,eq_c1/2,0))*COS((((49+0.5)*(4*IF(circ_int,0,eq_c1/2)+4*IF(circ_int,0,eq_c2/2)+2*PI()*(s_0+9*s_r+IF(circ_int,eq_c1/2,0)))/INDEX(lk_legs,10))-(2*IF(circ_int,0,eq_c2/2)))/(s_0+9*s_r+IF(circ_int,eq_c1/2,0))),IF(((49+0.5)*(4*IF(circ_int,0,eq_c1/2)+4*IF(circ_int,0,eq_c2/2)+2*PI()*(s_0+9*s_r+IF(circ_int,eq_c1/2,0)))/INDEX(lk_legs,10))&lt;(((2*IF(circ_int,0,eq_c2/2))+(PI()*(s_0+9*s_r+IF(circ_int,eq_c1/2,0))/2))+2*IF(circ_int,0,eq_c1/2)),IF(circ_int,0,eq_c1/2)-(((49+0.5)*(4*IF(circ_int,0,eq_c1/2)+4*IF(circ_int,0,eq_c2/2)+2*PI()*(s_0+9*s_r+IF(circ_int,eq_c1/2,0)))/INDEX(lk_legs,10))-((2*IF(circ_int,0,eq_c2/2))+(PI()*(s_0+9*s_r+IF(circ_int,eq_c1/2,0))/2))),IF(((49+0.5)*(4*IF(circ_int,0,eq_c1/2)+4*IF(circ_int,0,eq_c2/2)+2*PI()*(s_0+9*s_r+IF(circ_int,eq_c1/2,0)))/INDEX(lk_legs,10))&lt;((((2*IF(circ_int,0,eq_c2/2))+(PI()*(s_0+9*s_r+IF(circ_int,eq_c1/2,0))/2))+2*IF(circ_int,0,eq_c1/2))+(PI()*(s_0+9*s_r+IF(circ_int,eq_c1/2,0))/2)),-IF(circ_int,0,eq_c1/2)+(s_0+9*s_r+IF(circ_int,eq_c1/2,0))*COS(PI()/2+(((49+0.5)*(4*IF(circ_int,0,eq_c1/2)+4*IF(circ_int,0,eq_c2/2)+2*PI()*(s_0+9*s_r+IF(circ_int,eq_c1/2,0)))/INDEX(lk_legs,10))-(((2*IF(circ_int,0,eq_c2/2))+(PI()*(s_0+9*s_r+IF(circ_int,eq_c1/2,0))/2))+2*IF(circ_int,0,eq_c1/2)))/(s_0+9*s_r+IF(circ_int,eq_c1/2,0))),IF(((49+0.5)*(4*IF(circ_int,0,eq_c1/2)+4*IF(circ_int,0,eq_c2/2)+2*PI()*(s_0+9*s_r+IF(circ_int,eq_c1/2,0)))/INDEX(lk_legs,10))&lt;(((((2*IF(circ_int,0,eq_c2/2))+(PI()*(s_0+9*s_r+IF(circ_int,eq_c1/2,0))/2))+2*IF(circ_int,0,eq_c1/2))+(PI()*(s_0+9*s_r+IF(circ_int,eq_c1/2,0))/2))+2*IF(circ_int,0,eq_c2/2)),-IF(circ_int,0,eq_c1/2)-(s_0+9*s_r+IF(circ_int,eq_c1/2,0)),IF(((49+0.5)*(4*IF(circ_int,0,eq_c1/2)+4*IF(circ_int,0,eq_c2/2)+2*PI()*(s_0+9*s_r+IF(circ_int,eq_c1/2,0)))/INDEX(lk_legs,10))&lt;((((((2*IF(circ_int,0,eq_c2/2))+(PI()*(s_0+9*s_r+IF(circ_int,eq_c1/2,0))/2))+2*IF(circ_int,0,eq_c1/2))+(PI()*(s_0+9*s_r+IF(circ_int,eq_c1/2,0))/2))+2*IF(circ_int,0,eq_c2/2))+(PI()*(s_0+9*s_r+IF(circ_int,eq_c1/2,0))/2)),-IF(circ_int,0,eq_c1/2)+(s_0+9*s_r+IF(circ_int,eq_c1/2,0))*COS(PI()+(((49+0.5)*(4*IF(circ_int,0,eq_c1/2)+4*IF(circ_int,0,eq_c2/2)+2*PI()*(s_0+9*s_r+IF(circ_int,eq_c1/2,0)))/INDEX(lk_legs,10))-(((((2*IF(circ_int,0,eq_c2/2))+(PI()*(s_0+9*s_r+IF(circ_int,eq_c1/2,0))/2))+2*IF(circ_int,0,eq_c1/2))+(PI()*(s_0+9*s_r+IF(circ_int,eq_c1/2,0))/2))+2*IF(circ_int,0,eq_c2/2)))/(s_0+9*s_r+IF(circ_int,eq_c1/2,0))),IF(((49+0.5)*(4*IF(circ_int,0,eq_c1/2)+4*IF(circ_int,0,eq_c2/2)+2*PI()*(s_0+9*s_r+IF(circ_int,eq_c1/2,0)))/INDEX(lk_legs,10))&lt;(((((((2*IF(circ_int,0,eq_c2/2))+(PI()*(s_0+9*s_r+IF(circ_int,eq_c1/2,0))/2))+2*IF(circ_int,0,eq_c1/2))+(PI()*(s_0+9*s_r+IF(circ_int,eq_c1/2,0))/2))+2*IF(circ_int,0,eq_c2/2))+(PI()*(s_0+9*s_r+IF(circ_int,eq_c1/2,0))/2))+2*IF(circ_int,0,eq_c1/2)),-IF(circ_int,0,eq_c1/2)+(((49+0.5)*(4*IF(circ_int,0,eq_c1/2)+4*IF(circ_int,0,eq_c2/2)+2*PI()*(s_0+9*s_r+IF(circ_int,eq_c1/2,0)))/INDEX(lk_legs,10))-((((((2*IF(circ_int,0,eq_c2/2))+(PI()*(s_0+9*s_r+IF(circ_int,eq_c1/2,0))/2))+2*IF(circ_int,0,eq_c1/2))+(PI()*(s_0+9*s_r+IF(circ_int,eq_c1/2,0))/2))+2*IF(circ_int,0,eq_c2/2))+(PI()*(s_0+9*s_r+IF(circ_int,eq_c1/2,0))/2))),IF(circ_int,0,eq_c1/2)+(s_0+9*s_r+IF(circ_int,eq_c1/2,0))*COS(3*PI()/2+(((49+0.5)*(4*IF(circ_int,0,eq_c1/2)+4*IF(circ_int,0,eq_c2/2)+2*PI()*(s_0+9*s_r+IF(circ_int,eq_c1/2,0)))/INDEX(lk_legs,10))-(((((((2*IF(circ_int,0,eq_c2/2))+(PI()*(s_0+9*s_r+IF(circ_int,eq_c1/2,0))/2))+2*IF(circ_int,0,eq_c1/2))+(PI()*(s_0+9*s_r+IF(circ_int,eq_c1/2,0))/2))+2*IF(circ_int,0,eq_c2/2))+(PI()*(s_0+9*s_r+IF(circ_int,eq_c1/2,0))/2))+2*IF(circ_int,0,eq_c1/2)))/(s_0+9*s_r+IF(circ_int,eq_c1/2,0)))))))))),NA())</f>
        <v/>
      </c>
      <c r="DC52">
        <f>IF(AND(AND(links_on,10&lt;=n_per),INDEX(lk_kind,10)=1,49&lt;INDEX(lk_legs,10)),g_oy+IF(((49+0.5)*(4*IF(circ_int,0,eq_c1/2)+4*IF(circ_int,0,eq_c2/2)+2*PI()*(s_0+9*s_r+IF(circ_int,eq_c1/2,0)))/INDEX(lk_legs,10))&lt;(2*IF(circ_int,0,eq_c2/2)),-IF(circ_int,0,eq_c2/2)+((49+0.5)*(4*IF(circ_int,0,eq_c1/2)+4*IF(circ_int,0,eq_c2/2)+2*PI()*(s_0+9*s_r+IF(circ_int,eq_c1/2,0)))/INDEX(lk_legs,10)),IF(((49+0.5)*(4*IF(circ_int,0,eq_c1/2)+4*IF(circ_int,0,eq_c2/2)+2*PI()*(s_0+9*s_r+IF(circ_int,eq_c1/2,0)))/INDEX(lk_legs,10))&lt;((2*IF(circ_int,0,eq_c2/2))+(PI()*(s_0+9*s_r+IF(circ_int,eq_c1/2,0))/2)),IF(circ_int,0,eq_c2/2)+(s_0+9*s_r+IF(circ_int,eq_c1/2,0))*SIN((((49+0.5)*(4*IF(circ_int,0,eq_c1/2)+4*IF(circ_int,0,eq_c2/2)+2*PI()*(s_0+9*s_r+IF(circ_int,eq_c1/2,0)))/INDEX(lk_legs,10))-(2*IF(circ_int,0,eq_c2/2)))/(s_0+9*s_r+IF(circ_int,eq_c1/2,0))),IF(((49+0.5)*(4*IF(circ_int,0,eq_c1/2)+4*IF(circ_int,0,eq_c2/2)+2*PI()*(s_0+9*s_r+IF(circ_int,eq_c1/2,0)))/INDEX(lk_legs,10))&lt;(((2*IF(circ_int,0,eq_c2/2))+(PI()*(s_0+9*s_r+IF(circ_int,eq_c1/2,0))/2))+2*IF(circ_int,0,eq_c1/2)),IF(circ_int,0,eq_c2/2)+(s_0+9*s_r+IF(circ_int,eq_c1/2,0)),IF(((49+0.5)*(4*IF(circ_int,0,eq_c1/2)+4*IF(circ_int,0,eq_c2/2)+2*PI()*(s_0+9*s_r+IF(circ_int,eq_c1/2,0)))/INDEX(lk_legs,10))&lt;((((2*IF(circ_int,0,eq_c2/2))+(PI()*(s_0+9*s_r+IF(circ_int,eq_c1/2,0))/2))+2*IF(circ_int,0,eq_c1/2))+(PI()*(s_0+9*s_r+IF(circ_int,eq_c1/2,0))/2)),IF(circ_int,0,eq_c2/2)+(s_0+9*s_r+IF(circ_int,eq_c1/2,0))*SIN(PI()/2+(((49+0.5)*(4*IF(circ_int,0,eq_c1/2)+4*IF(circ_int,0,eq_c2/2)+2*PI()*(s_0+9*s_r+IF(circ_int,eq_c1/2,0)))/INDEX(lk_legs,10))-(((2*IF(circ_int,0,eq_c2/2))+(PI()*(s_0+9*s_r+IF(circ_int,eq_c1/2,0))/2))+2*IF(circ_int,0,eq_c1/2)))/(s_0+9*s_r+IF(circ_int,eq_c1/2,0))),IF(((49+0.5)*(4*IF(circ_int,0,eq_c1/2)+4*IF(circ_int,0,eq_c2/2)+2*PI()*(s_0+9*s_r+IF(circ_int,eq_c1/2,0)))/INDEX(lk_legs,10))&lt;(((((2*IF(circ_int,0,eq_c2/2))+(PI()*(s_0+9*s_r+IF(circ_int,eq_c1/2,0))/2))+2*IF(circ_int,0,eq_c1/2))+(PI()*(s_0+9*s_r+IF(circ_int,eq_c1/2,0))/2))+2*IF(circ_int,0,eq_c2/2)),IF(circ_int,0,eq_c2/2)-(((49+0.5)*(4*IF(circ_int,0,eq_c1/2)+4*IF(circ_int,0,eq_c2/2)+2*PI()*(s_0+9*s_r+IF(circ_int,eq_c1/2,0)))/INDEX(lk_legs,10))-((((2*IF(circ_int,0,eq_c2/2))+(PI()*(s_0+9*s_r+IF(circ_int,eq_c1/2,0))/2))+2*IF(circ_int,0,eq_c1/2))+(PI()*(s_0+9*s_r+IF(circ_int,eq_c1/2,0))/2))),IF(((49+0.5)*(4*IF(circ_int,0,eq_c1/2)+4*IF(circ_int,0,eq_c2/2)+2*PI()*(s_0+9*s_r+IF(circ_int,eq_c1/2,0)))/INDEX(lk_legs,10))&lt;((((((2*IF(circ_int,0,eq_c2/2))+(PI()*(s_0+9*s_r+IF(circ_int,eq_c1/2,0))/2))+2*IF(circ_int,0,eq_c1/2))+(PI()*(s_0+9*s_r+IF(circ_int,eq_c1/2,0))/2))+2*IF(circ_int,0,eq_c2/2))+(PI()*(s_0+9*s_r+IF(circ_int,eq_c1/2,0))/2)),-IF(circ_int,0,eq_c2/2)+(s_0+9*s_r+IF(circ_int,eq_c1/2,0))*SIN(PI()+(((49+0.5)*(4*IF(circ_int,0,eq_c1/2)+4*IF(circ_int,0,eq_c2/2)+2*PI()*(s_0+9*s_r+IF(circ_int,eq_c1/2,0)))/INDEX(lk_legs,10))-(((((2*IF(circ_int,0,eq_c2/2))+(PI()*(s_0+9*s_r+IF(circ_int,eq_c1/2,0))/2))+2*IF(circ_int,0,eq_c1/2))+(PI()*(s_0+9*s_r+IF(circ_int,eq_c1/2,0))/2))+2*IF(circ_int,0,eq_c2/2)))/(s_0+9*s_r+IF(circ_int,eq_c1/2,0))),IF(((49+0.5)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(49+0.5)*(4*IF(circ_int,0,eq_c1/2)+4*IF(circ_int,0,eq_c2/2)+2*PI()*(s_0+9*s_r+IF(circ_int,eq_c1/2,0)))/INDEX(lk_legs,10))-(((((((2*IF(circ_int,0,eq_c2/2))+(PI()*(s_0+9*s_r+IF(circ_int,eq_c1/2,0))/2))+2*IF(circ_int,0,eq_c1/2))+(PI()*(s_0+9*s_r+IF(circ_int,eq_c1/2,0))/2))+2*IF(circ_int,0,eq_c2/2))+(PI()*(s_0+9*s_r+IF(circ_int,eq_c1/2,0))/2))+2*IF(circ_int,0,eq_c1/2)))/(s_0+9*s_r+IF(circ_int,eq_c1/2,0)))))))))),NA())</f>
        <v/>
      </c>
      <c r="DE52">
        <f>IF(AND(links_on,11&lt;=n_per),IF(circ_int,(g_ox)+(c_1/2+(s_0+10*s_r))*0.935016,CHOOSE(INDEX(lk_kind,11),(g_ox+eq_c1/2)+((s_0+10*s_r))*0.965926,0,eq_a1+eq_c1+(s_0+10*s_r),eq_a1+eq_c1+(s_0+10*s_r))),NA())</f>
        <v/>
      </c>
      <c r="DF52">
        <f>IF(AND(links_on,11&lt;=n_per),IF(circ_int,(g_oy)+(c_1/2+(s_0+10*s_r))*-0.354605,CHOOSE(INDEX(lk_kind,11),(g_oy-eq_c2/2)+((s_0+10*s_r))*-0.258819,g_oy-eq_c2/2-(s_0+10*s_r),0,0)),NA())</f>
        <v/>
      </c>
      <c r="DH52">
        <f>IF(AND(AND(links_on,11&lt;=n_per),INDEX(lk_kind,11)=1,49&lt;INDEX(lk_legs,11)),g_ox+IF(((49+0.5)*(4*IF(circ_int,0,eq_c1/2)+4*IF(circ_int,0,eq_c2/2)+2*PI()*(s_0+10*s_r+IF(circ_int,eq_c1/2,0)))/INDEX(lk_legs,11))&lt;(2*IF(circ_int,0,eq_c2/2)),IF(circ_int,0,eq_c1/2)+(s_0+10*s_r+IF(circ_int,eq_c1/2,0)),IF(((49+0.5)*(4*IF(circ_int,0,eq_c1/2)+4*IF(circ_int,0,eq_c2/2)+2*PI()*(s_0+10*s_r+IF(circ_int,eq_c1/2,0)))/INDEX(lk_legs,11))&lt;((2*IF(circ_int,0,eq_c2/2))+(PI()*(s_0+10*s_r+IF(circ_int,eq_c1/2,0))/2)),IF(circ_int,0,eq_c1/2)+(s_0+10*s_r+IF(circ_int,eq_c1/2,0))*COS((((49+0.5)*(4*IF(circ_int,0,eq_c1/2)+4*IF(circ_int,0,eq_c2/2)+2*PI()*(s_0+10*s_r+IF(circ_int,eq_c1/2,0)))/INDEX(lk_legs,11))-(2*IF(circ_int,0,eq_c2/2)))/(s_0+10*s_r+IF(circ_int,eq_c1/2,0))),IF(((49+0.5)*(4*IF(circ_int,0,eq_c1/2)+4*IF(circ_int,0,eq_c2/2)+2*PI()*(s_0+10*s_r+IF(circ_int,eq_c1/2,0)))/INDEX(lk_legs,11))&lt;(((2*IF(circ_int,0,eq_c2/2))+(PI()*(s_0+10*s_r+IF(circ_int,eq_c1/2,0))/2))+2*IF(circ_int,0,eq_c1/2)),IF(circ_int,0,eq_c1/2)-(((49+0.5)*(4*IF(circ_int,0,eq_c1/2)+4*IF(circ_int,0,eq_c2/2)+2*PI()*(s_0+10*s_r+IF(circ_int,eq_c1/2,0)))/INDEX(lk_legs,11))-((2*IF(circ_int,0,eq_c2/2))+(PI()*(s_0+10*s_r+IF(circ_int,eq_c1/2,0))/2))),IF(((49+0.5)*(4*IF(circ_int,0,eq_c1/2)+4*IF(circ_int,0,eq_c2/2)+2*PI()*(s_0+10*s_r+IF(circ_int,eq_c1/2,0)))/INDEX(lk_legs,11))&lt;((((2*IF(circ_int,0,eq_c2/2))+(PI()*(s_0+10*s_r+IF(circ_int,eq_c1/2,0))/2))+2*IF(circ_int,0,eq_c1/2))+(PI()*(s_0+10*s_r+IF(circ_int,eq_c1/2,0))/2)),-IF(circ_int,0,eq_c1/2)+(s_0+10*s_r+IF(circ_int,eq_c1/2,0))*COS(PI()/2+(((49+0.5)*(4*IF(circ_int,0,eq_c1/2)+4*IF(circ_int,0,eq_c2/2)+2*PI()*(s_0+10*s_r+IF(circ_int,eq_c1/2,0)))/INDEX(lk_legs,11))-(((2*IF(circ_int,0,eq_c2/2))+(PI()*(s_0+10*s_r+IF(circ_int,eq_c1/2,0))/2))+2*IF(circ_int,0,eq_c1/2)))/(s_0+10*s_r+IF(circ_int,eq_c1/2,0))),IF(((49+0.5)*(4*IF(circ_int,0,eq_c1/2)+4*IF(circ_int,0,eq_c2/2)+2*PI()*(s_0+10*s_r+IF(circ_int,eq_c1/2,0)))/INDEX(lk_legs,11))&lt;(((((2*IF(circ_int,0,eq_c2/2))+(PI()*(s_0+10*s_r+IF(circ_int,eq_c1/2,0))/2))+2*IF(circ_int,0,eq_c1/2))+(PI()*(s_0+10*s_r+IF(circ_int,eq_c1/2,0))/2))+2*IF(circ_int,0,eq_c2/2)),-IF(circ_int,0,eq_c1/2)-(s_0+10*s_r+IF(circ_int,eq_c1/2,0)),IF(((49+0.5)*(4*IF(circ_int,0,eq_c1/2)+4*IF(circ_int,0,eq_c2/2)+2*PI()*(s_0+10*s_r+IF(circ_int,eq_c1/2,0)))/INDEX(lk_legs,11))&lt;((((((2*IF(circ_int,0,eq_c2/2))+(PI()*(s_0+10*s_r+IF(circ_int,eq_c1/2,0))/2))+2*IF(circ_int,0,eq_c1/2))+(PI()*(s_0+10*s_r+IF(circ_int,eq_c1/2,0))/2))+2*IF(circ_int,0,eq_c2/2))+(PI()*(s_0+10*s_r+IF(circ_int,eq_c1/2,0))/2)),-IF(circ_int,0,eq_c1/2)+(s_0+10*s_r+IF(circ_int,eq_c1/2,0))*COS(PI()+(((49+0.5)*(4*IF(circ_int,0,eq_c1/2)+4*IF(circ_int,0,eq_c2/2)+2*PI()*(s_0+10*s_r+IF(circ_int,eq_c1/2,0)))/INDEX(lk_legs,11))-(((((2*IF(circ_int,0,eq_c2/2))+(PI()*(s_0+10*s_r+IF(circ_int,eq_c1/2,0))/2))+2*IF(circ_int,0,eq_c1/2))+(PI()*(s_0+10*s_r+IF(circ_int,eq_c1/2,0))/2))+2*IF(circ_int,0,eq_c2/2)))/(s_0+10*s_r+IF(circ_int,eq_c1/2,0))),IF(((49+0.5)*(4*IF(circ_int,0,eq_c1/2)+4*IF(circ_int,0,eq_c2/2)+2*PI()*(s_0+10*s_r+IF(circ_int,eq_c1/2,0)))/INDEX(lk_legs,11))&lt;(((((((2*IF(circ_int,0,eq_c2/2))+(PI()*(s_0+10*s_r+IF(circ_int,eq_c1/2,0))/2))+2*IF(circ_int,0,eq_c1/2))+(PI()*(s_0+10*s_r+IF(circ_int,eq_c1/2,0))/2))+2*IF(circ_int,0,eq_c2/2))+(PI()*(s_0+10*s_r+IF(circ_int,eq_c1/2,0))/2))+2*IF(circ_int,0,eq_c1/2)),-IF(circ_int,0,eq_c1/2)+(((49+0.5)*(4*IF(circ_int,0,eq_c1/2)+4*IF(circ_int,0,eq_c2/2)+2*PI()*(s_0+10*s_r+IF(circ_int,eq_c1/2,0)))/INDEX(lk_legs,11))-((((((2*IF(circ_int,0,eq_c2/2))+(PI()*(s_0+10*s_r+IF(circ_int,eq_c1/2,0))/2))+2*IF(circ_int,0,eq_c1/2))+(PI()*(s_0+10*s_r+IF(circ_int,eq_c1/2,0))/2))+2*IF(circ_int,0,eq_c2/2))+(PI()*(s_0+10*s_r+IF(circ_int,eq_c1/2,0))/2))),IF(circ_int,0,eq_c1/2)+(s_0+10*s_r+IF(circ_int,eq_c1/2,0))*COS(3*PI()/2+(((49+0.5)*(4*IF(circ_int,0,eq_c1/2)+4*IF(circ_int,0,eq_c2/2)+2*PI()*(s_0+10*s_r+IF(circ_int,eq_c1/2,0)))/INDEX(lk_legs,11))-(((((((2*IF(circ_int,0,eq_c2/2))+(PI()*(s_0+10*s_r+IF(circ_int,eq_c1/2,0))/2))+2*IF(circ_int,0,eq_c1/2))+(PI()*(s_0+10*s_r+IF(circ_int,eq_c1/2,0))/2))+2*IF(circ_int,0,eq_c2/2))+(PI()*(s_0+10*s_r+IF(circ_int,eq_c1/2,0))/2))+2*IF(circ_int,0,eq_c1/2)))/(s_0+10*s_r+IF(circ_int,eq_c1/2,0)))))))))),NA())</f>
        <v/>
      </c>
      <c r="DI52">
        <f>IF(AND(AND(links_on,11&lt;=n_per),INDEX(lk_kind,11)=1,49&lt;INDEX(lk_legs,11)),g_oy+IF(((49+0.5)*(4*IF(circ_int,0,eq_c1/2)+4*IF(circ_int,0,eq_c2/2)+2*PI()*(s_0+10*s_r+IF(circ_int,eq_c1/2,0)))/INDEX(lk_legs,11))&lt;(2*IF(circ_int,0,eq_c2/2)),-IF(circ_int,0,eq_c2/2)+((49+0.5)*(4*IF(circ_int,0,eq_c1/2)+4*IF(circ_int,0,eq_c2/2)+2*PI()*(s_0+10*s_r+IF(circ_int,eq_c1/2,0)))/INDEX(lk_legs,11)),IF(((49+0.5)*(4*IF(circ_int,0,eq_c1/2)+4*IF(circ_int,0,eq_c2/2)+2*PI()*(s_0+10*s_r+IF(circ_int,eq_c1/2,0)))/INDEX(lk_legs,11))&lt;((2*IF(circ_int,0,eq_c2/2))+(PI()*(s_0+10*s_r+IF(circ_int,eq_c1/2,0))/2)),IF(circ_int,0,eq_c2/2)+(s_0+10*s_r+IF(circ_int,eq_c1/2,0))*SIN((((49+0.5)*(4*IF(circ_int,0,eq_c1/2)+4*IF(circ_int,0,eq_c2/2)+2*PI()*(s_0+10*s_r+IF(circ_int,eq_c1/2,0)))/INDEX(lk_legs,11))-(2*IF(circ_int,0,eq_c2/2)))/(s_0+10*s_r+IF(circ_int,eq_c1/2,0))),IF(((49+0.5)*(4*IF(circ_int,0,eq_c1/2)+4*IF(circ_int,0,eq_c2/2)+2*PI()*(s_0+10*s_r+IF(circ_int,eq_c1/2,0)))/INDEX(lk_legs,11))&lt;(((2*IF(circ_int,0,eq_c2/2))+(PI()*(s_0+10*s_r+IF(circ_int,eq_c1/2,0))/2))+2*IF(circ_int,0,eq_c1/2)),IF(circ_int,0,eq_c2/2)+(s_0+10*s_r+IF(circ_int,eq_c1/2,0)),IF(((49+0.5)*(4*IF(circ_int,0,eq_c1/2)+4*IF(circ_int,0,eq_c2/2)+2*PI()*(s_0+10*s_r+IF(circ_int,eq_c1/2,0)))/INDEX(lk_legs,11))&lt;((((2*IF(circ_int,0,eq_c2/2))+(PI()*(s_0+10*s_r+IF(circ_int,eq_c1/2,0))/2))+2*IF(circ_int,0,eq_c1/2))+(PI()*(s_0+10*s_r+IF(circ_int,eq_c1/2,0))/2)),IF(circ_int,0,eq_c2/2)+(s_0+10*s_r+IF(circ_int,eq_c1/2,0))*SIN(PI()/2+(((49+0.5)*(4*IF(circ_int,0,eq_c1/2)+4*IF(circ_int,0,eq_c2/2)+2*PI()*(s_0+10*s_r+IF(circ_int,eq_c1/2,0)))/INDEX(lk_legs,11))-(((2*IF(circ_int,0,eq_c2/2))+(PI()*(s_0+10*s_r+IF(circ_int,eq_c1/2,0))/2))+2*IF(circ_int,0,eq_c1/2)))/(s_0+10*s_r+IF(circ_int,eq_c1/2,0))),IF(((49+0.5)*(4*IF(circ_int,0,eq_c1/2)+4*IF(circ_int,0,eq_c2/2)+2*PI()*(s_0+10*s_r+IF(circ_int,eq_c1/2,0)))/INDEX(lk_legs,11))&lt;(((((2*IF(circ_int,0,eq_c2/2))+(PI()*(s_0+10*s_r+IF(circ_int,eq_c1/2,0))/2))+2*IF(circ_int,0,eq_c1/2))+(PI()*(s_0+10*s_r+IF(circ_int,eq_c1/2,0))/2))+2*IF(circ_int,0,eq_c2/2)),IF(circ_int,0,eq_c2/2)-(((49+0.5)*(4*IF(circ_int,0,eq_c1/2)+4*IF(circ_int,0,eq_c2/2)+2*PI()*(s_0+10*s_r+IF(circ_int,eq_c1/2,0)))/INDEX(lk_legs,11))-((((2*IF(circ_int,0,eq_c2/2))+(PI()*(s_0+10*s_r+IF(circ_int,eq_c1/2,0))/2))+2*IF(circ_int,0,eq_c1/2))+(PI()*(s_0+10*s_r+IF(circ_int,eq_c1/2,0))/2))),IF(((49+0.5)*(4*IF(circ_int,0,eq_c1/2)+4*IF(circ_int,0,eq_c2/2)+2*PI()*(s_0+10*s_r+IF(circ_int,eq_c1/2,0)))/INDEX(lk_legs,11))&lt;((((((2*IF(circ_int,0,eq_c2/2))+(PI()*(s_0+10*s_r+IF(circ_int,eq_c1/2,0))/2))+2*IF(circ_int,0,eq_c1/2))+(PI()*(s_0+10*s_r+IF(circ_int,eq_c1/2,0))/2))+2*IF(circ_int,0,eq_c2/2))+(PI()*(s_0+10*s_r+IF(circ_int,eq_c1/2,0))/2)),-IF(circ_int,0,eq_c2/2)+(s_0+10*s_r+IF(circ_int,eq_c1/2,0))*SIN(PI()+(((49+0.5)*(4*IF(circ_int,0,eq_c1/2)+4*IF(circ_int,0,eq_c2/2)+2*PI()*(s_0+10*s_r+IF(circ_int,eq_c1/2,0)))/INDEX(lk_legs,11))-(((((2*IF(circ_int,0,eq_c2/2))+(PI()*(s_0+10*s_r+IF(circ_int,eq_c1/2,0))/2))+2*IF(circ_int,0,eq_c1/2))+(PI()*(s_0+10*s_r+IF(circ_int,eq_c1/2,0))/2))+2*IF(circ_int,0,eq_c2/2)))/(s_0+10*s_r+IF(circ_int,eq_c1/2,0))),IF(((49+0.5)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(49+0.5)*(4*IF(circ_int,0,eq_c1/2)+4*IF(circ_int,0,eq_c2/2)+2*PI()*(s_0+10*s_r+IF(circ_int,eq_c1/2,0)))/INDEX(lk_legs,11))-(((((((2*IF(circ_int,0,eq_c2/2))+(PI()*(s_0+10*s_r+IF(circ_int,eq_c1/2,0))/2))+2*IF(circ_int,0,eq_c1/2))+(PI()*(s_0+10*s_r+IF(circ_int,eq_c1/2,0))/2))+2*IF(circ_int,0,eq_c2/2))+(PI()*(s_0+10*s_r+IF(circ_int,eq_c1/2,0))/2))+2*IF(circ_int,0,eq_c1/2)))/(s_0+10*s_r+IF(circ_int,eq_c1/2,0)))))))))),NA())</f>
        <v/>
      </c>
      <c r="DK52">
        <f>IF(AND(links_on,12&lt;=n_per),IF(circ_int,(g_ox)+(c_1/2+(s_0+11*s_r))*0.935016,CHOOSE(INDEX(lk_kind,12),(g_ox+eq_c1/2)+((s_0+11*s_r))*0.965926,0,eq_a1+eq_c1+(s_0+11*s_r),eq_a1+eq_c1+(s_0+11*s_r))),NA())</f>
        <v/>
      </c>
      <c r="DL52">
        <f>IF(AND(links_on,12&lt;=n_per),IF(circ_int,(g_oy)+(c_1/2+(s_0+11*s_r))*-0.354605,CHOOSE(INDEX(lk_kind,12),(g_oy-eq_c2/2)+((s_0+11*s_r))*-0.258819,g_oy-eq_c2/2-(s_0+11*s_r),0,0)),NA())</f>
        <v/>
      </c>
      <c r="DN52">
        <f>IF(AND(AND(links_on,12&lt;=n_per),INDEX(lk_kind,12)=1,49&lt;INDEX(lk_legs,12)),g_ox+IF(((49+0.5)*(4*IF(circ_int,0,eq_c1/2)+4*IF(circ_int,0,eq_c2/2)+2*PI()*(s_0+11*s_r+IF(circ_int,eq_c1/2,0)))/INDEX(lk_legs,12))&lt;(2*IF(circ_int,0,eq_c2/2)),IF(circ_int,0,eq_c1/2)+(s_0+11*s_r+IF(circ_int,eq_c1/2,0)),IF(((49+0.5)*(4*IF(circ_int,0,eq_c1/2)+4*IF(circ_int,0,eq_c2/2)+2*PI()*(s_0+11*s_r+IF(circ_int,eq_c1/2,0)))/INDEX(lk_legs,12))&lt;((2*IF(circ_int,0,eq_c2/2))+(PI()*(s_0+11*s_r+IF(circ_int,eq_c1/2,0))/2)),IF(circ_int,0,eq_c1/2)+(s_0+11*s_r+IF(circ_int,eq_c1/2,0))*COS((((49+0.5)*(4*IF(circ_int,0,eq_c1/2)+4*IF(circ_int,0,eq_c2/2)+2*PI()*(s_0+11*s_r+IF(circ_int,eq_c1/2,0)))/INDEX(lk_legs,12))-(2*IF(circ_int,0,eq_c2/2)))/(s_0+11*s_r+IF(circ_int,eq_c1/2,0))),IF(((49+0.5)*(4*IF(circ_int,0,eq_c1/2)+4*IF(circ_int,0,eq_c2/2)+2*PI()*(s_0+11*s_r+IF(circ_int,eq_c1/2,0)))/INDEX(lk_legs,12))&lt;(((2*IF(circ_int,0,eq_c2/2))+(PI()*(s_0+11*s_r+IF(circ_int,eq_c1/2,0))/2))+2*IF(circ_int,0,eq_c1/2)),IF(circ_int,0,eq_c1/2)-(((49+0.5)*(4*IF(circ_int,0,eq_c1/2)+4*IF(circ_int,0,eq_c2/2)+2*PI()*(s_0+11*s_r+IF(circ_int,eq_c1/2,0)))/INDEX(lk_legs,12))-((2*IF(circ_int,0,eq_c2/2))+(PI()*(s_0+11*s_r+IF(circ_int,eq_c1/2,0))/2))),IF(((49+0.5)*(4*IF(circ_int,0,eq_c1/2)+4*IF(circ_int,0,eq_c2/2)+2*PI()*(s_0+11*s_r+IF(circ_int,eq_c1/2,0)))/INDEX(lk_legs,12))&lt;((((2*IF(circ_int,0,eq_c2/2))+(PI()*(s_0+11*s_r+IF(circ_int,eq_c1/2,0))/2))+2*IF(circ_int,0,eq_c1/2))+(PI()*(s_0+11*s_r+IF(circ_int,eq_c1/2,0))/2)),-IF(circ_int,0,eq_c1/2)+(s_0+11*s_r+IF(circ_int,eq_c1/2,0))*COS(PI()/2+(((49+0.5)*(4*IF(circ_int,0,eq_c1/2)+4*IF(circ_int,0,eq_c2/2)+2*PI()*(s_0+11*s_r+IF(circ_int,eq_c1/2,0)))/INDEX(lk_legs,12))-(((2*IF(circ_int,0,eq_c2/2))+(PI()*(s_0+11*s_r+IF(circ_int,eq_c1/2,0))/2))+2*IF(circ_int,0,eq_c1/2)))/(s_0+11*s_r+IF(circ_int,eq_c1/2,0))),IF(((49+0.5)*(4*IF(circ_int,0,eq_c1/2)+4*IF(circ_int,0,eq_c2/2)+2*PI()*(s_0+11*s_r+IF(circ_int,eq_c1/2,0)))/INDEX(lk_legs,12))&lt;(((((2*IF(circ_int,0,eq_c2/2))+(PI()*(s_0+11*s_r+IF(circ_int,eq_c1/2,0))/2))+2*IF(circ_int,0,eq_c1/2))+(PI()*(s_0+11*s_r+IF(circ_int,eq_c1/2,0))/2))+2*IF(circ_int,0,eq_c2/2)),-IF(circ_int,0,eq_c1/2)-(s_0+11*s_r+IF(circ_int,eq_c1/2,0)),IF(((49+0.5)*(4*IF(circ_int,0,eq_c1/2)+4*IF(circ_int,0,eq_c2/2)+2*PI()*(s_0+11*s_r+IF(circ_int,eq_c1/2,0)))/INDEX(lk_legs,12))&lt;((((((2*IF(circ_int,0,eq_c2/2))+(PI()*(s_0+11*s_r+IF(circ_int,eq_c1/2,0))/2))+2*IF(circ_int,0,eq_c1/2))+(PI()*(s_0+11*s_r+IF(circ_int,eq_c1/2,0))/2))+2*IF(circ_int,0,eq_c2/2))+(PI()*(s_0+11*s_r+IF(circ_int,eq_c1/2,0))/2)),-IF(circ_int,0,eq_c1/2)+(s_0+11*s_r+IF(circ_int,eq_c1/2,0))*COS(PI()+(((49+0.5)*(4*IF(circ_int,0,eq_c1/2)+4*IF(circ_int,0,eq_c2/2)+2*PI()*(s_0+11*s_r+IF(circ_int,eq_c1/2,0)))/INDEX(lk_legs,12))-(((((2*IF(circ_int,0,eq_c2/2))+(PI()*(s_0+11*s_r+IF(circ_int,eq_c1/2,0))/2))+2*IF(circ_int,0,eq_c1/2))+(PI()*(s_0+11*s_r+IF(circ_int,eq_c1/2,0))/2))+2*IF(circ_int,0,eq_c2/2)))/(s_0+11*s_r+IF(circ_int,eq_c1/2,0))),IF(((49+0.5)*(4*IF(circ_int,0,eq_c1/2)+4*IF(circ_int,0,eq_c2/2)+2*PI()*(s_0+11*s_r+IF(circ_int,eq_c1/2,0)))/INDEX(lk_legs,12))&lt;(((((((2*IF(circ_int,0,eq_c2/2))+(PI()*(s_0+11*s_r+IF(circ_int,eq_c1/2,0))/2))+2*IF(circ_int,0,eq_c1/2))+(PI()*(s_0+11*s_r+IF(circ_int,eq_c1/2,0))/2))+2*IF(circ_int,0,eq_c2/2))+(PI()*(s_0+11*s_r+IF(circ_int,eq_c1/2,0))/2))+2*IF(circ_int,0,eq_c1/2)),-IF(circ_int,0,eq_c1/2)+(((49+0.5)*(4*IF(circ_int,0,eq_c1/2)+4*IF(circ_int,0,eq_c2/2)+2*PI()*(s_0+11*s_r+IF(circ_int,eq_c1/2,0)))/INDEX(lk_legs,12))-((((((2*IF(circ_int,0,eq_c2/2))+(PI()*(s_0+11*s_r+IF(circ_int,eq_c1/2,0))/2))+2*IF(circ_int,0,eq_c1/2))+(PI()*(s_0+11*s_r+IF(circ_int,eq_c1/2,0))/2))+2*IF(circ_int,0,eq_c2/2))+(PI()*(s_0+11*s_r+IF(circ_int,eq_c1/2,0))/2))),IF(circ_int,0,eq_c1/2)+(s_0+11*s_r+IF(circ_int,eq_c1/2,0))*COS(3*PI()/2+(((49+0.5)*(4*IF(circ_int,0,eq_c1/2)+4*IF(circ_int,0,eq_c2/2)+2*PI()*(s_0+11*s_r+IF(circ_int,eq_c1/2,0)))/INDEX(lk_legs,12))-(((((((2*IF(circ_int,0,eq_c2/2))+(PI()*(s_0+11*s_r+IF(circ_int,eq_c1/2,0))/2))+2*IF(circ_int,0,eq_c1/2))+(PI()*(s_0+11*s_r+IF(circ_int,eq_c1/2,0))/2))+2*IF(circ_int,0,eq_c2/2))+(PI()*(s_0+11*s_r+IF(circ_int,eq_c1/2,0))/2))+2*IF(circ_int,0,eq_c1/2)))/(s_0+11*s_r+IF(circ_int,eq_c1/2,0)))))))))),NA())</f>
        <v/>
      </c>
      <c r="DO52">
        <f>IF(AND(AND(links_on,12&lt;=n_per),INDEX(lk_kind,12)=1,49&lt;INDEX(lk_legs,12)),g_oy+IF(((49+0.5)*(4*IF(circ_int,0,eq_c1/2)+4*IF(circ_int,0,eq_c2/2)+2*PI()*(s_0+11*s_r+IF(circ_int,eq_c1/2,0)))/INDEX(lk_legs,12))&lt;(2*IF(circ_int,0,eq_c2/2)),-IF(circ_int,0,eq_c2/2)+((49+0.5)*(4*IF(circ_int,0,eq_c1/2)+4*IF(circ_int,0,eq_c2/2)+2*PI()*(s_0+11*s_r+IF(circ_int,eq_c1/2,0)))/INDEX(lk_legs,12)),IF(((49+0.5)*(4*IF(circ_int,0,eq_c1/2)+4*IF(circ_int,0,eq_c2/2)+2*PI()*(s_0+11*s_r+IF(circ_int,eq_c1/2,0)))/INDEX(lk_legs,12))&lt;((2*IF(circ_int,0,eq_c2/2))+(PI()*(s_0+11*s_r+IF(circ_int,eq_c1/2,0))/2)),IF(circ_int,0,eq_c2/2)+(s_0+11*s_r+IF(circ_int,eq_c1/2,0))*SIN((((49+0.5)*(4*IF(circ_int,0,eq_c1/2)+4*IF(circ_int,0,eq_c2/2)+2*PI()*(s_0+11*s_r+IF(circ_int,eq_c1/2,0)))/INDEX(lk_legs,12))-(2*IF(circ_int,0,eq_c2/2)))/(s_0+11*s_r+IF(circ_int,eq_c1/2,0))),IF(((49+0.5)*(4*IF(circ_int,0,eq_c1/2)+4*IF(circ_int,0,eq_c2/2)+2*PI()*(s_0+11*s_r+IF(circ_int,eq_c1/2,0)))/INDEX(lk_legs,12))&lt;(((2*IF(circ_int,0,eq_c2/2))+(PI()*(s_0+11*s_r+IF(circ_int,eq_c1/2,0))/2))+2*IF(circ_int,0,eq_c1/2)),IF(circ_int,0,eq_c2/2)+(s_0+11*s_r+IF(circ_int,eq_c1/2,0)),IF(((49+0.5)*(4*IF(circ_int,0,eq_c1/2)+4*IF(circ_int,0,eq_c2/2)+2*PI()*(s_0+11*s_r+IF(circ_int,eq_c1/2,0)))/INDEX(lk_legs,12))&lt;((((2*IF(circ_int,0,eq_c2/2))+(PI()*(s_0+11*s_r+IF(circ_int,eq_c1/2,0))/2))+2*IF(circ_int,0,eq_c1/2))+(PI()*(s_0+11*s_r+IF(circ_int,eq_c1/2,0))/2)),IF(circ_int,0,eq_c2/2)+(s_0+11*s_r+IF(circ_int,eq_c1/2,0))*SIN(PI()/2+(((49+0.5)*(4*IF(circ_int,0,eq_c1/2)+4*IF(circ_int,0,eq_c2/2)+2*PI()*(s_0+11*s_r+IF(circ_int,eq_c1/2,0)))/INDEX(lk_legs,12))-(((2*IF(circ_int,0,eq_c2/2))+(PI()*(s_0+11*s_r+IF(circ_int,eq_c1/2,0))/2))+2*IF(circ_int,0,eq_c1/2)))/(s_0+11*s_r+IF(circ_int,eq_c1/2,0))),IF(((49+0.5)*(4*IF(circ_int,0,eq_c1/2)+4*IF(circ_int,0,eq_c2/2)+2*PI()*(s_0+11*s_r+IF(circ_int,eq_c1/2,0)))/INDEX(lk_legs,12))&lt;(((((2*IF(circ_int,0,eq_c2/2))+(PI()*(s_0+11*s_r+IF(circ_int,eq_c1/2,0))/2))+2*IF(circ_int,0,eq_c1/2))+(PI()*(s_0+11*s_r+IF(circ_int,eq_c1/2,0))/2))+2*IF(circ_int,0,eq_c2/2)),IF(circ_int,0,eq_c2/2)-(((49+0.5)*(4*IF(circ_int,0,eq_c1/2)+4*IF(circ_int,0,eq_c2/2)+2*PI()*(s_0+11*s_r+IF(circ_int,eq_c1/2,0)))/INDEX(lk_legs,12))-((((2*IF(circ_int,0,eq_c2/2))+(PI()*(s_0+11*s_r+IF(circ_int,eq_c1/2,0))/2))+2*IF(circ_int,0,eq_c1/2))+(PI()*(s_0+11*s_r+IF(circ_int,eq_c1/2,0))/2))),IF(((49+0.5)*(4*IF(circ_int,0,eq_c1/2)+4*IF(circ_int,0,eq_c2/2)+2*PI()*(s_0+11*s_r+IF(circ_int,eq_c1/2,0)))/INDEX(lk_legs,12))&lt;((((((2*IF(circ_int,0,eq_c2/2))+(PI()*(s_0+11*s_r+IF(circ_int,eq_c1/2,0))/2))+2*IF(circ_int,0,eq_c1/2))+(PI()*(s_0+11*s_r+IF(circ_int,eq_c1/2,0))/2))+2*IF(circ_int,0,eq_c2/2))+(PI()*(s_0+11*s_r+IF(circ_int,eq_c1/2,0))/2)),-IF(circ_int,0,eq_c2/2)+(s_0+11*s_r+IF(circ_int,eq_c1/2,0))*SIN(PI()+(((49+0.5)*(4*IF(circ_int,0,eq_c1/2)+4*IF(circ_int,0,eq_c2/2)+2*PI()*(s_0+11*s_r+IF(circ_int,eq_c1/2,0)))/INDEX(lk_legs,12))-(((((2*IF(circ_int,0,eq_c2/2))+(PI()*(s_0+11*s_r+IF(circ_int,eq_c1/2,0))/2))+2*IF(circ_int,0,eq_c1/2))+(PI()*(s_0+11*s_r+IF(circ_int,eq_c1/2,0))/2))+2*IF(circ_int,0,eq_c2/2)))/(s_0+11*s_r+IF(circ_int,eq_c1/2,0))),IF(((49+0.5)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(49+0.5)*(4*IF(circ_int,0,eq_c1/2)+4*IF(circ_int,0,eq_c2/2)+2*PI()*(s_0+11*s_r+IF(circ_int,eq_c1/2,0)))/INDEX(lk_legs,12))-(((((((2*IF(circ_int,0,eq_c2/2))+(PI()*(s_0+11*s_r+IF(circ_int,eq_c1/2,0))/2))+2*IF(circ_int,0,eq_c1/2))+(PI()*(s_0+11*s_r+IF(circ_int,eq_c1/2,0))/2))+2*IF(circ_int,0,eq_c2/2))+(PI()*(s_0+11*s_r+IF(circ_int,eq_c1/2,0))/2))+2*IF(circ_int,0,eq_c1/2)))/(s_0+11*s_r+IF(circ_int,eq_c1/2,0)))))))))),NA())</f>
        <v/>
      </c>
    </row>
    <row r="53">
      <c r="A53">
        <f>IF(shape="Circular",(g_ox)+(c_1/2+0)*0.970942,CHOOSE(1,(g_ox+eq_c1/2)+(0)*0.991445,0,eq_a1+eq_c1+0,eq_a1+eq_c1+0))</f>
        <v/>
      </c>
      <c r="B53">
        <f>IF(shape="Circular",(g_oy)+(c_1/2+0)*-0.239316,CHOOSE(1,(g_oy-eq_c2/2)+(0)*-0.130526,g_oy-eq_c2/2-0,0,0))</f>
        <v/>
      </c>
      <c r="D53">
        <f>IF(circ_int,(g_ox)+(c_1/2+2*d_eff)*0.970942,CHOOSE(geo_idx,(g_ox+eq_c1/2)+(2*d_eff)*0.991445,0,eq_a1+eq_c1+2*d_eff,eq_a1+eq_c1+2*d_eff))</f>
        <v/>
      </c>
      <c r="E53">
        <f>IF(circ_int,(g_oy)+(c_1/2+2*d_eff)*-0.239316,CHOOSE(geo_idx,(g_oy-eq_c2/2)+(2*d_eff)*-0.130526,g_oy-eq_c2/2-2*d_eff,0,0))</f>
        <v/>
      </c>
      <c r="G53">
        <f>IF(AND(inputs_ok,punch_ok,A_sw&gt;0),IF(circ_int,(g_ox)+(c_1/2+r_out)*0.970942,CHOOSE(kind_out,(g_ox+eq_c1/2)+(r_out)*0.991445,0,eq_a1+eq_c1+r_out,eq_a1+eq_c1+r_out)),NA())</f>
        <v/>
      </c>
      <c r="H53">
        <f>IF(AND(inputs_ok,punch_ok,A_sw&gt;0),IF(circ_int,(g_oy)+(c_1/2+r_out)*-0.239316,CHOOSE(kind_out,(g_oy-eq_c2/2)+(r_out)*-0.130526,g_oy-eq_c2/2-r_out,0,0)),NA())</f>
        <v/>
      </c>
      <c r="AW53">
        <f>IF(AND(links_on,1&lt;=n_per),IF(circ_int,(g_ox)+(c_1/2+(s_0+0*s_r))*0.970942,CHOOSE(INDEX(lk_kind,1),(g_ox+eq_c1/2)+((s_0+0*s_r))*0.991445,0,eq_a1+eq_c1+(s_0+0*s_r),eq_a1+eq_c1+(s_0+0*s_r))),NA())</f>
        <v/>
      </c>
      <c r="AX53">
        <f>IF(AND(links_on,1&lt;=n_per),IF(circ_int,(g_oy)+(c_1/2+(s_0+0*s_r))*-0.239316,CHOOSE(INDEX(lk_kind,1),(g_oy-eq_c2/2)+((s_0+0*s_r))*-0.130526,g_oy-eq_c2/2-(s_0+0*s_r),0,0)),NA())</f>
        <v/>
      </c>
      <c r="AZ53">
        <f>IF(AND(AND(links_on,1&lt;=n_per),INDEX(lk_kind,1)=1,50&lt;INDEX(lk_legs,1)),g_ox+IF(((50+0.5)*(4*IF(circ_int,0,eq_c1/2)+4*IF(circ_int,0,eq_c2/2)+2*PI()*(s_0+0*s_r+IF(circ_int,eq_c1/2,0)))/INDEX(lk_legs,1))&lt;(2*IF(circ_int,0,eq_c2/2)),IF(circ_int,0,eq_c1/2)+(s_0+0*s_r+IF(circ_int,eq_c1/2,0)),IF(((50+0.5)*(4*IF(circ_int,0,eq_c1/2)+4*IF(circ_int,0,eq_c2/2)+2*PI()*(s_0+0*s_r+IF(circ_int,eq_c1/2,0)))/INDEX(lk_legs,1))&lt;((2*IF(circ_int,0,eq_c2/2))+(PI()*(s_0+0*s_r+IF(circ_int,eq_c1/2,0))/2)),IF(circ_int,0,eq_c1/2)+(s_0+0*s_r+IF(circ_int,eq_c1/2,0))*COS((((50+0.5)*(4*IF(circ_int,0,eq_c1/2)+4*IF(circ_int,0,eq_c2/2)+2*PI()*(s_0+0*s_r+IF(circ_int,eq_c1/2,0)))/INDEX(lk_legs,1))-(2*IF(circ_int,0,eq_c2/2)))/(s_0+0*s_r+IF(circ_int,eq_c1/2,0))),IF(((50+0.5)*(4*IF(circ_int,0,eq_c1/2)+4*IF(circ_int,0,eq_c2/2)+2*PI()*(s_0+0*s_r+IF(circ_int,eq_c1/2,0)))/INDEX(lk_legs,1))&lt;(((2*IF(circ_int,0,eq_c2/2))+(PI()*(s_0+0*s_r+IF(circ_int,eq_c1/2,0))/2))+2*IF(circ_int,0,eq_c1/2)),IF(circ_int,0,eq_c1/2)-(((50+0.5)*(4*IF(circ_int,0,eq_c1/2)+4*IF(circ_int,0,eq_c2/2)+2*PI()*(s_0+0*s_r+IF(circ_int,eq_c1/2,0)))/INDEX(lk_legs,1))-((2*IF(circ_int,0,eq_c2/2))+(PI()*(s_0+0*s_r+IF(circ_int,eq_c1/2,0))/2))),IF(((50+0.5)*(4*IF(circ_int,0,eq_c1/2)+4*IF(circ_int,0,eq_c2/2)+2*PI()*(s_0+0*s_r+IF(circ_int,eq_c1/2,0)))/INDEX(lk_legs,1))&lt;((((2*IF(circ_int,0,eq_c2/2))+(PI()*(s_0+0*s_r+IF(circ_int,eq_c1/2,0))/2))+2*IF(circ_int,0,eq_c1/2))+(PI()*(s_0+0*s_r+IF(circ_int,eq_c1/2,0))/2)),-IF(circ_int,0,eq_c1/2)+(s_0+0*s_r+IF(circ_int,eq_c1/2,0))*COS(PI()/2+(((50+0.5)*(4*IF(circ_int,0,eq_c1/2)+4*IF(circ_int,0,eq_c2/2)+2*PI()*(s_0+0*s_r+IF(circ_int,eq_c1/2,0)))/INDEX(lk_legs,1))-(((2*IF(circ_int,0,eq_c2/2))+(PI()*(s_0+0*s_r+IF(circ_int,eq_c1/2,0))/2))+2*IF(circ_int,0,eq_c1/2)))/(s_0+0*s_r+IF(circ_int,eq_c1/2,0))),IF(((50+0.5)*(4*IF(circ_int,0,eq_c1/2)+4*IF(circ_int,0,eq_c2/2)+2*PI()*(s_0+0*s_r+IF(circ_int,eq_c1/2,0)))/INDEX(lk_legs,1))&lt;(((((2*IF(circ_int,0,eq_c2/2))+(PI()*(s_0+0*s_r+IF(circ_int,eq_c1/2,0))/2))+2*IF(circ_int,0,eq_c1/2))+(PI()*(s_0+0*s_r+IF(circ_int,eq_c1/2,0))/2))+2*IF(circ_int,0,eq_c2/2)),-IF(circ_int,0,eq_c1/2)-(s_0+0*s_r+IF(circ_int,eq_c1/2,0)),IF(((50+0.5)*(4*IF(circ_int,0,eq_c1/2)+4*IF(circ_int,0,eq_c2/2)+2*PI()*(s_0+0*s_r+IF(circ_int,eq_c1/2,0)))/INDEX(lk_legs,1))&lt;((((((2*IF(circ_int,0,eq_c2/2))+(PI()*(s_0+0*s_r+IF(circ_int,eq_c1/2,0))/2))+2*IF(circ_int,0,eq_c1/2))+(PI()*(s_0+0*s_r+IF(circ_int,eq_c1/2,0))/2))+2*IF(circ_int,0,eq_c2/2))+(PI()*(s_0+0*s_r+IF(circ_int,eq_c1/2,0))/2)),-IF(circ_int,0,eq_c1/2)+(s_0+0*s_r+IF(circ_int,eq_c1/2,0))*COS(PI()+(((50+0.5)*(4*IF(circ_int,0,eq_c1/2)+4*IF(circ_int,0,eq_c2/2)+2*PI()*(s_0+0*s_r+IF(circ_int,eq_c1/2,0)))/INDEX(lk_legs,1))-(((((2*IF(circ_int,0,eq_c2/2))+(PI()*(s_0+0*s_r+IF(circ_int,eq_c1/2,0))/2))+2*IF(circ_int,0,eq_c1/2))+(PI()*(s_0+0*s_r+IF(circ_int,eq_c1/2,0))/2))+2*IF(circ_int,0,eq_c2/2)))/(s_0+0*s_r+IF(circ_int,eq_c1/2,0))),IF(((50+0.5)*(4*IF(circ_int,0,eq_c1/2)+4*IF(circ_int,0,eq_c2/2)+2*PI()*(s_0+0*s_r+IF(circ_int,eq_c1/2,0)))/INDEX(lk_legs,1))&lt;(((((((2*IF(circ_int,0,eq_c2/2))+(PI()*(s_0+0*s_r+IF(circ_int,eq_c1/2,0))/2))+2*IF(circ_int,0,eq_c1/2))+(PI()*(s_0+0*s_r+IF(circ_int,eq_c1/2,0))/2))+2*IF(circ_int,0,eq_c2/2))+(PI()*(s_0+0*s_r+IF(circ_int,eq_c1/2,0))/2))+2*IF(circ_int,0,eq_c1/2)),-IF(circ_int,0,eq_c1/2)+(((50+0.5)*(4*IF(circ_int,0,eq_c1/2)+4*IF(circ_int,0,eq_c2/2)+2*PI()*(s_0+0*s_r+IF(circ_int,eq_c1/2,0)))/INDEX(lk_legs,1))-((((((2*IF(circ_int,0,eq_c2/2))+(PI()*(s_0+0*s_r+IF(circ_int,eq_c1/2,0))/2))+2*IF(circ_int,0,eq_c1/2))+(PI()*(s_0+0*s_r+IF(circ_int,eq_c1/2,0))/2))+2*IF(circ_int,0,eq_c2/2))+(PI()*(s_0+0*s_r+IF(circ_int,eq_c1/2,0))/2))),IF(circ_int,0,eq_c1/2)+(s_0+0*s_r+IF(circ_int,eq_c1/2,0))*COS(3*PI()/2+(((50+0.5)*(4*IF(circ_int,0,eq_c1/2)+4*IF(circ_int,0,eq_c2/2)+2*PI()*(s_0+0*s_r+IF(circ_int,eq_c1/2,0)))/INDEX(lk_legs,1))-(((((((2*IF(circ_int,0,eq_c2/2))+(PI()*(s_0+0*s_r+IF(circ_int,eq_c1/2,0))/2))+2*IF(circ_int,0,eq_c1/2))+(PI()*(s_0+0*s_r+IF(circ_int,eq_c1/2,0))/2))+2*IF(circ_int,0,eq_c2/2))+(PI()*(s_0+0*s_r+IF(circ_int,eq_c1/2,0))/2))+2*IF(circ_int,0,eq_c1/2)))/(s_0+0*s_r+IF(circ_int,eq_c1/2,0)))))))))),NA())</f>
        <v/>
      </c>
      <c r="BA53">
        <f>IF(AND(AND(links_on,1&lt;=n_per),INDEX(lk_kind,1)=1,50&lt;INDEX(lk_legs,1)),g_oy+IF(((50+0.5)*(4*IF(circ_int,0,eq_c1/2)+4*IF(circ_int,0,eq_c2/2)+2*PI()*(s_0+0*s_r+IF(circ_int,eq_c1/2,0)))/INDEX(lk_legs,1))&lt;(2*IF(circ_int,0,eq_c2/2)),-IF(circ_int,0,eq_c2/2)+((50+0.5)*(4*IF(circ_int,0,eq_c1/2)+4*IF(circ_int,0,eq_c2/2)+2*PI()*(s_0+0*s_r+IF(circ_int,eq_c1/2,0)))/INDEX(lk_legs,1)),IF(((50+0.5)*(4*IF(circ_int,0,eq_c1/2)+4*IF(circ_int,0,eq_c2/2)+2*PI()*(s_0+0*s_r+IF(circ_int,eq_c1/2,0)))/INDEX(lk_legs,1))&lt;((2*IF(circ_int,0,eq_c2/2))+(PI()*(s_0+0*s_r+IF(circ_int,eq_c1/2,0))/2)),IF(circ_int,0,eq_c2/2)+(s_0+0*s_r+IF(circ_int,eq_c1/2,0))*SIN((((50+0.5)*(4*IF(circ_int,0,eq_c1/2)+4*IF(circ_int,0,eq_c2/2)+2*PI()*(s_0+0*s_r+IF(circ_int,eq_c1/2,0)))/INDEX(lk_legs,1))-(2*IF(circ_int,0,eq_c2/2)))/(s_0+0*s_r+IF(circ_int,eq_c1/2,0))),IF(((50+0.5)*(4*IF(circ_int,0,eq_c1/2)+4*IF(circ_int,0,eq_c2/2)+2*PI()*(s_0+0*s_r+IF(circ_int,eq_c1/2,0)))/INDEX(lk_legs,1))&lt;(((2*IF(circ_int,0,eq_c2/2))+(PI()*(s_0+0*s_r+IF(circ_int,eq_c1/2,0))/2))+2*IF(circ_int,0,eq_c1/2)),IF(circ_int,0,eq_c2/2)+(s_0+0*s_r+IF(circ_int,eq_c1/2,0)),IF(((50+0.5)*(4*IF(circ_int,0,eq_c1/2)+4*IF(circ_int,0,eq_c2/2)+2*PI()*(s_0+0*s_r+IF(circ_int,eq_c1/2,0)))/INDEX(lk_legs,1))&lt;((((2*IF(circ_int,0,eq_c2/2))+(PI()*(s_0+0*s_r+IF(circ_int,eq_c1/2,0))/2))+2*IF(circ_int,0,eq_c1/2))+(PI()*(s_0+0*s_r+IF(circ_int,eq_c1/2,0))/2)),IF(circ_int,0,eq_c2/2)+(s_0+0*s_r+IF(circ_int,eq_c1/2,0))*SIN(PI()/2+(((50+0.5)*(4*IF(circ_int,0,eq_c1/2)+4*IF(circ_int,0,eq_c2/2)+2*PI()*(s_0+0*s_r+IF(circ_int,eq_c1/2,0)))/INDEX(lk_legs,1))-(((2*IF(circ_int,0,eq_c2/2))+(PI()*(s_0+0*s_r+IF(circ_int,eq_c1/2,0))/2))+2*IF(circ_int,0,eq_c1/2)))/(s_0+0*s_r+IF(circ_int,eq_c1/2,0))),IF(((50+0.5)*(4*IF(circ_int,0,eq_c1/2)+4*IF(circ_int,0,eq_c2/2)+2*PI()*(s_0+0*s_r+IF(circ_int,eq_c1/2,0)))/INDEX(lk_legs,1))&lt;(((((2*IF(circ_int,0,eq_c2/2))+(PI()*(s_0+0*s_r+IF(circ_int,eq_c1/2,0))/2))+2*IF(circ_int,0,eq_c1/2))+(PI()*(s_0+0*s_r+IF(circ_int,eq_c1/2,0))/2))+2*IF(circ_int,0,eq_c2/2)),IF(circ_int,0,eq_c2/2)-(((50+0.5)*(4*IF(circ_int,0,eq_c1/2)+4*IF(circ_int,0,eq_c2/2)+2*PI()*(s_0+0*s_r+IF(circ_int,eq_c1/2,0)))/INDEX(lk_legs,1))-((((2*IF(circ_int,0,eq_c2/2))+(PI()*(s_0+0*s_r+IF(circ_int,eq_c1/2,0))/2))+2*IF(circ_int,0,eq_c1/2))+(PI()*(s_0+0*s_r+IF(circ_int,eq_c1/2,0))/2))),IF(((50+0.5)*(4*IF(circ_int,0,eq_c1/2)+4*IF(circ_int,0,eq_c2/2)+2*PI()*(s_0+0*s_r+IF(circ_int,eq_c1/2,0)))/INDEX(lk_legs,1))&lt;((((((2*IF(circ_int,0,eq_c2/2))+(PI()*(s_0+0*s_r+IF(circ_int,eq_c1/2,0))/2))+2*IF(circ_int,0,eq_c1/2))+(PI()*(s_0+0*s_r+IF(circ_int,eq_c1/2,0))/2))+2*IF(circ_int,0,eq_c2/2))+(PI()*(s_0+0*s_r+IF(circ_int,eq_c1/2,0))/2)),-IF(circ_int,0,eq_c2/2)+(s_0+0*s_r+IF(circ_int,eq_c1/2,0))*SIN(PI()+(((50+0.5)*(4*IF(circ_int,0,eq_c1/2)+4*IF(circ_int,0,eq_c2/2)+2*PI()*(s_0+0*s_r+IF(circ_int,eq_c1/2,0)))/INDEX(lk_legs,1))-(((((2*IF(circ_int,0,eq_c2/2))+(PI()*(s_0+0*s_r+IF(circ_int,eq_c1/2,0))/2))+2*IF(circ_int,0,eq_c1/2))+(PI()*(s_0+0*s_r+IF(circ_int,eq_c1/2,0))/2))+2*IF(circ_int,0,eq_c2/2)))/(s_0+0*s_r+IF(circ_int,eq_c1/2,0))),IF(((50+0.5)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(50+0.5)*(4*IF(circ_int,0,eq_c1/2)+4*IF(circ_int,0,eq_c2/2)+2*PI()*(s_0+0*s_r+IF(circ_int,eq_c1/2,0)))/INDEX(lk_legs,1))-(((((((2*IF(circ_int,0,eq_c2/2))+(PI()*(s_0+0*s_r+IF(circ_int,eq_c1/2,0))/2))+2*IF(circ_int,0,eq_c1/2))+(PI()*(s_0+0*s_r+IF(circ_int,eq_c1/2,0))/2))+2*IF(circ_int,0,eq_c2/2))+(PI()*(s_0+0*s_r+IF(circ_int,eq_c1/2,0))/2))+2*IF(circ_int,0,eq_c1/2)))/(s_0+0*s_r+IF(circ_int,eq_c1/2,0)))))))))),NA())</f>
        <v/>
      </c>
      <c r="BC53">
        <f>IF(AND(links_on,2&lt;=n_per),IF(circ_int,(g_ox)+(c_1/2+(s_0+1*s_r))*0.970942,CHOOSE(INDEX(lk_kind,2),(g_ox+eq_c1/2)+((s_0+1*s_r))*0.991445,0,eq_a1+eq_c1+(s_0+1*s_r),eq_a1+eq_c1+(s_0+1*s_r))),NA())</f>
        <v/>
      </c>
      <c r="BD53">
        <f>IF(AND(links_on,2&lt;=n_per),IF(circ_int,(g_oy)+(c_1/2+(s_0+1*s_r))*-0.239316,CHOOSE(INDEX(lk_kind,2),(g_oy-eq_c2/2)+((s_0+1*s_r))*-0.130526,g_oy-eq_c2/2-(s_0+1*s_r),0,0)),NA())</f>
        <v/>
      </c>
      <c r="BF53">
        <f>IF(AND(AND(links_on,2&lt;=n_per),INDEX(lk_kind,2)=1,50&lt;INDEX(lk_legs,2)),g_ox+IF(((50+0.5)*(4*IF(circ_int,0,eq_c1/2)+4*IF(circ_int,0,eq_c2/2)+2*PI()*(s_0+1*s_r+IF(circ_int,eq_c1/2,0)))/INDEX(lk_legs,2))&lt;(2*IF(circ_int,0,eq_c2/2)),IF(circ_int,0,eq_c1/2)+(s_0+1*s_r+IF(circ_int,eq_c1/2,0)),IF(((50+0.5)*(4*IF(circ_int,0,eq_c1/2)+4*IF(circ_int,0,eq_c2/2)+2*PI()*(s_0+1*s_r+IF(circ_int,eq_c1/2,0)))/INDEX(lk_legs,2))&lt;((2*IF(circ_int,0,eq_c2/2))+(PI()*(s_0+1*s_r+IF(circ_int,eq_c1/2,0))/2)),IF(circ_int,0,eq_c1/2)+(s_0+1*s_r+IF(circ_int,eq_c1/2,0))*COS((((50+0.5)*(4*IF(circ_int,0,eq_c1/2)+4*IF(circ_int,0,eq_c2/2)+2*PI()*(s_0+1*s_r+IF(circ_int,eq_c1/2,0)))/INDEX(lk_legs,2))-(2*IF(circ_int,0,eq_c2/2)))/(s_0+1*s_r+IF(circ_int,eq_c1/2,0))),IF(((50+0.5)*(4*IF(circ_int,0,eq_c1/2)+4*IF(circ_int,0,eq_c2/2)+2*PI()*(s_0+1*s_r+IF(circ_int,eq_c1/2,0)))/INDEX(lk_legs,2))&lt;(((2*IF(circ_int,0,eq_c2/2))+(PI()*(s_0+1*s_r+IF(circ_int,eq_c1/2,0))/2))+2*IF(circ_int,0,eq_c1/2)),IF(circ_int,0,eq_c1/2)-(((50+0.5)*(4*IF(circ_int,0,eq_c1/2)+4*IF(circ_int,0,eq_c2/2)+2*PI()*(s_0+1*s_r+IF(circ_int,eq_c1/2,0)))/INDEX(lk_legs,2))-((2*IF(circ_int,0,eq_c2/2))+(PI()*(s_0+1*s_r+IF(circ_int,eq_c1/2,0))/2))),IF(((50+0.5)*(4*IF(circ_int,0,eq_c1/2)+4*IF(circ_int,0,eq_c2/2)+2*PI()*(s_0+1*s_r+IF(circ_int,eq_c1/2,0)))/INDEX(lk_legs,2))&lt;((((2*IF(circ_int,0,eq_c2/2))+(PI()*(s_0+1*s_r+IF(circ_int,eq_c1/2,0))/2))+2*IF(circ_int,0,eq_c1/2))+(PI()*(s_0+1*s_r+IF(circ_int,eq_c1/2,0))/2)),-IF(circ_int,0,eq_c1/2)+(s_0+1*s_r+IF(circ_int,eq_c1/2,0))*COS(PI()/2+(((50+0.5)*(4*IF(circ_int,0,eq_c1/2)+4*IF(circ_int,0,eq_c2/2)+2*PI()*(s_0+1*s_r+IF(circ_int,eq_c1/2,0)))/INDEX(lk_legs,2))-(((2*IF(circ_int,0,eq_c2/2))+(PI()*(s_0+1*s_r+IF(circ_int,eq_c1/2,0))/2))+2*IF(circ_int,0,eq_c1/2)))/(s_0+1*s_r+IF(circ_int,eq_c1/2,0))),IF(((50+0.5)*(4*IF(circ_int,0,eq_c1/2)+4*IF(circ_int,0,eq_c2/2)+2*PI()*(s_0+1*s_r+IF(circ_int,eq_c1/2,0)))/INDEX(lk_legs,2))&lt;(((((2*IF(circ_int,0,eq_c2/2))+(PI()*(s_0+1*s_r+IF(circ_int,eq_c1/2,0))/2))+2*IF(circ_int,0,eq_c1/2))+(PI()*(s_0+1*s_r+IF(circ_int,eq_c1/2,0))/2))+2*IF(circ_int,0,eq_c2/2)),-IF(circ_int,0,eq_c1/2)-(s_0+1*s_r+IF(circ_int,eq_c1/2,0)),IF(((50+0.5)*(4*IF(circ_int,0,eq_c1/2)+4*IF(circ_int,0,eq_c2/2)+2*PI()*(s_0+1*s_r+IF(circ_int,eq_c1/2,0)))/INDEX(lk_legs,2))&lt;((((((2*IF(circ_int,0,eq_c2/2))+(PI()*(s_0+1*s_r+IF(circ_int,eq_c1/2,0))/2))+2*IF(circ_int,0,eq_c1/2))+(PI()*(s_0+1*s_r+IF(circ_int,eq_c1/2,0))/2))+2*IF(circ_int,0,eq_c2/2))+(PI()*(s_0+1*s_r+IF(circ_int,eq_c1/2,0))/2)),-IF(circ_int,0,eq_c1/2)+(s_0+1*s_r+IF(circ_int,eq_c1/2,0))*COS(PI()+(((50+0.5)*(4*IF(circ_int,0,eq_c1/2)+4*IF(circ_int,0,eq_c2/2)+2*PI()*(s_0+1*s_r+IF(circ_int,eq_c1/2,0)))/INDEX(lk_legs,2))-(((((2*IF(circ_int,0,eq_c2/2))+(PI()*(s_0+1*s_r+IF(circ_int,eq_c1/2,0))/2))+2*IF(circ_int,0,eq_c1/2))+(PI()*(s_0+1*s_r+IF(circ_int,eq_c1/2,0))/2))+2*IF(circ_int,0,eq_c2/2)))/(s_0+1*s_r+IF(circ_int,eq_c1/2,0))),IF(((50+0.5)*(4*IF(circ_int,0,eq_c1/2)+4*IF(circ_int,0,eq_c2/2)+2*PI()*(s_0+1*s_r+IF(circ_int,eq_c1/2,0)))/INDEX(lk_legs,2))&lt;(((((((2*IF(circ_int,0,eq_c2/2))+(PI()*(s_0+1*s_r+IF(circ_int,eq_c1/2,0))/2))+2*IF(circ_int,0,eq_c1/2))+(PI()*(s_0+1*s_r+IF(circ_int,eq_c1/2,0))/2))+2*IF(circ_int,0,eq_c2/2))+(PI()*(s_0+1*s_r+IF(circ_int,eq_c1/2,0))/2))+2*IF(circ_int,0,eq_c1/2)),-IF(circ_int,0,eq_c1/2)+(((50+0.5)*(4*IF(circ_int,0,eq_c1/2)+4*IF(circ_int,0,eq_c2/2)+2*PI()*(s_0+1*s_r+IF(circ_int,eq_c1/2,0)))/INDEX(lk_legs,2))-((((((2*IF(circ_int,0,eq_c2/2))+(PI()*(s_0+1*s_r+IF(circ_int,eq_c1/2,0))/2))+2*IF(circ_int,0,eq_c1/2))+(PI()*(s_0+1*s_r+IF(circ_int,eq_c1/2,0))/2))+2*IF(circ_int,0,eq_c2/2))+(PI()*(s_0+1*s_r+IF(circ_int,eq_c1/2,0))/2))),IF(circ_int,0,eq_c1/2)+(s_0+1*s_r+IF(circ_int,eq_c1/2,0))*COS(3*PI()/2+(((50+0.5)*(4*IF(circ_int,0,eq_c1/2)+4*IF(circ_int,0,eq_c2/2)+2*PI()*(s_0+1*s_r+IF(circ_int,eq_c1/2,0)))/INDEX(lk_legs,2))-(((((((2*IF(circ_int,0,eq_c2/2))+(PI()*(s_0+1*s_r+IF(circ_int,eq_c1/2,0))/2))+2*IF(circ_int,0,eq_c1/2))+(PI()*(s_0+1*s_r+IF(circ_int,eq_c1/2,0))/2))+2*IF(circ_int,0,eq_c2/2))+(PI()*(s_0+1*s_r+IF(circ_int,eq_c1/2,0))/2))+2*IF(circ_int,0,eq_c1/2)))/(s_0+1*s_r+IF(circ_int,eq_c1/2,0)))))))))),NA())</f>
        <v/>
      </c>
      <c r="BG53">
        <f>IF(AND(AND(links_on,2&lt;=n_per),INDEX(lk_kind,2)=1,50&lt;INDEX(lk_legs,2)),g_oy+IF(((50+0.5)*(4*IF(circ_int,0,eq_c1/2)+4*IF(circ_int,0,eq_c2/2)+2*PI()*(s_0+1*s_r+IF(circ_int,eq_c1/2,0)))/INDEX(lk_legs,2))&lt;(2*IF(circ_int,0,eq_c2/2)),-IF(circ_int,0,eq_c2/2)+((50+0.5)*(4*IF(circ_int,0,eq_c1/2)+4*IF(circ_int,0,eq_c2/2)+2*PI()*(s_0+1*s_r+IF(circ_int,eq_c1/2,0)))/INDEX(lk_legs,2)),IF(((50+0.5)*(4*IF(circ_int,0,eq_c1/2)+4*IF(circ_int,0,eq_c2/2)+2*PI()*(s_0+1*s_r+IF(circ_int,eq_c1/2,0)))/INDEX(lk_legs,2))&lt;((2*IF(circ_int,0,eq_c2/2))+(PI()*(s_0+1*s_r+IF(circ_int,eq_c1/2,0))/2)),IF(circ_int,0,eq_c2/2)+(s_0+1*s_r+IF(circ_int,eq_c1/2,0))*SIN((((50+0.5)*(4*IF(circ_int,0,eq_c1/2)+4*IF(circ_int,0,eq_c2/2)+2*PI()*(s_0+1*s_r+IF(circ_int,eq_c1/2,0)))/INDEX(lk_legs,2))-(2*IF(circ_int,0,eq_c2/2)))/(s_0+1*s_r+IF(circ_int,eq_c1/2,0))),IF(((50+0.5)*(4*IF(circ_int,0,eq_c1/2)+4*IF(circ_int,0,eq_c2/2)+2*PI()*(s_0+1*s_r+IF(circ_int,eq_c1/2,0)))/INDEX(lk_legs,2))&lt;(((2*IF(circ_int,0,eq_c2/2))+(PI()*(s_0+1*s_r+IF(circ_int,eq_c1/2,0))/2))+2*IF(circ_int,0,eq_c1/2)),IF(circ_int,0,eq_c2/2)+(s_0+1*s_r+IF(circ_int,eq_c1/2,0)),IF(((50+0.5)*(4*IF(circ_int,0,eq_c1/2)+4*IF(circ_int,0,eq_c2/2)+2*PI()*(s_0+1*s_r+IF(circ_int,eq_c1/2,0)))/INDEX(lk_legs,2))&lt;((((2*IF(circ_int,0,eq_c2/2))+(PI()*(s_0+1*s_r+IF(circ_int,eq_c1/2,0))/2))+2*IF(circ_int,0,eq_c1/2))+(PI()*(s_0+1*s_r+IF(circ_int,eq_c1/2,0))/2)),IF(circ_int,0,eq_c2/2)+(s_0+1*s_r+IF(circ_int,eq_c1/2,0))*SIN(PI()/2+(((50+0.5)*(4*IF(circ_int,0,eq_c1/2)+4*IF(circ_int,0,eq_c2/2)+2*PI()*(s_0+1*s_r+IF(circ_int,eq_c1/2,0)))/INDEX(lk_legs,2))-(((2*IF(circ_int,0,eq_c2/2))+(PI()*(s_0+1*s_r+IF(circ_int,eq_c1/2,0))/2))+2*IF(circ_int,0,eq_c1/2)))/(s_0+1*s_r+IF(circ_int,eq_c1/2,0))),IF(((50+0.5)*(4*IF(circ_int,0,eq_c1/2)+4*IF(circ_int,0,eq_c2/2)+2*PI()*(s_0+1*s_r+IF(circ_int,eq_c1/2,0)))/INDEX(lk_legs,2))&lt;(((((2*IF(circ_int,0,eq_c2/2))+(PI()*(s_0+1*s_r+IF(circ_int,eq_c1/2,0))/2))+2*IF(circ_int,0,eq_c1/2))+(PI()*(s_0+1*s_r+IF(circ_int,eq_c1/2,0))/2))+2*IF(circ_int,0,eq_c2/2)),IF(circ_int,0,eq_c2/2)-(((50+0.5)*(4*IF(circ_int,0,eq_c1/2)+4*IF(circ_int,0,eq_c2/2)+2*PI()*(s_0+1*s_r+IF(circ_int,eq_c1/2,0)))/INDEX(lk_legs,2))-((((2*IF(circ_int,0,eq_c2/2))+(PI()*(s_0+1*s_r+IF(circ_int,eq_c1/2,0))/2))+2*IF(circ_int,0,eq_c1/2))+(PI()*(s_0+1*s_r+IF(circ_int,eq_c1/2,0))/2))),IF(((50+0.5)*(4*IF(circ_int,0,eq_c1/2)+4*IF(circ_int,0,eq_c2/2)+2*PI()*(s_0+1*s_r+IF(circ_int,eq_c1/2,0)))/INDEX(lk_legs,2))&lt;((((((2*IF(circ_int,0,eq_c2/2))+(PI()*(s_0+1*s_r+IF(circ_int,eq_c1/2,0))/2))+2*IF(circ_int,0,eq_c1/2))+(PI()*(s_0+1*s_r+IF(circ_int,eq_c1/2,0))/2))+2*IF(circ_int,0,eq_c2/2))+(PI()*(s_0+1*s_r+IF(circ_int,eq_c1/2,0))/2)),-IF(circ_int,0,eq_c2/2)+(s_0+1*s_r+IF(circ_int,eq_c1/2,0))*SIN(PI()+(((50+0.5)*(4*IF(circ_int,0,eq_c1/2)+4*IF(circ_int,0,eq_c2/2)+2*PI()*(s_0+1*s_r+IF(circ_int,eq_c1/2,0)))/INDEX(lk_legs,2))-(((((2*IF(circ_int,0,eq_c2/2))+(PI()*(s_0+1*s_r+IF(circ_int,eq_c1/2,0))/2))+2*IF(circ_int,0,eq_c1/2))+(PI()*(s_0+1*s_r+IF(circ_int,eq_c1/2,0))/2))+2*IF(circ_int,0,eq_c2/2)))/(s_0+1*s_r+IF(circ_int,eq_c1/2,0))),IF(((50+0.5)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(50+0.5)*(4*IF(circ_int,0,eq_c1/2)+4*IF(circ_int,0,eq_c2/2)+2*PI()*(s_0+1*s_r+IF(circ_int,eq_c1/2,0)))/INDEX(lk_legs,2))-(((((((2*IF(circ_int,0,eq_c2/2))+(PI()*(s_0+1*s_r+IF(circ_int,eq_c1/2,0))/2))+2*IF(circ_int,0,eq_c1/2))+(PI()*(s_0+1*s_r+IF(circ_int,eq_c1/2,0))/2))+2*IF(circ_int,0,eq_c2/2))+(PI()*(s_0+1*s_r+IF(circ_int,eq_c1/2,0))/2))+2*IF(circ_int,0,eq_c1/2)))/(s_0+1*s_r+IF(circ_int,eq_c1/2,0)))))))))),NA())</f>
        <v/>
      </c>
      <c r="BI53">
        <f>IF(AND(links_on,3&lt;=n_per),IF(circ_int,(g_ox)+(c_1/2+(s_0+2*s_r))*0.970942,CHOOSE(INDEX(lk_kind,3),(g_ox+eq_c1/2)+((s_0+2*s_r))*0.991445,0,eq_a1+eq_c1+(s_0+2*s_r),eq_a1+eq_c1+(s_0+2*s_r))),NA())</f>
        <v/>
      </c>
      <c r="BJ53">
        <f>IF(AND(links_on,3&lt;=n_per),IF(circ_int,(g_oy)+(c_1/2+(s_0+2*s_r))*-0.239316,CHOOSE(INDEX(lk_kind,3),(g_oy-eq_c2/2)+((s_0+2*s_r))*-0.130526,g_oy-eq_c2/2-(s_0+2*s_r),0,0)),NA())</f>
        <v/>
      </c>
      <c r="BL53">
        <f>IF(AND(AND(links_on,3&lt;=n_per),INDEX(lk_kind,3)=1,50&lt;INDEX(lk_legs,3)),g_ox+IF(((50+0.5)*(4*IF(circ_int,0,eq_c1/2)+4*IF(circ_int,0,eq_c2/2)+2*PI()*(s_0+2*s_r+IF(circ_int,eq_c1/2,0)))/INDEX(lk_legs,3))&lt;(2*IF(circ_int,0,eq_c2/2)),IF(circ_int,0,eq_c1/2)+(s_0+2*s_r+IF(circ_int,eq_c1/2,0)),IF(((50+0.5)*(4*IF(circ_int,0,eq_c1/2)+4*IF(circ_int,0,eq_c2/2)+2*PI()*(s_0+2*s_r+IF(circ_int,eq_c1/2,0)))/INDEX(lk_legs,3))&lt;((2*IF(circ_int,0,eq_c2/2))+(PI()*(s_0+2*s_r+IF(circ_int,eq_c1/2,0))/2)),IF(circ_int,0,eq_c1/2)+(s_0+2*s_r+IF(circ_int,eq_c1/2,0))*COS((((50+0.5)*(4*IF(circ_int,0,eq_c1/2)+4*IF(circ_int,0,eq_c2/2)+2*PI()*(s_0+2*s_r+IF(circ_int,eq_c1/2,0)))/INDEX(lk_legs,3))-(2*IF(circ_int,0,eq_c2/2)))/(s_0+2*s_r+IF(circ_int,eq_c1/2,0))),IF(((50+0.5)*(4*IF(circ_int,0,eq_c1/2)+4*IF(circ_int,0,eq_c2/2)+2*PI()*(s_0+2*s_r+IF(circ_int,eq_c1/2,0)))/INDEX(lk_legs,3))&lt;(((2*IF(circ_int,0,eq_c2/2))+(PI()*(s_0+2*s_r+IF(circ_int,eq_c1/2,0))/2))+2*IF(circ_int,0,eq_c1/2)),IF(circ_int,0,eq_c1/2)-(((50+0.5)*(4*IF(circ_int,0,eq_c1/2)+4*IF(circ_int,0,eq_c2/2)+2*PI()*(s_0+2*s_r+IF(circ_int,eq_c1/2,0)))/INDEX(lk_legs,3))-((2*IF(circ_int,0,eq_c2/2))+(PI()*(s_0+2*s_r+IF(circ_int,eq_c1/2,0))/2))),IF(((50+0.5)*(4*IF(circ_int,0,eq_c1/2)+4*IF(circ_int,0,eq_c2/2)+2*PI()*(s_0+2*s_r+IF(circ_int,eq_c1/2,0)))/INDEX(lk_legs,3))&lt;((((2*IF(circ_int,0,eq_c2/2))+(PI()*(s_0+2*s_r+IF(circ_int,eq_c1/2,0))/2))+2*IF(circ_int,0,eq_c1/2))+(PI()*(s_0+2*s_r+IF(circ_int,eq_c1/2,0))/2)),-IF(circ_int,0,eq_c1/2)+(s_0+2*s_r+IF(circ_int,eq_c1/2,0))*COS(PI()/2+(((50+0.5)*(4*IF(circ_int,0,eq_c1/2)+4*IF(circ_int,0,eq_c2/2)+2*PI()*(s_0+2*s_r+IF(circ_int,eq_c1/2,0)))/INDEX(lk_legs,3))-(((2*IF(circ_int,0,eq_c2/2))+(PI()*(s_0+2*s_r+IF(circ_int,eq_c1/2,0))/2))+2*IF(circ_int,0,eq_c1/2)))/(s_0+2*s_r+IF(circ_int,eq_c1/2,0))),IF(((50+0.5)*(4*IF(circ_int,0,eq_c1/2)+4*IF(circ_int,0,eq_c2/2)+2*PI()*(s_0+2*s_r+IF(circ_int,eq_c1/2,0)))/INDEX(lk_legs,3))&lt;(((((2*IF(circ_int,0,eq_c2/2))+(PI()*(s_0+2*s_r+IF(circ_int,eq_c1/2,0))/2))+2*IF(circ_int,0,eq_c1/2))+(PI()*(s_0+2*s_r+IF(circ_int,eq_c1/2,0))/2))+2*IF(circ_int,0,eq_c2/2)),-IF(circ_int,0,eq_c1/2)-(s_0+2*s_r+IF(circ_int,eq_c1/2,0)),IF(((50+0.5)*(4*IF(circ_int,0,eq_c1/2)+4*IF(circ_int,0,eq_c2/2)+2*PI()*(s_0+2*s_r+IF(circ_int,eq_c1/2,0)))/INDEX(lk_legs,3))&lt;((((((2*IF(circ_int,0,eq_c2/2))+(PI()*(s_0+2*s_r+IF(circ_int,eq_c1/2,0))/2))+2*IF(circ_int,0,eq_c1/2))+(PI()*(s_0+2*s_r+IF(circ_int,eq_c1/2,0))/2))+2*IF(circ_int,0,eq_c2/2))+(PI()*(s_0+2*s_r+IF(circ_int,eq_c1/2,0))/2)),-IF(circ_int,0,eq_c1/2)+(s_0+2*s_r+IF(circ_int,eq_c1/2,0))*COS(PI()+(((50+0.5)*(4*IF(circ_int,0,eq_c1/2)+4*IF(circ_int,0,eq_c2/2)+2*PI()*(s_0+2*s_r+IF(circ_int,eq_c1/2,0)))/INDEX(lk_legs,3))-(((((2*IF(circ_int,0,eq_c2/2))+(PI()*(s_0+2*s_r+IF(circ_int,eq_c1/2,0))/2))+2*IF(circ_int,0,eq_c1/2))+(PI()*(s_0+2*s_r+IF(circ_int,eq_c1/2,0))/2))+2*IF(circ_int,0,eq_c2/2)))/(s_0+2*s_r+IF(circ_int,eq_c1/2,0))),IF(((50+0.5)*(4*IF(circ_int,0,eq_c1/2)+4*IF(circ_int,0,eq_c2/2)+2*PI()*(s_0+2*s_r+IF(circ_int,eq_c1/2,0)))/INDEX(lk_legs,3))&lt;(((((((2*IF(circ_int,0,eq_c2/2))+(PI()*(s_0+2*s_r+IF(circ_int,eq_c1/2,0))/2))+2*IF(circ_int,0,eq_c1/2))+(PI()*(s_0+2*s_r+IF(circ_int,eq_c1/2,0))/2))+2*IF(circ_int,0,eq_c2/2))+(PI()*(s_0+2*s_r+IF(circ_int,eq_c1/2,0))/2))+2*IF(circ_int,0,eq_c1/2)),-IF(circ_int,0,eq_c1/2)+(((50+0.5)*(4*IF(circ_int,0,eq_c1/2)+4*IF(circ_int,0,eq_c2/2)+2*PI()*(s_0+2*s_r+IF(circ_int,eq_c1/2,0)))/INDEX(lk_legs,3))-((((((2*IF(circ_int,0,eq_c2/2))+(PI()*(s_0+2*s_r+IF(circ_int,eq_c1/2,0))/2))+2*IF(circ_int,0,eq_c1/2))+(PI()*(s_0+2*s_r+IF(circ_int,eq_c1/2,0))/2))+2*IF(circ_int,0,eq_c2/2))+(PI()*(s_0+2*s_r+IF(circ_int,eq_c1/2,0))/2))),IF(circ_int,0,eq_c1/2)+(s_0+2*s_r+IF(circ_int,eq_c1/2,0))*COS(3*PI()/2+(((50+0.5)*(4*IF(circ_int,0,eq_c1/2)+4*IF(circ_int,0,eq_c2/2)+2*PI()*(s_0+2*s_r+IF(circ_int,eq_c1/2,0)))/INDEX(lk_legs,3))-(((((((2*IF(circ_int,0,eq_c2/2))+(PI()*(s_0+2*s_r+IF(circ_int,eq_c1/2,0))/2))+2*IF(circ_int,0,eq_c1/2))+(PI()*(s_0+2*s_r+IF(circ_int,eq_c1/2,0))/2))+2*IF(circ_int,0,eq_c2/2))+(PI()*(s_0+2*s_r+IF(circ_int,eq_c1/2,0))/2))+2*IF(circ_int,0,eq_c1/2)))/(s_0+2*s_r+IF(circ_int,eq_c1/2,0)))))))))),NA())</f>
        <v/>
      </c>
      <c r="BM53">
        <f>IF(AND(AND(links_on,3&lt;=n_per),INDEX(lk_kind,3)=1,50&lt;INDEX(lk_legs,3)),g_oy+IF(((50+0.5)*(4*IF(circ_int,0,eq_c1/2)+4*IF(circ_int,0,eq_c2/2)+2*PI()*(s_0+2*s_r+IF(circ_int,eq_c1/2,0)))/INDEX(lk_legs,3))&lt;(2*IF(circ_int,0,eq_c2/2)),-IF(circ_int,0,eq_c2/2)+((50+0.5)*(4*IF(circ_int,0,eq_c1/2)+4*IF(circ_int,0,eq_c2/2)+2*PI()*(s_0+2*s_r+IF(circ_int,eq_c1/2,0)))/INDEX(lk_legs,3)),IF(((50+0.5)*(4*IF(circ_int,0,eq_c1/2)+4*IF(circ_int,0,eq_c2/2)+2*PI()*(s_0+2*s_r+IF(circ_int,eq_c1/2,0)))/INDEX(lk_legs,3))&lt;((2*IF(circ_int,0,eq_c2/2))+(PI()*(s_0+2*s_r+IF(circ_int,eq_c1/2,0))/2)),IF(circ_int,0,eq_c2/2)+(s_0+2*s_r+IF(circ_int,eq_c1/2,0))*SIN((((50+0.5)*(4*IF(circ_int,0,eq_c1/2)+4*IF(circ_int,0,eq_c2/2)+2*PI()*(s_0+2*s_r+IF(circ_int,eq_c1/2,0)))/INDEX(lk_legs,3))-(2*IF(circ_int,0,eq_c2/2)))/(s_0+2*s_r+IF(circ_int,eq_c1/2,0))),IF(((50+0.5)*(4*IF(circ_int,0,eq_c1/2)+4*IF(circ_int,0,eq_c2/2)+2*PI()*(s_0+2*s_r+IF(circ_int,eq_c1/2,0)))/INDEX(lk_legs,3))&lt;(((2*IF(circ_int,0,eq_c2/2))+(PI()*(s_0+2*s_r+IF(circ_int,eq_c1/2,0))/2))+2*IF(circ_int,0,eq_c1/2)),IF(circ_int,0,eq_c2/2)+(s_0+2*s_r+IF(circ_int,eq_c1/2,0)),IF(((50+0.5)*(4*IF(circ_int,0,eq_c1/2)+4*IF(circ_int,0,eq_c2/2)+2*PI()*(s_0+2*s_r+IF(circ_int,eq_c1/2,0)))/INDEX(lk_legs,3))&lt;((((2*IF(circ_int,0,eq_c2/2))+(PI()*(s_0+2*s_r+IF(circ_int,eq_c1/2,0))/2))+2*IF(circ_int,0,eq_c1/2))+(PI()*(s_0+2*s_r+IF(circ_int,eq_c1/2,0))/2)),IF(circ_int,0,eq_c2/2)+(s_0+2*s_r+IF(circ_int,eq_c1/2,0))*SIN(PI()/2+(((50+0.5)*(4*IF(circ_int,0,eq_c1/2)+4*IF(circ_int,0,eq_c2/2)+2*PI()*(s_0+2*s_r+IF(circ_int,eq_c1/2,0)))/INDEX(lk_legs,3))-(((2*IF(circ_int,0,eq_c2/2))+(PI()*(s_0+2*s_r+IF(circ_int,eq_c1/2,0))/2))+2*IF(circ_int,0,eq_c1/2)))/(s_0+2*s_r+IF(circ_int,eq_c1/2,0))),IF(((50+0.5)*(4*IF(circ_int,0,eq_c1/2)+4*IF(circ_int,0,eq_c2/2)+2*PI()*(s_0+2*s_r+IF(circ_int,eq_c1/2,0)))/INDEX(lk_legs,3))&lt;(((((2*IF(circ_int,0,eq_c2/2))+(PI()*(s_0+2*s_r+IF(circ_int,eq_c1/2,0))/2))+2*IF(circ_int,0,eq_c1/2))+(PI()*(s_0+2*s_r+IF(circ_int,eq_c1/2,0))/2))+2*IF(circ_int,0,eq_c2/2)),IF(circ_int,0,eq_c2/2)-(((50+0.5)*(4*IF(circ_int,0,eq_c1/2)+4*IF(circ_int,0,eq_c2/2)+2*PI()*(s_0+2*s_r+IF(circ_int,eq_c1/2,0)))/INDEX(lk_legs,3))-((((2*IF(circ_int,0,eq_c2/2))+(PI()*(s_0+2*s_r+IF(circ_int,eq_c1/2,0))/2))+2*IF(circ_int,0,eq_c1/2))+(PI()*(s_0+2*s_r+IF(circ_int,eq_c1/2,0))/2))),IF(((50+0.5)*(4*IF(circ_int,0,eq_c1/2)+4*IF(circ_int,0,eq_c2/2)+2*PI()*(s_0+2*s_r+IF(circ_int,eq_c1/2,0)))/INDEX(lk_legs,3))&lt;((((((2*IF(circ_int,0,eq_c2/2))+(PI()*(s_0+2*s_r+IF(circ_int,eq_c1/2,0))/2))+2*IF(circ_int,0,eq_c1/2))+(PI()*(s_0+2*s_r+IF(circ_int,eq_c1/2,0))/2))+2*IF(circ_int,0,eq_c2/2))+(PI()*(s_0+2*s_r+IF(circ_int,eq_c1/2,0))/2)),-IF(circ_int,0,eq_c2/2)+(s_0+2*s_r+IF(circ_int,eq_c1/2,0))*SIN(PI()+(((50+0.5)*(4*IF(circ_int,0,eq_c1/2)+4*IF(circ_int,0,eq_c2/2)+2*PI()*(s_0+2*s_r+IF(circ_int,eq_c1/2,0)))/INDEX(lk_legs,3))-(((((2*IF(circ_int,0,eq_c2/2))+(PI()*(s_0+2*s_r+IF(circ_int,eq_c1/2,0))/2))+2*IF(circ_int,0,eq_c1/2))+(PI()*(s_0+2*s_r+IF(circ_int,eq_c1/2,0))/2))+2*IF(circ_int,0,eq_c2/2)))/(s_0+2*s_r+IF(circ_int,eq_c1/2,0))),IF(((50+0.5)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(50+0.5)*(4*IF(circ_int,0,eq_c1/2)+4*IF(circ_int,0,eq_c2/2)+2*PI()*(s_0+2*s_r+IF(circ_int,eq_c1/2,0)))/INDEX(lk_legs,3))-(((((((2*IF(circ_int,0,eq_c2/2))+(PI()*(s_0+2*s_r+IF(circ_int,eq_c1/2,0))/2))+2*IF(circ_int,0,eq_c1/2))+(PI()*(s_0+2*s_r+IF(circ_int,eq_c1/2,0))/2))+2*IF(circ_int,0,eq_c2/2))+(PI()*(s_0+2*s_r+IF(circ_int,eq_c1/2,0))/2))+2*IF(circ_int,0,eq_c1/2)))/(s_0+2*s_r+IF(circ_int,eq_c1/2,0)))))))))),NA())</f>
        <v/>
      </c>
      <c r="BO53">
        <f>IF(AND(links_on,4&lt;=n_per),IF(circ_int,(g_ox)+(c_1/2+(s_0+3*s_r))*0.970942,CHOOSE(INDEX(lk_kind,4),(g_ox+eq_c1/2)+((s_0+3*s_r))*0.991445,0,eq_a1+eq_c1+(s_0+3*s_r),eq_a1+eq_c1+(s_0+3*s_r))),NA())</f>
        <v/>
      </c>
      <c r="BP53">
        <f>IF(AND(links_on,4&lt;=n_per),IF(circ_int,(g_oy)+(c_1/2+(s_0+3*s_r))*-0.239316,CHOOSE(INDEX(lk_kind,4),(g_oy-eq_c2/2)+((s_0+3*s_r))*-0.130526,g_oy-eq_c2/2-(s_0+3*s_r),0,0)),NA())</f>
        <v/>
      </c>
      <c r="BR53">
        <f>IF(AND(AND(links_on,4&lt;=n_per),INDEX(lk_kind,4)=1,50&lt;INDEX(lk_legs,4)),g_ox+IF(((50+0.5)*(4*IF(circ_int,0,eq_c1/2)+4*IF(circ_int,0,eq_c2/2)+2*PI()*(s_0+3*s_r+IF(circ_int,eq_c1/2,0)))/INDEX(lk_legs,4))&lt;(2*IF(circ_int,0,eq_c2/2)),IF(circ_int,0,eq_c1/2)+(s_0+3*s_r+IF(circ_int,eq_c1/2,0)),IF(((50+0.5)*(4*IF(circ_int,0,eq_c1/2)+4*IF(circ_int,0,eq_c2/2)+2*PI()*(s_0+3*s_r+IF(circ_int,eq_c1/2,0)))/INDEX(lk_legs,4))&lt;((2*IF(circ_int,0,eq_c2/2))+(PI()*(s_0+3*s_r+IF(circ_int,eq_c1/2,0))/2)),IF(circ_int,0,eq_c1/2)+(s_0+3*s_r+IF(circ_int,eq_c1/2,0))*COS((((50+0.5)*(4*IF(circ_int,0,eq_c1/2)+4*IF(circ_int,0,eq_c2/2)+2*PI()*(s_0+3*s_r+IF(circ_int,eq_c1/2,0)))/INDEX(lk_legs,4))-(2*IF(circ_int,0,eq_c2/2)))/(s_0+3*s_r+IF(circ_int,eq_c1/2,0))),IF(((50+0.5)*(4*IF(circ_int,0,eq_c1/2)+4*IF(circ_int,0,eq_c2/2)+2*PI()*(s_0+3*s_r+IF(circ_int,eq_c1/2,0)))/INDEX(lk_legs,4))&lt;(((2*IF(circ_int,0,eq_c2/2))+(PI()*(s_0+3*s_r+IF(circ_int,eq_c1/2,0))/2))+2*IF(circ_int,0,eq_c1/2)),IF(circ_int,0,eq_c1/2)-(((50+0.5)*(4*IF(circ_int,0,eq_c1/2)+4*IF(circ_int,0,eq_c2/2)+2*PI()*(s_0+3*s_r+IF(circ_int,eq_c1/2,0)))/INDEX(lk_legs,4))-((2*IF(circ_int,0,eq_c2/2))+(PI()*(s_0+3*s_r+IF(circ_int,eq_c1/2,0))/2))),IF(((50+0.5)*(4*IF(circ_int,0,eq_c1/2)+4*IF(circ_int,0,eq_c2/2)+2*PI()*(s_0+3*s_r+IF(circ_int,eq_c1/2,0)))/INDEX(lk_legs,4))&lt;((((2*IF(circ_int,0,eq_c2/2))+(PI()*(s_0+3*s_r+IF(circ_int,eq_c1/2,0))/2))+2*IF(circ_int,0,eq_c1/2))+(PI()*(s_0+3*s_r+IF(circ_int,eq_c1/2,0))/2)),-IF(circ_int,0,eq_c1/2)+(s_0+3*s_r+IF(circ_int,eq_c1/2,0))*COS(PI()/2+(((50+0.5)*(4*IF(circ_int,0,eq_c1/2)+4*IF(circ_int,0,eq_c2/2)+2*PI()*(s_0+3*s_r+IF(circ_int,eq_c1/2,0)))/INDEX(lk_legs,4))-(((2*IF(circ_int,0,eq_c2/2))+(PI()*(s_0+3*s_r+IF(circ_int,eq_c1/2,0))/2))+2*IF(circ_int,0,eq_c1/2)))/(s_0+3*s_r+IF(circ_int,eq_c1/2,0))),IF(((50+0.5)*(4*IF(circ_int,0,eq_c1/2)+4*IF(circ_int,0,eq_c2/2)+2*PI()*(s_0+3*s_r+IF(circ_int,eq_c1/2,0)))/INDEX(lk_legs,4))&lt;(((((2*IF(circ_int,0,eq_c2/2))+(PI()*(s_0+3*s_r+IF(circ_int,eq_c1/2,0))/2))+2*IF(circ_int,0,eq_c1/2))+(PI()*(s_0+3*s_r+IF(circ_int,eq_c1/2,0))/2))+2*IF(circ_int,0,eq_c2/2)),-IF(circ_int,0,eq_c1/2)-(s_0+3*s_r+IF(circ_int,eq_c1/2,0)),IF(((50+0.5)*(4*IF(circ_int,0,eq_c1/2)+4*IF(circ_int,0,eq_c2/2)+2*PI()*(s_0+3*s_r+IF(circ_int,eq_c1/2,0)))/INDEX(lk_legs,4))&lt;((((((2*IF(circ_int,0,eq_c2/2))+(PI()*(s_0+3*s_r+IF(circ_int,eq_c1/2,0))/2))+2*IF(circ_int,0,eq_c1/2))+(PI()*(s_0+3*s_r+IF(circ_int,eq_c1/2,0))/2))+2*IF(circ_int,0,eq_c2/2))+(PI()*(s_0+3*s_r+IF(circ_int,eq_c1/2,0))/2)),-IF(circ_int,0,eq_c1/2)+(s_0+3*s_r+IF(circ_int,eq_c1/2,0))*COS(PI()+(((50+0.5)*(4*IF(circ_int,0,eq_c1/2)+4*IF(circ_int,0,eq_c2/2)+2*PI()*(s_0+3*s_r+IF(circ_int,eq_c1/2,0)))/INDEX(lk_legs,4))-(((((2*IF(circ_int,0,eq_c2/2))+(PI()*(s_0+3*s_r+IF(circ_int,eq_c1/2,0))/2))+2*IF(circ_int,0,eq_c1/2))+(PI()*(s_0+3*s_r+IF(circ_int,eq_c1/2,0))/2))+2*IF(circ_int,0,eq_c2/2)))/(s_0+3*s_r+IF(circ_int,eq_c1/2,0))),IF(((50+0.5)*(4*IF(circ_int,0,eq_c1/2)+4*IF(circ_int,0,eq_c2/2)+2*PI()*(s_0+3*s_r+IF(circ_int,eq_c1/2,0)))/INDEX(lk_legs,4))&lt;(((((((2*IF(circ_int,0,eq_c2/2))+(PI()*(s_0+3*s_r+IF(circ_int,eq_c1/2,0))/2))+2*IF(circ_int,0,eq_c1/2))+(PI()*(s_0+3*s_r+IF(circ_int,eq_c1/2,0))/2))+2*IF(circ_int,0,eq_c2/2))+(PI()*(s_0+3*s_r+IF(circ_int,eq_c1/2,0))/2))+2*IF(circ_int,0,eq_c1/2)),-IF(circ_int,0,eq_c1/2)+(((50+0.5)*(4*IF(circ_int,0,eq_c1/2)+4*IF(circ_int,0,eq_c2/2)+2*PI()*(s_0+3*s_r+IF(circ_int,eq_c1/2,0)))/INDEX(lk_legs,4))-((((((2*IF(circ_int,0,eq_c2/2))+(PI()*(s_0+3*s_r+IF(circ_int,eq_c1/2,0))/2))+2*IF(circ_int,0,eq_c1/2))+(PI()*(s_0+3*s_r+IF(circ_int,eq_c1/2,0))/2))+2*IF(circ_int,0,eq_c2/2))+(PI()*(s_0+3*s_r+IF(circ_int,eq_c1/2,0))/2))),IF(circ_int,0,eq_c1/2)+(s_0+3*s_r+IF(circ_int,eq_c1/2,0))*COS(3*PI()/2+(((50+0.5)*(4*IF(circ_int,0,eq_c1/2)+4*IF(circ_int,0,eq_c2/2)+2*PI()*(s_0+3*s_r+IF(circ_int,eq_c1/2,0)))/INDEX(lk_legs,4))-(((((((2*IF(circ_int,0,eq_c2/2))+(PI()*(s_0+3*s_r+IF(circ_int,eq_c1/2,0))/2))+2*IF(circ_int,0,eq_c1/2))+(PI()*(s_0+3*s_r+IF(circ_int,eq_c1/2,0))/2))+2*IF(circ_int,0,eq_c2/2))+(PI()*(s_0+3*s_r+IF(circ_int,eq_c1/2,0))/2))+2*IF(circ_int,0,eq_c1/2)))/(s_0+3*s_r+IF(circ_int,eq_c1/2,0)))))))))),NA())</f>
        <v/>
      </c>
      <c r="BS53">
        <f>IF(AND(AND(links_on,4&lt;=n_per),INDEX(lk_kind,4)=1,50&lt;INDEX(lk_legs,4)),g_oy+IF(((50+0.5)*(4*IF(circ_int,0,eq_c1/2)+4*IF(circ_int,0,eq_c2/2)+2*PI()*(s_0+3*s_r+IF(circ_int,eq_c1/2,0)))/INDEX(lk_legs,4))&lt;(2*IF(circ_int,0,eq_c2/2)),-IF(circ_int,0,eq_c2/2)+((50+0.5)*(4*IF(circ_int,0,eq_c1/2)+4*IF(circ_int,0,eq_c2/2)+2*PI()*(s_0+3*s_r+IF(circ_int,eq_c1/2,0)))/INDEX(lk_legs,4)),IF(((50+0.5)*(4*IF(circ_int,0,eq_c1/2)+4*IF(circ_int,0,eq_c2/2)+2*PI()*(s_0+3*s_r+IF(circ_int,eq_c1/2,0)))/INDEX(lk_legs,4))&lt;((2*IF(circ_int,0,eq_c2/2))+(PI()*(s_0+3*s_r+IF(circ_int,eq_c1/2,0))/2)),IF(circ_int,0,eq_c2/2)+(s_0+3*s_r+IF(circ_int,eq_c1/2,0))*SIN((((50+0.5)*(4*IF(circ_int,0,eq_c1/2)+4*IF(circ_int,0,eq_c2/2)+2*PI()*(s_0+3*s_r+IF(circ_int,eq_c1/2,0)))/INDEX(lk_legs,4))-(2*IF(circ_int,0,eq_c2/2)))/(s_0+3*s_r+IF(circ_int,eq_c1/2,0))),IF(((50+0.5)*(4*IF(circ_int,0,eq_c1/2)+4*IF(circ_int,0,eq_c2/2)+2*PI()*(s_0+3*s_r+IF(circ_int,eq_c1/2,0)))/INDEX(lk_legs,4))&lt;(((2*IF(circ_int,0,eq_c2/2))+(PI()*(s_0+3*s_r+IF(circ_int,eq_c1/2,0))/2))+2*IF(circ_int,0,eq_c1/2)),IF(circ_int,0,eq_c2/2)+(s_0+3*s_r+IF(circ_int,eq_c1/2,0)),IF(((50+0.5)*(4*IF(circ_int,0,eq_c1/2)+4*IF(circ_int,0,eq_c2/2)+2*PI()*(s_0+3*s_r+IF(circ_int,eq_c1/2,0)))/INDEX(lk_legs,4))&lt;((((2*IF(circ_int,0,eq_c2/2))+(PI()*(s_0+3*s_r+IF(circ_int,eq_c1/2,0))/2))+2*IF(circ_int,0,eq_c1/2))+(PI()*(s_0+3*s_r+IF(circ_int,eq_c1/2,0))/2)),IF(circ_int,0,eq_c2/2)+(s_0+3*s_r+IF(circ_int,eq_c1/2,0))*SIN(PI()/2+(((50+0.5)*(4*IF(circ_int,0,eq_c1/2)+4*IF(circ_int,0,eq_c2/2)+2*PI()*(s_0+3*s_r+IF(circ_int,eq_c1/2,0)))/INDEX(lk_legs,4))-(((2*IF(circ_int,0,eq_c2/2))+(PI()*(s_0+3*s_r+IF(circ_int,eq_c1/2,0))/2))+2*IF(circ_int,0,eq_c1/2)))/(s_0+3*s_r+IF(circ_int,eq_c1/2,0))),IF(((50+0.5)*(4*IF(circ_int,0,eq_c1/2)+4*IF(circ_int,0,eq_c2/2)+2*PI()*(s_0+3*s_r+IF(circ_int,eq_c1/2,0)))/INDEX(lk_legs,4))&lt;(((((2*IF(circ_int,0,eq_c2/2))+(PI()*(s_0+3*s_r+IF(circ_int,eq_c1/2,0))/2))+2*IF(circ_int,0,eq_c1/2))+(PI()*(s_0+3*s_r+IF(circ_int,eq_c1/2,0))/2))+2*IF(circ_int,0,eq_c2/2)),IF(circ_int,0,eq_c2/2)-(((50+0.5)*(4*IF(circ_int,0,eq_c1/2)+4*IF(circ_int,0,eq_c2/2)+2*PI()*(s_0+3*s_r+IF(circ_int,eq_c1/2,0)))/INDEX(lk_legs,4))-((((2*IF(circ_int,0,eq_c2/2))+(PI()*(s_0+3*s_r+IF(circ_int,eq_c1/2,0))/2))+2*IF(circ_int,0,eq_c1/2))+(PI()*(s_0+3*s_r+IF(circ_int,eq_c1/2,0))/2))),IF(((50+0.5)*(4*IF(circ_int,0,eq_c1/2)+4*IF(circ_int,0,eq_c2/2)+2*PI()*(s_0+3*s_r+IF(circ_int,eq_c1/2,0)))/INDEX(lk_legs,4))&lt;((((((2*IF(circ_int,0,eq_c2/2))+(PI()*(s_0+3*s_r+IF(circ_int,eq_c1/2,0))/2))+2*IF(circ_int,0,eq_c1/2))+(PI()*(s_0+3*s_r+IF(circ_int,eq_c1/2,0))/2))+2*IF(circ_int,0,eq_c2/2))+(PI()*(s_0+3*s_r+IF(circ_int,eq_c1/2,0))/2)),-IF(circ_int,0,eq_c2/2)+(s_0+3*s_r+IF(circ_int,eq_c1/2,0))*SIN(PI()+(((50+0.5)*(4*IF(circ_int,0,eq_c1/2)+4*IF(circ_int,0,eq_c2/2)+2*PI()*(s_0+3*s_r+IF(circ_int,eq_c1/2,0)))/INDEX(lk_legs,4))-(((((2*IF(circ_int,0,eq_c2/2))+(PI()*(s_0+3*s_r+IF(circ_int,eq_c1/2,0))/2))+2*IF(circ_int,0,eq_c1/2))+(PI()*(s_0+3*s_r+IF(circ_int,eq_c1/2,0))/2))+2*IF(circ_int,0,eq_c2/2)))/(s_0+3*s_r+IF(circ_int,eq_c1/2,0))),IF(((50+0.5)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(50+0.5)*(4*IF(circ_int,0,eq_c1/2)+4*IF(circ_int,0,eq_c2/2)+2*PI()*(s_0+3*s_r+IF(circ_int,eq_c1/2,0)))/INDEX(lk_legs,4))-(((((((2*IF(circ_int,0,eq_c2/2))+(PI()*(s_0+3*s_r+IF(circ_int,eq_c1/2,0))/2))+2*IF(circ_int,0,eq_c1/2))+(PI()*(s_0+3*s_r+IF(circ_int,eq_c1/2,0))/2))+2*IF(circ_int,0,eq_c2/2))+(PI()*(s_0+3*s_r+IF(circ_int,eq_c1/2,0))/2))+2*IF(circ_int,0,eq_c1/2)))/(s_0+3*s_r+IF(circ_int,eq_c1/2,0)))))))))),NA())</f>
        <v/>
      </c>
      <c r="BU53">
        <f>IF(AND(links_on,5&lt;=n_per),IF(circ_int,(g_ox)+(c_1/2+(s_0+4*s_r))*0.970942,CHOOSE(INDEX(lk_kind,5),(g_ox+eq_c1/2)+((s_0+4*s_r))*0.991445,0,eq_a1+eq_c1+(s_0+4*s_r),eq_a1+eq_c1+(s_0+4*s_r))),NA())</f>
        <v/>
      </c>
      <c r="BV53">
        <f>IF(AND(links_on,5&lt;=n_per),IF(circ_int,(g_oy)+(c_1/2+(s_0+4*s_r))*-0.239316,CHOOSE(INDEX(lk_kind,5),(g_oy-eq_c2/2)+((s_0+4*s_r))*-0.130526,g_oy-eq_c2/2-(s_0+4*s_r),0,0)),NA())</f>
        <v/>
      </c>
      <c r="BX53">
        <f>IF(AND(AND(links_on,5&lt;=n_per),INDEX(lk_kind,5)=1,50&lt;INDEX(lk_legs,5)),g_ox+IF(((50+0.5)*(4*IF(circ_int,0,eq_c1/2)+4*IF(circ_int,0,eq_c2/2)+2*PI()*(s_0+4*s_r+IF(circ_int,eq_c1/2,0)))/INDEX(lk_legs,5))&lt;(2*IF(circ_int,0,eq_c2/2)),IF(circ_int,0,eq_c1/2)+(s_0+4*s_r+IF(circ_int,eq_c1/2,0)),IF(((50+0.5)*(4*IF(circ_int,0,eq_c1/2)+4*IF(circ_int,0,eq_c2/2)+2*PI()*(s_0+4*s_r+IF(circ_int,eq_c1/2,0)))/INDEX(lk_legs,5))&lt;((2*IF(circ_int,0,eq_c2/2))+(PI()*(s_0+4*s_r+IF(circ_int,eq_c1/2,0))/2)),IF(circ_int,0,eq_c1/2)+(s_0+4*s_r+IF(circ_int,eq_c1/2,0))*COS((((50+0.5)*(4*IF(circ_int,0,eq_c1/2)+4*IF(circ_int,0,eq_c2/2)+2*PI()*(s_0+4*s_r+IF(circ_int,eq_c1/2,0)))/INDEX(lk_legs,5))-(2*IF(circ_int,0,eq_c2/2)))/(s_0+4*s_r+IF(circ_int,eq_c1/2,0))),IF(((50+0.5)*(4*IF(circ_int,0,eq_c1/2)+4*IF(circ_int,0,eq_c2/2)+2*PI()*(s_0+4*s_r+IF(circ_int,eq_c1/2,0)))/INDEX(lk_legs,5))&lt;(((2*IF(circ_int,0,eq_c2/2))+(PI()*(s_0+4*s_r+IF(circ_int,eq_c1/2,0))/2))+2*IF(circ_int,0,eq_c1/2)),IF(circ_int,0,eq_c1/2)-(((50+0.5)*(4*IF(circ_int,0,eq_c1/2)+4*IF(circ_int,0,eq_c2/2)+2*PI()*(s_0+4*s_r+IF(circ_int,eq_c1/2,0)))/INDEX(lk_legs,5))-((2*IF(circ_int,0,eq_c2/2))+(PI()*(s_0+4*s_r+IF(circ_int,eq_c1/2,0))/2))),IF(((50+0.5)*(4*IF(circ_int,0,eq_c1/2)+4*IF(circ_int,0,eq_c2/2)+2*PI()*(s_0+4*s_r+IF(circ_int,eq_c1/2,0)))/INDEX(lk_legs,5))&lt;((((2*IF(circ_int,0,eq_c2/2))+(PI()*(s_0+4*s_r+IF(circ_int,eq_c1/2,0))/2))+2*IF(circ_int,0,eq_c1/2))+(PI()*(s_0+4*s_r+IF(circ_int,eq_c1/2,0))/2)),-IF(circ_int,0,eq_c1/2)+(s_0+4*s_r+IF(circ_int,eq_c1/2,0))*COS(PI()/2+(((50+0.5)*(4*IF(circ_int,0,eq_c1/2)+4*IF(circ_int,0,eq_c2/2)+2*PI()*(s_0+4*s_r+IF(circ_int,eq_c1/2,0)))/INDEX(lk_legs,5))-(((2*IF(circ_int,0,eq_c2/2))+(PI()*(s_0+4*s_r+IF(circ_int,eq_c1/2,0))/2))+2*IF(circ_int,0,eq_c1/2)))/(s_0+4*s_r+IF(circ_int,eq_c1/2,0))),IF(((50+0.5)*(4*IF(circ_int,0,eq_c1/2)+4*IF(circ_int,0,eq_c2/2)+2*PI()*(s_0+4*s_r+IF(circ_int,eq_c1/2,0)))/INDEX(lk_legs,5))&lt;(((((2*IF(circ_int,0,eq_c2/2))+(PI()*(s_0+4*s_r+IF(circ_int,eq_c1/2,0))/2))+2*IF(circ_int,0,eq_c1/2))+(PI()*(s_0+4*s_r+IF(circ_int,eq_c1/2,0))/2))+2*IF(circ_int,0,eq_c2/2)),-IF(circ_int,0,eq_c1/2)-(s_0+4*s_r+IF(circ_int,eq_c1/2,0)),IF(((50+0.5)*(4*IF(circ_int,0,eq_c1/2)+4*IF(circ_int,0,eq_c2/2)+2*PI()*(s_0+4*s_r+IF(circ_int,eq_c1/2,0)))/INDEX(lk_legs,5))&lt;((((((2*IF(circ_int,0,eq_c2/2))+(PI()*(s_0+4*s_r+IF(circ_int,eq_c1/2,0))/2))+2*IF(circ_int,0,eq_c1/2))+(PI()*(s_0+4*s_r+IF(circ_int,eq_c1/2,0))/2))+2*IF(circ_int,0,eq_c2/2))+(PI()*(s_0+4*s_r+IF(circ_int,eq_c1/2,0))/2)),-IF(circ_int,0,eq_c1/2)+(s_0+4*s_r+IF(circ_int,eq_c1/2,0))*COS(PI()+(((50+0.5)*(4*IF(circ_int,0,eq_c1/2)+4*IF(circ_int,0,eq_c2/2)+2*PI()*(s_0+4*s_r+IF(circ_int,eq_c1/2,0)))/INDEX(lk_legs,5))-(((((2*IF(circ_int,0,eq_c2/2))+(PI()*(s_0+4*s_r+IF(circ_int,eq_c1/2,0))/2))+2*IF(circ_int,0,eq_c1/2))+(PI()*(s_0+4*s_r+IF(circ_int,eq_c1/2,0))/2))+2*IF(circ_int,0,eq_c2/2)))/(s_0+4*s_r+IF(circ_int,eq_c1/2,0))),IF(((50+0.5)*(4*IF(circ_int,0,eq_c1/2)+4*IF(circ_int,0,eq_c2/2)+2*PI()*(s_0+4*s_r+IF(circ_int,eq_c1/2,0)))/INDEX(lk_legs,5))&lt;(((((((2*IF(circ_int,0,eq_c2/2))+(PI()*(s_0+4*s_r+IF(circ_int,eq_c1/2,0))/2))+2*IF(circ_int,0,eq_c1/2))+(PI()*(s_0+4*s_r+IF(circ_int,eq_c1/2,0))/2))+2*IF(circ_int,0,eq_c2/2))+(PI()*(s_0+4*s_r+IF(circ_int,eq_c1/2,0))/2))+2*IF(circ_int,0,eq_c1/2)),-IF(circ_int,0,eq_c1/2)+(((50+0.5)*(4*IF(circ_int,0,eq_c1/2)+4*IF(circ_int,0,eq_c2/2)+2*PI()*(s_0+4*s_r+IF(circ_int,eq_c1/2,0)))/INDEX(lk_legs,5))-((((((2*IF(circ_int,0,eq_c2/2))+(PI()*(s_0+4*s_r+IF(circ_int,eq_c1/2,0))/2))+2*IF(circ_int,0,eq_c1/2))+(PI()*(s_0+4*s_r+IF(circ_int,eq_c1/2,0))/2))+2*IF(circ_int,0,eq_c2/2))+(PI()*(s_0+4*s_r+IF(circ_int,eq_c1/2,0))/2))),IF(circ_int,0,eq_c1/2)+(s_0+4*s_r+IF(circ_int,eq_c1/2,0))*COS(3*PI()/2+(((50+0.5)*(4*IF(circ_int,0,eq_c1/2)+4*IF(circ_int,0,eq_c2/2)+2*PI()*(s_0+4*s_r+IF(circ_int,eq_c1/2,0)))/INDEX(lk_legs,5))-(((((((2*IF(circ_int,0,eq_c2/2))+(PI()*(s_0+4*s_r+IF(circ_int,eq_c1/2,0))/2))+2*IF(circ_int,0,eq_c1/2))+(PI()*(s_0+4*s_r+IF(circ_int,eq_c1/2,0))/2))+2*IF(circ_int,0,eq_c2/2))+(PI()*(s_0+4*s_r+IF(circ_int,eq_c1/2,0))/2))+2*IF(circ_int,0,eq_c1/2)))/(s_0+4*s_r+IF(circ_int,eq_c1/2,0)))))))))),NA())</f>
        <v/>
      </c>
      <c r="BY53">
        <f>IF(AND(AND(links_on,5&lt;=n_per),INDEX(lk_kind,5)=1,50&lt;INDEX(lk_legs,5)),g_oy+IF(((50+0.5)*(4*IF(circ_int,0,eq_c1/2)+4*IF(circ_int,0,eq_c2/2)+2*PI()*(s_0+4*s_r+IF(circ_int,eq_c1/2,0)))/INDEX(lk_legs,5))&lt;(2*IF(circ_int,0,eq_c2/2)),-IF(circ_int,0,eq_c2/2)+((50+0.5)*(4*IF(circ_int,0,eq_c1/2)+4*IF(circ_int,0,eq_c2/2)+2*PI()*(s_0+4*s_r+IF(circ_int,eq_c1/2,0)))/INDEX(lk_legs,5)),IF(((50+0.5)*(4*IF(circ_int,0,eq_c1/2)+4*IF(circ_int,0,eq_c2/2)+2*PI()*(s_0+4*s_r+IF(circ_int,eq_c1/2,0)))/INDEX(lk_legs,5))&lt;((2*IF(circ_int,0,eq_c2/2))+(PI()*(s_0+4*s_r+IF(circ_int,eq_c1/2,0))/2)),IF(circ_int,0,eq_c2/2)+(s_0+4*s_r+IF(circ_int,eq_c1/2,0))*SIN((((50+0.5)*(4*IF(circ_int,0,eq_c1/2)+4*IF(circ_int,0,eq_c2/2)+2*PI()*(s_0+4*s_r+IF(circ_int,eq_c1/2,0)))/INDEX(lk_legs,5))-(2*IF(circ_int,0,eq_c2/2)))/(s_0+4*s_r+IF(circ_int,eq_c1/2,0))),IF(((50+0.5)*(4*IF(circ_int,0,eq_c1/2)+4*IF(circ_int,0,eq_c2/2)+2*PI()*(s_0+4*s_r+IF(circ_int,eq_c1/2,0)))/INDEX(lk_legs,5))&lt;(((2*IF(circ_int,0,eq_c2/2))+(PI()*(s_0+4*s_r+IF(circ_int,eq_c1/2,0))/2))+2*IF(circ_int,0,eq_c1/2)),IF(circ_int,0,eq_c2/2)+(s_0+4*s_r+IF(circ_int,eq_c1/2,0)),IF(((50+0.5)*(4*IF(circ_int,0,eq_c1/2)+4*IF(circ_int,0,eq_c2/2)+2*PI()*(s_0+4*s_r+IF(circ_int,eq_c1/2,0)))/INDEX(lk_legs,5))&lt;((((2*IF(circ_int,0,eq_c2/2))+(PI()*(s_0+4*s_r+IF(circ_int,eq_c1/2,0))/2))+2*IF(circ_int,0,eq_c1/2))+(PI()*(s_0+4*s_r+IF(circ_int,eq_c1/2,0))/2)),IF(circ_int,0,eq_c2/2)+(s_0+4*s_r+IF(circ_int,eq_c1/2,0))*SIN(PI()/2+(((50+0.5)*(4*IF(circ_int,0,eq_c1/2)+4*IF(circ_int,0,eq_c2/2)+2*PI()*(s_0+4*s_r+IF(circ_int,eq_c1/2,0)))/INDEX(lk_legs,5))-(((2*IF(circ_int,0,eq_c2/2))+(PI()*(s_0+4*s_r+IF(circ_int,eq_c1/2,0))/2))+2*IF(circ_int,0,eq_c1/2)))/(s_0+4*s_r+IF(circ_int,eq_c1/2,0))),IF(((50+0.5)*(4*IF(circ_int,0,eq_c1/2)+4*IF(circ_int,0,eq_c2/2)+2*PI()*(s_0+4*s_r+IF(circ_int,eq_c1/2,0)))/INDEX(lk_legs,5))&lt;(((((2*IF(circ_int,0,eq_c2/2))+(PI()*(s_0+4*s_r+IF(circ_int,eq_c1/2,0))/2))+2*IF(circ_int,0,eq_c1/2))+(PI()*(s_0+4*s_r+IF(circ_int,eq_c1/2,0))/2))+2*IF(circ_int,0,eq_c2/2)),IF(circ_int,0,eq_c2/2)-(((50+0.5)*(4*IF(circ_int,0,eq_c1/2)+4*IF(circ_int,0,eq_c2/2)+2*PI()*(s_0+4*s_r+IF(circ_int,eq_c1/2,0)))/INDEX(lk_legs,5))-((((2*IF(circ_int,0,eq_c2/2))+(PI()*(s_0+4*s_r+IF(circ_int,eq_c1/2,0))/2))+2*IF(circ_int,0,eq_c1/2))+(PI()*(s_0+4*s_r+IF(circ_int,eq_c1/2,0))/2))),IF(((50+0.5)*(4*IF(circ_int,0,eq_c1/2)+4*IF(circ_int,0,eq_c2/2)+2*PI()*(s_0+4*s_r+IF(circ_int,eq_c1/2,0)))/INDEX(lk_legs,5))&lt;((((((2*IF(circ_int,0,eq_c2/2))+(PI()*(s_0+4*s_r+IF(circ_int,eq_c1/2,0))/2))+2*IF(circ_int,0,eq_c1/2))+(PI()*(s_0+4*s_r+IF(circ_int,eq_c1/2,0))/2))+2*IF(circ_int,0,eq_c2/2))+(PI()*(s_0+4*s_r+IF(circ_int,eq_c1/2,0))/2)),-IF(circ_int,0,eq_c2/2)+(s_0+4*s_r+IF(circ_int,eq_c1/2,0))*SIN(PI()+(((50+0.5)*(4*IF(circ_int,0,eq_c1/2)+4*IF(circ_int,0,eq_c2/2)+2*PI()*(s_0+4*s_r+IF(circ_int,eq_c1/2,0)))/INDEX(lk_legs,5))-(((((2*IF(circ_int,0,eq_c2/2))+(PI()*(s_0+4*s_r+IF(circ_int,eq_c1/2,0))/2))+2*IF(circ_int,0,eq_c1/2))+(PI()*(s_0+4*s_r+IF(circ_int,eq_c1/2,0))/2))+2*IF(circ_int,0,eq_c2/2)))/(s_0+4*s_r+IF(circ_int,eq_c1/2,0))),IF(((50+0.5)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(50+0.5)*(4*IF(circ_int,0,eq_c1/2)+4*IF(circ_int,0,eq_c2/2)+2*PI()*(s_0+4*s_r+IF(circ_int,eq_c1/2,0)))/INDEX(lk_legs,5))-(((((((2*IF(circ_int,0,eq_c2/2))+(PI()*(s_0+4*s_r+IF(circ_int,eq_c1/2,0))/2))+2*IF(circ_int,0,eq_c1/2))+(PI()*(s_0+4*s_r+IF(circ_int,eq_c1/2,0))/2))+2*IF(circ_int,0,eq_c2/2))+(PI()*(s_0+4*s_r+IF(circ_int,eq_c1/2,0))/2))+2*IF(circ_int,0,eq_c1/2)))/(s_0+4*s_r+IF(circ_int,eq_c1/2,0)))))))))),NA())</f>
        <v/>
      </c>
      <c r="CA53">
        <f>IF(AND(links_on,6&lt;=n_per),IF(circ_int,(g_ox)+(c_1/2+(s_0+5*s_r))*0.970942,CHOOSE(INDEX(lk_kind,6),(g_ox+eq_c1/2)+((s_0+5*s_r))*0.991445,0,eq_a1+eq_c1+(s_0+5*s_r),eq_a1+eq_c1+(s_0+5*s_r))),NA())</f>
        <v/>
      </c>
      <c r="CB53">
        <f>IF(AND(links_on,6&lt;=n_per),IF(circ_int,(g_oy)+(c_1/2+(s_0+5*s_r))*-0.239316,CHOOSE(INDEX(lk_kind,6),(g_oy-eq_c2/2)+((s_0+5*s_r))*-0.130526,g_oy-eq_c2/2-(s_0+5*s_r),0,0)),NA())</f>
        <v/>
      </c>
      <c r="CD53">
        <f>IF(AND(AND(links_on,6&lt;=n_per),INDEX(lk_kind,6)=1,50&lt;INDEX(lk_legs,6)),g_ox+IF(((50+0.5)*(4*IF(circ_int,0,eq_c1/2)+4*IF(circ_int,0,eq_c2/2)+2*PI()*(s_0+5*s_r+IF(circ_int,eq_c1/2,0)))/INDEX(lk_legs,6))&lt;(2*IF(circ_int,0,eq_c2/2)),IF(circ_int,0,eq_c1/2)+(s_0+5*s_r+IF(circ_int,eq_c1/2,0)),IF(((50+0.5)*(4*IF(circ_int,0,eq_c1/2)+4*IF(circ_int,0,eq_c2/2)+2*PI()*(s_0+5*s_r+IF(circ_int,eq_c1/2,0)))/INDEX(lk_legs,6))&lt;((2*IF(circ_int,0,eq_c2/2))+(PI()*(s_0+5*s_r+IF(circ_int,eq_c1/2,0))/2)),IF(circ_int,0,eq_c1/2)+(s_0+5*s_r+IF(circ_int,eq_c1/2,0))*COS((((50+0.5)*(4*IF(circ_int,0,eq_c1/2)+4*IF(circ_int,0,eq_c2/2)+2*PI()*(s_0+5*s_r+IF(circ_int,eq_c1/2,0)))/INDEX(lk_legs,6))-(2*IF(circ_int,0,eq_c2/2)))/(s_0+5*s_r+IF(circ_int,eq_c1/2,0))),IF(((50+0.5)*(4*IF(circ_int,0,eq_c1/2)+4*IF(circ_int,0,eq_c2/2)+2*PI()*(s_0+5*s_r+IF(circ_int,eq_c1/2,0)))/INDEX(lk_legs,6))&lt;(((2*IF(circ_int,0,eq_c2/2))+(PI()*(s_0+5*s_r+IF(circ_int,eq_c1/2,0))/2))+2*IF(circ_int,0,eq_c1/2)),IF(circ_int,0,eq_c1/2)-(((50+0.5)*(4*IF(circ_int,0,eq_c1/2)+4*IF(circ_int,0,eq_c2/2)+2*PI()*(s_0+5*s_r+IF(circ_int,eq_c1/2,0)))/INDEX(lk_legs,6))-((2*IF(circ_int,0,eq_c2/2))+(PI()*(s_0+5*s_r+IF(circ_int,eq_c1/2,0))/2))),IF(((50+0.5)*(4*IF(circ_int,0,eq_c1/2)+4*IF(circ_int,0,eq_c2/2)+2*PI()*(s_0+5*s_r+IF(circ_int,eq_c1/2,0)))/INDEX(lk_legs,6))&lt;((((2*IF(circ_int,0,eq_c2/2))+(PI()*(s_0+5*s_r+IF(circ_int,eq_c1/2,0))/2))+2*IF(circ_int,0,eq_c1/2))+(PI()*(s_0+5*s_r+IF(circ_int,eq_c1/2,0))/2)),-IF(circ_int,0,eq_c1/2)+(s_0+5*s_r+IF(circ_int,eq_c1/2,0))*COS(PI()/2+(((50+0.5)*(4*IF(circ_int,0,eq_c1/2)+4*IF(circ_int,0,eq_c2/2)+2*PI()*(s_0+5*s_r+IF(circ_int,eq_c1/2,0)))/INDEX(lk_legs,6))-(((2*IF(circ_int,0,eq_c2/2))+(PI()*(s_0+5*s_r+IF(circ_int,eq_c1/2,0))/2))+2*IF(circ_int,0,eq_c1/2)))/(s_0+5*s_r+IF(circ_int,eq_c1/2,0))),IF(((50+0.5)*(4*IF(circ_int,0,eq_c1/2)+4*IF(circ_int,0,eq_c2/2)+2*PI()*(s_0+5*s_r+IF(circ_int,eq_c1/2,0)))/INDEX(lk_legs,6))&lt;(((((2*IF(circ_int,0,eq_c2/2))+(PI()*(s_0+5*s_r+IF(circ_int,eq_c1/2,0))/2))+2*IF(circ_int,0,eq_c1/2))+(PI()*(s_0+5*s_r+IF(circ_int,eq_c1/2,0))/2))+2*IF(circ_int,0,eq_c2/2)),-IF(circ_int,0,eq_c1/2)-(s_0+5*s_r+IF(circ_int,eq_c1/2,0)),IF(((50+0.5)*(4*IF(circ_int,0,eq_c1/2)+4*IF(circ_int,0,eq_c2/2)+2*PI()*(s_0+5*s_r+IF(circ_int,eq_c1/2,0)))/INDEX(lk_legs,6))&lt;((((((2*IF(circ_int,0,eq_c2/2))+(PI()*(s_0+5*s_r+IF(circ_int,eq_c1/2,0))/2))+2*IF(circ_int,0,eq_c1/2))+(PI()*(s_0+5*s_r+IF(circ_int,eq_c1/2,0))/2))+2*IF(circ_int,0,eq_c2/2))+(PI()*(s_0+5*s_r+IF(circ_int,eq_c1/2,0))/2)),-IF(circ_int,0,eq_c1/2)+(s_0+5*s_r+IF(circ_int,eq_c1/2,0))*COS(PI()+(((50+0.5)*(4*IF(circ_int,0,eq_c1/2)+4*IF(circ_int,0,eq_c2/2)+2*PI()*(s_0+5*s_r+IF(circ_int,eq_c1/2,0)))/INDEX(lk_legs,6))-(((((2*IF(circ_int,0,eq_c2/2))+(PI()*(s_0+5*s_r+IF(circ_int,eq_c1/2,0))/2))+2*IF(circ_int,0,eq_c1/2))+(PI()*(s_0+5*s_r+IF(circ_int,eq_c1/2,0))/2))+2*IF(circ_int,0,eq_c2/2)))/(s_0+5*s_r+IF(circ_int,eq_c1/2,0))),IF(((50+0.5)*(4*IF(circ_int,0,eq_c1/2)+4*IF(circ_int,0,eq_c2/2)+2*PI()*(s_0+5*s_r+IF(circ_int,eq_c1/2,0)))/INDEX(lk_legs,6))&lt;(((((((2*IF(circ_int,0,eq_c2/2))+(PI()*(s_0+5*s_r+IF(circ_int,eq_c1/2,0))/2))+2*IF(circ_int,0,eq_c1/2))+(PI()*(s_0+5*s_r+IF(circ_int,eq_c1/2,0))/2))+2*IF(circ_int,0,eq_c2/2))+(PI()*(s_0+5*s_r+IF(circ_int,eq_c1/2,0))/2))+2*IF(circ_int,0,eq_c1/2)),-IF(circ_int,0,eq_c1/2)+(((50+0.5)*(4*IF(circ_int,0,eq_c1/2)+4*IF(circ_int,0,eq_c2/2)+2*PI()*(s_0+5*s_r+IF(circ_int,eq_c1/2,0)))/INDEX(lk_legs,6))-((((((2*IF(circ_int,0,eq_c2/2))+(PI()*(s_0+5*s_r+IF(circ_int,eq_c1/2,0))/2))+2*IF(circ_int,0,eq_c1/2))+(PI()*(s_0+5*s_r+IF(circ_int,eq_c1/2,0))/2))+2*IF(circ_int,0,eq_c2/2))+(PI()*(s_0+5*s_r+IF(circ_int,eq_c1/2,0))/2))),IF(circ_int,0,eq_c1/2)+(s_0+5*s_r+IF(circ_int,eq_c1/2,0))*COS(3*PI()/2+(((50+0.5)*(4*IF(circ_int,0,eq_c1/2)+4*IF(circ_int,0,eq_c2/2)+2*PI()*(s_0+5*s_r+IF(circ_int,eq_c1/2,0)))/INDEX(lk_legs,6))-(((((((2*IF(circ_int,0,eq_c2/2))+(PI()*(s_0+5*s_r+IF(circ_int,eq_c1/2,0))/2))+2*IF(circ_int,0,eq_c1/2))+(PI()*(s_0+5*s_r+IF(circ_int,eq_c1/2,0))/2))+2*IF(circ_int,0,eq_c2/2))+(PI()*(s_0+5*s_r+IF(circ_int,eq_c1/2,0))/2))+2*IF(circ_int,0,eq_c1/2)))/(s_0+5*s_r+IF(circ_int,eq_c1/2,0)))))))))),NA())</f>
        <v/>
      </c>
      <c r="CE53">
        <f>IF(AND(AND(links_on,6&lt;=n_per),INDEX(lk_kind,6)=1,50&lt;INDEX(lk_legs,6)),g_oy+IF(((50+0.5)*(4*IF(circ_int,0,eq_c1/2)+4*IF(circ_int,0,eq_c2/2)+2*PI()*(s_0+5*s_r+IF(circ_int,eq_c1/2,0)))/INDEX(lk_legs,6))&lt;(2*IF(circ_int,0,eq_c2/2)),-IF(circ_int,0,eq_c2/2)+((50+0.5)*(4*IF(circ_int,0,eq_c1/2)+4*IF(circ_int,0,eq_c2/2)+2*PI()*(s_0+5*s_r+IF(circ_int,eq_c1/2,0)))/INDEX(lk_legs,6)),IF(((50+0.5)*(4*IF(circ_int,0,eq_c1/2)+4*IF(circ_int,0,eq_c2/2)+2*PI()*(s_0+5*s_r+IF(circ_int,eq_c1/2,0)))/INDEX(lk_legs,6))&lt;((2*IF(circ_int,0,eq_c2/2))+(PI()*(s_0+5*s_r+IF(circ_int,eq_c1/2,0))/2)),IF(circ_int,0,eq_c2/2)+(s_0+5*s_r+IF(circ_int,eq_c1/2,0))*SIN((((50+0.5)*(4*IF(circ_int,0,eq_c1/2)+4*IF(circ_int,0,eq_c2/2)+2*PI()*(s_0+5*s_r+IF(circ_int,eq_c1/2,0)))/INDEX(lk_legs,6))-(2*IF(circ_int,0,eq_c2/2)))/(s_0+5*s_r+IF(circ_int,eq_c1/2,0))),IF(((50+0.5)*(4*IF(circ_int,0,eq_c1/2)+4*IF(circ_int,0,eq_c2/2)+2*PI()*(s_0+5*s_r+IF(circ_int,eq_c1/2,0)))/INDEX(lk_legs,6))&lt;(((2*IF(circ_int,0,eq_c2/2))+(PI()*(s_0+5*s_r+IF(circ_int,eq_c1/2,0))/2))+2*IF(circ_int,0,eq_c1/2)),IF(circ_int,0,eq_c2/2)+(s_0+5*s_r+IF(circ_int,eq_c1/2,0)),IF(((50+0.5)*(4*IF(circ_int,0,eq_c1/2)+4*IF(circ_int,0,eq_c2/2)+2*PI()*(s_0+5*s_r+IF(circ_int,eq_c1/2,0)))/INDEX(lk_legs,6))&lt;((((2*IF(circ_int,0,eq_c2/2))+(PI()*(s_0+5*s_r+IF(circ_int,eq_c1/2,0))/2))+2*IF(circ_int,0,eq_c1/2))+(PI()*(s_0+5*s_r+IF(circ_int,eq_c1/2,0))/2)),IF(circ_int,0,eq_c2/2)+(s_0+5*s_r+IF(circ_int,eq_c1/2,0))*SIN(PI()/2+(((50+0.5)*(4*IF(circ_int,0,eq_c1/2)+4*IF(circ_int,0,eq_c2/2)+2*PI()*(s_0+5*s_r+IF(circ_int,eq_c1/2,0)))/INDEX(lk_legs,6))-(((2*IF(circ_int,0,eq_c2/2))+(PI()*(s_0+5*s_r+IF(circ_int,eq_c1/2,0))/2))+2*IF(circ_int,0,eq_c1/2)))/(s_0+5*s_r+IF(circ_int,eq_c1/2,0))),IF(((50+0.5)*(4*IF(circ_int,0,eq_c1/2)+4*IF(circ_int,0,eq_c2/2)+2*PI()*(s_0+5*s_r+IF(circ_int,eq_c1/2,0)))/INDEX(lk_legs,6))&lt;(((((2*IF(circ_int,0,eq_c2/2))+(PI()*(s_0+5*s_r+IF(circ_int,eq_c1/2,0))/2))+2*IF(circ_int,0,eq_c1/2))+(PI()*(s_0+5*s_r+IF(circ_int,eq_c1/2,0))/2))+2*IF(circ_int,0,eq_c2/2)),IF(circ_int,0,eq_c2/2)-(((50+0.5)*(4*IF(circ_int,0,eq_c1/2)+4*IF(circ_int,0,eq_c2/2)+2*PI()*(s_0+5*s_r+IF(circ_int,eq_c1/2,0)))/INDEX(lk_legs,6))-((((2*IF(circ_int,0,eq_c2/2))+(PI()*(s_0+5*s_r+IF(circ_int,eq_c1/2,0))/2))+2*IF(circ_int,0,eq_c1/2))+(PI()*(s_0+5*s_r+IF(circ_int,eq_c1/2,0))/2))),IF(((50+0.5)*(4*IF(circ_int,0,eq_c1/2)+4*IF(circ_int,0,eq_c2/2)+2*PI()*(s_0+5*s_r+IF(circ_int,eq_c1/2,0)))/INDEX(lk_legs,6))&lt;((((((2*IF(circ_int,0,eq_c2/2))+(PI()*(s_0+5*s_r+IF(circ_int,eq_c1/2,0))/2))+2*IF(circ_int,0,eq_c1/2))+(PI()*(s_0+5*s_r+IF(circ_int,eq_c1/2,0))/2))+2*IF(circ_int,0,eq_c2/2))+(PI()*(s_0+5*s_r+IF(circ_int,eq_c1/2,0))/2)),-IF(circ_int,0,eq_c2/2)+(s_0+5*s_r+IF(circ_int,eq_c1/2,0))*SIN(PI()+(((50+0.5)*(4*IF(circ_int,0,eq_c1/2)+4*IF(circ_int,0,eq_c2/2)+2*PI()*(s_0+5*s_r+IF(circ_int,eq_c1/2,0)))/INDEX(lk_legs,6))-(((((2*IF(circ_int,0,eq_c2/2))+(PI()*(s_0+5*s_r+IF(circ_int,eq_c1/2,0))/2))+2*IF(circ_int,0,eq_c1/2))+(PI()*(s_0+5*s_r+IF(circ_int,eq_c1/2,0))/2))+2*IF(circ_int,0,eq_c2/2)))/(s_0+5*s_r+IF(circ_int,eq_c1/2,0))),IF(((50+0.5)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(50+0.5)*(4*IF(circ_int,0,eq_c1/2)+4*IF(circ_int,0,eq_c2/2)+2*PI()*(s_0+5*s_r+IF(circ_int,eq_c1/2,0)))/INDEX(lk_legs,6))-(((((((2*IF(circ_int,0,eq_c2/2))+(PI()*(s_0+5*s_r+IF(circ_int,eq_c1/2,0))/2))+2*IF(circ_int,0,eq_c1/2))+(PI()*(s_0+5*s_r+IF(circ_int,eq_c1/2,0))/2))+2*IF(circ_int,0,eq_c2/2))+(PI()*(s_0+5*s_r+IF(circ_int,eq_c1/2,0))/2))+2*IF(circ_int,0,eq_c1/2)))/(s_0+5*s_r+IF(circ_int,eq_c1/2,0)))))))))),NA())</f>
        <v/>
      </c>
      <c r="CG53">
        <f>IF(AND(links_on,7&lt;=n_per),IF(circ_int,(g_ox)+(c_1/2+(s_0+6*s_r))*0.970942,CHOOSE(INDEX(lk_kind,7),(g_ox+eq_c1/2)+((s_0+6*s_r))*0.991445,0,eq_a1+eq_c1+(s_0+6*s_r),eq_a1+eq_c1+(s_0+6*s_r))),NA())</f>
        <v/>
      </c>
      <c r="CH53">
        <f>IF(AND(links_on,7&lt;=n_per),IF(circ_int,(g_oy)+(c_1/2+(s_0+6*s_r))*-0.239316,CHOOSE(INDEX(lk_kind,7),(g_oy-eq_c2/2)+((s_0+6*s_r))*-0.130526,g_oy-eq_c2/2-(s_0+6*s_r),0,0)),NA())</f>
        <v/>
      </c>
      <c r="CJ53">
        <f>IF(AND(AND(links_on,7&lt;=n_per),INDEX(lk_kind,7)=1,50&lt;INDEX(lk_legs,7)),g_ox+IF(((50+0.5)*(4*IF(circ_int,0,eq_c1/2)+4*IF(circ_int,0,eq_c2/2)+2*PI()*(s_0+6*s_r+IF(circ_int,eq_c1/2,0)))/INDEX(lk_legs,7))&lt;(2*IF(circ_int,0,eq_c2/2)),IF(circ_int,0,eq_c1/2)+(s_0+6*s_r+IF(circ_int,eq_c1/2,0)),IF(((50+0.5)*(4*IF(circ_int,0,eq_c1/2)+4*IF(circ_int,0,eq_c2/2)+2*PI()*(s_0+6*s_r+IF(circ_int,eq_c1/2,0)))/INDEX(lk_legs,7))&lt;((2*IF(circ_int,0,eq_c2/2))+(PI()*(s_0+6*s_r+IF(circ_int,eq_c1/2,0))/2)),IF(circ_int,0,eq_c1/2)+(s_0+6*s_r+IF(circ_int,eq_c1/2,0))*COS((((50+0.5)*(4*IF(circ_int,0,eq_c1/2)+4*IF(circ_int,0,eq_c2/2)+2*PI()*(s_0+6*s_r+IF(circ_int,eq_c1/2,0)))/INDEX(lk_legs,7))-(2*IF(circ_int,0,eq_c2/2)))/(s_0+6*s_r+IF(circ_int,eq_c1/2,0))),IF(((50+0.5)*(4*IF(circ_int,0,eq_c1/2)+4*IF(circ_int,0,eq_c2/2)+2*PI()*(s_0+6*s_r+IF(circ_int,eq_c1/2,0)))/INDEX(lk_legs,7))&lt;(((2*IF(circ_int,0,eq_c2/2))+(PI()*(s_0+6*s_r+IF(circ_int,eq_c1/2,0))/2))+2*IF(circ_int,0,eq_c1/2)),IF(circ_int,0,eq_c1/2)-(((50+0.5)*(4*IF(circ_int,0,eq_c1/2)+4*IF(circ_int,0,eq_c2/2)+2*PI()*(s_0+6*s_r+IF(circ_int,eq_c1/2,0)))/INDEX(lk_legs,7))-((2*IF(circ_int,0,eq_c2/2))+(PI()*(s_0+6*s_r+IF(circ_int,eq_c1/2,0))/2))),IF(((50+0.5)*(4*IF(circ_int,0,eq_c1/2)+4*IF(circ_int,0,eq_c2/2)+2*PI()*(s_0+6*s_r+IF(circ_int,eq_c1/2,0)))/INDEX(lk_legs,7))&lt;((((2*IF(circ_int,0,eq_c2/2))+(PI()*(s_0+6*s_r+IF(circ_int,eq_c1/2,0))/2))+2*IF(circ_int,0,eq_c1/2))+(PI()*(s_0+6*s_r+IF(circ_int,eq_c1/2,0))/2)),-IF(circ_int,0,eq_c1/2)+(s_0+6*s_r+IF(circ_int,eq_c1/2,0))*COS(PI()/2+(((50+0.5)*(4*IF(circ_int,0,eq_c1/2)+4*IF(circ_int,0,eq_c2/2)+2*PI()*(s_0+6*s_r+IF(circ_int,eq_c1/2,0)))/INDEX(lk_legs,7))-(((2*IF(circ_int,0,eq_c2/2))+(PI()*(s_0+6*s_r+IF(circ_int,eq_c1/2,0))/2))+2*IF(circ_int,0,eq_c1/2)))/(s_0+6*s_r+IF(circ_int,eq_c1/2,0))),IF(((50+0.5)*(4*IF(circ_int,0,eq_c1/2)+4*IF(circ_int,0,eq_c2/2)+2*PI()*(s_0+6*s_r+IF(circ_int,eq_c1/2,0)))/INDEX(lk_legs,7))&lt;(((((2*IF(circ_int,0,eq_c2/2))+(PI()*(s_0+6*s_r+IF(circ_int,eq_c1/2,0))/2))+2*IF(circ_int,0,eq_c1/2))+(PI()*(s_0+6*s_r+IF(circ_int,eq_c1/2,0))/2))+2*IF(circ_int,0,eq_c2/2)),-IF(circ_int,0,eq_c1/2)-(s_0+6*s_r+IF(circ_int,eq_c1/2,0)),IF(((50+0.5)*(4*IF(circ_int,0,eq_c1/2)+4*IF(circ_int,0,eq_c2/2)+2*PI()*(s_0+6*s_r+IF(circ_int,eq_c1/2,0)))/INDEX(lk_legs,7))&lt;((((((2*IF(circ_int,0,eq_c2/2))+(PI()*(s_0+6*s_r+IF(circ_int,eq_c1/2,0))/2))+2*IF(circ_int,0,eq_c1/2))+(PI()*(s_0+6*s_r+IF(circ_int,eq_c1/2,0))/2))+2*IF(circ_int,0,eq_c2/2))+(PI()*(s_0+6*s_r+IF(circ_int,eq_c1/2,0))/2)),-IF(circ_int,0,eq_c1/2)+(s_0+6*s_r+IF(circ_int,eq_c1/2,0))*COS(PI()+(((50+0.5)*(4*IF(circ_int,0,eq_c1/2)+4*IF(circ_int,0,eq_c2/2)+2*PI()*(s_0+6*s_r+IF(circ_int,eq_c1/2,0)))/INDEX(lk_legs,7))-(((((2*IF(circ_int,0,eq_c2/2))+(PI()*(s_0+6*s_r+IF(circ_int,eq_c1/2,0))/2))+2*IF(circ_int,0,eq_c1/2))+(PI()*(s_0+6*s_r+IF(circ_int,eq_c1/2,0))/2))+2*IF(circ_int,0,eq_c2/2)))/(s_0+6*s_r+IF(circ_int,eq_c1/2,0))),IF(((50+0.5)*(4*IF(circ_int,0,eq_c1/2)+4*IF(circ_int,0,eq_c2/2)+2*PI()*(s_0+6*s_r+IF(circ_int,eq_c1/2,0)))/INDEX(lk_legs,7))&lt;(((((((2*IF(circ_int,0,eq_c2/2))+(PI()*(s_0+6*s_r+IF(circ_int,eq_c1/2,0))/2))+2*IF(circ_int,0,eq_c1/2))+(PI()*(s_0+6*s_r+IF(circ_int,eq_c1/2,0))/2))+2*IF(circ_int,0,eq_c2/2))+(PI()*(s_0+6*s_r+IF(circ_int,eq_c1/2,0))/2))+2*IF(circ_int,0,eq_c1/2)),-IF(circ_int,0,eq_c1/2)+(((50+0.5)*(4*IF(circ_int,0,eq_c1/2)+4*IF(circ_int,0,eq_c2/2)+2*PI()*(s_0+6*s_r+IF(circ_int,eq_c1/2,0)))/INDEX(lk_legs,7))-((((((2*IF(circ_int,0,eq_c2/2))+(PI()*(s_0+6*s_r+IF(circ_int,eq_c1/2,0))/2))+2*IF(circ_int,0,eq_c1/2))+(PI()*(s_0+6*s_r+IF(circ_int,eq_c1/2,0))/2))+2*IF(circ_int,0,eq_c2/2))+(PI()*(s_0+6*s_r+IF(circ_int,eq_c1/2,0))/2))),IF(circ_int,0,eq_c1/2)+(s_0+6*s_r+IF(circ_int,eq_c1/2,0))*COS(3*PI()/2+(((50+0.5)*(4*IF(circ_int,0,eq_c1/2)+4*IF(circ_int,0,eq_c2/2)+2*PI()*(s_0+6*s_r+IF(circ_int,eq_c1/2,0)))/INDEX(lk_legs,7))-(((((((2*IF(circ_int,0,eq_c2/2))+(PI()*(s_0+6*s_r+IF(circ_int,eq_c1/2,0))/2))+2*IF(circ_int,0,eq_c1/2))+(PI()*(s_0+6*s_r+IF(circ_int,eq_c1/2,0))/2))+2*IF(circ_int,0,eq_c2/2))+(PI()*(s_0+6*s_r+IF(circ_int,eq_c1/2,0))/2))+2*IF(circ_int,0,eq_c1/2)))/(s_0+6*s_r+IF(circ_int,eq_c1/2,0)))))))))),NA())</f>
        <v/>
      </c>
      <c r="CK53">
        <f>IF(AND(AND(links_on,7&lt;=n_per),INDEX(lk_kind,7)=1,50&lt;INDEX(lk_legs,7)),g_oy+IF(((50+0.5)*(4*IF(circ_int,0,eq_c1/2)+4*IF(circ_int,0,eq_c2/2)+2*PI()*(s_0+6*s_r+IF(circ_int,eq_c1/2,0)))/INDEX(lk_legs,7))&lt;(2*IF(circ_int,0,eq_c2/2)),-IF(circ_int,0,eq_c2/2)+((50+0.5)*(4*IF(circ_int,0,eq_c1/2)+4*IF(circ_int,0,eq_c2/2)+2*PI()*(s_0+6*s_r+IF(circ_int,eq_c1/2,0)))/INDEX(lk_legs,7)),IF(((50+0.5)*(4*IF(circ_int,0,eq_c1/2)+4*IF(circ_int,0,eq_c2/2)+2*PI()*(s_0+6*s_r+IF(circ_int,eq_c1/2,0)))/INDEX(lk_legs,7))&lt;((2*IF(circ_int,0,eq_c2/2))+(PI()*(s_0+6*s_r+IF(circ_int,eq_c1/2,0))/2)),IF(circ_int,0,eq_c2/2)+(s_0+6*s_r+IF(circ_int,eq_c1/2,0))*SIN((((50+0.5)*(4*IF(circ_int,0,eq_c1/2)+4*IF(circ_int,0,eq_c2/2)+2*PI()*(s_0+6*s_r+IF(circ_int,eq_c1/2,0)))/INDEX(lk_legs,7))-(2*IF(circ_int,0,eq_c2/2)))/(s_0+6*s_r+IF(circ_int,eq_c1/2,0))),IF(((50+0.5)*(4*IF(circ_int,0,eq_c1/2)+4*IF(circ_int,0,eq_c2/2)+2*PI()*(s_0+6*s_r+IF(circ_int,eq_c1/2,0)))/INDEX(lk_legs,7))&lt;(((2*IF(circ_int,0,eq_c2/2))+(PI()*(s_0+6*s_r+IF(circ_int,eq_c1/2,0))/2))+2*IF(circ_int,0,eq_c1/2)),IF(circ_int,0,eq_c2/2)+(s_0+6*s_r+IF(circ_int,eq_c1/2,0)),IF(((50+0.5)*(4*IF(circ_int,0,eq_c1/2)+4*IF(circ_int,0,eq_c2/2)+2*PI()*(s_0+6*s_r+IF(circ_int,eq_c1/2,0)))/INDEX(lk_legs,7))&lt;((((2*IF(circ_int,0,eq_c2/2))+(PI()*(s_0+6*s_r+IF(circ_int,eq_c1/2,0))/2))+2*IF(circ_int,0,eq_c1/2))+(PI()*(s_0+6*s_r+IF(circ_int,eq_c1/2,0))/2)),IF(circ_int,0,eq_c2/2)+(s_0+6*s_r+IF(circ_int,eq_c1/2,0))*SIN(PI()/2+(((50+0.5)*(4*IF(circ_int,0,eq_c1/2)+4*IF(circ_int,0,eq_c2/2)+2*PI()*(s_0+6*s_r+IF(circ_int,eq_c1/2,0)))/INDEX(lk_legs,7))-(((2*IF(circ_int,0,eq_c2/2))+(PI()*(s_0+6*s_r+IF(circ_int,eq_c1/2,0))/2))+2*IF(circ_int,0,eq_c1/2)))/(s_0+6*s_r+IF(circ_int,eq_c1/2,0))),IF(((50+0.5)*(4*IF(circ_int,0,eq_c1/2)+4*IF(circ_int,0,eq_c2/2)+2*PI()*(s_0+6*s_r+IF(circ_int,eq_c1/2,0)))/INDEX(lk_legs,7))&lt;(((((2*IF(circ_int,0,eq_c2/2))+(PI()*(s_0+6*s_r+IF(circ_int,eq_c1/2,0))/2))+2*IF(circ_int,0,eq_c1/2))+(PI()*(s_0+6*s_r+IF(circ_int,eq_c1/2,0))/2))+2*IF(circ_int,0,eq_c2/2)),IF(circ_int,0,eq_c2/2)-(((50+0.5)*(4*IF(circ_int,0,eq_c1/2)+4*IF(circ_int,0,eq_c2/2)+2*PI()*(s_0+6*s_r+IF(circ_int,eq_c1/2,0)))/INDEX(lk_legs,7))-((((2*IF(circ_int,0,eq_c2/2))+(PI()*(s_0+6*s_r+IF(circ_int,eq_c1/2,0))/2))+2*IF(circ_int,0,eq_c1/2))+(PI()*(s_0+6*s_r+IF(circ_int,eq_c1/2,0))/2))),IF(((50+0.5)*(4*IF(circ_int,0,eq_c1/2)+4*IF(circ_int,0,eq_c2/2)+2*PI()*(s_0+6*s_r+IF(circ_int,eq_c1/2,0)))/INDEX(lk_legs,7))&lt;((((((2*IF(circ_int,0,eq_c2/2))+(PI()*(s_0+6*s_r+IF(circ_int,eq_c1/2,0))/2))+2*IF(circ_int,0,eq_c1/2))+(PI()*(s_0+6*s_r+IF(circ_int,eq_c1/2,0))/2))+2*IF(circ_int,0,eq_c2/2))+(PI()*(s_0+6*s_r+IF(circ_int,eq_c1/2,0))/2)),-IF(circ_int,0,eq_c2/2)+(s_0+6*s_r+IF(circ_int,eq_c1/2,0))*SIN(PI()+(((50+0.5)*(4*IF(circ_int,0,eq_c1/2)+4*IF(circ_int,0,eq_c2/2)+2*PI()*(s_0+6*s_r+IF(circ_int,eq_c1/2,0)))/INDEX(lk_legs,7))-(((((2*IF(circ_int,0,eq_c2/2))+(PI()*(s_0+6*s_r+IF(circ_int,eq_c1/2,0))/2))+2*IF(circ_int,0,eq_c1/2))+(PI()*(s_0+6*s_r+IF(circ_int,eq_c1/2,0))/2))+2*IF(circ_int,0,eq_c2/2)))/(s_0+6*s_r+IF(circ_int,eq_c1/2,0))),IF(((50+0.5)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(50+0.5)*(4*IF(circ_int,0,eq_c1/2)+4*IF(circ_int,0,eq_c2/2)+2*PI()*(s_0+6*s_r+IF(circ_int,eq_c1/2,0)))/INDEX(lk_legs,7))-(((((((2*IF(circ_int,0,eq_c2/2))+(PI()*(s_0+6*s_r+IF(circ_int,eq_c1/2,0))/2))+2*IF(circ_int,0,eq_c1/2))+(PI()*(s_0+6*s_r+IF(circ_int,eq_c1/2,0))/2))+2*IF(circ_int,0,eq_c2/2))+(PI()*(s_0+6*s_r+IF(circ_int,eq_c1/2,0))/2))+2*IF(circ_int,0,eq_c1/2)))/(s_0+6*s_r+IF(circ_int,eq_c1/2,0)))))))))),NA())</f>
        <v/>
      </c>
      <c r="CM53">
        <f>IF(AND(links_on,8&lt;=n_per),IF(circ_int,(g_ox)+(c_1/2+(s_0+7*s_r))*0.970942,CHOOSE(INDEX(lk_kind,8),(g_ox+eq_c1/2)+((s_0+7*s_r))*0.991445,0,eq_a1+eq_c1+(s_0+7*s_r),eq_a1+eq_c1+(s_0+7*s_r))),NA())</f>
        <v/>
      </c>
      <c r="CN53">
        <f>IF(AND(links_on,8&lt;=n_per),IF(circ_int,(g_oy)+(c_1/2+(s_0+7*s_r))*-0.239316,CHOOSE(INDEX(lk_kind,8),(g_oy-eq_c2/2)+((s_0+7*s_r))*-0.130526,g_oy-eq_c2/2-(s_0+7*s_r),0,0)),NA())</f>
        <v/>
      </c>
      <c r="CP53">
        <f>IF(AND(AND(links_on,8&lt;=n_per),INDEX(lk_kind,8)=1,50&lt;INDEX(lk_legs,8)),g_ox+IF(((50+0.5)*(4*IF(circ_int,0,eq_c1/2)+4*IF(circ_int,0,eq_c2/2)+2*PI()*(s_0+7*s_r+IF(circ_int,eq_c1/2,0)))/INDEX(lk_legs,8))&lt;(2*IF(circ_int,0,eq_c2/2)),IF(circ_int,0,eq_c1/2)+(s_0+7*s_r+IF(circ_int,eq_c1/2,0)),IF(((50+0.5)*(4*IF(circ_int,0,eq_c1/2)+4*IF(circ_int,0,eq_c2/2)+2*PI()*(s_0+7*s_r+IF(circ_int,eq_c1/2,0)))/INDEX(lk_legs,8))&lt;((2*IF(circ_int,0,eq_c2/2))+(PI()*(s_0+7*s_r+IF(circ_int,eq_c1/2,0))/2)),IF(circ_int,0,eq_c1/2)+(s_0+7*s_r+IF(circ_int,eq_c1/2,0))*COS((((50+0.5)*(4*IF(circ_int,0,eq_c1/2)+4*IF(circ_int,0,eq_c2/2)+2*PI()*(s_0+7*s_r+IF(circ_int,eq_c1/2,0)))/INDEX(lk_legs,8))-(2*IF(circ_int,0,eq_c2/2)))/(s_0+7*s_r+IF(circ_int,eq_c1/2,0))),IF(((50+0.5)*(4*IF(circ_int,0,eq_c1/2)+4*IF(circ_int,0,eq_c2/2)+2*PI()*(s_0+7*s_r+IF(circ_int,eq_c1/2,0)))/INDEX(lk_legs,8))&lt;(((2*IF(circ_int,0,eq_c2/2))+(PI()*(s_0+7*s_r+IF(circ_int,eq_c1/2,0))/2))+2*IF(circ_int,0,eq_c1/2)),IF(circ_int,0,eq_c1/2)-(((50+0.5)*(4*IF(circ_int,0,eq_c1/2)+4*IF(circ_int,0,eq_c2/2)+2*PI()*(s_0+7*s_r+IF(circ_int,eq_c1/2,0)))/INDEX(lk_legs,8))-((2*IF(circ_int,0,eq_c2/2))+(PI()*(s_0+7*s_r+IF(circ_int,eq_c1/2,0))/2))),IF(((50+0.5)*(4*IF(circ_int,0,eq_c1/2)+4*IF(circ_int,0,eq_c2/2)+2*PI()*(s_0+7*s_r+IF(circ_int,eq_c1/2,0)))/INDEX(lk_legs,8))&lt;((((2*IF(circ_int,0,eq_c2/2))+(PI()*(s_0+7*s_r+IF(circ_int,eq_c1/2,0))/2))+2*IF(circ_int,0,eq_c1/2))+(PI()*(s_0+7*s_r+IF(circ_int,eq_c1/2,0))/2)),-IF(circ_int,0,eq_c1/2)+(s_0+7*s_r+IF(circ_int,eq_c1/2,0))*COS(PI()/2+(((50+0.5)*(4*IF(circ_int,0,eq_c1/2)+4*IF(circ_int,0,eq_c2/2)+2*PI()*(s_0+7*s_r+IF(circ_int,eq_c1/2,0)))/INDEX(lk_legs,8))-(((2*IF(circ_int,0,eq_c2/2))+(PI()*(s_0+7*s_r+IF(circ_int,eq_c1/2,0))/2))+2*IF(circ_int,0,eq_c1/2)))/(s_0+7*s_r+IF(circ_int,eq_c1/2,0))),IF(((50+0.5)*(4*IF(circ_int,0,eq_c1/2)+4*IF(circ_int,0,eq_c2/2)+2*PI()*(s_0+7*s_r+IF(circ_int,eq_c1/2,0)))/INDEX(lk_legs,8))&lt;(((((2*IF(circ_int,0,eq_c2/2))+(PI()*(s_0+7*s_r+IF(circ_int,eq_c1/2,0))/2))+2*IF(circ_int,0,eq_c1/2))+(PI()*(s_0+7*s_r+IF(circ_int,eq_c1/2,0))/2))+2*IF(circ_int,0,eq_c2/2)),-IF(circ_int,0,eq_c1/2)-(s_0+7*s_r+IF(circ_int,eq_c1/2,0)),IF(((50+0.5)*(4*IF(circ_int,0,eq_c1/2)+4*IF(circ_int,0,eq_c2/2)+2*PI()*(s_0+7*s_r+IF(circ_int,eq_c1/2,0)))/INDEX(lk_legs,8))&lt;((((((2*IF(circ_int,0,eq_c2/2))+(PI()*(s_0+7*s_r+IF(circ_int,eq_c1/2,0))/2))+2*IF(circ_int,0,eq_c1/2))+(PI()*(s_0+7*s_r+IF(circ_int,eq_c1/2,0))/2))+2*IF(circ_int,0,eq_c2/2))+(PI()*(s_0+7*s_r+IF(circ_int,eq_c1/2,0))/2)),-IF(circ_int,0,eq_c1/2)+(s_0+7*s_r+IF(circ_int,eq_c1/2,0))*COS(PI()+(((50+0.5)*(4*IF(circ_int,0,eq_c1/2)+4*IF(circ_int,0,eq_c2/2)+2*PI()*(s_0+7*s_r+IF(circ_int,eq_c1/2,0)))/INDEX(lk_legs,8))-(((((2*IF(circ_int,0,eq_c2/2))+(PI()*(s_0+7*s_r+IF(circ_int,eq_c1/2,0))/2))+2*IF(circ_int,0,eq_c1/2))+(PI()*(s_0+7*s_r+IF(circ_int,eq_c1/2,0))/2))+2*IF(circ_int,0,eq_c2/2)))/(s_0+7*s_r+IF(circ_int,eq_c1/2,0))),IF(((50+0.5)*(4*IF(circ_int,0,eq_c1/2)+4*IF(circ_int,0,eq_c2/2)+2*PI()*(s_0+7*s_r+IF(circ_int,eq_c1/2,0)))/INDEX(lk_legs,8))&lt;(((((((2*IF(circ_int,0,eq_c2/2))+(PI()*(s_0+7*s_r+IF(circ_int,eq_c1/2,0))/2))+2*IF(circ_int,0,eq_c1/2))+(PI()*(s_0+7*s_r+IF(circ_int,eq_c1/2,0))/2))+2*IF(circ_int,0,eq_c2/2))+(PI()*(s_0+7*s_r+IF(circ_int,eq_c1/2,0))/2))+2*IF(circ_int,0,eq_c1/2)),-IF(circ_int,0,eq_c1/2)+(((50+0.5)*(4*IF(circ_int,0,eq_c1/2)+4*IF(circ_int,0,eq_c2/2)+2*PI()*(s_0+7*s_r+IF(circ_int,eq_c1/2,0)))/INDEX(lk_legs,8))-((((((2*IF(circ_int,0,eq_c2/2))+(PI()*(s_0+7*s_r+IF(circ_int,eq_c1/2,0))/2))+2*IF(circ_int,0,eq_c1/2))+(PI()*(s_0+7*s_r+IF(circ_int,eq_c1/2,0))/2))+2*IF(circ_int,0,eq_c2/2))+(PI()*(s_0+7*s_r+IF(circ_int,eq_c1/2,0))/2))),IF(circ_int,0,eq_c1/2)+(s_0+7*s_r+IF(circ_int,eq_c1/2,0))*COS(3*PI()/2+(((50+0.5)*(4*IF(circ_int,0,eq_c1/2)+4*IF(circ_int,0,eq_c2/2)+2*PI()*(s_0+7*s_r+IF(circ_int,eq_c1/2,0)))/INDEX(lk_legs,8))-(((((((2*IF(circ_int,0,eq_c2/2))+(PI()*(s_0+7*s_r+IF(circ_int,eq_c1/2,0))/2))+2*IF(circ_int,0,eq_c1/2))+(PI()*(s_0+7*s_r+IF(circ_int,eq_c1/2,0))/2))+2*IF(circ_int,0,eq_c2/2))+(PI()*(s_0+7*s_r+IF(circ_int,eq_c1/2,0))/2))+2*IF(circ_int,0,eq_c1/2)))/(s_0+7*s_r+IF(circ_int,eq_c1/2,0)))))))))),NA())</f>
        <v/>
      </c>
      <c r="CQ53">
        <f>IF(AND(AND(links_on,8&lt;=n_per),INDEX(lk_kind,8)=1,50&lt;INDEX(lk_legs,8)),g_oy+IF(((50+0.5)*(4*IF(circ_int,0,eq_c1/2)+4*IF(circ_int,0,eq_c2/2)+2*PI()*(s_0+7*s_r+IF(circ_int,eq_c1/2,0)))/INDEX(lk_legs,8))&lt;(2*IF(circ_int,0,eq_c2/2)),-IF(circ_int,0,eq_c2/2)+((50+0.5)*(4*IF(circ_int,0,eq_c1/2)+4*IF(circ_int,0,eq_c2/2)+2*PI()*(s_0+7*s_r+IF(circ_int,eq_c1/2,0)))/INDEX(lk_legs,8)),IF(((50+0.5)*(4*IF(circ_int,0,eq_c1/2)+4*IF(circ_int,0,eq_c2/2)+2*PI()*(s_0+7*s_r+IF(circ_int,eq_c1/2,0)))/INDEX(lk_legs,8))&lt;((2*IF(circ_int,0,eq_c2/2))+(PI()*(s_0+7*s_r+IF(circ_int,eq_c1/2,0))/2)),IF(circ_int,0,eq_c2/2)+(s_0+7*s_r+IF(circ_int,eq_c1/2,0))*SIN((((50+0.5)*(4*IF(circ_int,0,eq_c1/2)+4*IF(circ_int,0,eq_c2/2)+2*PI()*(s_0+7*s_r+IF(circ_int,eq_c1/2,0)))/INDEX(lk_legs,8))-(2*IF(circ_int,0,eq_c2/2)))/(s_0+7*s_r+IF(circ_int,eq_c1/2,0))),IF(((50+0.5)*(4*IF(circ_int,0,eq_c1/2)+4*IF(circ_int,0,eq_c2/2)+2*PI()*(s_0+7*s_r+IF(circ_int,eq_c1/2,0)))/INDEX(lk_legs,8))&lt;(((2*IF(circ_int,0,eq_c2/2))+(PI()*(s_0+7*s_r+IF(circ_int,eq_c1/2,0))/2))+2*IF(circ_int,0,eq_c1/2)),IF(circ_int,0,eq_c2/2)+(s_0+7*s_r+IF(circ_int,eq_c1/2,0)),IF(((50+0.5)*(4*IF(circ_int,0,eq_c1/2)+4*IF(circ_int,0,eq_c2/2)+2*PI()*(s_0+7*s_r+IF(circ_int,eq_c1/2,0)))/INDEX(lk_legs,8))&lt;((((2*IF(circ_int,0,eq_c2/2))+(PI()*(s_0+7*s_r+IF(circ_int,eq_c1/2,0))/2))+2*IF(circ_int,0,eq_c1/2))+(PI()*(s_0+7*s_r+IF(circ_int,eq_c1/2,0))/2)),IF(circ_int,0,eq_c2/2)+(s_0+7*s_r+IF(circ_int,eq_c1/2,0))*SIN(PI()/2+(((50+0.5)*(4*IF(circ_int,0,eq_c1/2)+4*IF(circ_int,0,eq_c2/2)+2*PI()*(s_0+7*s_r+IF(circ_int,eq_c1/2,0)))/INDEX(lk_legs,8))-(((2*IF(circ_int,0,eq_c2/2))+(PI()*(s_0+7*s_r+IF(circ_int,eq_c1/2,0))/2))+2*IF(circ_int,0,eq_c1/2)))/(s_0+7*s_r+IF(circ_int,eq_c1/2,0))),IF(((50+0.5)*(4*IF(circ_int,0,eq_c1/2)+4*IF(circ_int,0,eq_c2/2)+2*PI()*(s_0+7*s_r+IF(circ_int,eq_c1/2,0)))/INDEX(lk_legs,8))&lt;(((((2*IF(circ_int,0,eq_c2/2))+(PI()*(s_0+7*s_r+IF(circ_int,eq_c1/2,0))/2))+2*IF(circ_int,0,eq_c1/2))+(PI()*(s_0+7*s_r+IF(circ_int,eq_c1/2,0))/2))+2*IF(circ_int,0,eq_c2/2)),IF(circ_int,0,eq_c2/2)-(((50+0.5)*(4*IF(circ_int,0,eq_c1/2)+4*IF(circ_int,0,eq_c2/2)+2*PI()*(s_0+7*s_r+IF(circ_int,eq_c1/2,0)))/INDEX(lk_legs,8))-((((2*IF(circ_int,0,eq_c2/2))+(PI()*(s_0+7*s_r+IF(circ_int,eq_c1/2,0))/2))+2*IF(circ_int,0,eq_c1/2))+(PI()*(s_0+7*s_r+IF(circ_int,eq_c1/2,0))/2))),IF(((50+0.5)*(4*IF(circ_int,0,eq_c1/2)+4*IF(circ_int,0,eq_c2/2)+2*PI()*(s_0+7*s_r+IF(circ_int,eq_c1/2,0)))/INDEX(lk_legs,8))&lt;((((((2*IF(circ_int,0,eq_c2/2))+(PI()*(s_0+7*s_r+IF(circ_int,eq_c1/2,0))/2))+2*IF(circ_int,0,eq_c1/2))+(PI()*(s_0+7*s_r+IF(circ_int,eq_c1/2,0))/2))+2*IF(circ_int,0,eq_c2/2))+(PI()*(s_0+7*s_r+IF(circ_int,eq_c1/2,0))/2)),-IF(circ_int,0,eq_c2/2)+(s_0+7*s_r+IF(circ_int,eq_c1/2,0))*SIN(PI()+(((50+0.5)*(4*IF(circ_int,0,eq_c1/2)+4*IF(circ_int,0,eq_c2/2)+2*PI()*(s_0+7*s_r+IF(circ_int,eq_c1/2,0)))/INDEX(lk_legs,8))-(((((2*IF(circ_int,0,eq_c2/2))+(PI()*(s_0+7*s_r+IF(circ_int,eq_c1/2,0))/2))+2*IF(circ_int,0,eq_c1/2))+(PI()*(s_0+7*s_r+IF(circ_int,eq_c1/2,0))/2))+2*IF(circ_int,0,eq_c2/2)))/(s_0+7*s_r+IF(circ_int,eq_c1/2,0))),IF(((50+0.5)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(50+0.5)*(4*IF(circ_int,0,eq_c1/2)+4*IF(circ_int,0,eq_c2/2)+2*PI()*(s_0+7*s_r+IF(circ_int,eq_c1/2,0)))/INDEX(lk_legs,8))-(((((((2*IF(circ_int,0,eq_c2/2))+(PI()*(s_0+7*s_r+IF(circ_int,eq_c1/2,0))/2))+2*IF(circ_int,0,eq_c1/2))+(PI()*(s_0+7*s_r+IF(circ_int,eq_c1/2,0))/2))+2*IF(circ_int,0,eq_c2/2))+(PI()*(s_0+7*s_r+IF(circ_int,eq_c1/2,0))/2))+2*IF(circ_int,0,eq_c1/2)))/(s_0+7*s_r+IF(circ_int,eq_c1/2,0)))))))))),NA())</f>
        <v/>
      </c>
      <c r="CS53">
        <f>IF(AND(links_on,9&lt;=n_per),IF(circ_int,(g_ox)+(c_1/2+(s_0+8*s_r))*0.970942,CHOOSE(INDEX(lk_kind,9),(g_ox+eq_c1/2)+((s_0+8*s_r))*0.991445,0,eq_a1+eq_c1+(s_0+8*s_r),eq_a1+eq_c1+(s_0+8*s_r))),NA())</f>
        <v/>
      </c>
      <c r="CT53">
        <f>IF(AND(links_on,9&lt;=n_per),IF(circ_int,(g_oy)+(c_1/2+(s_0+8*s_r))*-0.239316,CHOOSE(INDEX(lk_kind,9),(g_oy-eq_c2/2)+((s_0+8*s_r))*-0.130526,g_oy-eq_c2/2-(s_0+8*s_r),0,0)),NA())</f>
        <v/>
      </c>
      <c r="CV53">
        <f>IF(AND(AND(links_on,9&lt;=n_per),INDEX(lk_kind,9)=1,50&lt;INDEX(lk_legs,9)),g_ox+IF(((50+0.5)*(4*IF(circ_int,0,eq_c1/2)+4*IF(circ_int,0,eq_c2/2)+2*PI()*(s_0+8*s_r+IF(circ_int,eq_c1/2,0)))/INDEX(lk_legs,9))&lt;(2*IF(circ_int,0,eq_c2/2)),IF(circ_int,0,eq_c1/2)+(s_0+8*s_r+IF(circ_int,eq_c1/2,0)),IF(((50+0.5)*(4*IF(circ_int,0,eq_c1/2)+4*IF(circ_int,0,eq_c2/2)+2*PI()*(s_0+8*s_r+IF(circ_int,eq_c1/2,0)))/INDEX(lk_legs,9))&lt;((2*IF(circ_int,0,eq_c2/2))+(PI()*(s_0+8*s_r+IF(circ_int,eq_c1/2,0))/2)),IF(circ_int,0,eq_c1/2)+(s_0+8*s_r+IF(circ_int,eq_c1/2,0))*COS((((50+0.5)*(4*IF(circ_int,0,eq_c1/2)+4*IF(circ_int,0,eq_c2/2)+2*PI()*(s_0+8*s_r+IF(circ_int,eq_c1/2,0)))/INDEX(lk_legs,9))-(2*IF(circ_int,0,eq_c2/2)))/(s_0+8*s_r+IF(circ_int,eq_c1/2,0))),IF(((50+0.5)*(4*IF(circ_int,0,eq_c1/2)+4*IF(circ_int,0,eq_c2/2)+2*PI()*(s_0+8*s_r+IF(circ_int,eq_c1/2,0)))/INDEX(lk_legs,9))&lt;(((2*IF(circ_int,0,eq_c2/2))+(PI()*(s_0+8*s_r+IF(circ_int,eq_c1/2,0))/2))+2*IF(circ_int,0,eq_c1/2)),IF(circ_int,0,eq_c1/2)-(((50+0.5)*(4*IF(circ_int,0,eq_c1/2)+4*IF(circ_int,0,eq_c2/2)+2*PI()*(s_0+8*s_r+IF(circ_int,eq_c1/2,0)))/INDEX(lk_legs,9))-((2*IF(circ_int,0,eq_c2/2))+(PI()*(s_0+8*s_r+IF(circ_int,eq_c1/2,0))/2))),IF(((50+0.5)*(4*IF(circ_int,0,eq_c1/2)+4*IF(circ_int,0,eq_c2/2)+2*PI()*(s_0+8*s_r+IF(circ_int,eq_c1/2,0)))/INDEX(lk_legs,9))&lt;((((2*IF(circ_int,0,eq_c2/2))+(PI()*(s_0+8*s_r+IF(circ_int,eq_c1/2,0))/2))+2*IF(circ_int,0,eq_c1/2))+(PI()*(s_0+8*s_r+IF(circ_int,eq_c1/2,0))/2)),-IF(circ_int,0,eq_c1/2)+(s_0+8*s_r+IF(circ_int,eq_c1/2,0))*COS(PI()/2+(((50+0.5)*(4*IF(circ_int,0,eq_c1/2)+4*IF(circ_int,0,eq_c2/2)+2*PI()*(s_0+8*s_r+IF(circ_int,eq_c1/2,0)))/INDEX(lk_legs,9))-(((2*IF(circ_int,0,eq_c2/2))+(PI()*(s_0+8*s_r+IF(circ_int,eq_c1/2,0))/2))+2*IF(circ_int,0,eq_c1/2)))/(s_0+8*s_r+IF(circ_int,eq_c1/2,0))),IF(((50+0.5)*(4*IF(circ_int,0,eq_c1/2)+4*IF(circ_int,0,eq_c2/2)+2*PI()*(s_0+8*s_r+IF(circ_int,eq_c1/2,0)))/INDEX(lk_legs,9))&lt;(((((2*IF(circ_int,0,eq_c2/2))+(PI()*(s_0+8*s_r+IF(circ_int,eq_c1/2,0))/2))+2*IF(circ_int,0,eq_c1/2))+(PI()*(s_0+8*s_r+IF(circ_int,eq_c1/2,0))/2))+2*IF(circ_int,0,eq_c2/2)),-IF(circ_int,0,eq_c1/2)-(s_0+8*s_r+IF(circ_int,eq_c1/2,0)),IF(((50+0.5)*(4*IF(circ_int,0,eq_c1/2)+4*IF(circ_int,0,eq_c2/2)+2*PI()*(s_0+8*s_r+IF(circ_int,eq_c1/2,0)))/INDEX(lk_legs,9))&lt;((((((2*IF(circ_int,0,eq_c2/2))+(PI()*(s_0+8*s_r+IF(circ_int,eq_c1/2,0))/2))+2*IF(circ_int,0,eq_c1/2))+(PI()*(s_0+8*s_r+IF(circ_int,eq_c1/2,0))/2))+2*IF(circ_int,0,eq_c2/2))+(PI()*(s_0+8*s_r+IF(circ_int,eq_c1/2,0))/2)),-IF(circ_int,0,eq_c1/2)+(s_0+8*s_r+IF(circ_int,eq_c1/2,0))*COS(PI()+(((50+0.5)*(4*IF(circ_int,0,eq_c1/2)+4*IF(circ_int,0,eq_c2/2)+2*PI()*(s_0+8*s_r+IF(circ_int,eq_c1/2,0)))/INDEX(lk_legs,9))-(((((2*IF(circ_int,0,eq_c2/2))+(PI()*(s_0+8*s_r+IF(circ_int,eq_c1/2,0))/2))+2*IF(circ_int,0,eq_c1/2))+(PI()*(s_0+8*s_r+IF(circ_int,eq_c1/2,0))/2))+2*IF(circ_int,0,eq_c2/2)))/(s_0+8*s_r+IF(circ_int,eq_c1/2,0))),IF(((50+0.5)*(4*IF(circ_int,0,eq_c1/2)+4*IF(circ_int,0,eq_c2/2)+2*PI()*(s_0+8*s_r+IF(circ_int,eq_c1/2,0)))/INDEX(lk_legs,9))&lt;(((((((2*IF(circ_int,0,eq_c2/2))+(PI()*(s_0+8*s_r+IF(circ_int,eq_c1/2,0))/2))+2*IF(circ_int,0,eq_c1/2))+(PI()*(s_0+8*s_r+IF(circ_int,eq_c1/2,0))/2))+2*IF(circ_int,0,eq_c2/2))+(PI()*(s_0+8*s_r+IF(circ_int,eq_c1/2,0))/2))+2*IF(circ_int,0,eq_c1/2)),-IF(circ_int,0,eq_c1/2)+(((50+0.5)*(4*IF(circ_int,0,eq_c1/2)+4*IF(circ_int,0,eq_c2/2)+2*PI()*(s_0+8*s_r+IF(circ_int,eq_c1/2,0)))/INDEX(lk_legs,9))-((((((2*IF(circ_int,0,eq_c2/2))+(PI()*(s_0+8*s_r+IF(circ_int,eq_c1/2,0))/2))+2*IF(circ_int,0,eq_c1/2))+(PI()*(s_0+8*s_r+IF(circ_int,eq_c1/2,0))/2))+2*IF(circ_int,0,eq_c2/2))+(PI()*(s_0+8*s_r+IF(circ_int,eq_c1/2,0))/2))),IF(circ_int,0,eq_c1/2)+(s_0+8*s_r+IF(circ_int,eq_c1/2,0))*COS(3*PI()/2+(((50+0.5)*(4*IF(circ_int,0,eq_c1/2)+4*IF(circ_int,0,eq_c2/2)+2*PI()*(s_0+8*s_r+IF(circ_int,eq_c1/2,0)))/INDEX(lk_legs,9))-(((((((2*IF(circ_int,0,eq_c2/2))+(PI()*(s_0+8*s_r+IF(circ_int,eq_c1/2,0))/2))+2*IF(circ_int,0,eq_c1/2))+(PI()*(s_0+8*s_r+IF(circ_int,eq_c1/2,0))/2))+2*IF(circ_int,0,eq_c2/2))+(PI()*(s_0+8*s_r+IF(circ_int,eq_c1/2,0))/2))+2*IF(circ_int,0,eq_c1/2)))/(s_0+8*s_r+IF(circ_int,eq_c1/2,0)))))))))),NA())</f>
        <v/>
      </c>
      <c r="CW53">
        <f>IF(AND(AND(links_on,9&lt;=n_per),INDEX(lk_kind,9)=1,50&lt;INDEX(lk_legs,9)),g_oy+IF(((50+0.5)*(4*IF(circ_int,0,eq_c1/2)+4*IF(circ_int,0,eq_c2/2)+2*PI()*(s_0+8*s_r+IF(circ_int,eq_c1/2,0)))/INDEX(lk_legs,9))&lt;(2*IF(circ_int,0,eq_c2/2)),-IF(circ_int,0,eq_c2/2)+((50+0.5)*(4*IF(circ_int,0,eq_c1/2)+4*IF(circ_int,0,eq_c2/2)+2*PI()*(s_0+8*s_r+IF(circ_int,eq_c1/2,0)))/INDEX(lk_legs,9)),IF(((50+0.5)*(4*IF(circ_int,0,eq_c1/2)+4*IF(circ_int,0,eq_c2/2)+2*PI()*(s_0+8*s_r+IF(circ_int,eq_c1/2,0)))/INDEX(lk_legs,9))&lt;((2*IF(circ_int,0,eq_c2/2))+(PI()*(s_0+8*s_r+IF(circ_int,eq_c1/2,0))/2)),IF(circ_int,0,eq_c2/2)+(s_0+8*s_r+IF(circ_int,eq_c1/2,0))*SIN((((50+0.5)*(4*IF(circ_int,0,eq_c1/2)+4*IF(circ_int,0,eq_c2/2)+2*PI()*(s_0+8*s_r+IF(circ_int,eq_c1/2,0)))/INDEX(lk_legs,9))-(2*IF(circ_int,0,eq_c2/2)))/(s_0+8*s_r+IF(circ_int,eq_c1/2,0))),IF(((50+0.5)*(4*IF(circ_int,0,eq_c1/2)+4*IF(circ_int,0,eq_c2/2)+2*PI()*(s_0+8*s_r+IF(circ_int,eq_c1/2,0)))/INDEX(lk_legs,9))&lt;(((2*IF(circ_int,0,eq_c2/2))+(PI()*(s_0+8*s_r+IF(circ_int,eq_c1/2,0))/2))+2*IF(circ_int,0,eq_c1/2)),IF(circ_int,0,eq_c2/2)+(s_0+8*s_r+IF(circ_int,eq_c1/2,0)),IF(((50+0.5)*(4*IF(circ_int,0,eq_c1/2)+4*IF(circ_int,0,eq_c2/2)+2*PI()*(s_0+8*s_r+IF(circ_int,eq_c1/2,0)))/INDEX(lk_legs,9))&lt;((((2*IF(circ_int,0,eq_c2/2))+(PI()*(s_0+8*s_r+IF(circ_int,eq_c1/2,0))/2))+2*IF(circ_int,0,eq_c1/2))+(PI()*(s_0+8*s_r+IF(circ_int,eq_c1/2,0))/2)),IF(circ_int,0,eq_c2/2)+(s_0+8*s_r+IF(circ_int,eq_c1/2,0))*SIN(PI()/2+(((50+0.5)*(4*IF(circ_int,0,eq_c1/2)+4*IF(circ_int,0,eq_c2/2)+2*PI()*(s_0+8*s_r+IF(circ_int,eq_c1/2,0)))/INDEX(lk_legs,9))-(((2*IF(circ_int,0,eq_c2/2))+(PI()*(s_0+8*s_r+IF(circ_int,eq_c1/2,0))/2))+2*IF(circ_int,0,eq_c1/2)))/(s_0+8*s_r+IF(circ_int,eq_c1/2,0))),IF(((50+0.5)*(4*IF(circ_int,0,eq_c1/2)+4*IF(circ_int,0,eq_c2/2)+2*PI()*(s_0+8*s_r+IF(circ_int,eq_c1/2,0)))/INDEX(lk_legs,9))&lt;(((((2*IF(circ_int,0,eq_c2/2))+(PI()*(s_0+8*s_r+IF(circ_int,eq_c1/2,0))/2))+2*IF(circ_int,0,eq_c1/2))+(PI()*(s_0+8*s_r+IF(circ_int,eq_c1/2,0))/2))+2*IF(circ_int,0,eq_c2/2)),IF(circ_int,0,eq_c2/2)-(((50+0.5)*(4*IF(circ_int,0,eq_c1/2)+4*IF(circ_int,0,eq_c2/2)+2*PI()*(s_0+8*s_r+IF(circ_int,eq_c1/2,0)))/INDEX(lk_legs,9))-((((2*IF(circ_int,0,eq_c2/2))+(PI()*(s_0+8*s_r+IF(circ_int,eq_c1/2,0))/2))+2*IF(circ_int,0,eq_c1/2))+(PI()*(s_0+8*s_r+IF(circ_int,eq_c1/2,0))/2))),IF(((50+0.5)*(4*IF(circ_int,0,eq_c1/2)+4*IF(circ_int,0,eq_c2/2)+2*PI()*(s_0+8*s_r+IF(circ_int,eq_c1/2,0)))/INDEX(lk_legs,9))&lt;((((((2*IF(circ_int,0,eq_c2/2))+(PI()*(s_0+8*s_r+IF(circ_int,eq_c1/2,0))/2))+2*IF(circ_int,0,eq_c1/2))+(PI()*(s_0+8*s_r+IF(circ_int,eq_c1/2,0))/2))+2*IF(circ_int,0,eq_c2/2))+(PI()*(s_0+8*s_r+IF(circ_int,eq_c1/2,0))/2)),-IF(circ_int,0,eq_c2/2)+(s_0+8*s_r+IF(circ_int,eq_c1/2,0))*SIN(PI()+(((50+0.5)*(4*IF(circ_int,0,eq_c1/2)+4*IF(circ_int,0,eq_c2/2)+2*PI()*(s_0+8*s_r+IF(circ_int,eq_c1/2,0)))/INDEX(lk_legs,9))-(((((2*IF(circ_int,0,eq_c2/2))+(PI()*(s_0+8*s_r+IF(circ_int,eq_c1/2,0))/2))+2*IF(circ_int,0,eq_c1/2))+(PI()*(s_0+8*s_r+IF(circ_int,eq_c1/2,0))/2))+2*IF(circ_int,0,eq_c2/2)))/(s_0+8*s_r+IF(circ_int,eq_c1/2,0))),IF(((50+0.5)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(50+0.5)*(4*IF(circ_int,0,eq_c1/2)+4*IF(circ_int,0,eq_c2/2)+2*PI()*(s_0+8*s_r+IF(circ_int,eq_c1/2,0)))/INDEX(lk_legs,9))-(((((((2*IF(circ_int,0,eq_c2/2))+(PI()*(s_0+8*s_r+IF(circ_int,eq_c1/2,0))/2))+2*IF(circ_int,0,eq_c1/2))+(PI()*(s_0+8*s_r+IF(circ_int,eq_c1/2,0))/2))+2*IF(circ_int,0,eq_c2/2))+(PI()*(s_0+8*s_r+IF(circ_int,eq_c1/2,0))/2))+2*IF(circ_int,0,eq_c1/2)))/(s_0+8*s_r+IF(circ_int,eq_c1/2,0)))))))))),NA())</f>
        <v/>
      </c>
      <c r="CY53">
        <f>IF(AND(links_on,10&lt;=n_per),IF(circ_int,(g_ox)+(c_1/2+(s_0+9*s_r))*0.970942,CHOOSE(INDEX(lk_kind,10),(g_ox+eq_c1/2)+((s_0+9*s_r))*0.991445,0,eq_a1+eq_c1+(s_0+9*s_r),eq_a1+eq_c1+(s_0+9*s_r))),NA())</f>
        <v/>
      </c>
      <c r="CZ53">
        <f>IF(AND(links_on,10&lt;=n_per),IF(circ_int,(g_oy)+(c_1/2+(s_0+9*s_r))*-0.239316,CHOOSE(INDEX(lk_kind,10),(g_oy-eq_c2/2)+((s_0+9*s_r))*-0.130526,g_oy-eq_c2/2-(s_0+9*s_r),0,0)),NA())</f>
        <v/>
      </c>
      <c r="DB53">
        <f>IF(AND(AND(links_on,10&lt;=n_per),INDEX(lk_kind,10)=1,50&lt;INDEX(lk_legs,10)),g_ox+IF(((50+0.5)*(4*IF(circ_int,0,eq_c1/2)+4*IF(circ_int,0,eq_c2/2)+2*PI()*(s_0+9*s_r+IF(circ_int,eq_c1/2,0)))/INDEX(lk_legs,10))&lt;(2*IF(circ_int,0,eq_c2/2)),IF(circ_int,0,eq_c1/2)+(s_0+9*s_r+IF(circ_int,eq_c1/2,0)),IF(((50+0.5)*(4*IF(circ_int,0,eq_c1/2)+4*IF(circ_int,0,eq_c2/2)+2*PI()*(s_0+9*s_r+IF(circ_int,eq_c1/2,0)))/INDEX(lk_legs,10))&lt;((2*IF(circ_int,0,eq_c2/2))+(PI()*(s_0+9*s_r+IF(circ_int,eq_c1/2,0))/2)),IF(circ_int,0,eq_c1/2)+(s_0+9*s_r+IF(circ_int,eq_c1/2,0))*COS((((50+0.5)*(4*IF(circ_int,0,eq_c1/2)+4*IF(circ_int,0,eq_c2/2)+2*PI()*(s_0+9*s_r+IF(circ_int,eq_c1/2,0)))/INDEX(lk_legs,10))-(2*IF(circ_int,0,eq_c2/2)))/(s_0+9*s_r+IF(circ_int,eq_c1/2,0))),IF(((50+0.5)*(4*IF(circ_int,0,eq_c1/2)+4*IF(circ_int,0,eq_c2/2)+2*PI()*(s_0+9*s_r+IF(circ_int,eq_c1/2,0)))/INDEX(lk_legs,10))&lt;(((2*IF(circ_int,0,eq_c2/2))+(PI()*(s_0+9*s_r+IF(circ_int,eq_c1/2,0))/2))+2*IF(circ_int,0,eq_c1/2)),IF(circ_int,0,eq_c1/2)-(((50+0.5)*(4*IF(circ_int,0,eq_c1/2)+4*IF(circ_int,0,eq_c2/2)+2*PI()*(s_0+9*s_r+IF(circ_int,eq_c1/2,0)))/INDEX(lk_legs,10))-((2*IF(circ_int,0,eq_c2/2))+(PI()*(s_0+9*s_r+IF(circ_int,eq_c1/2,0))/2))),IF(((50+0.5)*(4*IF(circ_int,0,eq_c1/2)+4*IF(circ_int,0,eq_c2/2)+2*PI()*(s_0+9*s_r+IF(circ_int,eq_c1/2,0)))/INDEX(lk_legs,10))&lt;((((2*IF(circ_int,0,eq_c2/2))+(PI()*(s_0+9*s_r+IF(circ_int,eq_c1/2,0))/2))+2*IF(circ_int,0,eq_c1/2))+(PI()*(s_0+9*s_r+IF(circ_int,eq_c1/2,0))/2)),-IF(circ_int,0,eq_c1/2)+(s_0+9*s_r+IF(circ_int,eq_c1/2,0))*COS(PI()/2+(((50+0.5)*(4*IF(circ_int,0,eq_c1/2)+4*IF(circ_int,0,eq_c2/2)+2*PI()*(s_0+9*s_r+IF(circ_int,eq_c1/2,0)))/INDEX(lk_legs,10))-(((2*IF(circ_int,0,eq_c2/2))+(PI()*(s_0+9*s_r+IF(circ_int,eq_c1/2,0))/2))+2*IF(circ_int,0,eq_c1/2)))/(s_0+9*s_r+IF(circ_int,eq_c1/2,0))),IF(((50+0.5)*(4*IF(circ_int,0,eq_c1/2)+4*IF(circ_int,0,eq_c2/2)+2*PI()*(s_0+9*s_r+IF(circ_int,eq_c1/2,0)))/INDEX(lk_legs,10))&lt;(((((2*IF(circ_int,0,eq_c2/2))+(PI()*(s_0+9*s_r+IF(circ_int,eq_c1/2,0))/2))+2*IF(circ_int,0,eq_c1/2))+(PI()*(s_0+9*s_r+IF(circ_int,eq_c1/2,0))/2))+2*IF(circ_int,0,eq_c2/2)),-IF(circ_int,0,eq_c1/2)-(s_0+9*s_r+IF(circ_int,eq_c1/2,0)),IF(((50+0.5)*(4*IF(circ_int,0,eq_c1/2)+4*IF(circ_int,0,eq_c2/2)+2*PI()*(s_0+9*s_r+IF(circ_int,eq_c1/2,0)))/INDEX(lk_legs,10))&lt;((((((2*IF(circ_int,0,eq_c2/2))+(PI()*(s_0+9*s_r+IF(circ_int,eq_c1/2,0))/2))+2*IF(circ_int,0,eq_c1/2))+(PI()*(s_0+9*s_r+IF(circ_int,eq_c1/2,0))/2))+2*IF(circ_int,0,eq_c2/2))+(PI()*(s_0+9*s_r+IF(circ_int,eq_c1/2,0))/2)),-IF(circ_int,0,eq_c1/2)+(s_0+9*s_r+IF(circ_int,eq_c1/2,0))*COS(PI()+(((50+0.5)*(4*IF(circ_int,0,eq_c1/2)+4*IF(circ_int,0,eq_c2/2)+2*PI()*(s_0+9*s_r+IF(circ_int,eq_c1/2,0)))/INDEX(lk_legs,10))-(((((2*IF(circ_int,0,eq_c2/2))+(PI()*(s_0+9*s_r+IF(circ_int,eq_c1/2,0))/2))+2*IF(circ_int,0,eq_c1/2))+(PI()*(s_0+9*s_r+IF(circ_int,eq_c1/2,0))/2))+2*IF(circ_int,0,eq_c2/2)))/(s_0+9*s_r+IF(circ_int,eq_c1/2,0))),IF(((50+0.5)*(4*IF(circ_int,0,eq_c1/2)+4*IF(circ_int,0,eq_c2/2)+2*PI()*(s_0+9*s_r+IF(circ_int,eq_c1/2,0)))/INDEX(lk_legs,10))&lt;(((((((2*IF(circ_int,0,eq_c2/2))+(PI()*(s_0+9*s_r+IF(circ_int,eq_c1/2,0))/2))+2*IF(circ_int,0,eq_c1/2))+(PI()*(s_0+9*s_r+IF(circ_int,eq_c1/2,0))/2))+2*IF(circ_int,0,eq_c2/2))+(PI()*(s_0+9*s_r+IF(circ_int,eq_c1/2,0))/2))+2*IF(circ_int,0,eq_c1/2)),-IF(circ_int,0,eq_c1/2)+(((50+0.5)*(4*IF(circ_int,0,eq_c1/2)+4*IF(circ_int,0,eq_c2/2)+2*PI()*(s_0+9*s_r+IF(circ_int,eq_c1/2,0)))/INDEX(lk_legs,10))-((((((2*IF(circ_int,0,eq_c2/2))+(PI()*(s_0+9*s_r+IF(circ_int,eq_c1/2,0))/2))+2*IF(circ_int,0,eq_c1/2))+(PI()*(s_0+9*s_r+IF(circ_int,eq_c1/2,0))/2))+2*IF(circ_int,0,eq_c2/2))+(PI()*(s_0+9*s_r+IF(circ_int,eq_c1/2,0))/2))),IF(circ_int,0,eq_c1/2)+(s_0+9*s_r+IF(circ_int,eq_c1/2,0))*COS(3*PI()/2+(((50+0.5)*(4*IF(circ_int,0,eq_c1/2)+4*IF(circ_int,0,eq_c2/2)+2*PI()*(s_0+9*s_r+IF(circ_int,eq_c1/2,0)))/INDEX(lk_legs,10))-(((((((2*IF(circ_int,0,eq_c2/2))+(PI()*(s_0+9*s_r+IF(circ_int,eq_c1/2,0))/2))+2*IF(circ_int,0,eq_c1/2))+(PI()*(s_0+9*s_r+IF(circ_int,eq_c1/2,0))/2))+2*IF(circ_int,0,eq_c2/2))+(PI()*(s_0+9*s_r+IF(circ_int,eq_c1/2,0))/2))+2*IF(circ_int,0,eq_c1/2)))/(s_0+9*s_r+IF(circ_int,eq_c1/2,0)))))))))),NA())</f>
        <v/>
      </c>
      <c r="DC53">
        <f>IF(AND(AND(links_on,10&lt;=n_per),INDEX(lk_kind,10)=1,50&lt;INDEX(lk_legs,10)),g_oy+IF(((50+0.5)*(4*IF(circ_int,0,eq_c1/2)+4*IF(circ_int,0,eq_c2/2)+2*PI()*(s_0+9*s_r+IF(circ_int,eq_c1/2,0)))/INDEX(lk_legs,10))&lt;(2*IF(circ_int,0,eq_c2/2)),-IF(circ_int,0,eq_c2/2)+((50+0.5)*(4*IF(circ_int,0,eq_c1/2)+4*IF(circ_int,0,eq_c2/2)+2*PI()*(s_0+9*s_r+IF(circ_int,eq_c1/2,0)))/INDEX(lk_legs,10)),IF(((50+0.5)*(4*IF(circ_int,0,eq_c1/2)+4*IF(circ_int,0,eq_c2/2)+2*PI()*(s_0+9*s_r+IF(circ_int,eq_c1/2,0)))/INDEX(lk_legs,10))&lt;((2*IF(circ_int,0,eq_c2/2))+(PI()*(s_0+9*s_r+IF(circ_int,eq_c1/2,0))/2)),IF(circ_int,0,eq_c2/2)+(s_0+9*s_r+IF(circ_int,eq_c1/2,0))*SIN((((50+0.5)*(4*IF(circ_int,0,eq_c1/2)+4*IF(circ_int,0,eq_c2/2)+2*PI()*(s_0+9*s_r+IF(circ_int,eq_c1/2,0)))/INDEX(lk_legs,10))-(2*IF(circ_int,0,eq_c2/2)))/(s_0+9*s_r+IF(circ_int,eq_c1/2,0))),IF(((50+0.5)*(4*IF(circ_int,0,eq_c1/2)+4*IF(circ_int,0,eq_c2/2)+2*PI()*(s_0+9*s_r+IF(circ_int,eq_c1/2,0)))/INDEX(lk_legs,10))&lt;(((2*IF(circ_int,0,eq_c2/2))+(PI()*(s_0+9*s_r+IF(circ_int,eq_c1/2,0))/2))+2*IF(circ_int,0,eq_c1/2)),IF(circ_int,0,eq_c2/2)+(s_0+9*s_r+IF(circ_int,eq_c1/2,0)),IF(((50+0.5)*(4*IF(circ_int,0,eq_c1/2)+4*IF(circ_int,0,eq_c2/2)+2*PI()*(s_0+9*s_r+IF(circ_int,eq_c1/2,0)))/INDEX(lk_legs,10))&lt;((((2*IF(circ_int,0,eq_c2/2))+(PI()*(s_0+9*s_r+IF(circ_int,eq_c1/2,0))/2))+2*IF(circ_int,0,eq_c1/2))+(PI()*(s_0+9*s_r+IF(circ_int,eq_c1/2,0))/2)),IF(circ_int,0,eq_c2/2)+(s_0+9*s_r+IF(circ_int,eq_c1/2,0))*SIN(PI()/2+(((50+0.5)*(4*IF(circ_int,0,eq_c1/2)+4*IF(circ_int,0,eq_c2/2)+2*PI()*(s_0+9*s_r+IF(circ_int,eq_c1/2,0)))/INDEX(lk_legs,10))-(((2*IF(circ_int,0,eq_c2/2))+(PI()*(s_0+9*s_r+IF(circ_int,eq_c1/2,0))/2))+2*IF(circ_int,0,eq_c1/2)))/(s_0+9*s_r+IF(circ_int,eq_c1/2,0))),IF(((50+0.5)*(4*IF(circ_int,0,eq_c1/2)+4*IF(circ_int,0,eq_c2/2)+2*PI()*(s_0+9*s_r+IF(circ_int,eq_c1/2,0)))/INDEX(lk_legs,10))&lt;(((((2*IF(circ_int,0,eq_c2/2))+(PI()*(s_0+9*s_r+IF(circ_int,eq_c1/2,0))/2))+2*IF(circ_int,0,eq_c1/2))+(PI()*(s_0+9*s_r+IF(circ_int,eq_c1/2,0))/2))+2*IF(circ_int,0,eq_c2/2)),IF(circ_int,0,eq_c2/2)-(((50+0.5)*(4*IF(circ_int,0,eq_c1/2)+4*IF(circ_int,0,eq_c2/2)+2*PI()*(s_0+9*s_r+IF(circ_int,eq_c1/2,0)))/INDEX(lk_legs,10))-((((2*IF(circ_int,0,eq_c2/2))+(PI()*(s_0+9*s_r+IF(circ_int,eq_c1/2,0))/2))+2*IF(circ_int,0,eq_c1/2))+(PI()*(s_0+9*s_r+IF(circ_int,eq_c1/2,0))/2))),IF(((50+0.5)*(4*IF(circ_int,0,eq_c1/2)+4*IF(circ_int,0,eq_c2/2)+2*PI()*(s_0+9*s_r+IF(circ_int,eq_c1/2,0)))/INDEX(lk_legs,10))&lt;((((((2*IF(circ_int,0,eq_c2/2))+(PI()*(s_0+9*s_r+IF(circ_int,eq_c1/2,0))/2))+2*IF(circ_int,0,eq_c1/2))+(PI()*(s_0+9*s_r+IF(circ_int,eq_c1/2,0))/2))+2*IF(circ_int,0,eq_c2/2))+(PI()*(s_0+9*s_r+IF(circ_int,eq_c1/2,0))/2)),-IF(circ_int,0,eq_c2/2)+(s_0+9*s_r+IF(circ_int,eq_c1/2,0))*SIN(PI()+(((50+0.5)*(4*IF(circ_int,0,eq_c1/2)+4*IF(circ_int,0,eq_c2/2)+2*PI()*(s_0+9*s_r+IF(circ_int,eq_c1/2,0)))/INDEX(lk_legs,10))-(((((2*IF(circ_int,0,eq_c2/2))+(PI()*(s_0+9*s_r+IF(circ_int,eq_c1/2,0))/2))+2*IF(circ_int,0,eq_c1/2))+(PI()*(s_0+9*s_r+IF(circ_int,eq_c1/2,0))/2))+2*IF(circ_int,0,eq_c2/2)))/(s_0+9*s_r+IF(circ_int,eq_c1/2,0))),IF(((50+0.5)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(50+0.5)*(4*IF(circ_int,0,eq_c1/2)+4*IF(circ_int,0,eq_c2/2)+2*PI()*(s_0+9*s_r+IF(circ_int,eq_c1/2,0)))/INDEX(lk_legs,10))-(((((((2*IF(circ_int,0,eq_c2/2))+(PI()*(s_0+9*s_r+IF(circ_int,eq_c1/2,0))/2))+2*IF(circ_int,0,eq_c1/2))+(PI()*(s_0+9*s_r+IF(circ_int,eq_c1/2,0))/2))+2*IF(circ_int,0,eq_c2/2))+(PI()*(s_0+9*s_r+IF(circ_int,eq_c1/2,0))/2))+2*IF(circ_int,0,eq_c1/2)))/(s_0+9*s_r+IF(circ_int,eq_c1/2,0)))))))))),NA())</f>
        <v/>
      </c>
      <c r="DE53">
        <f>IF(AND(links_on,11&lt;=n_per),IF(circ_int,(g_ox)+(c_1/2+(s_0+10*s_r))*0.970942,CHOOSE(INDEX(lk_kind,11),(g_ox+eq_c1/2)+((s_0+10*s_r))*0.991445,0,eq_a1+eq_c1+(s_0+10*s_r),eq_a1+eq_c1+(s_0+10*s_r))),NA())</f>
        <v/>
      </c>
      <c r="DF53">
        <f>IF(AND(links_on,11&lt;=n_per),IF(circ_int,(g_oy)+(c_1/2+(s_0+10*s_r))*-0.239316,CHOOSE(INDEX(lk_kind,11),(g_oy-eq_c2/2)+((s_0+10*s_r))*-0.130526,g_oy-eq_c2/2-(s_0+10*s_r),0,0)),NA())</f>
        <v/>
      </c>
      <c r="DH53">
        <f>IF(AND(AND(links_on,11&lt;=n_per),INDEX(lk_kind,11)=1,50&lt;INDEX(lk_legs,11)),g_ox+IF(((50+0.5)*(4*IF(circ_int,0,eq_c1/2)+4*IF(circ_int,0,eq_c2/2)+2*PI()*(s_0+10*s_r+IF(circ_int,eq_c1/2,0)))/INDEX(lk_legs,11))&lt;(2*IF(circ_int,0,eq_c2/2)),IF(circ_int,0,eq_c1/2)+(s_0+10*s_r+IF(circ_int,eq_c1/2,0)),IF(((50+0.5)*(4*IF(circ_int,0,eq_c1/2)+4*IF(circ_int,0,eq_c2/2)+2*PI()*(s_0+10*s_r+IF(circ_int,eq_c1/2,0)))/INDEX(lk_legs,11))&lt;((2*IF(circ_int,0,eq_c2/2))+(PI()*(s_0+10*s_r+IF(circ_int,eq_c1/2,0))/2)),IF(circ_int,0,eq_c1/2)+(s_0+10*s_r+IF(circ_int,eq_c1/2,0))*COS((((50+0.5)*(4*IF(circ_int,0,eq_c1/2)+4*IF(circ_int,0,eq_c2/2)+2*PI()*(s_0+10*s_r+IF(circ_int,eq_c1/2,0)))/INDEX(lk_legs,11))-(2*IF(circ_int,0,eq_c2/2)))/(s_0+10*s_r+IF(circ_int,eq_c1/2,0))),IF(((50+0.5)*(4*IF(circ_int,0,eq_c1/2)+4*IF(circ_int,0,eq_c2/2)+2*PI()*(s_0+10*s_r+IF(circ_int,eq_c1/2,0)))/INDEX(lk_legs,11))&lt;(((2*IF(circ_int,0,eq_c2/2))+(PI()*(s_0+10*s_r+IF(circ_int,eq_c1/2,0))/2))+2*IF(circ_int,0,eq_c1/2)),IF(circ_int,0,eq_c1/2)-(((50+0.5)*(4*IF(circ_int,0,eq_c1/2)+4*IF(circ_int,0,eq_c2/2)+2*PI()*(s_0+10*s_r+IF(circ_int,eq_c1/2,0)))/INDEX(lk_legs,11))-((2*IF(circ_int,0,eq_c2/2))+(PI()*(s_0+10*s_r+IF(circ_int,eq_c1/2,0))/2))),IF(((50+0.5)*(4*IF(circ_int,0,eq_c1/2)+4*IF(circ_int,0,eq_c2/2)+2*PI()*(s_0+10*s_r+IF(circ_int,eq_c1/2,0)))/INDEX(lk_legs,11))&lt;((((2*IF(circ_int,0,eq_c2/2))+(PI()*(s_0+10*s_r+IF(circ_int,eq_c1/2,0))/2))+2*IF(circ_int,0,eq_c1/2))+(PI()*(s_0+10*s_r+IF(circ_int,eq_c1/2,0))/2)),-IF(circ_int,0,eq_c1/2)+(s_0+10*s_r+IF(circ_int,eq_c1/2,0))*COS(PI()/2+(((50+0.5)*(4*IF(circ_int,0,eq_c1/2)+4*IF(circ_int,0,eq_c2/2)+2*PI()*(s_0+10*s_r+IF(circ_int,eq_c1/2,0)))/INDEX(lk_legs,11))-(((2*IF(circ_int,0,eq_c2/2))+(PI()*(s_0+10*s_r+IF(circ_int,eq_c1/2,0))/2))+2*IF(circ_int,0,eq_c1/2)))/(s_0+10*s_r+IF(circ_int,eq_c1/2,0))),IF(((50+0.5)*(4*IF(circ_int,0,eq_c1/2)+4*IF(circ_int,0,eq_c2/2)+2*PI()*(s_0+10*s_r+IF(circ_int,eq_c1/2,0)))/INDEX(lk_legs,11))&lt;(((((2*IF(circ_int,0,eq_c2/2))+(PI()*(s_0+10*s_r+IF(circ_int,eq_c1/2,0))/2))+2*IF(circ_int,0,eq_c1/2))+(PI()*(s_0+10*s_r+IF(circ_int,eq_c1/2,0))/2))+2*IF(circ_int,0,eq_c2/2)),-IF(circ_int,0,eq_c1/2)-(s_0+10*s_r+IF(circ_int,eq_c1/2,0)),IF(((50+0.5)*(4*IF(circ_int,0,eq_c1/2)+4*IF(circ_int,0,eq_c2/2)+2*PI()*(s_0+10*s_r+IF(circ_int,eq_c1/2,0)))/INDEX(lk_legs,11))&lt;((((((2*IF(circ_int,0,eq_c2/2))+(PI()*(s_0+10*s_r+IF(circ_int,eq_c1/2,0))/2))+2*IF(circ_int,0,eq_c1/2))+(PI()*(s_0+10*s_r+IF(circ_int,eq_c1/2,0))/2))+2*IF(circ_int,0,eq_c2/2))+(PI()*(s_0+10*s_r+IF(circ_int,eq_c1/2,0))/2)),-IF(circ_int,0,eq_c1/2)+(s_0+10*s_r+IF(circ_int,eq_c1/2,0))*COS(PI()+(((50+0.5)*(4*IF(circ_int,0,eq_c1/2)+4*IF(circ_int,0,eq_c2/2)+2*PI()*(s_0+10*s_r+IF(circ_int,eq_c1/2,0)))/INDEX(lk_legs,11))-(((((2*IF(circ_int,0,eq_c2/2))+(PI()*(s_0+10*s_r+IF(circ_int,eq_c1/2,0))/2))+2*IF(circ_int,0,eq_c1/2))+(PI()*(s_0+10*s_r+IF(circ_int,eq_c1/2,0))/2))+2*IF(circ_int,0,eq_c2/2)))/(s_0+10*s_r+IF(circ_int,eq_c1/2,0))),IF(((50+0.5)*(4*IF(circ_int,0,eq_c1/2)+4*IF(circ_int,0,eq_c2/2)+2*PI()*(s_0+10*s_r+IF(circ_int,eq_c1/2,0)))/INDEX(lk_legs,11))&lt;(((((((2*IF(circ_int,0,eq_c2/2))+(PI()*(s_0+10*s_r+IF(circ_int,eq_c1/2,0))/2))+2*IF(circ_int,0,eq_c1/2))+(PI()*(s_0+10*s_r+IF(circ_int,eq_c1/2,0))/2))+2*IF(circ_int,0,eq_c2/2))+(PI()*(s_0+10*s_r+IF(circ_int,eq_c1/2,0))/2))+2*IF(circ_int,0,eq_c1/2)),-IF(circ_int,0,eq_c1/2)+(((50+0.5)*(4*IF(circ_int,0,eq_c1/2)+4*IF(circ_int,0,eq_c2/2)+2*PI()*(s_0+10*s_r+IF(circ_int,eq_c1/2,0)))/INDEX(lk_legs,11))-((((((2*IF(circ_int,0,eq_c2/2))+(PI()*(s_0+10*s_r+IF(circ_int,eq_c1/2,0))/2))+2*IF(circ_int,0,eq_c1/2))+(PI()*(s_0+10*s_r+IF(circ_int,eq_c1/2,0))/2))+2*IF(circ_int,0,eq_c2/2))+(PI()*(s_0+10*s_r+IF(circ_int,eq_c1/2,0))/2))),IF(circ_int,0,eq_c1/2)+(s_0+10*s_r+IF(circ_int,eq_c1/2,0))*COS(3*PI()/2+(((50+0.5)*(4*IF(circ_int,0,eq_c1/2)+4*IF(circ_int,0,eq_c2/2)+2*PI()*(s_0+10*s_r+IF(circ_int,eq_c1/2,0)))/INDEX(lk_legs,11))-(((((((2*IF(circ_int,0,eq_c2/2))+(PI()*(s_0+10*s_r+IF(circ_int,eq_c1/2,0))/2))+2*IF(circ_int,0,eq_c1/2))+(PI()*(s_0+10*s_r+IF(circ_int,eq_c1/2,0))/2))+2*IF(circ_int,0,eq_c2/2))+(PI()*(s_0+10*s_r+IF(circ_int,eq_c1/2,0))/2))+2*IF(circ_int,0,eq_c1/2)))/(s_0+10*s_r+IF(circ_int,eq_c1/2,0)))))))))),NA())</f>
        <v/>
      </c>
      <c r="DI53">
        <f>IF(AND(AND(links_on,11&lt;=n_per),INDEX(lk_kind,11)=1,50&lt;INDEX(lk_legs,11)),g_oy+IF(((50+0.5)*(4*IF(circ_int,0,eq_c1/2)+4*IF(circ_int,0,eq_c2/2)+2*PI()*(s_0+10*s_r+IF(circ_int,eq_c1/2,0)))/INDEX(lk_legs,11))&lt;(2*IF(circ_int,0,eq_c2/2)),-IF(circ_int,0,eq_c2/2)+((50+0.5)*(4*IF(circ_int,0,eq_c1/2)+4*IF(circ_int,0,eq_c2/2)+2*PI()*(s_0+10*s_r+IF(circ_int,eq_c1/2,0)))/INDEX(lk_legs,11)),IF(((50+0.5)*(4*IF(circ_int,0,eq_c1/2)+4*IF(circ_int,0,eq_c2/2)+2*PI()*(s_0+10*s_r+IF(circ_int,eq_c1/2,0)))/INDEX(lk_legs,11))&lt;((2*IF(circ_int,0,eq_c2/2))+(PI()*(s_0+10*s_r+IF(circ_int,eq_c1/2,0))/2)),IF(circ_int,0,eq_c2/2)+(s_0+10*s_r+IF(circ_int,eq_c1/2,0))*SIN((((50+0.5)*(4*IF(circ_int,0,eq_c1/2)+4*IF(circ_int,0,eq_c2/2)+2*PI()*(s_0+10*s_r+IF(circ_int,eq_c1/2,0)))/INDEX(lk_legs,11))-(2*IF(circ_int,0,eq_c2/2)))/(s_0+10*s_r+IF(circ_int,eq_c1/2,0))),IF(((50+0.5)*(4*IF(circ_int,0,eq_c1/2)+4*IF(circ_int,0,eq_c2/2)+2*PI()*(s_0+10*s_r+IF(circ_int,eq_c1/2,0)))/INDEX(lk_legs,11))&lt;(((2*IF(circ_int,0,eq_c2/2))+(PI()*(s_0+10*s_r+IF(circ_int,eq_c1/2,0))/2))+2*IF(circ_int,0,eq_c1/2)),IF(circ_int,0,eq_c2/2)+(s_0+10*s_r+IF(circ_int,eq_c1/2,0)),IF(((50+0.5)*(4*IF(circ_int,0,eq_c1/2)+4*IF(circ_int,0,eq_c2/2)+2*PI()*(s_0+10*s_r+IF(circ_int,eq_c1/2,0)))/INDEX(lk_legs,11))&lt;((((2*IF(circ_int,0,eq_c2/2))+(PI()*(s_0+10*s_r+IF(circ_int,eq_c1/2,0))/2))+2*IF(circ_int,0,eq_c1/2))+(PI()*(s_0+10*s_r+IF(circ_int,eq_c1/2,0))/2)),IF(circ_int,0,eq_c2/2)+(s_0+10*s_r+IF(circ_int,eq_c1/2,0))*SIN(PI()/2+(((50+0.5)*(4*IF(circ_int,0,eq_c1/2)+4*IF(circ_int,0,eq_c2/2)+2*PI()*(s_0+10*s_r+IF(circ_int,eq_c1/2,0)))/INDEX(lk_legs,11))-(((2*IF(circ_int,0,eq_c2/2))+(PI()*(s_0+10*s_r+IF(circ_int,eq_c1/2,0))/2))+2*IF(circ_int,0,eq_c1/2)))/(s_0+10*s_r+IF(circ_int,eq_c1/2,0))),IF(((50+0.5)*(4*IF(circ_int,0,eq_c1/2)+4*IF(circ_int,0,eq_c2/2)+2*PI()*(s_0+10*s_r+IF(circ_int,eq_c1/2,0)))/INDEX(lk_legs,11))&lt;(((((2*IF(circ_int,0,eq_c2/2))+(PI()*(s_0+10*s_r+IF(circ_int,eq_c1/2,0))/2))+2*IF(circ_int,0,eq_c1/2))+(PI()*(s_0+10*s_r+IF(circ_int,eq_c1/2,0))/2))+2*IF(circ_int,0,eq_c2/2)),IF(circ_int,0,eq_c2/2)-(((50+0.5)*(4*IF(circ_int,0,eq_c1/2)+4*IF(circ_int,0,eq_c2/2)+2*PI()*(s_0+10*s_r+IF(circ_int,eq_c1/2,0)))/INDEX(lk_legs,11))-((((2*IF(circ_int,0,eq_c2/2))+(PI()*(s_0+10*s_r+IF(circ_int,eq_c1/2,0))/2))+2*IF(circ_int,0,eq_c1/2))+(PI()*(s_0+10*s_r+IF(circ_int,eq_c1/2,0))/2))),IF(((50+0.5)*(4*IF(circ_int,0,eq_c1/2)+4*IF(circ_int,0,eq_c2/2)+2*PI()*(s_0+10*s_r+IF(circ_int,eq_c1/2,0)))/INDEX(lk_legs,11))&lt;((((((2*IF(circ_int,0,eq_c2/2))+(PI()*(s_0+10*s_r+IF(circ_int,eq_c1/2,0))/2))+2*IF(circ_int,0,eq_c1/2))+(PI()*(s_0+10*s_r+IF(circ_int,eq_c1/2,0))/2))+2*IF(circ_int,0,eq_c2/2))+(PI()*(s_0+10*s_r+IF(circ_int,eq_c1/2,0))/2)),-IF(circ_int,0,eq_c2/2)+(s_0+10*s_r+IF(circ_int,eq_c1/2,0))*SIN(PI()+(((50+0.5)*(4*IF(circ_int,0,eq_c1/2)+4*IF(circ_int,0,eq_c2/2)+2*PI()*(s_0+10*s_r+IF(circ_int,eq_c1/2,0)))/INDEX(lk_legs,11))-(((((2*IF(circ_int,0,eq_c2/2))+(PI()*(s_0+10*s_r+IF(circ_int,eq_c1/2,0))/2))+2*IF(circ_int,0,eq_c1/2))+(PI()*(s_0+10*s_r+IF(circ_int,eq_c1/2,0))/2))+2*IF(circ_int,0,eq_c2/2)))/(s_0+10*s_r+IF(circ_int,eq_c1/2,0))),IF(((50+0.5)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(50+0.5)*(4*IF(circ_int,0,eq_c1/2)+4*IF(circ_int,0,eq_c2/2)+2*PI()*(s_0+10*s_r+IF(circ_int,eq_c1/2,0)))/INDEX(lk_legs,11))-(((((((2*IF(circ_int,0,eq_c2/2))+(PI()*(s_0+10*s_r+IF(circ_int,eq_c1/2,0))/2))+2*IF(circ_int,0,eq_c1/2))+(PI()*(s_0+10*s_r+IF(circ_int,eq_c1/2,0))/2))+2*IF(circ_int,0,eq_c2/2))+(PI()*(s_0+10*s_r+IF(circ_int,eq_c1/2,0))/2))+2*IF(circ_int,0,eq_c1/2)))/(s_0+10*s_r+IF(circ_int,eq_c1/2,0)))))))))),NA())</f>
        <v/>
      </c>
      <c r="DK53">
        <f>IF(AND(links_on,12&lt;=n_per),IF(circ_int,(g_ox)+(c_1/2+(s_0+11*s_r))*0.970942,CHOOSE(INDEX(lk_kind,12),(g_ox+eq_c1/2)+((s_0+11*s_r))*0.991445,0,eq_a1+eq_c1+(s_0+11*s_r),eq_a1+eq_c1+(s_0+11*s_r))),NA())</f>
        <v/>
      </c>
      <c r="DL53">
        <f>IF(AND(links_on,12&lt;=n_per),IF(circ_int,(g_oy)+(c_1/2+(s_0+11*s_r))*-0.239316,CHOOSE(INDEX(lk_kind,12),(g_oy-eq_c2/2)+((s_0+11*s_r))*-0.130526,g_oy-eq_c2/2-(s_0+11*s_r),0,0)),NA())</f>
        <v/>
      </c>
      <c r="DN53">
        <f>IF(AND(AND(links_on,12&lt;=n_per),INDEX(lk_kind,12)=1,50&lt;INDEX(lk_legs,12)),g_ox+IF(((50+0.5)*(4*IF(circ_int,0,eq_c1/2)+4*IF(circ_int,0,eq_c2/2)+2*PI()*(s_0+11*s_r+IF(circ_int,eq_c1/2,0)))/INDEX(lk_legs,12))&lt;(2*IF(circ_int,0,eq_c2/2)),IF(circ_int,0,eq_c1/2)+(s_0+11*s_r+IF(circ_int,eq_c1/2,0)),IF(((50+0.5)*(4*IF(circ_int,0,eq_c1/2)+4*IF(circ_int,0,eq_c2/2)+2*PI()*(s_0+11*s_r+IF(circ_int,eq_c1/2,0)))/INDEX(lk_legs,12))&lt;((2*IF(circ_int,0,eq_c2/2))+(PI()*(s_0+11*s_r+IF(circ_int,eq_c1/2,0))/2)),IF(circ_int,0,eq_c1/2)+(s_0+11*s_r+IF(circ_int,eq_c1/2,0))*COS((((50+0.5)*(4*IF(circ_int,0,eq_c1/2)+4*IF(circ_int,0,eq_c2/2)+2*PI()*(s_0+11*s_r+IF(circ_int,eq_c1/2,0)))/INDEX(lk_legs,12))-(2*IF(circ_int,0,eq_c2/2)))/(s_0+11*s_r+IF(circ_int,eq_c1/2,0))),IF(((50+0.5)*(4*IF(circ_int,0,eq_c1/2)+4*IF(circ_int,0,eq_c2/2)+2*PI()*(s_0+11*s_r+IF(circ_int,eq_c1/2,0)))/INDEX(lk_legs,12))&lt;(((2*IF(circ_int,0,eq_c2/2))+(PI()*(s_0+11*s_r+IF(circ_int,eq_c1/2,0))/2))+2*IF(circ_int,0,eq_c1/2)),IF(circ_int,0,eq_c1/2)-(((50+0.5)*(4*IF(circ_int,0,eq_c1/2)+4*IF(circ_int,0,eq_c2/2)+2*PI()*(s_0+11*s_r+IF(circ_int,eq_c1/2,0)))/INDEX(lk_legs,12))-((2*IF(circ_int,0,eq_c2/2))+(PI()*(s_0+11*s_r+IF(circ_int,eq_c1/2,0))/2))),IF(((50+0.5)*(4*IF(circ_int,0,eq_c1/2)+4*IF(circ_int,0,eq_c2/2)+2*PI()*(s_0+11*s_r+IF(circ_int,eq_c1/2,0)))/INDEX(lk_legs,12))&lt;((((2*IF(circ_int,0,eq_c2/2))+(PI()*(s_0+11*s_r+IF(circ_int,eq_c1/2,0))/2))+2*IF(circ_int,0,eq_c1/2))+(PI()*(s_0+11*s_r+IF(circ_int,eq_c1/2,0))/2)),-IF(circ_int,0,eq_c1/2)+(s_0+11*s_r+IF(circ_int,eq_c1/2,0))*COS(PI()/2+(((50+0.5)*(4*IF(circ_int,0,eq_c1/2)+4*IF(circ_int,0,eq_c2/2)+2*PI()*(s_0+11*s_r+IF(circ_int,eq_c1/2,0)))/INDEX(lk_legs,12))-(((2*IF(circ_int,0,eq_c2/2))+(PI()*(s_0+11*s_r+IF(circ_int,eq_c1/2,0))/2))+2*IF(circ_int,0,eq_c1/2)))/(s_0+11*s_r+IF(circ_int,eq_c1/2,0))),IF(((50+0.5)*(4*IF(circ_int,0,eq_c1/2)+4*IF(circ_int,0,eq_c2/2)+2*PI()*(s_0+11*s_r+IF(circ_int,eq_c1/2,0)))/INDEX(lk_legs,12))&lt;(((((2*IF(circ_int,0,eq_c2/2))+(PI()*(s_0+11*s_r+IF(circ_int,eq_c1/2,0))/2))+2*IF(circ_int,0,eq_c1/2))+(PI()*(s_0+11*s_r+IF(circ_int,eq_c1/2,0))/2))+2*IF(circ_int,0,eq_c2/2)),-IF(circ_int,0,eq_c1/2)-(s_0+11*s_r+IF(circ_int,eq_c1/2,0)),IF(((50+0.5)*(4*IF(circ_int,0,eq_c1/2)+4*IF(circ_int,0,eq_c2/2)+2*PI()*(s_0+11*s_r+IF(circ_int,eq_c1/2,0)))/INDEX(lk_legs,12))&lt;((((((2*IF(circ_int,0,eq_c2/2))+(PI()*(s_0+11*s_r+IF(circ_int,eq_c1/2,0))/2))+2*IF(circ_int,0,eq_c1/2))+(PI()*(s_0+11*s_r+IF(circ_int,eq_c1/2,0))/2))+2*IF(circ_int,0,eq_c2/2))+(PI()*(s_0+11*s_r+IF(circ_int,eq_c1/2,0))/2)),-IF(circ_int,0,eq_c1/2)+(s_0+11*s_r+IF(circ_int,eq_c1/2,0))*COS(PI()+(((50+0.5)*(4*IF(circ_int,0,eq_c1/2)+4*IF(circ_int,0,eq_c2/2)+2*PI()*(s_0+11*s_r+IF(circ_int,eq_c1/2,0)))/INDEX(lk_legs,12))-(((((2*IF(circ_int,0,eq_c2/2))+(PI()*(s_0+11*s_r+IF(circ_int,eq_c1/2,0))/2))+2*IF(circ_int,0,eq_c1/2))+(PI()*(s_0+11*s_r+IF(circ_int,eq_c1/2,0))/2))+2*IF(circ_int,0,eq_c2/2)))/(s_0+11*s_r+IF(circ_int,eq_c1/2,0))),IF(((50+0.5)*(4*IF(circ_int,0,eq_c1/2)+4*IF(circ_int,0,eq_c2/2)+2*PI()*(s_0+11*s_r+IF(circ_int,eq_c1/2,0)))/INDEX(lk_legs,12))&lt;(((((((2*IF(circ_int,0,eq_c2/2))+(PI()*(s_0+11*s_r+IF(circ_int,eq_c1/2,0))/2))+2*IF(circ_int,0,eq_c1/2))+(PI()*(s_0+11*s_r+IF(circ_int,eq_c1/2,0))/2))+2*IF(circ_int,0,eq_c2/2))+(PI()*(s_0+11*s_r+IF(circ_int,eq_c1/2,0))/2))+2*IF(circ_int,0,eq_c1/2)),-IF(circ_int,0,eq_c1/2)+(((50+0.5)*(4*IF(circ_int,0,eq_c1/2)+4*IF(circ_int,0,eq_c2/2)+2*PI()*(s_0+11*s_r+IF(circ_int,eq_c1/2,0)))/INDEX(lk_legs,12))-((((((2*IF(circ_int,0,eq_c2/2))+(PI()*(s_0+11*s_r+IF(circ_int,eq_c1/2,0))/2))+2*IF(circ_int,0,eq_c1/2))+(PI()*(s_0+11*s_r+IF(circ_int,eq_c1/2,0))/2))+2*IF(circ_int,0,eq_c2/2))+(PI()*(s_0+11*s_r+IF(circ_int,eq_c1/2,0))/2))),IF(circ_int,0,eq_c1/2)+(s_0+11*s_r+IF(circ_int,eq_c1/2,0))*COS(3*PI()/2+(((50+0.5)*(4*IF(circ_int,0,eq_c1/2)+4*IF(circ_int,0,eq_c2/2)+2*PI()*(s_0+11*s_r+IF(circ_int,eq_c1/2,0)))/INDEX(lk_legs,12))-(((((((2*IF(circ_int,0,eq_c2/2))+(PI()*(s_0+11*s_r+IF(circ_int,eq_c1/2,0))/2))+2*IF(circ_int,0,eq_c1/2))+(PI()*(s_0+11*s_r+IF(circ_int,eq_c1/2,0))/2))+2*IF(circ_int,0,eq_c2/2))+(PI()*(s_0+11*s_r+IF(circ_int,eq_c1/2,0))/2))+2*IF(circ_int,0,eq_c1/2)))/(s_0+11*s_r+IF(circ_int,eq_c1/2,0)))))))))),NA())</f>
        <v/>
      </c>
      <c r="DO53">
        <f>IF(AND(AND(links_on,12&lt;=n_per),INDEX(lk_kind,12)=1,50&lt;INDEX(lk_legs,12)),g_oy+IF(((50+0.5)*(4*IF(circ_int,0,eq_c1/2)+4*IF(circ_int,0,eq_c2/2)+2*PI()*(s_0+11*s_r+IF(circ_int,eq_c1/2,0)))/INDEX(lk_legs,12))&lt;(2*IF(circ_int,0,eq_c2/2)),-IF(circ_int,0,eq_c2/2)+((50+0.5)*(4*IF(circ_int,0,eq_c1/2)+4*IF(circ_int,0,eq_c2/2)+2*PI()*(s_0+11*s_r+IF(circ_int,eq_c1/2,0)))/INDEX(lk_legs,12)),IF(((50+0.5)*(4*IF(circ_int,0,eq_c1/2)+4*IF(circ_int,0,eq_c2/2)+2*PI()*(s_0+11*s_r+IF(circ_int,eq_c1/2,0)))/INDEX(lk_legs,12))&lt;((2*IF(circ_int,0,eq_c2/2))+(PI()*(s_0+11*s_r+IF(circ_int,eq_c1/2,0))/2)),IF(circ_int,0,eq_c2/2)+(s_0+11*s_r+IF(circ_int,eq_c1/2,0))*SIN((((50+0.5)*(4*IF(circ_int,0,eq_c1/2)+4*IF(circ_int,0,eq_c2/2)+2*PI()*(s_0+11*s_r+IF(circ_int,eq_c1/2,0)))/INDEX(lk_legs,12))-(2*IF(circ_int,0,eq_c2/2)))/(s_0+11*s_r+IF(circ_int,eq_c1/2,0))),IF(((50+0.5)*(4*IF(circ_int,0,eq_c1/2)+4*IF(circ_int,0,eq_c2/2)+2*PI()*(s_0+11*s_r+IF(circ_int,eq_c1/2,0)))/INDEX(lk_legs,12))&lt;(((2*IF(circ_int,0,eq_c2/2))+(PI()*(s_0+11*s_r+IF(circ_int,eq_c1/2,0))/2))+2*IF(circ_int,0,eq_c1/2)),IF(circ_int,0,eq_c2/2)+(s_0+11*s_r+IF(circ_int,eq_c1/2,0)),IF(((50+0.5)*(4*IF(circ_int,0,eq_c1/2)+4*IF(circ_int,0,eq_c2/2)+2*PI()*(s_0+11*s_r+IF(circ_int,eq_c1/2,0)))/INDEX(lk_legs,12))&lt;((((2*IF(circ_int,0,eq_c2/2))+(PI()*(s_0+11*s_r+IF(circ_int,eq_c1/2,0))/2))+2*IF(circ_int,0,eq_c1/2))+(PI()*(s_0+11*s_r+IF(circ_int,eq_c1/2,0))/2)),IF(circ_int,0,eq_c2/2)+(s_0+11*s_r+IF(circ_int,eq_c1/2,0))*SIN(PI()/2+(((50+0.5)*(4*IF(circ_int,0,eq_c1/2)+4*IF(circ_int,0,eq_c2/2)+2*PI()*(s_0+11*s_r+IF(circ_int,eq_c1/2,0)))/INDEX(lk_legs,12))-(((2*IF(circ_int,0,eq_c2/2))+(PI()*(s_0+11*s_r+IF(circ_int,eq_c1/2,0))/2))+2*IF(circ_int,0,eq_c1/2)))/(s_0+11*s_r+IF(circ_int,eq_c1/2,0))),IF(((50+0.5)*(4*IF(circ_int,0,eq_c1/2)+4*IF(circ_int,0,eq_c2/2)+2*PI()*(s_0+11*s_r+IF(circ_int,eq_c1/2,0)))/INDEX(lk_legs,12))&lt;(((((2*IF(circ_int,0,eq_c2/2))+(PI()*(s_0+11*s_r+IF(circ_int,eq_c1/2,0))/2))+2*IF(circ_int,0,eq_c1/2))+(PI()*(s_0+11*s_r+IF(circ_int,eq_c1/2,0))/2))+2*IF(circ_int,0,eq_c2/2)),IF(circ_int,0,eq_c2/2)-(((50+0.5)*(4*IF(circ_int,0,eq_c1/2)+4*IF(circ_int,0,eq_c2/2)+2*PI()*(s_0+11*s_r+IF(circ_int,eq_c1/2,0)))/INDEX(lk_legs,12))-((((2*IF(circ_int,0,eq_c2/2))+(PI()*(s_0+11*s_r+IF(circ_int,eq_c1/2,0))/2))+2*IF(circ_int,0,eq_c1/2))+(PI()*(s_0+11*s_r+IF(circ_int,eq_c1/2,0))/2))),IF(((50+0.5)*(4*IF(circ_int,0,eq_c1/2)+4*IF(circ_int,0,eq_c2/2)+2*PI()*(s_0+11*s_r+IF(circ_int,eq_c1/2,0)))/INDEX(lk_legs,12))&lt;((((((2*IF(circ_int,0,eq_c2/2))+(PI()*(s_0+11*s_r+IF(circ_int,eq_c1/2,0))/2))+2*IF(circ_int,0,eq_c1/2))+(PI()*(s_0+11*s_r+IF(circ_int,eq_c1/2,0))/2))+2*IF(circ_int,0,eq_c2/2))+(PI()*(s_0+11*s_r+IF(circ_int,eq_c1/2,0))/2)),-IF(circ_int,0,eq_c2/2)+(s_0+11*s_r+IF(circ_int,eq_c1/2,0))*SIN(PI()+(((50+0.5)*(4*IF(circ_int,0,eq_c1/2)+4*IF(circ_int,0,eq_c2/2)+2*PI()*(s_0+11*s_r+IF(circ_int,eq_c1/2,0)))/INDEX(lk_legs,12))-(((((2*IF(circ_int,0,eq_c2/2))+(PI()*(s_0+11*s_r+IF(circ_int,eq_c1/2,0))/2))+2*IF(circ_int,0,eq_c1/2))+(PI()*(s_0+11*s_r+IF(circ_int,eq_c1/2,0))/2))+2*IF(circ_int,0,eq_c2/2)))/(s_0+11*s_r+IF(circ_int,eq_c1/2,0))),IF(((50+0.5)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(50+0.5)*(4*IF(circ_int,0,eq_c1/2)+4*IF(circ_int,0,eq_c2/2)+2*PI()*(s_0+11*s_r+IF(circ_int,eq_c1/2,0)))/INDEX(lk_legs,12))-(((((((2*IF(circ_int,0,eq_c2/2))+(PI()*(s_0+11*s_r+IF(circ_int,eq_c1/2,0))/2))+2*IF(circ_int,0,eq_c1/2))+(PI()*(s_0+11*s_r+IF(circ_int,eq_c1/2,0))/2))+2*IF(circ_int,0,eq_c2/2))+(PI()*(s_0+11*s_r+IF(circ_int,eq_c1/2,0))/2))+2*IF(circ_int,0,eq_c1/2)))/(s_0+11*s_r+IF(circ_int,eq_c1/2,0)))))))))),NA())</f>
        <v/>
      </c>
    </row>
    <row r="54">
      <c r="A54">
        <f>IF(shape="Circular",(g_ox)+(c_1/2+0)*0.992709,CHOOSE(1,(g_ox+eq_c1/2)+(0)*1.000000,0,eq_a1+eq_c1+0,eq_a1+eq_c1+0))</f>
        <v/>
      </c>
      <c r="B54">
        <f>IF(shape="Circular",(g_oy)+(c_1/2+0)*-0.120537,CHOOSE(1,(g_oy-eq_c2/2)+(0)*-0.000000,g_oy-eq_c2/2-0,0,0))</f>
        <v/>
      </c>
      <c r="D54">
        <f>IF(circ_int,(g_ox)+(c_1/2+2*d_eff)*0.992709,CHOOSE(geo_idx,(g_ox+eq_c1/2)+(2*d_eff)*1.000000,0,eq_a1+eq_c1+2*d_eff,eq_a1+eq_c1+2*d_eff))</f>
        <v/>
      </c>
      <c r="E54">
        <f>IF(circ_int,(g_oy)+(c_1/2+2*d_eff)*-0.120537,CHOOSE(geo_idx,(g_oy-eq_c2/2)+(2*d_eff)*-0.000000,g_oy-eq_c2/2-2*d_eff,0,0))</f>
        <v/>
      </c>
      <c r="G54">
        <f>IF(AND(inputs_ok,punch_ok,A_sw&gt;0),IF(circ_int,(g_ox)+(c_1/2+r_out)*0.992709,CHOOSE(kind_out,(g_ox+eq_c1/2)+(r_out)*1.000000,0,eq_a1+eq_c1+r_out,eq_a1+eq_c1+r_out)),NA())</f>
        <v/>
      </c>
      <c r="H54">
        <f>IF(AND(inputs_ok,punch_ok,A_sw&gt;0),IF(circ_int,(g_oy)+(c_1/2+r_out)*-0.120537,CHOOSE(kind_out,(g_oy-eq_c2/2)+(r_out)*-0.000000,g_oy-eq_c2/2-r_out,0,0)),NA())</f>
        <v/>
      </c>
      <c r="AW54">
        <f>IF(AND(links_on,1&lt;=n_per),IF(circ_int,(g_ox)+(c_1/2+(s_0+0*s_r))*0.992709,CHOOSE(INDEX(lk_kind,1),(g_ox+eq_c1/2)+((s_0+0*s_r))*1.000000,0,eq_a1+eq_c1+(s_0+0*s_r),eq_a1+eq_c1+(s_0+0*s_r))),NA())</f>
        <v/>
      </c>
      <c r="AX54">
        <f>IF(AND(links_on,1&lt;=n_per),IF(circ_int,(g_oy)+(c_1/2+(s_0+0*s_r))*-0.120537,CHOOSE(INDEX(lk_kind,1),(g_oy-eq_c2/2)+((s_0+0*s_r))*-0.000000,g_oy-eq_c2/2-(s_0+0*s_r),0,0)),NA())</f>
        <v/>
      </c>
      <c r="AZ54">
        <f>IF(AND(AND(links_on,1&lt;=n_per),INDEX(lk_kind,1)=1,51&lt;INDEX(lk_legs,1)),g_ox+IF(((51+0.5)*(4*IF(circ_int,0,eq_c1/2)+4*IF(circ_int,0,eq_c2/2)+2*PI()*(s_0+0*s_r+IF(circ_int,eq_c1/2,0)))/INDEX(lk_legs,1))&lt;(2*IF(circ_int,0,eq_c2/2)),IF(circ_int,0,eq_c1/2)+(s_0+0*s_r+IF(circ_int,eq_c1/2,0)),IF(((51+0.5)*(4*IF(circ_int,0,eq_c1/2)+4*IF(circ_int,0,eq_c2/2)+2*PI()*(s_0+0*s_r+IF(circ_int,eq_c1/2,0)))/INDEX(lk_legs,1))&lt;((2*IF(circ_int,0,eq_c2/2))+(PI()*(s_0+0*s_r+IF(circ_int,eq_c1/2,0))/2)),IF(circ_int,0,eq_c1/2)+(s_0+0*s_r+IF(circ_int,eq_c1/2,0))*COS((((51+0.5)*(4*IF(circ_int,0,eq_c1/2)+4*IF(circ_int,0,eq_c2/2)+2*PI()*(s_0+0*s_r+IF(circ_int,eq_c1/2,0)))/INDEX(lk_legs,1))-(2*IF(circ_int,0,eq_c2/2)))/(s_0+0*s_r+IF(circ_int,eq_c1/2,0))),IF(((51+0.5)*(4*IF(circ_int,0,eq_c1/2)+4*IF(circ_int,0,eq_c2/2)+2*PI()*(s_0+0*s_r+IF(circ_int,eq_c1/2,0)))/INDEX(lk_legs,1))&lt;(((2*IF(circ_int,0,eq_c2/2))+(PI()*(s_0+0*s_r+IF(circ_int,eq_c1/2,0))/2))+2*IF(circ_int,0,eq_c1/2)),IF(circ_int,0,eq_c1/2)-(((51+0.5)*(4*IF(circ_int,0,eq_c1/2)+4*IF(circ_int,0,eq_c2/2)+2*PI()*(s_0+0*s_r+IF(circ_int,eq_c1/2,0)))/INDEX(lk_legs,1))-((2*IF(circ_int,0,eq_c2/2))+(PI()*(s_0+0*s_r+IF(circ_int,eq_c1/2,0))/2))),IF(((51+0.5)*(4*IF(circ_int,0,eq_c1/2)+4*IF(circ_int,0,eq_c2/2)+2*PI()*(s_0+0*s_r+IF(circ_int,eq_c1/2,0)))/INDEX(lk_legs,1))&lt;((((2*IF(circ_int,0,eq_c2/2))+(PI()*(s_0+0*s_r+IF(circ_int,eq_c1/2,0))/2))+2*IF(circ_int,0,eq_c1/2))+(PI()*(s_0+0*s_r+IF(circ_int,eq_c1/2,0))/2)),-IF(circ_int,0,eq_c1/2)+(s_0+0*s_r+IF(circ_int,eq_c1/2,0))*COS(PI()/2+(((51+0.5)*(4*IF(circ_int,0,eq_c1/2)+4*IF(circ_int,0,eq_c2/2)+2*PI()*(s_0+0*s_r+IF(circ_int,eq_c1/2,0)))/INDEX(lk_legs,1))-(((2*IF(circ_int,0,eq_c2/2))+(PI()*(s_0+0*s_r+IF(circ_int,eq_c1/2,0))/2))+2*IF(circ_int,0,eq_c1/2)))/(s_0+0*s_r+IF(circ_int,eq_c1/2,0))),IF(((51+0.5)*(4*IF(circ_int,0,eq_c1/2)+4*IF(circ_int,0,eq_c2/2)+2*PI()*(s_0+0*s_r+IF(circ_int,eq_c1/2,0)))/INDEX(lk_legs,1))&lt;(((((2*IF(circ_int,0,eq_c2/2))+(PI()*(s_0+0*s_r+IF(circ_int,eq_c1/2,0))/2))+2*IF(circ_int,0,eq_c1/2))+(PI()*(s_0+0*s_r+IF(circ_int,eq_c1/2,0))/2))+2*IF(circ_int,0,eq_c2/2)),-IF(circ_int,0,eq_c1/2)-(s_0+0*s_r+IF(circ_int,eq_c1/2,0)),IF(((51+0.5)*(4*IF(circ_int,0,eq_c1/2)+4*IF(circ_int,0,eq_c2/2)+2*PI()*(s_0+0*s_r+IF(circ_int,eq_c1/2,0)))/INDEX(lk_legs,1))&lt;((((((2*IF(circ_int,0,eq_c2/2))+(PI()*(s_0+0*s_r+IF(circ_int,eq_c1/2,0))/2))+2*IF(circ_int,0,eq_c1/2))+(PI()*(s_0+0*s_r+IF(circ_int,eq_c1/2,0))/2))+2*IF(circ_int,0,eq_c2/2))+(PI()*(s_0+0*s_r+IF(circ_int,eq_c1/2,0))/2)),-IF(circ_int,0,eq_c1/2)+(s_0+0*s_r+IF(circ_int,eq_c1/2,0))*COS(PI()+(((51+0.5)*(4*IF(circ_int,0,eq_c1/2)+4*IF(circ_int,0,eq_c2/2)+2*PI()*(s_0+0*s_r+IF(circ_int,eq_c1/2,0)))/INDEX(lk_legs,1))-(((((2*IF(circ_int,0,eq_c2/2))+(PI()*(s_0+0*s_r+IF(circ_int,eq_c1/2,0))/2))+2*IF(circ_int,0,eq_c1/2))+(PI()*(s_0+0*s_r+IF(circ_int,eq_c1/2,0))/2))+2*IF(circ_int,0,eq_c2/2)))/(s_0+0*s_r+IF(circ_int,eq_c1/2,0))),IF(((51+0.5)*(4*IF(circ_int,0,eq_c1/2)+4*IF(circ_int,0,eq_c2/2)+2*PI()*(s_0+0*s_r+IF(circ_int,eq_c1/2,0)))/INDEX(lk_legs,1))&lt;(((((((2*IF(circ_int,0,eq_c2/2))+(PI()*(s_0+0*s_r+IF(circ_int,eq_c1/2,0))/2))+2*IF(circ_int,0,eq_c1/2))+(PI()*(s_0+0*s_r+IF(circ_int,eq_c1/2,0))/2))+2*IF(circ_int,0,eq_c2/2))+(PI()*(s_0+0*s_r+IF(circ_int,eq_c1/2,0))/2))+2*IF(circ_int,0,eq_c1/2)),-IF(circ_int,0,eq_c1/2)+(((51+0.5)*(4*IF(circ_int,0,eq_c1/2)+4*IF(circ_int,0,eq_c2/2)+2*PI()*(s_0+0*s_r+IF(circ_int,eq_c1/2,0)))/INDEX(lk_legs,1))-((((((2*IF(circ_int,0,eq_c2/2))+(PI()*(s_0+0*s_r+IF(circ_int,eq_c1/2,0))/2))+2*IF(circ_int,0,eq_c1/2))+(PI()*(s_0+0*s_r+IF(circ_int,eq_c1/2,0))/2))+2*IF(circ_int,0,eq_c2/2))+(PI()*(s_0+0*s_r+IF(circ_int,eq_c1/2,0))/2))),IF(circ_int,0,eq_c1/2)+(s_0+0*s_r+IF(circ_int,eq_c1/2,0))*COS(3*PI()/2+(((51+0.5)*(4*IF(circ_int,0,eq_c1/2)+4*IF(circ_int,0,eq_c2/2)+2*PI()*(s_0+0*s_r+IF(circ_int,eq_c1/2,0)))/INDEX(lk_legs,1))-(((((((2*IF(circ_int,0,eq_c2/2))+(PI()*(s_0+0*s_r+IF(circ_int,eq_c1/2,0))/2))+2*IF(circ_int,0,eq_c1/2))+(PI()*(s_0+0*s_r+IF(circ_int,eq_c1/2,0))/2))+2*IF(circ_int,0,eq_c2/2))+(PI()*(s_0+0*s_r+IF(circ_int,eq_c1/2,0))/2))+2*IF(circ_int,0,eq_c1/2)))/(s_0+0*s_r+IF(circ_int,eq_c1/2,0)))))))))),NA())</f>
        <v/>
      </c>
      <c r="BA54">
        <f>IF(AND(AND(links_on,1&lt;=n_per),INDEX(lk_kind,1)=1,51&lt;INDEX(lk_legs,1)),g_oy+IF(((51+0.5)*(4*IF(circ_int,0,eq_c1/2)+4*IF(circ_int,0,eq_c2/2)+2*PI()*(s_0+0*s_r+IF(circ_int,eq_c1/2,0)))/INDEX(lk_legs,1))&lt;(2*IF(circ_int,0,eq_c2/2)),-IF(circ_int,0,eq_c2/2)+((51+0.5)*(4*IF(circ_int,0,eq_c1/2)+4*IF(circ_int,0,eq_c2/2)+2*PI()*(s_0+0*s_r+IF(circ_int,eq_c1/2,0)))/INDEX(lk_legs,1)),IF(((51+0.5)*(4*IF(circ_int,0,eq_c1/2)+4*IF(circ_int,0,eq_c2/2)+2*PI()*(s_0+0*s_r+IF(circ_int,eq_c1/2,0)))/INDEX(lk_legs,1))&lt;((2*IF(circ_int,0,eq_c2/2))+(PI()*(s_0+0*s_r+IF(circ_int,eq_c1/2,0))/2)),IF(circ_int,0,eq_c2/2)+(s_0+0*s_r+IF(circ_int,eq_c1/2,0))*SIN((((51+0.5)*(4*IF(circ_int,0,eq_c1/2)+4*IF(circ_int,0,eq_c2/2)+2*PI()*(s_0+0*s_r+IF(circ_int,eq_c1/2,0)))/INDEX(lk_legs,1))-(2*IF(circ_int,0,eq_c2/2)))/(s_0+0*s_r+IF(circ_int,eq_c1/2,0))),IF(((51+0.5)*(4*IF(circ_int,0,eq_c1/2)+4*IF(circ_int,0,eq_c2/2)+2*PI()*(s_0+0*s_r+IF(circ_int,eq_c1/2,0)))/INDEX(lk_legs,1))&lt;(((2*IF(circ_int,0,eq_c2/2))+(PI()*(s_0+0*s_r+IF(circ_int,eq_c1/2,0))/2))+2*IF(circ_int,0,eq_c1/2)),IF(circ_int,0,eq_c2/2)+(s_0+0*s_r+IF(circ_int,eq_c1/2,0)),IF(((51+0.5)*(4*IF(circ_int,0,eq_c1/2)+4*IF(circ_int,0,eq_c2/2)+2*PI()*(s_0+0*s_r+IF(circ_int,eq_c1/2,0)))/INDEX(lk_legs,1))&lt;((((2*IF(circ_int,0,eq_c2/2))+(PI()*(s_0+0*s_r+IF(circ_int,eq_c1/2,0))/2))+2*IF(circ_int,0,eq_c1/2))+(PI()*(s_0+0*s_r+IF(circ_int,eq_c1/2,0))/2)),IF(circ_int,0,eq_c2/2)+(s_0+0*s_r+IF(circ_int,eq_c1/2,0))*SIN(PI()/2+(((51+0.5)*(4*IF(circ_int,0,eq_c1/2)+4*IF(circ_int,0,eq_c2/2)+2*PI()*(s_0+0*s_r+IF(circ_int,eq_c1/2,0)))/INDEX(lk_legs,1))-(((2*IF(circ_int,0,eq_c2/2))+(PI()*(s_0+0*s_r+IF(circ_int,eq_c1/2,0))/2))+2*IF(circ_int,0,eq_c1/2)))/(s_0+0*s_r+IF(circ_int,eq_c1/2,0))),IF(((51+0.5)*(4*IF(circ_int,0,eq_c1/2)+4*IF(circ_int,0,eq_c2/2)+2*PI()*(s_0+0*s_r+IF(circ_int,eq_c1/2,0)))/INDEX(lk_legs,1))&lt;(((((2*IF(circ_int,0,eq_c2/2))+(PI()*(s_0+0*s_r+IF(circ_int,eq_c1/2,0))/2))+2*IF(circ_int,0,eq_c1/2))+(PI()*(s_0+0*s_r+IF(circ_int,eq_c1/2,0))/2))+2*IF(circ_int,0,eq_c2/2)),IF(circ_int,0,eq_c2/2)-(((51+0.5)*(4*IF(circ_int,0,eq_c1/2)+4*IF(circ_int,0,eq_c2/2)+2*PI()*(s_0+0*s_r+IF(circ_int,eq_c1/2,0)))/INDEX(lk_legs,1))-((((2*IF(circ_int,0,eq_c2/2))+(PI()*(s_0+0*s_r+IF(circ_int,eq_c1/2,0))/2))+2*IF(circ_int,0,eq_c1/2))+(PI()*(s_0+0*s_r+IF(circ_int,eq_c1/2,0))/2))),IF(((51+0.5)*(4*IF(circ_int,0,eq_c1/2)+4*IF(circ_int,0,eq_c2/2)+2*PI()*(s_0+0*s_r+IF(circ_int,eq_c1/2,0)))/INDEX(lk_legs,1))&lt;((((((2*IF(circ_int,0,eq_c2/2))+(PI()*(s_0+0*s_r+IF(circ_int,eq_c1/2,0))/2))+2*IF(circ_int,0,eq_c1/2))+(PI()*(s_0+0*s_r+IF(circ_int,eq_c1/2,0))/2))+2*IF(circ_int,0,eq_c2/2))+(PI()*(s_0+0*s_r+IF(circ_int,eq_c1/2,0))/2)),-IF(circ_int,0,eq_c2/2)+(s_0+0*s_r+IF(circ_int,eq_c1/2,0))*SIN(PI()+(((51+0.5)*(4*IF(circ_int,0,eq_c1/2)+4*IF(circ_int,0,eq_c2/2)+2*PI()*(s_0+0*s_r+IF(circ_int,eq_c1/2,0)))/INDEX(lk_legs,1))-(((((2*IF(circ_int,0,eq_c2/2))+(PI()*(s_0+0*s_r+IF(circ_int,eq_c1/2,0))/2))+2*IF(circ_int,0,eq_c1/2))+(PI()*(s_0+0*s_r+IF(circ_int,eq_c1/2,0))/2))+2*IF(circ_int,0,eq_c2/2)))/(s_0+0*s_r+IF(circ_int,eq_c1/2,0))),IF(((51+0.5)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(51+0.5)*(4*IF(circ_int,0,eq_c1/2)+4*IF(circ_int,0,eq_c2/2)+2*PI()*(s_0+0*s_r+IF(circ_int,eq_c1/2,0)))/INDEX(lk_legs,1))-(((((((2*IF(circ_int,0,eq_c2/2))+(PI()*(s_0+0*s_r+IF(circ_int,eq_c1/2,0))/2))+2*IF(circ_int,0,eq_c1/2))+(PI()*(s_0+0*s_r+IF(circ_int,eq_c1/2,0))/2))+2*IF(circ_int,0,eq_c2/2))+(PI()*(s_0+0*s_r+IF(circ_int,eq_c1/2,0))/2))+2*IF(circ_int,0,eq_c1/2)))/(s_0+0*s_r+IF(circ_int,eq_c1/2,0)))))))))),NA())</f>
        <v/>
      </c>
      <c r="BC54">
        <f>IF(AND(links_on,2&lt;=n_per),IF(circ_int,(g_ox)+(c_1/2+(s_0+1*s_r))*0.992709,CHOOSE(INDEX(lk_kind,2),(g_ox+eq_c1/2)+((s_0+1*s_r))*1.000000,0,eq_a1+eq_c1+(s_0+1*s_r),eq_a1+eq_c1+(s_0+1*s_r))),NA())</f>
        <v/>
      </c>
      <c r="BD54">
        <f>IF(AND(links_on,2&lt;=n_per),IF(circ_int,(g_oy)+(c_1/2+(s_0+1*s_r))*-0.120537,CHOOSE(INDEX(lk_kind,2),(g_oy-eq_c2/2)+((s_0+1*s_r))*-0.000000,g_oy-eq_c2/2-(s_0+1*s_r),0,0)),NA())</f>
        <v/>
      </c>
      <c r="BF54">
        <f>IF(AND(AND(links_on,2&lt;=n_per),INDEX(lk_kind,2)=1,51&lt;INDEX(lk_legs,2)),g_ox+IF(((51+0.5)*(4*IF(circ_int,0,eq_c1/2)+4*IF(circ_int,0,eq_c2/2)+2*PI()*(s_0+1*s_r+IF(circ_int,eq_c1/2,0)))/INDEX(lk_legs,2))&lt;(2*IF(circ_int,0,eq_c2/2)),IF(circ_int,0,eq_c1/2)+(s_0+1*s_r+IF(circ_int,eq_c1/2,0)),IF(((51+0.5)*(4*IF(circ_int,0,eq_c1/2)+4*IF(circ_int,0,eq_c2/2)+2*PI()*(s_0+1*s_r+IF(circ_int,eq_c1/2,0)))/INDEX(lk_legs,2))&lt;((2*IF(circ_int,0,eq_c2/2))+(PI()*(s_0+1*s_r+IF(circ_int,eq_c1/2,0))/2)),IF(circ_int,0,eq_c1/2)+(s_0+1*s_r+IF(circ_int,eq_c1/2,0))*COS((((51+0.5)*(4*IF(circ_int,0,eq_c1/2)+4*IF(circ_int,0,eq_c2/2)+2*PI()*(s_0+1*s_r+IF(circ_int,eq_c1/2,0)))/INDEX(lk_legs,2))-(2*IF(circ_int,0,eq_c2/2)))/(s_0+1*s_r+IF(circ_int,eq_c1/2,0))),IF(((51+0.5)*(4*IF(circ_int,0,eq_c1/2)+4*IF(circ_int,0,eq_c2/2)+2*PI()*(s_0+1*s_r+IF(circ_int,eq_c1/2,0)))/INDEX(lk_legs,2))&lt;(((2*IF(circ_int,0,eq_c2/2))+(PI()*(s_0+1*s_r+IF(circ_int,eq_c1/2,0))/2))+2*IF(circ_int,0,eq_c1/2)),IF(circ_int,0,eq_c1/2)-(((51+0.5)*(4*IF(circ_int,0,eq_c1/2)+4*IF(circ_int,0,eq_c2/2)+2*PI()*(s_0+1*s_r+IF(circ_int,eq_c1/2,0)))/INDEX(lk_legs,2))-((2*IF(circ_int,0,eq_c2/2))+(PI()*(s_0+1*s_r+IF(circ_int,eq_c1/2,0))/2))),IF(((51+0.5)*(4*IF(circ_int,0,eq_c1/2)+4*IF(circ_int,0,eq_c2/2)+2*PI()*(s_0+1*s_r+IF(circ_int,eq_c1/2,0)))/INDEX(lk_legs,2))&lt;((((2*IF(circ_int,0,eq_c2/2))+(PI()*(s_0+1*s_r+IF(circ_int,eq_c1/2,0))/2))+2*IF(circ_int,0,eq_c1/2))+(PI()*(s_0+1*s_r+IF(circ_int,eq_c1/2,0))/2)),-IF(circ_int,0,eq_c1/2)+(s_0+1*s_r+IF(circ_int,eq_c1/2,0))*COS(PI()/2+(((51+0.5)*(4*IF(circ_int,0,eq_c1/2)+4*IF(circ_int,0,eq_c2/2)+2*PI()*(s_0+1*s_r+IF(circ_int,eq_c1/2,0)))/INDEX(lk_legs,2))-(((2*IF(circ_int,0,eq_c2/2))+(PI()*(s_0+1*s_r+IF(circ_int,eq_c1/2,0))/2))+2*IF(circ_int,0,eq_c1/2)))/(s_0+1*s_r+IF(circ_int,eq_c1/2,0))),IF(((51+0.5)*(4*IF(circ_int,0,eq_c1/2)+4*IF(circ_int,0,eq_c2/2)+2*PI()*(s_0+1*s_r+IF(circ_int,eq_c1/2,0)))/INDEX(lk_legs,2))&lt;(((((2*IF(circ_int,0,eq_c2/2))+(PI()*(s_0+1*s_r+IF(circ_int,eq_c1/2,0))/2))+2*IF(circ_int,0,eq_c1/2))+(PI()*(s_0+1*s_r+IF(circ_int,eq_c1/2,0))/2))+2*IF(circ_int,0,eq_c2/2)),-IF(circ_int,0,eq_c1/2)-(s_0+1*s_r+IF(circ_int,eq_c1/2,0)),IF(((51+0.5)*(4*IF(circ_int,0,eq_c1/2)+4*IF(circ_int,0,eq_c2/2)+2*PI()*(s_0+1*s_r+IF(circ_int,eq_c1/2,0)))/INDEX(lk_legs,2))&lt;((((((2*IF(circ_int,0,eq_c2/2))+(PI()*(s_0+1*s_r+IF(circ_int,eq_c1/2,0))/2))+2*IF(circ_int,0,eq_c1/2))+(PI()*(s_0+1*s_r+IF(circ_int,eq_c1/2,0))/2))+2*IF(circ_int,0,eq_c2/2))+(PI()*(s_0+1*s_r+IF(circ_int,eq_c1/2,0))/2)),-IF(circ_int,0,eq_c1/2)+(s_0+1*s_r+IF(circ_int,eq_c1/2,0))*COS(PI()+(((51+0.5)*(4*IF(circ_int,0,eq_c1/2)+4*IF(circ_int,0,eq_c2/2)+2*PI()*(s_0+1*s_r+IF(circ_int,eq_c1/2,0)))/INDEX(lk_legs,2))-(((((2*IF(circ_int,0,eq_c2/2))+(PI()*(s_0+1*s_r+IF(circ_int,eq_c1/2,0))/2))+2*IF(circ_int,0,eq_c1/2))+(PI()*(s_0+1*s_r+IF(circ_int,eq_c1/2,0))/2))+2*IF(circ_int,0,eq_c2/2)))/(s_0+1*s_r+IF(circ_int,eq_c1/2,0))),IF(((51+0.5)*(4*IF(circ_int,0,eq_c1/2)+4*IF(circ_int,0,eq_c2/2)+2*PI()*(s_0+1*s_r+IF(circ_int,eq_c1/2,0)))/INDEX(lk_legs,2))&lt;(((((((2*IF(circ_int,0,eq_c2/2))+(PI()*(s_0+1*s_r+IF(circ_int,eq_c1/2,0))/2))+2*IF(circ_int,0,eq_c1/2))+(PI()*(s_0+1*s_r+IF(circ_int,eq_c1/2,0))/2))+2*IF(circ_int,0,eq_c2/2))+(PI()*(s_0+1*s_r+IF(circ_int,eq_c1/2,0))/2))+2*IF(circ_int,0,eq_c1/2)),-IF(circ_int,0,eq_c1/2)+(((51+0.5)*(4*IF(circ_int,0,eq_c1/2)+4*IF(circ_int,0,eq_c2/2)+2*PI()*(s_0+1*s_r+IF(circ_int,eq_c1/2,0)))/INDEX(lk_legs,2))-((((((2*IF(circ_int,0,eq_c2/2))+(PI()*(s_0+1*s_r+IF(circ_int,eq_c1/2,0))/2))+2*IF(circ_int,0,eq_c1/2))+(PI()*(s_0+1*s_r+IF(circ_int,eq_c1/2,0))/2))+2*IF(circ_int,0,eq_c2/2))+(PI()*(s_0+1*s_r+IF(circ_int,eq_c1/2,0))/2))),IF(circ_int,0,eq_c1/2)+(s_0+1*s_r+IF(circ_int,eq_c1/2,0))*COS(3*PI()/2+(((51+0.5)*(4*IF(circ_int,0,eq_c1/2)+4*IF(circ_int,0,eq_c2/2)+2*PI()*(s_0+1*s_r+IF(circ_int,eq_c1/2,0)))/INDEX(lk_legs,2))-(((((((2*IF(circ_int,0,eq_c2/2))+(PI()*(s_0+1*s_r+IF(circ_int,eq_c1/2,0))/2))+2*IF(circ_int,0,eq_c1/2))+(PI()*(s_0+1*s_r+IF(circ_int,eq_c1/2,0))/2))+2*IF(circ_int,0,eq_c2/2))+(PI()*(s_0+1*s_r+IF(circ_int,eq_c1/2,0))/2))+2*IF(circ_int,0,eq_c1/2)))/(s_0+1*s_r+IF(circ_int,eq_c1/2,0)))))))))),NA())</f>
        <v/>
      </c>
      <c r="BG54">
        <f>IF(AND(AND(links_on,2&lt;=n_per),INDEX(lk_kind,2)=1,51&lt;INDEX(lk_legs,2)),g_oy+IF(((51+0.5)*(4*IF(circ_int,0,eq_c1/2)+4*IF(circ_int,0,eq_c2/2)+2*PI()*(s_0+1*s_r+IF(circ_int,eq_c1/2,0)))/INDEX(lk_legs,2))&lt;(2*IF(circ_int,0,eq_c2/2)),-IF(circ_int,0,eq_c2/2)+((51+0.5)*(4*IF(circ_int,0,eq_c1/2)+4*IF(circ_int,0,eq_c2/2)+2*PI()*(s_0+1*s_r+IF(circ_int,eq_c1/2,0)))/INDEX(lk_legs,2)),IF(((51+0.5)*(4*IF(circ_int,0,eq_c1/2)+4*IF(circ_int,0,eq_c2/2)+2*PI()*(s_0+1*s_r+IF(circ_int,eq_c1/2,0)))/INDEX(lk_legs,2))&lt;((2*IF(circ_int,0,eq_c2/2))+(PI()*(s_0+1*s_r+IF(circ_int,eq_c1/2,0))/2)),IF(circ_int,0,eq_c2/2)+(s_0+1*s_r+IF(circ_int,eq_c1/2,0))*SIN((((51+0.5)*(4*IF(circ_int,0,eq_c1/2)+4*IF(circ_int,0,eq_c2/2)+2*PI()*(s_0+1*s_r+IF(circ_int,eq_c1/2,0)))/INDEX(lk_legs,2))-(2*IF(circ_int,0,eq_c2/2)))/(s_0+1*s_r+IF(circ_int,eq_c1/2,0))),IF(((51+0.5)*(4*IF(circ_int,0,eq_c1/2)+4*IF(circ_int,0,eq_c2/2)+2*PI()*(s_0+1*s_r+IF(circ_int,eq_c1/2,0)))/INDEX(lk_legs,2))&lt;(((2*IF(circ_int,0,eq_c2/2))+(PI()*(s_0+1*s_r+IF(circ_int,eq_c1/2,0))/2))+2*IF(circ_int,0,eq_c1/2)),IF(circ_int,0,eq_c2/2)+(s_0+1*s_r+IF(circ_int,eq_c1/2,0)),IF(((51+0.5)*(4*IF(circ_int,0,eq_c1/2)+4*IF(circ_int,0,eq_c2/2)+2*PI()*(s_0+1*s_r+IF(circ_int,eq_c1/2,0)))/INDEX(lk_legs,2))&lt;((((2*IF(circ_int,0,eq_c2/2))+(PI()*(s_0+1*s_r+IF(circ_int,eq_c1/2,0))/2))+2*IF(circ_int,0,eq_c1/2))+(PI()*(s_0+1*s_r+IF(circ_int,eq_c1/2,0))/2)),IF(circ_int,0,eq_c2/2)+(s_0+1*s_r+IF(circ_int,eq_c1/2,0))*SIN(PI()/2+(((51+0.5)*(4*IF(circ_int,0,eq_c1/2)+4*IF(circ_int,0,eq_c2/2)+2*PI()*(s_0+1*s_r+IF(circ_int,eq_c1/2,0)))/INDEX(lk_legs,2))-(((2*IF(circ_int,0,eq_c2/2))+(PI()*(s_0+1*s_r+IF(circ_int,eq_c1/2,0))/2))+2*IF(circ_int,0,eq_c1/2)))/(s_0+1*s_r+IF(circ_int,eq_c1/2,0))),IF(((51+0.5)*(4*IF(circ_int,0,eq_c1/2)+4*IF(circ_int,0,eq_c2/2)+2*PI()*(s_0+1*s_r+IF(circ_int,eq_c1/2,0)))/INDEX(lk_legs,2))&lt;(((((2*IF(circ_int,0,eq_c2/2))+(PI()*(s_0+1*s_r+IF(circ_int,eq_c1/2,0))/2))+2*IF(circ_int,0,eq_c1/2))+(PI()*(s_0+1*s_r+IF(circ_int,eq_c1/2,0))/2))+2*IF(circ_int,0,eq_c2/2)),IF(circ_int,0,eq_c2/2)-(((51+0.5)*(4*IF(circ_int,0,eq_c1/2)+4*IF(circ_int,0,eq_c2/2)+2*PI()*(s_0+1*s_r+IF(circ_int,eq_c1/2,0)))/INDEX(lk_legs,2))-((((2*IF(circ_int,0,eq_c2/2))+(PI()*(s_0+1*s_r+IF(circ_int,eq_c1/2,0))/2))+2*IF(circ_int,0,eq_c1/2))+(PI()*(s_0+1*s_r+IF(circ_int,eq_c1/2,0))/2))),IF(((51+0.5)*(4*IF(circ_int,0,eq_c1/2)+4*IF(circ_int,0,eq_c2/2)+2*PI()*(s_0+1*s_r+IF(circ_int,eq_c1/2,0)))/INDEX(lk_legs,2))&lt;((((((2*IF(circ_int,0,eq_c2/2))+(PI()*(s_0+1*s_r+IF(circ_int,eq_c1/2,0))/2))+2*IF(circ_int,0,eq_c1/2))+(PI()*(s_0+1*s_r+IF(circ_int,eq_c1/2,0))/2))+2*IF(circ_int,0,eq_c2/2))+(PI()*(s_0+1*s_r+IF(circ_int,eq_c1/2,0))/2)),-IF(circ_int,0,eq_c2/2)+(s_0+1*s_r+IF(circ_int,eq_c1/2,0))*SIN(PI()+(((51+0.5)*(4*IF(circ_int,0,eq_c1/2)+4*IF(circ_int,0,eq_c2/2)+2*PI()*(s_0+1*s_r+IF(circ_int,eq_c1/2,0)))/INDEX(lk_legs,2))-(((((2*IF(circ_int,0,eq_c2/2))+(PI()*(s_0+1*s_r+IF(circ_int,eq_c1/2,0))/2))+2*IF(circ_int,0,eq_c1/2))+(PI()*(s_0+1*s_r+IF(circ_int,eq_c1/2,0))/2))+2*IF(circ_int,0,eq_c2/2)))/(s_0+1*s_r+IF(circ_int,eq_c1/2,0))),IF(((51+0.5)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(51+0.5)*(4*IF(circ_int,0,eq_c1/2)+4*IF(circ_int,0,eq_c2/2)+2*PI()*(s_0+1*s_r+IF(circ_int,eq_c1/2,0)))/INDEX(lk_legs,2))-(((((((2*IF(circ_int,0,eq_c2/2))+(PI()*(s_0+1*s_r+IF(circ_int,eq_c1/2,0))/2))+2*IF(circ_int,0,eq_c1/2))+(PI()*(s_0+1*s_r+IF(circ_int,eq_c1/2,0))/2))+2*IF(circ_int,0,eq_c2/2))+(PI()*(s_0+1*s_r+IF(circ_int,eq_c1/2,0))/2))+2*IF(circ_int,0,eq_c1/2)))/(s_0+1*s_r+IF(circ_int,eq_c1/2,0)))))))))),NA())</f>
        <v/>
      </c>
      <c r="BI54">
        <f>IF(AND(links_on,3&lt;=n_per),IF(circ_int,(g_ox)+(c_1/2+(s_0+2*s_r))*0.992709,CHOOSE(INDEX(lk_kind,3),(g_ox+eq_c1/2)+((s_0+2*s_r))*1.000000,0,eq_a1+eq_c1+(s_0+2*s_r),eq_a1+eq_c1+(s_0+2*s_r))),NA())</f>
        <v/>
      </c>
      <c r="BJ54">
        <f>IF(AND(links_on,3&lt;=n_per),IF(circ_int,(g_oy)+(c_1/2+(s_0+2*s_r))*-0.120537,CHOOSE(INDEX(lk_kind,3),(g_oy-eq_c2/2)+((s_0+2*s_r))*-0.000000,g_oy-eq_c2/2-(s_0+2*s_r),0,0)),NA())</f>
        <v/>
      </c>
      <c r="BL54">
        <f>IF(AND(AND(links_on,3&lt;=n_per),INDEX(lk_kind,3)=1,51&lt;INDEX(lk_legs,3)),g_ox+IF(((51+0.5)*(4*IF(circ_int,0,eq_c1/2)+4*IF(circ_int,0,eq_c2/2)+2*PI()*(s_0+2*s_r+IF(circ_int,eq_c1/2,0)))/INDEX(lk_legs,3))&lt;(2*IF(circ_int,0,eq_c2/2)),IF(circ_int,0,eq_c1/2)+(s_0+2*s_r+IF(circ_int,eq_c1/2,0)),IF(((51+0.5)*(4*IF(circ_int,0,eq_c1/2)+4*IF(circ_int,0,eq_c2/2)+2*PI()*(s_0+2*s_r+IF(circ_int,eq_c1/2,0)))/INDEX(lk_legs,3))&lt;((2*IF(circ_int,0,eq_c2/2))+(PI()*(s_0+2*s_r+IF(circ_int,eq_c1/2,0))/2)),IF(circ_int,0,eq_c1/2)+(s_0+2*s_r+IF(circ_int,eq_c1/2,0))*COS((((51+0.5)*(4*IF(circ_int,0,eq_c1/2)+4*IF(circ_int,0,eq_c2/2)+2*PI()*(s_0+2*s_r+IF(circ_int,eq_c1/2,0)))/INDEX(lk_legs,3))-(2*IF(circ_int,0,eq_c2/2)))/(s_0+2*s_r+IF(circ_int,eq_c1/2,0))),IF(((51+0.5)*(4*IF(circ_int,0,eq_c1/2)+4*IF(circ_int,0,eq_c2/2)+2*PI()*(s_0+2*s_r+IF(circ_int,eq_c1/2,0)))/INDEX(lk_legs,3))&lt;(((2*IF(circ_int,0,eq_c2/2))+(PI()*(s_0+2*s_r+IF(circ_int,eq_c1/2,0))/2))+2*IF(circ_int,0,eq_c1/2)),IF(circ_int,0,eq_c1/2)-(((51+0.5)*(4*IF(circ_int,0,eq_c1/2)+4*IF(circ_int,0,eq_c2/2)+2*PI()*(s_0+2*s_r+IF(circ_int,eq_c1/2,0)))/INDEX(lk_legs,3))-((2*IF(circ_int,0,eq_c2/2))+(PI()*(s_0+2*s_r+IF(circ_int,eq_c1/2,0))/2))),IF(((51+0.5)*(4*IF(circ_int,0,eq_c1/2)+4*IF(circ_int,0,eq_c2/2)+2*PI()*(s_0+2*s_r+IF(circ_int,eq_c1/2,0)))/INDEX(lk_legs,3))&lt;((((2*IF(circ_int,0,eq_c2/2))+(PI()*(s_0+2*s_r+IF(circ_int,eq_c1/2,0))/2))+2*IF(circ_int,0,eq_c1/2))+(PI()*(s_0+2*s_r+IF(circ_int,eq_c1/2,0))/2)),-IF(circ_int,0,eq_c1/2)+(s_0+2*s_r+IF(circ_int,eq_c1/2,0))*COS(PI()/2+(((51+0.5)*(4*IF(circ_int,0,eq_c1/2)+4*IF(circ_int,0,eq_c2/2)+2*PI()*(s_0+2*s_r+IF(circ_int,eq_c1/2,0)))/INDEX(lk_legs,3))-(((2*IF(circ_int,0,eq_c2/2))+(PI()*(s_0+2*s_r+IF(circ_int,eq_c1/2,0))/2))+2*IF(circ_int,0,eq_c1/2)))/(s_0+2*s_r+IF(circ_int,eq_c1/2,0))),IF(((51+0.5)*(4*IF(circ_int,0,eq_c1/2)+4*IF(circ_int,0,eq_c2/2)+2*PI()*(s_0+2*s_r+IF(circ_int,eq_c1/2,0)))/INDEX(lk_legs,3))&lt;(((((2*IF(circ_int,0,eq_c2/2))+(PI()*(s_0+2*s_r+IF(circ_int,eq_c1/2,0))/2))+2*IF(circ_int,0,eq_c1/2))+(PI()*(s_0+2*s_r+IF(circ_int,eq_c1/2,0))/2))+2*IF(circ_int,0,eq_c2/2)),-IF(circ_int,0,eq_c1/2)-(s_0+2*s_r+IF(circ_int,eq_c1/2,0)),IF(((51+0.5)*(4*IF(circ_int,0,eq_c1/2)+4*IF(circ_int,0,eq_c2/2)+2*PI()*(s_0+2*s_r+IF(circ_int,eq_c1/2,0)))/INDEX(lk_legs,3))&lt;((((((2*IF(circ_int,0,eq_c2/2))+(PI()*(s_0+2*s_r+IF(circ_int,eq_c1/2,0))/2))+2*IF(circ_int,0,eq_c1/2))+(PI()*(s_0+2*s_r+IF(circ_int,eq_c1/2,0))/2))+2*IF(circ_int,0,eq_c2/2))+(PI()*(s_0+2*s_r+IF(circ_int,eq_c1/2,0))/2)),-IF(circ_int,0,eq_c1/2)+(s_0+2*s_r+IF(circ_int,eq_c1/2,0))*COS(PI()+(((51+0.5)*(4*IF(circ_int,0,eq_c1/2)+4*IF(circ_int,0,eq_c2/2)+2*PI()*(s_0+2*s_r+IF(circ_int,eq_c1/2,0)))/INDEX(lk_legs,3))-(((((2*IF(circ_int,0,eq_c2/2))+(PI()*(s_0+2*s_r+IF(circ_int,eq_c1/2,0))/2))+2*IF(circ_int,0,eq_c1/2))+(PI()*(s_0+2*s_r+IF(circ_int,eq_c1/2,0))/2))+2*IF(circ_int,0,eq_c2/2)))/(s_0+2*s_r+IF(circ_int,eq_c1/2,0))),IF(((51+0.5)*(4*IF(circ_int,0,eq_c1/2)+4*IF(circ_int,0,eq_c2/2)+2*PI()*(s_0+2*s_r+IF(circ_int,eq_c1/2,0)))/INDEX(lk_legs,3))&lt;(((((((2*IF(circ_int,0,eq_c2/2))+(PI()*(s_0+2*s_r+IF(circ_int,eq_c1/2,0))/2))+2*IF(circ_int,0,eq_c1/2))+(PI()*(s_0+2*s_r+IF(circ_int,eq_c1/2,0))/2))+2*IF(circ_int,0,eq_c2/2))+(PI()*(s_0+2*s_r+IF(circ_int,eq_c1/2,0))/2))+2*IF(circ_int,0,eq_c1/2)),-IF(circ_int,0,eq_c1/2)+(((51+0.5)*(4*IF(circ_int,0,eq_c1/2)+4*IF(circ_int,0,eq_c2/2)+2*PI()*(s_0+2*s_r+IF(circ_int,eq_c1/2,0)))/INDEX(lk_legs,3))-((((((2*IF(circ_int,0,eq_c2/2))+(PI()*(s_0+2*s_r+IF(circ_int,eq_c1/2,0))/2))+2*IF(circ_int,0,eq_c1/2))+(PI()*(s_0+2*s_r+IF(circ_int,eq_c1/2,0))/2))+2*IF(circ_int,0,eq_c2/2))+(PI()*(s_0+2*s_r+IF(circ_int,eq_c1/2,0))/2))),IF(circ_int,0,eq_c1/2)+(s_0+2*s_r+IF(circ_int,eq_c1/2,0))*COS(3*PI()/2+(((51+0.5)*(4*IF(circ_int,0,eq_c1/2)+4*IF(circ_int,0,eq_c2/2)+2*PI()*(s_0+2*s_r+IF(circ_int,eq_c1/2,0)))/INDEX(lk_legs,3))-(((((((2*IF(circ_int,0,eq_c2/2))+(PI()*(s_0+2*s_r+IF(circ_int,eq_c1/2,0))/2))+2*IF(circ_int,0,eq_c1/2))+(PI()*(s_0+2*s_r+IF(circ_int,eq_c1/2,0))/2))+2*IF(circ_int,0,eq_c2/2))+(PI()*(s_0+2*s_r+IF(circ_int,eq_c1/2,0))/2))+2*IF(circ_int,0,eq_c1/2)))/(s_0+2*s_r+IF(circ_int,eq_c1/2,0)))))))))),NA())</f>
        <v/>
      </c>
      <c r="BM54">
        <f>IF(AND(AND(links_on,3&lt;=n_per),INDEX(lk_kind,3)=1,51&lt;INDEX(lk_legs,3)),g_oy+IF(((51+0.5)*(4*IF(circ_int,0,eq_c1/2)+4*IF(circ_int,0,eq_c2/2)+2*PI()*(s_0+2*s_r+IF(circ_int,eq_c1/2,0)))/INDEX(lk_legs,3))&lt;(2*IF(circ_int,0,eq_c2/2)),-IF(circ_int,0,eq_c2/2)+((51+0.5)*(4*IF(circ_int,0,eq_c1/2)+4*IF(circ_int,0,eq_c2/2)+2*PI()*(s_0+2*s_r+IF(circ_int,eq_c1/2,0)))/INDEX(lk_legs,3)),IF(((51+0.5)*(4*IF(circ_int,0,eq_c1/2)+4*IF(circ_int,0,eq_c2/2)+2*PI()*(s_0+2*s_r+IF(circ_int,eq_c1/2,0)))/INDEX(lk_legs,3))&lt;((2*IF(circ_int,0,eq_c2/2))+(PI()*(s_0+2*s_r+IF(circ_int,eq_c1/2,0))/2)),IF(circ_int,0,eq_c2/2)+(s_0+2*s_r+IF(circ_int,eq_c1/2,0))*SIN((((51+0.5)*(4*IF(circ_int,0,eq_c1/2)+4*IF(circ_int,0,eq_c2/2)+2*PI()*(s_0+2*s_r+IF(circ_int,eq_c1/2,0)))/INDEX(lk_legs,3))-(2*IF(circ_int,0,eq_c2/2)))/(s_0+2*s_r+IF(circ_int,eq_c1/2,0))),IF(((51+0.5)*(4*IF(circ_int,0,eq_c1/2)+4*IF(circ_int,0,eq_c2/2)+2*PI()*(s_0+2*s_r+IF(circ_int,eq_c1/2,0)))/INDEX(lk_legs,3))&lt;(((2*IF(circ_int,0,eq_c2/2))+(PI()*(s_0+2*s_r+IF(circ_int,eq_c1/2,0))/2))+2*IF(circ_int,0,eq_c1/2)),IF(circ_int,0,eq_c2/2)+(s_0+2*s_r+IF(circ_int,eq_c1/2,0)),IF(((51+0.5)*(4*IF(circ_int,0,eq_c1/2)+4*IF(circ_int,0,eq_c2/2)+2*PI()*(s_0+2*s_r+IF(circ_int,eq_c1/2,0)))/INDEX(lk_legs,3))&lt;((((2*IF(circ_int,0,eq_c2/2))+(PI()*(s_0+2*s_r+IF(circ_int,eq_c1/2,0))/2))+2*IF(circ_int,0,eq_c1/2))+(PI()*(s_0+2*s_r+IF(circ_int,eq_c1/2,0))/2)),IF(circ_int,0,eq_c2/2)+(s_0+2*s_r+IF(circ_int,eq_c1/2,0))*SIN(PI()/2+(((51+0.5)*(4*IF(circ_int,0,eq_c1/2)+4*IF(circ_int,0,eq_c2/2)+2*PI()*(s_0+2*s_r+IF(circ_int,eq_c1/2,0)))/INDEX(lk_legs,3))-(((2*IF(circ_int,0,eq_c2/2))+(PI()*(s_0+2*s_r+IF(circ_int,eq_c1/2,0))/2))+2*IF(circ_int,0,eq_c1/2)))/(s_0+2*s_r+IF(circ_int,eq_c1/2,0))),IF(((51+0.5)*(4*IF(circ_int,0,eq_c1/2)+4*IF(circ_int,0,eq_c2/2)+2*PI()*(s_0+2*s_r+IF(circ_int,eq_c1/2,0)))/INDEX(lk_legs,3))&lt;(((((2*IF(circ_int,0,eq_c2/2))+(PI()*(s_0+2*s_r+IF(circ_int,eq_c1/2,0))/2))+2*IF(circ_int,0,eq_c1/2))+(PI()*(s_0+2*s_r+IF(circ_int,eq_c1/2,0))/2))+2*IF(circ_int,0,eq_c2/2)),IF(circ_int,0,eq_c2/2)-(((51+0.5)*(4*IF(circ_int,0,eq_c1/2)+4*IF(circ_int,0,eq_c2/2)+2*PI()*(s_0+2*s_r+IF(circ_int,eq_c1/2,0)))/INDEX(lk_legs,3))-((((2*IF(circ_int,0,eq_c2/2))+(PI()*(s_0+2*s_r+IF(circ_int,eq_c1/2,0))/2))+2*IF(circ_int,0,eq_c1/2))+(PI()*(s_0+2*s_r+IF(circ_int,eq_c1/2,0))/2))),IF(((51+0.5)*(4*IF(circ_int,0,eq_c1/2)+4*IF(circ_int,0,eq_c2/2)+2*PI()*(s_0+2*s_r+IF(circ_int,eq_c1/2,0)))/INDEX(lk_legs,3))&lt;((((((2*IF(circ_int,0,eq_c2/2))+(PI()*(s_0+2*s_r+IF(circ_int,eq_c1/2,0))/2))+2*IF(circ_int,0,eq_c1/2))+(PI()*(s_0+2*s_r+IF(circ_int,eq_c1/2,0))/2))+2*IF(circ_int,0,eq_c2/2))+(PI()*(s_0+2*s_r+IF(circ_int,eq_c1/2,0))/2)),-IF(circ_int,0,eq_c2/2)+(s_0+2*s_r+IF(circ_int,eq_c1/2,0))*SIN(PI()+(((51+0.5)*(4*IF(circ_int,0,eq_c1/2)+4*IF(circ_int,0,eq_c2/2)+2*PI()*(s_0+2*s_r+IF(circ_int,eq_c1/2,0)))/INDEX(lk_legs,3))-(((((2*IF(circ_int,0,eq_c2/2))+(PI()*(s_0+2*s_r+IF(circ_int,eq_c1/2,0))/2))+2*IF(circ_int,0,eq_c1/2))+(PI()*(s_0+2*s_r+IF(circ_int,eq_c1/2,0))/2))+2*IF(circ_int,0,eq_c2/2)))/(s_0+2*s_r+IF(circ_int,eq_c1/2,0))),IF(((51+0.5)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(51+0.5)*(4*IF(circ_int,0,eq_c1/2)+4*IF(circ_int,0,eq_c2/2)+2*PI()*(s_0+2*s_r+IF(circ_int,eq_c1/2,0)))/INDEX(lk_legs,3))-(((((((2*IF(circ_int,0,eq_c2/2))+(PI()*(s_0+2*s_r+IF(circ_int,eq_c1/2,0))/2))+2*IF(circ_int,0,eq_c1/2))+(PI()*(s_0+2*s_r+IF(circ_int,eq_c1/2,0))/2))+2*IF(circ_int,0,eq_c2/2))+(PI()*(s_0+2*s_r+IF(circ_int,eq_c1/2,0))/2))+2*IF(circ_int,0,eq_c1/2)))/(s_0+2*s_r+IF(circ_int,eq_c1/2,0)))))))))),NA())</f>
        <v/>
      </c>
      <c r="BO54">
        <f>IF(AND(links_on,4&lt;=n_per),IF(circ_int,(g_ox)+(c_1/2+(s_0+3*s_r))*0.992709,CHOOSE(INDEX(lk_kind,4),(g_ox+eq_c1/2)+((s_0+3*s_r))*1.000000,0,eq_a1+eq_c1+(s_0+3*s_r),eq_a1+eq_c1+(s_0+3*s_r))),NA())</f>
        <v/>
      </c>
      <c r="BP54">
        <f>IF(AND(links_on,4&lt;=n_per),IF(circ_int,(g_oy)+(c_1/2+(s_0+3*s_r))*-0.120537,CHOOSE(INDEX(lk_kind,4),(g_oy-eq_c2/2)+((s_0+3*s_r))*-0.000000,g_oy-eq_c2/2-(s_0+3*s_r),0,0)),NA())</f>
        <v/>
      </c>
      <c r="BR54">
        <f>IF(AND(AND(links_on,4&lt;=n_per),INDEX(lk_kind,4)=1,51&lt;INDEX(lk_legs,4)),g_ox+IF(((51+0.5)*(4*IF(circ_int,0,eq_c1/2)+4*IF(circ_int,0,eq_c2/2)+2*PI()*(s_0+3*s_r+IF(circ_int,eq_c1/2,0)))/INDEX(lk_legs,4))&lt;(2*IF(circ_int,0,eq_c2/2)),IF(circ_int,0,eq_c1/2)+(s_0+3*s_r+IF(circ_int,eq_c1/2,0)),IF(((51+0.5)*(4*IF(circ_int,0,eq_c1/2)+4*IF(circ_int,0,eq_c2/2)+2*PI()*(s_0+3*s_r+IF(circ_int,eq_c1/2,0)))/INDEX(lk_legs,4))&lt;((2*IF(circ_int,0,eq_c2/2))+(PI()*(s_0+3*s_r+IF(circ_int,eq_c1/2,0))/2)),IF(circ_int,0,eq_c1/2)+(s_0+3*s_r+IF(circ_int,eq_c1/2,0))*COS((((51+0.5)*(4*IF(circ_int,0,eq_c1/2)+4*IF(circ_int,0,eq_c2/2)+2*PI()*(s_0+3*s_r+IF(circ_int,eq_c1/2,0)))/INDEX(lk_legs,4))-(2*IF(circ_int,0,eq_c2/2)))/(s_0+3*s_r+IF(circ_int,eq_c1/2,0))),IF(((51+0.5)*(4*IF(circ_int,0,eq_c1/2)+4*IF(circ_int,0,eq_c2/2)+2*PI()*(s_0+3*s_r+IF(circ_int,eq_c1/2,0)))/INDEX(lk_legs,4))&lt;(((2*IF(circ_int,0,eq_c2/2))+(PI()*(s_0+3*s_r+IF(circ_int,eq_c1/2,0))/2))+2*IF(circ_int,0,eq_c1/2)),IF(circ_int,0,eq_c1/2)-(((51+0.5)*(4*IF(circ_int,0,eq_c1/2)+4*IF(circ_int,0,eq_c2/2)+2*PI()*(s_0+3*s_r+IF(circ_int,eq_c1/2,0)))/INDEX(lk_legs,4))-((2*IF(circ_int,0,eq_c2/2))+(PI()*(s_0+3*s_r+IF(circ_int,eq_c1/2,0))/2))),IF(((51+0.5)*(4*IF(circ_int,0,eq_c1/2)+4*IF(circ_int,0,eq_c2/2)+2*PI()*(s_0+3*s_r+IF(circ_int,eq_c1/2,0)))/INDEX(lk_legs,4))&lt;((((2*IF(circ_int,0,eq_c2/2))+(PI()*(s_0+3*s_r+IF(circ_int,eq_c1/2,0))/2))+2*IF(circ_int,0,eq_c1/2))+(PI()*(s_0+3*s_r+IF(circ_int,eq_c1/2,0))/2)),-IF(circ_int,0,eq_c1/2)+(s_0+3*s_r+IF(circ_int,eq_c1/2,0))*COS(PI()/2+(((51+0.5)*(4*IF(circ_int,0,eq_c1/2)+4*IF(circ_int,0,eq_c2/2)+2*PI()*(s_0+3*s_r+IF(circ_int,eq_c1/2,0)))/INDEX(lk_legs,4))-(((2*IF(circ_int,0,eq_c2/2))+(PI()*(s_0+3*s_r+IF(circ_int,eq_c1/2,0))/2))+2*IF(circ_int,0,eq_c1/2)))/(s_0+3*s_r+IF(circ_int,eq_c1/2,0))),IF(((51+0.5)*(4*IF(circ_int,0,eq_c1/2)+4*IF(circ_int,0,eq_c2/2)+2*PI()*(s_0+3*s_r+IF(circ_int,eq_c1/2,0)))/INDEX(lk_legs,4))&lt;(((((2*IF(circ_int,0,eq_c2/2))+(PI()*(s_0+3*s_r+IF(circ_int,eq_c1/2,0))/2))+2*IF(circ_int,0,eq_c1/2))+(PI()*(s_0+3*s_r+IF(circ_int,eq_c1/2,0))/2))+2*IF(circ_int,0,eq_c2/2)),-IF(circ_int,0,eq_c1/2)-(s_0+3*s_r+IF(circ_int,eq_c1/2,0)),IF(((51+0.5)*(4*IF(circ_int,0,eq_c1/2)+4*IF(circ_int,0,eq_c2/2)+2*PI()*(s_0+3*s_r+IF(circ_int,eq_c1/2,0)))/INDEX(lk_legs,4))&lt;((((((2*IF(circ_int,0,eq_c2/2))+(PI()*(s_0+3*s_r+IF(circ_int,eq_c1/2,0))/2))+2*IF(circ_int,0,eq_c1/2))+(PI()*(s_0+3*s_r+IF(circ_int,eq_c1/2,0))/2))+2*IF(circ_int,0,eq_c2/2))+(PI()*(s_0+3*s_r+IF(circ_int,eq_c1/2,0))/2)),-IF(circ_int,0,eq_c1/2)+(s_0+3*s_r+IF(circ_int,eq_c1/2,0))*COS(PI()+(((51+0.5)*(4*IF(circ_int,0,eq_c1/2)+4*IF(circ_int,0,eq_c2/2)+2*PI()*(s_0+3*s_r+IF(circ_int,eq_c1/2,0)))/INDEX(lk_legs,4))-(((((2*IF(circ_int,0,eq_c2/2))+(PI()*(s_0+3*s_r+IF(circ_int,eq_c1/2,0))/2))+2*IF(circ_int,0,eq_c1/2))+(PI()*(s_0+3*s_r+IF(circ_int,eq_c1/2,0))/2))+2*IF(circ_int,0,eq_c2/2)))/(s_0+3*s_r+IF(circ_int,eq_c1/2,0))),IF(((51+0.5)*(4*IF(circ_int,0,eq_c1/2)+4*IF(circ_int,0,eq_c2/2)+2*PI()*(s_0+3*s_r+IF(circ_int,eq_c1/2,0)))/INDEX(lk_legs,4))&lt;(((((((2*IF(circ_int,0,eq_c2/2))+(PI()*(s_0+3*s_r+IF(circ_int,eq_c1/2,0))/2))+2*IF(circ_int,0,eq_c1/2))+(PI()*(s_0+3*s_r+IF(circ_int,eq_c1/2,0))/2))+2*IF(circ_int,0,eq_c2/2))+(PI()*(s_0+3*s_r+IF(circ_int,eq_c1/2,0))/2))+2*IF(circ_int,0,eq_c1/2)),-IF(circ_int,0,eq_c1/2)+(((51+0.5)*(4*IF(circ_int,0,eq_c1/2)+4*IF(circ_int,0,eq_c2/2)+2*PI()*(s_0+3*s_r+IF(circ_int,eq_c1/2,0)))/INDEX(lk_legs,4))-((((((2*IF(circ_int,0,eq_c2/2))+(PI()*(s_0+3*s_r+IF(circ_int,eq_c1/2,0))/2))+2*IF(circ_int,0,eq_c1/2))+(PI()*(s_0+3*s_r+IF(circ_int,eq_c1/2,0))/2))+2*IF(circ_int,0,eq_c2/2))+(PI()*(s_0+3*s_r+IF(circ_int,eq_c1/2,0))/2))),IF(circ_int,0,eq_c1/2)+(s_0+3*s_r+IF(circ_int,eq_c1/2,0))*COS(3*PI()/2+(((51+0.5)*(4*IF(circ_int,0,eq_c1/2)+4*IF(circ_int,0,eq_c2/2)+2*PI()*(s_0+3*s_r+IF(circ_int,eq_c1/2,0)))/INDEX(lk_legs,4))-(((((((2*IF(circ_int,0,eq_c2/2))+(PI()*(s_0+3*s_r+IF(circ_int,eq_c1/2,0))/2))+2*IF(circ_int,0,eq_c1/2))+(PI()*(s_0+3*s_r+IF(circ_int,eq_c1/2,0))/2))+2*IF(circ_int,0,eq_c2/2))+(PI()*(s_0+3*s_r+IF(circ_int,eq_c1/2,0))/2))+2*IF(circ_int,0,eq_c1/2)))/(s_0+3*s_r+IF(circ_int,eq_c1/2,0)))))))))),NA())</f>
        <v/>
      </c>
      <c r="BS54">
        <f>IF(AND(AND(links_on,4&lt;=n_per),INDEX(lk_kind,4)=1,51&lt;INDEX(lk_legs,4)),g_oy+IF(((51+0.5)*(4*IF(circ_int,0,eq_c1/2)+4*IF(circ_int,0,eq_c2/2)+2*PI()*(s_0+3*s_r+IF(circ_int,eq_c1/2,0)))/INDEX(lk_legs,4))&lt;(2*IF(circ_int,0,eq_c2/2)),-IF(circ_int,0,eq_c2/2)+((51+0.5)*(4*IF(circ_int,0,eq_c1/2)+4*IF(circ_int,0,eq_c2/2)+2*PI()*(s_0+3*s_r+IF(circ_int,eq_c1/2,0)))/INDEX(lk_legs,4)),IF(((51+0.5)*(4*IF(circ_int,0,eq_c1/2)+4*IF(circ_int,0,eq_c2/2)+2*PI()*(s_0+3*s_r+IF(circ_int,eq_c1/2,0)))/INDEX(lk_legs,4))&lt;((2*IF(circ_int,0,eq_c2/2))+(PI()*(s_0+3*s_r+IF(circ_int,eq_c1/2,0))/2)),IF(circ_int,0,eq_c2/2)+(s_0+3*s_r+IF(circ_int,eq_c1/2,0))*SIN((((51+0.5)*(4*IF(circ_int,0,eq_c1/2)+4*IF(circ_int,0,eq_c2/2)+2*PI()*(s_0+3*s_r+IF(circ_int,eq_c1/2,0)))/INDEX(lk_legs,4))-(2*IF(circ_int,0,eq_c2/2)))/(s_0+3*s_r+IF(circ_int,eq_c1/2,0))),IF(((51+0.5)*(4*IF(circ_int,0,eq_c1/2)+4*IF(circ_int,0,eq_c2/2)+2*PI()*(s_0+3*s_r+IF(circ_int,eq_c1/2,0)))/INDEX(lk_legs,4))&lt;(((2*IF(circ_int,0,eq_c2/2))+(PI()*(s_0+3*s_r+IF(circ_int,eq_c1/2,0))/2))+2*IF(circ_int,0,eq_c1/2)),IF(circ_int,0,eq_c2/2)+(s_0+3*s_r+IF(circ_int,eq_c1/2,0)),IF(((51+0.5)*(4*IF(circ_int,0,eq_c1/2)+4*IF(circ_int,0,eq_c2/2)+2*PI()*(s_0+3*s_r+IF(circ_int,eq_c1/2,0)))/INDEX(lk_legs,4))&lt;((((2*IF(circ_int,0,eq_c2/2))+(PI()*(s_0+3*s_r+IF(circ_int,eq_c1/2,0))/2))+2*IF(circ_int,0,eq_c1/2))+(PI()*(s_0+3*s_r+IF(circ_int,eq_c1/2,0))/2)),IF(circ_int,0,eq_c2/2)+(s_0+3*s_r+IF(circ_int,eq_c1/2,0))*SIN(PI()/2+(((51+0.5)*(4*IF(circ_int,0,eq_c1/2)+4*IF(circ_int,0,eq_c2/2)+2*PI()*(s_0+3*s_r+IF(circ_int,eq_c1/2,0)))/INDEX(lk_legs,4))-(((2*IF(circ_int,0,eq_c2/2))+(PI()*(s_0+3*s_r+IF(circ_int,eq_c1/2,0))/2))+2*IF(circ_int,0,eq_c1/2)))/(s_0+3*s_r+IF(circ_int,eq_c1/2,0))),IF(((51+0.5)*(4*IF(circ_int,0,eq_c1/2)+4*IF(circ_int,0,eq_c2/2)+2*PI()*(s_0+3*s_r+IF(circ_int,eq_c1/2,0)))/INDEX(lk_legs,4))&lt;(((((2*IF(circ_int,0,eq_c2/2))+(PI()*(s_0+3*s_r+IF(circ_int,eq_c1/2,0))/2))+2*IF(circ_int,0,eq_c1/2))+(PI()*(s_0+3*s_r+IF(circ_int,eq_c1/2,0))/2))+2*IF(circ_int,0,eq_c2/2)),IF(circ_int,0,eq_c2/2)-(((51+0.5)*(4*IF(circ_int,0,eq_c1/2)+4*IF(circ_int,0,eq_c2/2)+2*PI()*(s_0+3*s_r+IF(circ_int,eq_c1/2,0)))/INDEX(lk_legs,4))-((((2*IF(circ_int,0,eq_c2/2))+(PI()*(s_0+3*s_r+IF(circ_int,eq_c1/2,0))/2))+2*IF(circ_int,0,eq_c1/2))+(PI()*(s_0+3*s_r+IF(circ_int,eq_c1/2,0))/2))),IF(((51+0.5)*(4*IF(circ_int,0,eq_c1/2)+4*IF(circ_int,0,eq_c2/2)+2*PI()*(s_0+3*s_r+IF(circ_int,eq_c1/2,0)))/INDEX(lk_legs,4))&lt;((((((2*IF(circ_int,0,eq_c2/2))+(PI()*(s_0+3*s_r+IF(circ_int,eq_c1/2,0))/2))+2*IF(circ_int,0,eq_c1/2))+(PI()*(s_0+3*s_r+IF(circ_int,eq_c1/2,0))/2))+2*IF(circ_int,0,eq_c2/2))+(PI()*(s_0+3*s_r+IF(circ_int,eq_c1/2,0))/2)),-IF(circ_int,0,eq_c2/2)+(s_0+3*s_r+IF(circ_int,eq_c1/2,0))*SIN(PI()+(((51+0.5)*(4*IF(circ_int,0,eq_c1/2)+4*IF(circ_int,0,eq_c2/2)+2*PI()*(s_0+3*s_r+IF(circ_int,eq_c1/2,0)))/INDEX(lk_legs,4))-(((((2*IF(circ_int,0,eq_c2/2))+(PI()*(s_0+3*s_r+IF(circ_int,eq_c1/2,0))/2))+2*IF(circ_int,0,eq_c1/2))+(PI()*(s_0+3*s_r+IF(circ_int,eq_c1/2,0))/2))+2*IF(circ_int,0,eq_c2/2)))/(s_0+3*s_r+IF(circ_int,eq_c1/2,0))),IF(((51+0.5)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(51+0.5)*(4*IF(circ_int,0,eq_c1/2)+4*IF(circ_int,0,eq_c2/2)+2*PI()*(s_0+3*s_r+IF(circ_int,eq_c1/2,0)))/INDEX(lk_legs,4))-(((((((2*IF(circ_int,0,eq_c2/2))+(PI()*(s_0+3*s_r+IF(circ_int,eq_c1/2,0))/2))+2*IF(circ_int,0,eq_c1/2))+(PI()*(s_0+3*s_r+IF(circ_int,eq_c1/2,0))/2))+2*IF(circ_int,0,eq_c2/2))+(PI()*(s_0+3*s_r+IF(circ_int,eq_c1/2,0))/2))+2*IF(circ_int,0,eq_c1/2)))/(s_0+3*s_r+IF(circ_int,eq_c1/2,0)))))))))),NA())</f>
        <v/>
      </c>
      <c r="BU54">
        <f>IF(AND(links_on,5&lt;=n_per),IF(circ_int,(g_ox)+(c_1/2+(s_0+4*s_r))*0.992709,CHOOSE(INDEX(lk_kind,5),(g_ox+eq_c1/2)+((s_0+4*s_r))*1.000000,0,eq_a1+eq_c1+(s_0+4*s_r),eq_a1+eq_c1+(s_0+4*s_r))),NA())</f>
        <v/>
      </c>
      <c r="BV54">
        <f>IF(AND(links_on,5&lt;=n_per),IF(circ_int,(g_oy)+(c_1/2+(s_0+4*s_r))*-0.120537,CHOOSE(INDEX(lk_kind,5),(g_oy-eq_c2/2)+((s_0+4*s_r))*-0.000000,g_oy-eq_c2/2-(s_0+4*s_r),0,0)),NA())</f>
        <v/>
      </c>
      <c r="BX54">
        <f>IF(AND(AND(links_on,5&lt;=n_per),INDEX(lk_kind,5)=1,51&lt;INDEX(lk_legs,5)),g_ox+IF(((51+0.5)*(4*IF(circ_int,0,eq_c1/2)+4*IF(circ_int,0,eq_c2/2)+2*PI()*(s_0+4*s_r+IF(circ_int,eq_c1/2,0)))/INDEX(lk_legs,5))&lt;(2*IF(circ_int,0,eq_c2/2)),IF(circ_int,0,eq_c1/2)+(s_0+4*s_r+IF(circ_int,eq_c1/2,0)),IF(((51+0.5)*(4*IF(circ_int,0,eq_c1/2)+4*IF(circ_int,0,eq_c2/2)+2*PI()*(s_0+4*s_r+IF(circ_int,eq_c1/2,0)))/INDEX(lk_legs,5))&lt;((2*IF(circ_int,0,eq_c2/2))+(PI()*(s_0+4*s_r+IF(circ_int,eq_c1/2,0))/2)),IF(circ_int,0,eq_c1/2)+(s_0+4*s_r+IF(circ_int,eq_c1/2,0))*COS((((51+0.5)*(4*IF(circ_int,0,eq_c1/2)+4*IF(circ_int,0,eq_c2/2)+2*PI()*(s_0+4*s_r+IF(circ_int,eq_c1/2,0)))/INDEX(lk_legs,5))-(2*IF(circ_int,0,eq_c2/2)))/(s_0+4*s_r+IF(circ_int,eq_c1/2,0))),IF(((51+0.5)*(4*IF(circ_int,0,eq_c1/2)+4*IF(circ_int,0,eq_c2/2)+2*PI()*(s_0+4*s_r+IF(circ_int,eq_c1/2,0)))/INDEX(lk_legs,5))&lt;(((2*IF(circ_int,0,eq_c2/2))+(PI()*(s_0+4*s_r+IF(circ_int,eq_c1/2,0))/2))+2*IF(circ_int,0,eq_c1/2)),IF(circ_int,0,eq_c1/2)-(((51+0.5)*(4*IF(circ_int,0,eq_c1/2)+4*IF(circ_int,0,eq_c2/2)+2*PI()*(s_0+4*s_r+IF(circ_int,eq_c1/2,0)))/INDEX(lk_legs,5))-((2*IF(circ_int,0,eq_c2/2))+(PI()*(s_0+4*s_r+IF(circ_int,eq_c1/2,0))/2))),IF(((51+0.5)*(4*IF(circ_int,0,eq_c1/2)+4*IF(circ_int,0,eq_c2/2)+2*PI()*(s_0+4*s_r+IF(circ_int,eq_c1/2,0)))/INDEX(lk_legs,5))&lt;((((2*IF(circ_int,0,eq_c2/2))+(PI()*(s_0+4*s_r+IF(circ_int,eq_c1/2,0))/2))+2*IF(circ_int,0,eq_c1/2))+(PI()*(s_0+4*s_r+IF(circ_int,eq_c1/2,0))/2)),-IF(circ_int,0,eq_c1/2)+(s_0+4*s_r+IF(circ_int,eq_c1/2,0))*COS(PI()/2+(((51+0.5)*(4*IF(circ_int,0,eq_c1/2)+4*IF(circ_int,0,eq_c2/2)+2*PI()*(s_0+4*s_r+IF(circ_int,eq_c1/2,0)))/INDEX(lk_legs,5))-(((2*IF(circ_int,0,eq_c2/2))+(PI()*(s_0+4*s_r+IF(circ_int,eq_c1/2,0))/2))+2*IF(circ_int,0,eq_c1/2)))/(s_0+4*s_r+IF(circ_int,eq_c1/2,0))),IF(((51+0.5)*(4*IF(circ_int,0,eq_c1/2)+4*IF(circ_int,0,eq_c2/2)+2*PI()*(s_0+4*s_r+IF(circ_int,eq_c1/2,0)))/INDEX(lk_legs,5))&lt;(((((2*IF(circ_int,0,eq_c2/2))+(PI()*(s_0+4*s_r+IF(circ_int,eq_c1/2,0))/2))+2*IF(circ_int,0,eq_c1/2))+(PI()*(s_0+4*s_r+IF(circ_int,eq_c1/2,0))/2))+2*IF(circ_int,0,eq_c2/2)),-IF(circ_int,0,eq_c1/2)-(s_0+4*s_r+IF(circ_int,eq_c1/2,0)),IF(((51+0.5)*(4*IF(circ_int,0,eq_c1/2)+4*IF(circ_int,0,eq_c2/2)+2*PI()*(s_0+4*s_r+IF(circ_int,eq_c1/2,0)))/INDEX(lk_legs,5))&lt;((((((2*IF(circ_int,0,eq_c2/2))+(PI()*(s_0+4*s_r+IF(circ_int,eq_c1/2,0))/2))+2*IF(circ_int,0,eq_c1/2))+(PI()*(s_0+4*s_r+IF(circ_int,eq_c1/2,0))/2))+2*IF(circ_int,0,eq_c2/2))+(PI()*(s_0+4*s_r+IF(circ_int,eq_c1/2,0))/2)),-IF(circ_int,0,eq_c1/2)+(s_0+4*s_r+IF(circ_int,eq_c1/2,0))*COS(PI()+(((51+0.5)*(4*IF(circ_int,0,eq_c1/2)+4*IF(circ_int,0,eq_c2/2)+2*PI()*(s_0+4*s_r+IF(circ_int,eq_c1/2,0)))/INDEX(lk_legs,5))-(((((2*IF(circ_int,0,eq_c2/2))+(PI()*(s_0+4*s_r+IF(circ_int,eq_c1/2,0))/2))+2*IF(circ_int,0,eq_c1/2))+(PI()*(s_0+4*s_r+IF(circ_int,eq_c1/2,0))/2))+2*IF(circ_int,0,eq_c2/2)))/(s_0+4*s_r+IF(circ_int,eq_c1/2,0))),IF(((51+0.5)*(4*IF(circ_int,0,eq_c1/2)+4*IF(circ_int,0,eq_c2/2)+2*PI()*(s_0+4*s_r+IF(circ_int,eq_c1/2,0)))/INDEX(lk_legs,5))&lt;(((((((2*IF(circ_int,0,eq_c2/2))+(PI()*(s_0+4*s_r+IF(circ_int,eq_c1/2,0))/2))+2*IF(circ_int,0,eq_c1/2))+(PI()*(s_0+4*s_r+IF(circ_int,eq_c1/2,0))/2))+2*IF(circ_int,0,eq_c2/2))+(PI()*(s_0+4*s_r+IF(circ_int,eq_c1/2,0))/2))+2*IF(circ_int,0,eq_c1/2)),-IF(circ_int,0,eq_c1/2)+(((51+0.5)*(4*IF(circ_int,0,eq_c1/2)+4*IF(circ_int,0,eq_c2/2)+2*PI()*(s_0+4*s_r+IF(circ_int,eq_c1/2,0)))/INDEX(lk_legs,5))-((((((2*IF(circ_int,0,eq_c2/2))+(PI()*(s_0+4*s_r+IF(circ_int,eq_c1/2,0))/2))+2*IF(circ_int,0,eq_c1/2))+(PI()*(s_0+4*s_r+IF(circ_int,eq_c1/2,0))/2))+2*IF(circ_int,0,eq_c2/2))+(PI()*(s_0+4*s_r+IF(circ_int,eq_c1/2,0))/2))),IF(circ_int,0,eq_c1/2)+(s_0+4*s_r+IF(circ_int,eq_c1/2,0))*COS(3*PI()/2+(((51+0.5)*(4*IF(circ_int,0,eq_c1/2)+4*IF(circ_int,0,eq_c2/2)+2*PI()*(s_0+4*s_r+IF(circ_int,eq_c1/2,0)))/INDEX(lk_legs,5))-(((((((2*IF(circ_int,0,eq_c2/2))+(PI()*(s_0+4*s_r+IF(circ_int,eq_c1/2,0))/2))+2*IF(circ_int,0,eq_c1/2))+(PI()*(s_0+4*s_r+IF(circ_int,eq_c1/2,0))/2))+2*IF(circ_int,0,eq_c2/2))+(PI()*(s_0+4*s_r+IF(circ_int,eq_c1/2,0))/2))+2*IF(circ_int,0,eq_c1/2)))/(s_0+4*s_r+IF(circ_int,eq_c1/2,0)))))))))),NA())</f>
        <v/>
      </c>
      <c r="BY54">
        <f>IF(AND(AND(links_on,5&lt;=n_per),INDEX(lk_kind,5)=1,51&lt;INDEX(lk_legs,5)),g_oy+IF(((51+0.5)*(4*IF(circ_int,0,eq_c1/2)+4*IF(circ_int,0,eq_c2/2)+2*PI()*(s_0+4*s_r+IF(circ_int,eq_c1/2,0)))/INDEX(lk_legs,5))&lt;(2*IF(circ_int,0,eq_c2/2)),-IF(circ_int,0,eq_c2/2)+((51+0.5)*(4*IF(circ_int,0,eq_c1/2)+4*IF(circ_int,0,eq_c2/2)+2*PI()*(s_0+4*s_r+IF(circ_int,eq_c1/2,0)))/INDEX(lk_legs,5)),IF(((51+0.5)*(4*IF(circ_int,0,eq_c1/2)+4*IF(circ_int,0,eq_c2/2)+2*PI()*(s_0+4*s_r+IF(circ_int,eq_c1/2,0)))/INDEX(lk_legs,5))&lt;((2*IF(circ_int,0,eq_c2/2))+(PI()*(s_0+4*s_r+IF(circ_int,eq_c1/2,0))/2)),IF(circ_int,0,eq_c2/2)+(s_0+4*s_r+IF(circ_int,eq_c1/2,0))*SIN((((51+0.5)*(4*IF(circ_int,0,eq_c1/2)+4*IF(circ_int,0,eq_c2/2)+2*PI()*(s_0+4*s_r+IF(circ_int,eq_c1/2,0)))/INDEX(lk_legs,5))-(2*IF(circ_int,0,eq_c2/2)))/(s_0+4*s_r+IF(circ_int,eq_c1/2,0))),IF(((51+0.5)*(4*IF(circ_int,0,eq_c1/2)+4*IF(circ_int,0,eq_c2/2)+2*PI()*(s_0+4*s_r+IF(circ_int,eq_c1/2,0)))/INDEX(lk_legs,5))&lt;(((2*IF(circ_int,0,eq_c2/2))+(PI()*(s_0+4*s_r+IF(circ_int,eq_c1/2,0))/2))+2*IF(circ_int,0,eq_c1/2)),IF(circ_int,0,eq_c2/2)+(s_0+4*s_r+IF(circ_int,eq_c1/2,0)),IF(((51+0.5)*(4*IF(circ_int,0,eq_c1/2)+4*IF(circ_int,0,eq_c2/2)+2*PI()*(s_0+4*s_r+IF(circ_int,eq_c1/2,0)))/INDEX(lk_legs,5))&lt;((((2*IF(circ_int,0,eq_c2/2))+(PI()*(s_0+4*s_r+IF(circ_int,eq_c1/2,0))/2))+2*IF(circ_int,0,eq_c1/2))+(PI()*(s_0+4*s_r+IF(circ_int,eq_c1/2,0))/2)),IF(circ_int,0,eq_c2/2)+(s_0+4*s_r+IF(circ_int,eq_c1/2,0))*SIN(PI()/2+(((51+0.5)*(4*IF(circ_int,0,eq_c1/2)+4*IF(circ_int,0,eq_c2/2)+2*PI()*(s_0+4*s_r+IF(circ_int,eq_c1/2,0)))/INDEX(lk_legs,5))-(((2*IF(circ_int,0,eq_c2/2))+(PI()*(s_0+4*s_r+IF(circ_int,eq_c1/2,0))/2))+2*IF(circ_int,0,eq_c1/2)))/(s_0+4*s_r+IF(circ_int,eq_c1/2,0))),IF(((51+0.5)*(4*IF(circ_int,0,eq_c1/2)+4*IF(circ_int,0,eq_c2/2)+2*PI()*(s_0+4*s_r+IF(circ_int,eq_c1/2,0)))/INDEX(lk_legs,5))&lt;(((((2*IF(circ_int,0,eq_c2/2))+(PI()*(s_0+4*s_r+IF(circ_int,eq_c1/2,0))/2))+2*IF(circ_int,0,eq_c1/2))+(PI()*(s_0+4*s_r+IF(circ_int,eq_c1/2,0))/2))+2*IF(circ_int,0,eq_c2/2)),IF(circ_int,0,eq_c2/2)-(((51+0.5)*(4*IF(circ_int,0,eq_c1/2)+4*IF(circ_int,0,eq_c2/2)+2*PI()*(s_0+4*s_r+IF(circ_int,eq_c1/2,0)))/INDEX(lk_legs,5))-((((2*IF(circ_int,0,eq_c2/2))+(PI()*(s_0+4*s_r+IF(circ_int,eq_c1/2,0))/2))+2*IF(circ_int,0,eq_c1/2))+(PI()*(s_0+4*s_r+IF(circ_int,eq_c1/2,0))/2))),IF(((51+0.5)*(4*IF(circ_int,0,eq_c1/2)+4*IF(circ_int,0,eq_c2/2)+2*PI()*(s_0+4*s_r+IF(circ_int,eq_c1/2,0)))/INDEX(lk_legs,5))&lt;((((((2*IF(circ_int,0,eq_c2/2))+(PI()*(s_0+4*s_r+IF(circ_int,eq_c1/2,0))/2))+2*IF(circ_int,0,eq_c1/2))+(PI()*(s_0+4*s_r+IF(circ_int,eq_c1/2,0))/2))+2*IF(circ_int,0,eq_c2/2))+(PI()*(s_0+4*s_r+IF(circ_int,eq_c1/2,0))/2)),-IF(circ_int,0,eq_c2/2)+(s_0+4*s_r+IF(circ_int,eq_c1/2,0))*SIN(PI()+(((51+0.5)*(4*IF(circ_int,0,eq_c1/2)+4*IF(circ_int,0,eq_c2/2)+2*PI()*(s_0+4*s_r+IF(circ_int,eq_c1/2,0)))/INDEX(lk_legs,5))-(((((2*IF(circ_int,0,eq_c2/2))+(PI()*(s_0+4*s_r+IF(circ_int,eq_c1/2,0))/2))+2*IF(circ_int,0,eq_c1/2))+(PI()*(s_0+4*s_r+IF(circ_int,eq_c1/2,0))/2))+2*IF(circ_int,0,eq_c2/2)))/(s_0+4*s_r+IF(circ_int,eq_c1/2,0))),IF(((51+0.5)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(51+0.5)*(4*IF(circ_int,0,eq_c1/2)+4*IF(circ_int,0,eq_c2/2)+2*PI()*(s_0+4*s_r+IF(circ_int,eq_c1/2,0)))/INDEX(lk_legs,5))-(((((((2*IF(circ_int,0,eq_c2/2))+(PI()*(s_0+4*s_r+IF(circ_int,eq_c1/2,0))/2))+2*IF(circ_int,0,eq_c1/2))+(PI()*(s_0+4*s_r+IF(circ_int,eq_c1/2,0))/2))+2*IF(circ_int,0,eq_c2/2))+(PI()*(s_0+4*s_r+IF(circ_int,eq_c1/2,0))/2))+2*IF(circ_int,0,eq_c1/2)))/(s_0+4*s_r+IF(circ_int,eq_c1/2,0)))))))))),NA())</f>
        <v/>
      </c>
      <c r="CA54">
        <f>IF(AND(links_on,6&lt;=n_per),IF(circ_int,(g_ox)+(c_1/2+(s_0+5*s_r))*0.992709,CHOOSE(INDEX(lk_kind,6),(g_ox+eq_c1/2)+((s_0+5*s_r))*1.000000,0,eq_a1+eq_c1+(s_0+5*s_r),eq_a1+eq_c1+(s_0+5*s_r))),NA())</f>
        <v/>
      </c>
      <c r="CB54">
        <f>IF(AND(links_on,6&lt;=n_per),IF(circ_int,(g_oy)+(c_1/2+(s_0+5*s_r))*-0.120537,CHOOSE(INDEX(lk_kind,6),(g_oy-eq_c2/2)+((s_0+5*s_r))*-0.000000,g_oy-eq_c2/2-(s_0+5*s_r),0,0)),NA())</f>
        <v/>
      </c>
      <c r="CD54">
        <f>IF(AND(AND(links_on,6&lt;=n_per),INDEX(lk_kind,6)=1,51&lt;INDEX(lk_legs,6)),g_ox+IF(((51+0.5)*(4*IF(circ_int,0,eq_c1/2)+4*IF(circ_int,0,eq_c2/2)+2*PI()*(s_0+5*s_r+IF(circ_int,eq_c1/2,0)))/INDEX(lk_legs,6))&lt;(2*IF(circ_int,0,eq_c2/2)),IF(circ_int,0,eq_c1/2)+(s_0+5*s_r+IF(circ_int,eq_c1/2,0)),IF(((51+0.5)*(4*IF(circ_int,0,eq_c1/2)+4*IF(circ_int,0,eq_c2/2)+2*PI()*(s_0+5*s_r+IF(circ_int,eq_c1/2,0)))/INDEX(lk_legs,6))&lt;((2*IF(circ_int,0,eq_c2/2))+(PI()*(s_0+5*s_r+IF(circ_int,eq_c1/2,0))/2)),IF(circ_int,0,eq_c1/2)+(s_0+5*s_r+IF(circ_int,eq_c1/2,0))*COS((((51+0.5)*(4*IF(circ_int,0,eq_c1/2)+4*IF(circ_int,0,eq_c2/2)+2*PI()*(s_0+5*s_r+IF(circ_int,eq_c1/2,0)))/INDEX(lk_legs,6))-(2*IF(circ_int,0,eq_c2/2)))/(s_0+5*s_r+IF(circ_int,eq_c1/2,0))),IF(((51+0.5)*(4*IF(circ_int,0,eq_c1/2)+4*IF(circ_int,0,eq_c2/2)+2*PI()*(s_0+5*s_r+IF(circ_int,eq_c1/2,0)))/INDEX(lk_legs,6))&lt;(((2*IF(circ_int,0,eq_c2/2))+(PI()*(s_0+5*s_r+IF(circ_int,eq_c1/2,0))/2))+2*IF(circ_int,0,eq_c1/2)),IF(circ_int,0,eq_c1/2)-(((51+0.5)*(4*IF(circ_int,0,eq_c1/2)+4*IF(circ_int,0,eq_c2/2)+2*PI()*(s_0+5*s_r+IF(circ_int,eq_c1/2,0)))/INDEX(lk_legs,6))-((2*IF(circ_int,0,eq_c2/2))+(PI()*(s_0+5*s_r+IF(circ_int,eq_c1/2,0))/2))),IF(((51+0.5)*(4*IF(circ_int,0,eq_c1/2)+4*IF(circ_int,0,eq_c2/2)+2*PI()*(s_0+5*s_r+IF(circ_int,eq_c1/2,0)))/INDEX(lk_legs,6))&lt;((((2*IF(circ_int,0,eq_c2/2))+(PI()*(s_0+5*s_r+IF(circ_int,eq_c1/2,0))/2))+2*IF(circ_int,0,eq_c1/2))+(PI()*(s_0+5*s_r+IF(circ_int,eq_c1/2,0))/2)),-IF(circ_int,0,eq_c1/2)+(s_0+5*s_r+IF(circ_int,eq_c1/2,0))*COS(PI()/2+(((51+0.5)*(4*IF(circ_int,0,eq_c1/2)+4*IF(circ_int,0,eq_c2/2)+2*PI()*(s_0+5*s_r+IF(circ_int,eq_c1/2,0)))/INDEX(lk_legs,6))-(((2*IF(circ_int,0,eq_c2/2))+(PI()*(s_0+5*s_r+IF(circ_int,eq_c1/2,0))/2))+2*IF(circ_int,0,eq_c1/2)))/(s_0+5*s_r+IF(circ_int,eq_c1/2,0))),IF(((51+0.5)*(4*IF(circ_int,0,eq_c1/2)+4*IF(circ_int,0,eq_c2/2)+2*PI()*(s_0+5*s_r+IF(circ_int,eq_c1/2,0)))/INDEX(lk_legs,6))&lt;(((((2*IF(circ_int,0,eq_c2/2))+(PI()*(s_0+5*s_r+IF(circ_int,eq_c1/2,0))/2))+2*IF(circ_int,0,eq_c1/2))+(PI()*(s_0+5*s_r+IF(circ_int,eq_c1/2,0))/2))+2*IF(circ_int,0,eq_c2/2)),-IF(circ_int,0,eq_c1/2)-(s_0+5*s_r+IF(circ_int,eq_c1/2,0)),IF(((51+0.5)*(4*IF(circ_int,0,eq_c1/2)+4*IF(circ_int,0,eq_c2/2)+2*PI()*(s_0+5*s_r+IF(circ_int,eq_c1/2,0)))/INDEX(lk_legs,6))&lt;((((((2*IF(circ_int,0,eq_c2/2))+(PI()*(s_0+5*s_r+IF(circ_int,eq_c1/2,0))/2))+2*IF(circ_int,0,eq_c1/2))+(PI()*(s_0+5*s_r+IF(circ_int,eq_c1/2,0))/2))+2*IF(circ_int,0,eq_c2/2))+(PI()*(s_0+5*s_r+IF(circ_int,eq_c1/2,0))/2)),-IF(circ_int,0,eq_c1/2)+(s_0+5*s_r+IF(circ_int,eq_c1/2,0))*COS(PI()+(((51+0.5)*(4*IF(circ_int,0,eq_c1/2)+4*IF(circ_int,0,eq_c2/2)+2*PI()*(s_0+5*s_r+IF(circ_int,eq_c1/2,0)))/INDEX(lk_legs,6))-(((((2*IF(circ_int,0,eq_c2/2))+(PI()*(s_0+5*s_r+IF(circ_int,eq_c1/2,0))/2))+2*IF(circ_int,0,eq_c1/2))+(PI()*(s_0+5*s_r+IF(circ_int,eq_c1/2,0))/2))+2*IF(circ_int,0,eq_c2/2)))/(s_0+5*s_r+IF(circ_int,eq_c1/2,0))),IF(((51+0.5)*(4*IF(circ_int,0,eq_c1/2)+4*IF(circ_int,0,eq_c2/2)+2*PI()*(s_0+5*s_r+IF(circ_int,eq_c1/2,0)))/INDEX(lk_legs,6))&lt;(((((((2*IF(circ_int,0,eq_c2/2))+(PI()*(s_0+5*s_r+IF(circ_int,eq_c1/2,0))/2))+2*IF(circ_int,0,eq_c1/2))+(PI()*(s_0+5*s_r+IF(circ_int,eq_c1/2,0))/2))+2*IF(circ_int,0,eq_c2/2))+(PI()*(s_0+5*s_r+IF(circ_int,eq_c1/2,0))/2))+2*IF(circ_int,0,eq_c1/2)),-IF(circ_int,0,eq_c1/2)+(((51+0.5)*(4*IF(circ_int,0,eq_c1/2)+4*IF(circ_int,0,eq_c2/2)+2*PI()*(s_0+5*s_r+IF(circ_int,eq_c1/2,0)))/INDEX(lk_legs,6))-((((((2*IF(circ_int,0,eq_c2/2))+(PI()*(s_0+5*s_r+IF(circ_int,eq_c1/2,0))/2))+2*IF(circ_int,0,eq_c1/2))+(PI()*(s_0+5*s_r+IF(circ_int,eq_c1/2,0))/2))+2*IF(circ_int,0,eq_c2/2))+(PI()*(s_0+5*s_r+IF(circ_int,eq_c1/2,0))/2))),IF(circ_int,0,eq_c1/2)+(s_0+5*s_r+IF(circ_int,eq_c1/2,0))*COS(3*PI()/2+(((51+0.5)*(4*IF(circ_int,0,eq_c1/2)+4*IF(circ_int,0,eq_c2/2)+2*PI()*(s_0+5*s_r+IF(circ_int,eq_c1/2,0)))/INDEX(lk_legs,6))-(((((((2*IF(circ_int,0,eq_c2/2))+(PI()*(s_0+5*s_r+IF(circ_int,eq_c1/2,0))/2))+2*IF(circ_int,0,eq_c1/2))+(PI()*(s_0+5*s_r+IF(circ_int,eq_c1/2,0))/2))+2*IF(circ_int,0,eq_c2/2))+(PI()*(s_0+5*s_r+IF(circ_int,eq_c1/2,0))/2))+2*IF(circ_int,0,eq_c1/2)))/(s_0+5*s_r+IF(circ_int,eq_c1/2,0)))))))))),NA())</f>
        <v/>
      </c>
      <c r="CE54">
        <f>IF(AND(AND(links_on,6&lt;=n_per),INDEX(lk_kind,6)=1,51&lt;INDEX(lk_legs,6)),g_oy+IF(((51+0.5)*(4*IF(circ_int,0,eq_c1/2)+4*IF(circ_int,0,eq_c2/2)+2*PI()*(s_0+5*s_r+IF(circ_int,eq_c1/2,0)))/INDEX(lk_legs,6))&lt;(2*IF(circ_int,0,eq_c2/2)),-IF(circ_int,0,eq_c2/2)+((51+0.5)*(4*IF(circ_int,0,eq_c1/2)+4*IF(circ_int,0,eq_c2/2)+2*PI()*(s_0+5*s_r+IF(circ_int,eq_c1/2,0)))/INDEX(lk_legs,6)),IF(((51+0.5)*(4*IF(circ_int,0,eq_c1/2)+4*IF(circ_int,0,eq_c2/2)+2*PI()*(s_0+5*s_r+IF(circ_int,eq_c1/2,0)))/INDEX(lk_legs,6))&lt;((2*IF(circ_int,0,eq_c2/2))+(PI()*(s_0+5*s_r+IF(circ_int,eq_c1/2,0))/2)),IF(circ_int,0,eq_c2/2)+(s_0+5*s_r+IF(circ_int,eq_c1/2,0))*SIN((((51+0.5)*(4*IF(circ_int,0,eq_c1/2)+4*IF(circ_int,0,eq_c2/2)+2*PI()*(s_0+5*s_r+IF(circ_int,eq_c1/2,0)))/INDEX(lk_legs,6))-(2*IF(circ_int,0,eq_c2/2)))/(s_0+5*s_r+IF(circ_int,eq_c1/2,0))),IF(((51+0.5)*(4*IF(circ_int,0,eq_c1/2)+4*IF(circ_int,0,eq_c2/2)+2*PI()*(s_0+5*s_r+IF(circ_int,eq_c1/2,0)))/INDEX(lk_legs,6))&lt;(((2*IF(circ_int,0,eq_c2/2))+(PI()*(s_0+5*s_r+IF(circ_int,eq_c1/2,0))/2))+2*IF(circ_int,0,eq_c1/2)),IF(circ_int,0,eq_c2/2)+(s_0+5*s_r+IF(circ_int,eq_c1/2,0)),IF(((51+0.5)*(4*IF(circ_int,0,eq_c1/2)+4*IF(circ_int,0,eq_c2/2)+2*PI()*(s_0+5*s_r+IF(circ_int,eq_c1/2,0)))/INDEX(lk_legs,6))&lt;((((2*IF(circ_int,0,eq_c2/2))+(PI()*(s_0+5*s_r+IF(circ_int,eq_c1/2,0))/2))+2*IF(circ_int,0,eq_c1/2))+(PI()*(s_0+5*s_r+IF(circ_int,eq_c1/2,0))/2)),IF(circ_int,0,eq_c2/2)+(s_0+5*s_r+IF(circ_int,eq_c1/2,0))*SIN(PI()/2+(((51+0.5)*(4*IF(circ_int,0,eq_c1/2)+4*IF(circ_int,0,eq_c2/2)+2*PI()*(s_0+5*s_r+IF(circ_int,eq_c1/2,0)))/INDEX(lk_legs,6))-(((2*IF(circ_int,0,eq_c2/2))+(PI()*(s_0+5*s_r+IF(circ_int,eq_c1/2,0))/2))+2*IF(circ_int,0,eq_c1/2)))/(s_0+5*s_r+IF(circ_int,eq_c1/2,0))),IF(((51+0.5)*(4*IF(circ_int,0,eq_c1/2)+4*IF(circ_int,0,eq_c2/2)+2*PI()*(s_0+5*s_r+IF(circ_int,eq_c1/2,0)))/INDEX(lk_legs,6))&lt;(((((2*IF(circ_int,0,eq_c2/2))+(PI()*(s_0+5*s_r+IF(circ_int,eq_c1/2,0))/2))+2*IF(circ_int,0,eq_c1/2))+(PI()*(s_0+5*s_r+IF(circ_int,eq_c1/2,0))/2))+2*IF(circ_int,0,eq_c2/2)),IF(circ_int,0,eq_c2/2)-(((51+0.5)*(4*IF(circ_int,0,eq_c1/2)+4*IF(circ_int,0,eq_c2/2)+2*PI()*(s_0+5*s_r+IF(circ_int,eq_c1/2,0)))/INDEX(lk_legs,6))-((((2*IF(circ_int,0,eq_c2/2))+(PI()*(s_0+5*s_r+IF(circ_int,eq_c1/2,0))/2))+2*IF(circ_int,0,eq_c1/2))+(PI()*(s_0+5*s_r+IF(circ_int,eq_c1/2,0))/2))),IF(((51+0.5)*(4*IF(circ_int,0,eq_c1/2)+4*IF(circ_int,0,eq_c2/2)+2*PI()*(s_0+5*s_r+IF(circ_int,eq_c1/2,0)))/INDEX(lk_legs,6))&lt;((((((2*IF(circ_int,0,eq_c2/2))+(PI()*(s_0+5*s_r+IF(circ_int,eq_c1/2,0))/2))+2*IF(circ_int,0,eq_c1/2))+(PI()*(s_0+5*s_r+IF(circ_int,eq_c1/2,0))/2))+2*IF(circ_int,0,eq_c2/2))+(PI()*(s_0+5*s_r+IF(circ_int,eq_c1/2,0))/2)),-IF(circ_int,0,eq_c2/2)+(s_0+5*s_r+IF(circ_int,eq_c1/2,0))*SIN(PI()+(((51+0.5)*(4*IF(circ_int,0,eq_c1/2)+4*IF(circ_int,0,eq_c2/2)+2*PI()*(s_0+5*s_r+IF(circ_int,eq_c1/2,0)))/INDEX(lk_legs,6))-(((((2*IF(circ_int,0,eq_c2/2))+(PI()*(s_0+5*s_r+IF(circ_int,eq_c1/2,0))/2))+2*IF(circ_int,0,eq_c1/2))+(PI()*(s_0+5*s_r+IF(circ_int,eq_c1/2,0))/2))+2*IF(circ_int,0,eq_c2/2)))/(s_0+5*s_r+IF(circ_int,eq_c1/2,0))),IF(((51+0.5)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(51+0.5)*(4*IF(circ_int,0,eq_c1/2)+4*IF(circ_int,0,eq_c2/2)+2*PI()*(s_0+5*s_r+IF(circ_int,eq_c1/2,0)))/INDEX(lk_legs,6))-(((((((2*IF(circ_int,0,eq_c2/2))+(PI()*(s_0+5*s_r+IF(circ_int,eq_c1/2,0))/2))+2*IF(circ_int,0,eq_c1/2))+(PI()*(s_0+5*s_r+IF(circ_int,eq_c1/2,0))/2))+2*IF(circ_int,0,eq_c2/2))+(PI()*(s_0+5*s_r+IF(circ_int,eq_c1/2,0))/2))+2*IF(circ_int,0,eq_c1/2)))/(s_0+5*s_r+IF(circ_int,eq_c1/2,0)))))))))),NA())</f>
        <v/>
      </c>
      <c r="CG54">
        <f>IF(AND(links_on,7&lt;=n_per),IF(circ_int,(g_ox)+(c_1/2+(s_0+6*s_r))*0.992709,CHOOSE(INDEX(lk_kind,7),(g_ox+eq_c1/2)+((s_0+6*s_r))*1.000000,0,eq_a1+eq_c1+(s_0+6*s_r),eq_a1+eq_c1+(s_0+6*s_r))),NA())</f>
        <v/>
      </c>
      <c r="CH54">
        <f>IF(AND(links_on,7&lt;=n_per),IF(circ_int,(g_oy)+(c_1/2+(s_0+6*s_r))*-0.120537,CHOOSE(INDEX(lk_kind,7),(g_oy-eq_c2/2)+((s_0+6*s_r))*-0.000000,g_oy-eq_c2/2-(s_0+6*s_r),0,0)),NA())</f>
        <v/>
      </c>
      <c r="CJ54">
        <f>IF(AND(AND(links_on,7&lt;=n_per),INDEX(lk_kind,7)=1,51&lt;INDEX(lk_legs,7)),g_ox+IF(((51+0.5)*(4*IF(circ_int,0,eq_c1/2)+4*IF(circ_int,0,eq_c2/2)+2*PI()*(s_0+6*s_r+IF(circ_int,eq_c1/2,0)))/INDEX(lk_legs,7))&lt;(2*IF(circ_int,0,eq_c2/2)),IF(circ_int,0,eq_c1/2)+(s_0+6*s_r+IF(circ_int,eq_c1/2,0)),IF(((51+0.5)*(4*IF(circ_int,0,eq_c1/2)+4*IF(circ_int,0,eq_c2/2)+2*PI()*(s_0+6*s_r+IF(circ_int,eq_c1/2,0)))/INDEX(lk_legs,7))&lt;((2*IF(circ_int,0,eq_c2/2))+(PI()*(s_0+6*s_r+IF(circ_int,eq_c1/2,0))/2)),IF(circ_int,0,eq_c1/2)+(s_0+6*s_r+IF(circ_int,eq_c1/2,0))*COS((((51+0.5)*(4*IF(circ_int,0,eq_c1/2)+4*IF(circ_int,0,eq_c2/2)+2*PI()*(s_0+6*s_r+IF(circ_int,eq_c1/2,0)))/INDEX(lk_legs,7))-(2*IF(circ_int,0,eq_c2/2)))/(s_0+6*s_r+IF(circ_int,eq_c1/2,0))),IF(((51+0.5)*(4*IF(circ_int,0,eq_c1/2)+4*IF(circ_int,0,eq_c2/2)+2*PI()*(s_0+6*s_r+IF(circ_int,eq_c1/2,0)))/INDEX(lk_legs,7))&lt;(((2*IF(circ_int,0,eq_c2/2))+(PI()*(s_0+6*s_r+IF(circ_int,eq_c1/2,0))/2))+2*IF(circ_int,0,eq_c1/2)),IF(circ_int,0,eq_c1/2)-(((51+0.5)*(4*IF(circ_int,0,eq_c1/2)+4*IF(circ_int,0,eq_c2/2)+2*PI()*(s_0+6*s_r+IF(circ_int,eq_c1/2,0)))/INDEX(lk_legs,7))-((2*IF(circ_int,0,eq_c2/2))+(PI()*(s_0+6*s_r+IF(circ_int,eq_c1/2,0))/2))),IF(((51+0.5)*(4*IF(circ_int,0,eq_c1/2)+4*IF(circ_int,0,eq_c2/2)+2*PI()*(s_0+6*s_r+IF(circ_int,eq_c1/2,0)))/INDEX(lk_legs,7))&lt;((((2*IF(circ_int,0,eq_c2/2))+(PI()*(s_0+6*s_r+IF(circ_int,eq_c1/2,0))/2))+2*IF(circ_int,0,eq_c1/2))+(PI()*(s_0+6*s_r+IF(circ_int,eq_c1/2,0))/2)),-IF(circ_int,0,eq_c1/2)+(s_0+6*s_r+IF(circ_int,eq_c1/2,0))*COS(PI()/2+(((51+0.5)*(4*IF(circ_int,0,eq_c1/2)+4*IF(circ_int,0,eq_c2/2)+2*PI()*(s_0+6*s_r+IF(circ_int,eq_c1/2,0)))/INDEX(lk_legs,7))-(((2*IF(circ_int,0,eq_c2/2))+(PI()*(s_0+6*s_r+IF(circ_int,eq_c1/2,0))/2))+2*IF(circ_int,0,eq_c1/2)))/(s_0+6*s_r+IF(circ_int,eq_c1/2,0))),IF(((51+0.5)*(4*IF(circ_int,0,eq_c1/2)+4*IF(circ_int,0,eq_c2/2)+2*PI()*(s_0+6*s_r+IF(circ_int,eq_c1/2,0)))/INDEX(lk_legs,7))&lt;(((((2*IF(circ_int,0,eq_c2/2))+(PI()*(s_0+6*s_r+IF(circ_int,eq_c1/2,0))/2))+2*IF(circ_int,0,eq_c1/2))+(PI()*(s_0+6*s_r+IF(circ_int,eq_c1/2,0))/2))+2*IF(circ_int,0,eq_c2/2)),-IF(circ_int,0,eq_c1/2)-(s_0+6*s_r+IF(circ_int,eq_c1/2,0)),IF(((51+0.5)*(4*IF(circ_int,0,eq_c1/2)+4*IF(circ_int,0,eq_c2/2)+2*PI()*(s_0+6*s_r+IF(circ_int,eq_c1/2,0)))/INDEX(lk_legs,7))&lt;((((((2*IF(circ_int,0,eq_c2/2))+(PI()*(s_0+6*s_r+IF(circ_int,eq_c1/2,0))/2))+2*IF(circ_int,0,eq_c1/2))+(PI()*(s_0+6*s_r+IF(circ_int,eq_c1/2,0))/2))+2*IF(circ_int,0,eq_c2/2))+(PI()*(s_0+6*s_r+IF(circ_int,eq_c1/2,0))/2)),-IF(circ_int,0,eq_c1/2)+(s_0+6*s_r+IF(circ_int,eq_c1/2,0))*COS(PI()+(((51+0.5)*(4*IF(circ_int,0,eq_c1/2)+4*IF(circ_int,0,eq_c2/2)+2*PI()*(s_0+6*s_r+IF(circ_int,eq_c1/2,0)))/INDEX(lk_legs,7))-(((((2*IF(circ_int,0,eq_c2/2))+(PI()*(s_0+6*s_r+IF(circ_int,eq_c1/2,0))/2))+2*IF(circ_int,0,eq_c1/2))+(PI()*(s_0+6*s_r+IF(circ_int,eq_c1/2,0))/2))+2*IF(circ_int,0,eq_c2/2)))/(s_0+6*s_r+IF(circ_int,eq_c1/2,0))),IF(((51+0.5)*(4*IF(circ_int,0,eq_c1/2)+4*IF(circ_int,0,eq_c2/2)+2*PI()*(s_0+6*s_r+IF(circ_int,eq_c1/2,0)))/INDEX(lk_legs,7))&lt;(((((((2*IF(circ_int,0,eq_c2/2))+(PI()*(s_0+6*s_r+IF(circ_int,eq_c1/2,0))/2))+2*IF(circ_int,0,eq_c1/2))+(PI()*(s_0+6*s_r+IF(circ_int,eq_c1/2,0))/2))+2*IF(circ_int,0,eq_c2/2))+(PI()*(s_0+6*s_r+IF(circ_int,eq_c1/2,0))/2))+2*IF(circ_int,0,eq_c1/2)),-IF(circ_int,0,eq_c1/2)+(((51+0.5)*(4*IF(circ_int,0,eq_c1/2)+4*IF(circ_int,0,eq_c2/2)+2*PI()*(s_0+6*s_r+IF(circ_int,eq_c1/2,0)))/INDEX(lk_legs,7))-((((((2*IF(circ_int,0,eq_c2/2))+(PI()*(s_0+6*s_r+IF(circ_int,eq_c1/2,0))/2))+2*IF(circ_int,0,eq_c1/2))+(PI()*(s_0+6*s_r+IF(circ_int,eq_c1/2,0))/2))+2*IF(circ_int,0,eq_c2/2))+(PI()*(s_0+6*s_r+IF(circ_int,eq_c1/2,0))/2))),IF(circ_int,0,eq_c1/2)+(s_0+6*s_r+IF(circ_int,eq_c1/2,0))*COS(3*PI()/2+(((51+0.5)*(4*IF(circ_int,0,eq_c1/2)+4*IF(circ_int,0,eq_c2/2)+2*PI()*(s_0+6*s_r+IF(circ_int,eq_c1/2,0)))/INDEX(lk_legs,7))-(((((((2*IF(circ_int,0,eq_c2/2))+(PI()*(s_0+6*s_r+IF(circ_int,eq_c1/2,0))/2))+2*IF(circ_int,0,eq_c1/2))+(PI()*(s_0+6*s_r+IF(circ_int,eq_c1/2,0))/2))+2*IF(circ_int,0,eq_c2/2))+(PI()*(s_0+6*s_r+IF(circ_int,eq_c1/2,0))/2))+2*IF(circ_int,0,eq_c1/2)))/(s_0+6*s_r+IF(circ_int,eq_c1/2,0)))))))))),NA())</f>
        <v/>
      </c>
      <c r="CK54">
        <f>IF(AND(AND(links_on,7&lt;=n_per),INDEX(lk_kind,7)=1,51&lt;INDEX(lk_legs,7)),g_oy+IF(((51+0.5)*(4*IF(circ_int,0,eq_c1/2)+4*IF(circ_int,0,eq_c2/2)+2*PI()*(s_0+6*s_r+IF(circ_int,eq_c1/2,0)))/INDEX(lk_legs,7))&lt;(2*IF(circ_int,0,eq_c2/2)),-IF(circ_int,0,eq_c2/2)+((51+0.5)*(4*IF(circ_int,0,eq_c1/2)+4*IF(circ_int,0,eq_c2/2)+2*PI()*(s_0+6*s_r+IF(circ_int,eq_c1/2,0)))/INDEX(lk_legs,7)),IF(((51+0.5)*(4*IF(circ_int,0,eq_c1/2)+4*IF(circ_int,0,eq_c2/2)+2*PI()*(s_0+6*s_r+IF(circ_int,eq_c1/2,0)))/INDEX(lk_legs,7))&lt;((2*IF(circ_int,0,eq_c2/2))+(PI()*(s_0+6*s_r+IF(circ_int,eq_c1/2,0))/2)),IF(circ_int,0,eq_c2/2)+(s_0+6*s_r+IF(circ_int,eq_c1/2,0))*SIN((((51+0.5)*(4*IF(circ_int,0,eq_c1/2)+4*IF(circ_int,0,eq_c2/2)+2*PI()*(s_0+6*s_r+IF(circ_int,eq_c1/2,0)))/INDEX(lk_legs,7))-(2*IF(circ_int,0,eq_c2/2)))/(s_0+6*s_r+IF(circ_int,eq_c1/2,0))),IF(((51+0.5)*(4*IF(circ_int,0,eq_c1/2)+4*IF(circ_int,0,eq_c2/2)+2*PI()*(s_0+6*s_r+IF(circ_int,eq_c1/2,0)))/INDEX(lk_legs,7))&lt;(((2*IF(circ_int,0,eq_c2/2))+(PI()*(s_0+6*s_r+IF(circ_int,eq_c1/2,0))/2))+2*IF(circ_int,0,eq_c1/2)),IF(circ_int,0,eq_c2/2)+(s_0+6*s_r+IF(circ_int,eq_c1/2,0)),IF(((51+0.5)*(4*IF(circ_int,0,eq_c1/2)+4*IF(circ_int,0,eq_c2/2)+2*PI()*(s_0+6*s_r+IF(circ_int,eq_c1/2,0)))/INDEX(lk_legs,7))&lt;((((2*IF(circ_int,0,eq_c2/2))+(PI()*(s_0+6*s_r+IF(circ_int,eq_c1/2,0))/2))+2*IF(circ_int,0,eq_c1/2))+(PI()*(s_0+6*s_r+IF(circ_int,eq_c1/2,0))/2)),IF(circ_int,0,eq_c2/2)+(s_0+6*s_r+IF(circ_int,eq_c1/2,0))*SIN(PI()/2+(((51+0.5)*(4*IF(circ_int,0,eq_c1/2)+4*IF(circ_int,0,eq_c2/2)+2*PI()*(s_0+6*s_r+IF(circ_int,eq_c1/2,0)))/INDEX(lk_legs,7))-(((2*IF(circ_int,0,eq_c2/2))+(PI()*(s_0+6*s_r+IF(circ_int,eq_c1/2,0))/2))+2*IF(circ_int,0,eq_c1/2)))/(s_0+6*s_r+IF(circ_int,eq_c1/2,0))),IF(((51+0.5)*(4*IF(circ_int,0,eq_c1/2)+4*IF(circ_int,0,eq_c2/2)+2*PI()*(s_0+6*s_r+IF(circ_int,eq_c1/2,0)))/INDEX(lk_legs,7))&lt;(((((2*IF(circ_int,0,eq_c2/2))+(PI()*(s_0+6*s_r+IF(circ_int,eq_c1/2,0))/2))+2*IF(circ_int,0,eq_c1/2))+(PI()*(s_0+6*s_r+IF(circ_int,eq_c1/2,0))/2))+2*IF(circ_int,0,eq_c2/2)),IF(circ_int,0,eq_c2/2)-(((51+0.5)*(4*IF(circ_int,0,eq_c1/2)+4*IF(circ_int,0,eq_c2/2)+2*PI()*(s_0+6*s_r+IF(circ_int,eq_c1/2,0)))/INDEX(lk_legs,7))-((((2*IF(circ_int,0,eq_c2/2))+(PI()*(s_0+6*s_r+IF(circ_int,eq_c1/2,0))/2))+2*IF(circ_int,0,eq_c1/2))+(PI()*(s_0+6*s_r+IF(circ_int,eq_c1/2,0))/2))),IF(((51+0.5)*(4*IF(circ_int,0,eq_c1/2)+4*IF(circ_int,0,eq_c2/2)+2*PI()*(s_0+6*s_r+IF(circ_int,eq_c1/2,0)))/INDEX(lk_legs,7))&lt;((((((2*IF(circ_int,0,eq_c2/2))+(PI()*(s_0+6*s_r+IF(circ_int,eq_c1/2,0))/2))+2*IF(circ_int,0,eq_c1/2))+(PI()*(s_0+6*s_r+IF(circ_int,eq_c1/2,0))/2))+2*IF(circ_int,0,eq_c2/2))+(PI()*(s_0+6*s_r+IF(circ_int,eq_c1/2,0))/2)),-IF(circ_int,0,eq_c2/2)+(s_0+6*s_r+IF(circ_int,eq_c1/2,0))*SIN(PI()+(((51+0.5)*(4*IF(circ_int,0,eq_c1/2)+4*IF(circ_int,0,eq_c2/2)+2*PI()*(s_0+6*s_r+IF(circ_int,eq_c1/2,0)))/INDEX(lk_legs,7))-(((((2*IF(circ_int,0,eq_c2/2))+(PI()*(s_0+6*s_r+IF(circ_int,eq_c1/2,0))/2))+2*IF(circ_int,0,eq_c1/2))+(PI()*(s_0+6*s_r+IF(circ_int,eq_c1/2,0))/2))+2*IF(circ_int,0,eq_c2/2)))/(s_0+6*s_r+IF(circ_int,eq_c1/2,0))),IF(((51+0.5)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(51+0.5)*(4*IF(circ_int,0,eq_c1/2)+4*IF(circ_int,0,eq_c2/2)+2*PI()*(s_0+6*s_r+IF(circ_int,eq_c1/2,0)))/INDEX(lk_legs,7))-(((((((2*IF(circ_int,0,eq_c2/2))+(PI()*(s_0+6*s_r+IF(circ_int,eq_c1/2,0))/2))+2*IF(circ_int,0,eq_c1/2))+(PI()*(s_0+6*s_r+IF(circ_int,eq_c1/2,0))/2))+2*IF(circ_int,0,eq_c2/2))+(PI()*(s_0+6*s_r+IF(circ_int,eq_c1/2,0))/2))+2*IF(circ_int,0,eq_c1/2)))/(s_0+6*s_r+IF(circ_int,eq_c1/2,0)))))))))),NA())</f>
        <v/>
      </c>
      <c r="CM54">
        <f>IF(AND(links_on,8&lt;=n_per),IF(circ_int,(g_ox)+(c_1/2+(s_0+7*s_r))*0.992709,CHOOSE(INDEX(lk_kind,8),(g_ox+eq_c1/2)+((s_0+7*s_r))*1.000000,0,eq_a1+eq_c1+(s_0+7*s_r),eq_a1+eq_c1+(s_0+7*s_r))),NA())</f>
        <v/>
      </c>
      <c r="CN54">
        <f>IF(AND(links_on,8&lt;=n_per),IF(circ_int,(g_oy)+(c_1/2+(s_0+7*s_r))*-0.120537,CHOOSE(INDEX(lk_kind,8),(g_oy-eq_c2/2)+((s_0+7*s_r))*-0.000000,g_oy-eq_c2/2-(s_0+7*s_r),0,0)),NA())</f>
        <v/>
      </c>
      <c r="CP54">
        <f>IF(AND(AND(links_on,8&lt;=n_per),INDEX(lk_kind,8)=1,51&lt;INDEX(lk_legs,8)),g_ox+IF(((51+0.5)*(4*IF(circ_int,0,eq_c1/2)+4*IF(circ_int,0,eq_c2/2)+2*PI()*(s_0+7*s_r+IF(circ_int,eq_c1/2,0)))/INDEX(lk_legs,8))&lt;(2*IF(circ_int,0,eq_c2/2)),IF(circ_int,0,eq_c1/2)+(s_0+7*s_r+IF(circ_int,eq_c1/2,0)),IF(((51+0.5)*(4*IF(circ_int,0,eq_c1/2)+4*IF(circ_int,0,eq_c2/2)+2*PI()*(s_0+7*s_r+IF(circ_int,eq_c1/2,0)))/INDEX(lk_legs,8))&lt;((2*IF(circ_int,0,eq_c2/2))+(PI()*(s_0+7*s_r+IF(circ_int,eq_c1/2,0))/2)),IF(circ_int,0,eq_c1/2)+(s_0+7*s_r+IF(circ_int,eq_c1/2,0))*COS((((51+0.5)*(4*IF(circ_int,0,eq_c1/2)+4*IF(circ_int,0,eq_c2/2)+2*PI()*(s_0+7*s_r+IF(circ_int,eq_c1/2,0)))/INDEX(lk_legs,8))-(2*IF(circ_int,0,eq_c2/2)))/(s_0+7*s_r+IF(circ_int,eq_c1/2,0))),IF(((51+0.5)*(4*IF(circ_int,0,eq_c1/2)+4*IF(circ_int,0,eq_c2/2)+2*PI()*(s_0+7*s_r+IF(circ_int,eq_c1/2,0)))/INDEX(lk_legs,8))&lt;(((2*IF(circ_int,0,eq_c2/2))+(PI()*(s_0+7*s_r+IF(circ_int,eq_c1/2,0))/2))+2*IF(circ_int,0,eq_c1/2)),IF(circ_int,0,eq_c1/2)-(((51+0.5)*(4*IF(circ_int,0,eq_c1/2)+4*IF(circ_int,0,eq_c2/2)+2*PI()*(s_0+7*s_r+IF(circ_int,eq_c1/2,0)))/INDEX(lk_legs,8))-((2*IF(circ_int,0,eq_c2/2))+(PI()*(s_0+7*s_r+IF(circ_int,eq_c1/2,0))/2))),IF(((51+0.5)*(4*IF(circ_int,0,eq_c1/2)+4*IF(circ_int,0,eq_c2/2)+2*PI()*(s_0+7*s_r+IF(circ_int,eq_c1/2,0)))/INDEX(lk_legs,8))&lt;((((2*IF(circ_int,0,eq_c2/2))+(PI()*(s_0+7*s_r+IF(circ_int,eq_c1/2,0))/2))+2*IF(circ_int,0,eq_c1/2))+(PI()*(s_0+7*s_r+IF(circ_int,eq_c1/2,0))/2)),-IF(circ_int,0,eq_c1/2)+(s_0+7*s_r+IF(circ_int,eq_c1/2,0))*COS(PI()/2+(((51+0.5)*(4*IF(circ_int,0,eq_c1/2)+4*IF(circ_int,0,eq_c2/2)+2*PI()*(s_0+7*s_r+IF(circ_int,eq_c1/2,0)))/INDEX(lk_legs,8))-(((2*IF(circ_int,0,eq_c2/2))+(PI()*(s_0+7*s_r+IF(circ_int,eq_c1/2,0))/2))+2*IF(circ_int,0,eq_c1/2)))/(s_0+7*s_r+IF(circ_int,eq_c1/2,0))),IF(((51+0.5)*(4*IF(circ_int,0,eq_c1/2)+4*IF(circ_int,0,eq_c2/2)+2*PI()*(s_0+7*s_r+IF(circ_int,eq_c1/2,0)))/INDEX(lk_legs,8))&lt;(((((2*IF(circ_int,0,eq_c2/2))+(PI()*(s_0+7*s_r+IF(circ_int,eq_c1/2,0))/2))+2*IF(circ_int,0,eq_c1/2))+(PI()*(s_0+7*s_r+IF(circ_int,eq_c1/2,0))/2))+2*IF(circ_int,0,eq_c2/2)),-IF(circ_int,0,eq_c1/2)-(s_0+7*s_r+IF(circ_int,eq_c1/2,0)),IF(((51+0.5)*(4*IF(circ_int,0,eq_c1/2)+4*IF(circ_int,0,eq_c2/2)+2*PI()*(s_0+7*s_r+IF(circ_int,eq_c1/2,0)))/INDEX(lk_legs,8))&lt;((((((2*IF(circ_int,0,eq_c2/2))+(PI()*(s_0+7*s_r+IF(circ_int,eq_c1/2,0))/2))+2*IF(circ_int,0,eq_c1/2))+(PI()*(s_0+7*s_r+IF(circ_int,eq_c1/2,0))/2))+2*IF(circ_int,0,eq_c2/2))+(PI()*(s_0+7*s_r+IF(circ_int,eq_c1/2,0))/2)),-IF(circ_int,0,eq_c1/2)+(s_0+7*s_r+IF(circ_int,eq_c1/2,0))*COS(PI()+(((51+0.5)*(4*IF(circ_int,0,eq_c1/2)+4*IF(circ_int,0,eq_c2/2)+2*PI()*(s_0+7*s_r+IF(circ_int,eq_c1/2,0)))/INDEX(lk_legs,8))-(((((2*IF(circ_int,0,eq_c2/2))+(PI()*(s_0+7*s_r+IF(circ_int,eq_c1/2,0))/2))+2*IF(circ_int,0,eq_c1/2))+(PI()*(s_0+7*s_r+IF(circ_int,eq_c1/2,0))/2))+2*IF(circ_int,0,eq_c2/2)))/(s_0+7*s_r+IF(circ_int,eq_c1/2,0))),IF(((51+0.5)*(4*IF(circ_int,0,eq_c1/2)+4*IF(circ_int,0,eq_c2/2)+2*PI()*(s_0+7*s_r+IF(circ_int,eq_c1/2,0)))/INDEX(lk_legs,8))&lt;(((((((2*IF(circ_int,0,eq_c2/2))+(PI()*(s_0+7*s_r+IF(circ_int,eq_c1/2,0))/2))+2*IF(circ_int,0,eq_c1/2))+(PI()*(s_0+7*s_r+IF(circ_int,eq_c1/2,0))/2))+2*IF(circ_int,0,eq_c2/2))+(PI()*(s_0+7*s_r+IF(circ_int,eq_c1/2,0))/2))+2*IF(circ_int,0,eq_c1/2)),-IF(circ_int,0,eq_c1/2)+(((51+0.5)*(4*IF(circ_int,0,eq_c1/2)+4*IF(circ_int,0,eq_c2/2)+2*PI()*(s_0+7*s_r+IF(circ_int,eq_c1/2,0)))/INDEX(lk_legs,8))-((((((2*IF(circ_int,0,eq_c2/2))+(PI()*(s_0+7*s_r+IF(circ_int,eq_c1/2,0))/2))+2*IF(circ_int,0,eq_c1/2))+(PI()*(s_0+7*s_r+IF(circ_int,eq_c1/2,0))/2))+2*IF(circ_int,0,eq_c2/2))+(PI()*(s_0+7*s_r+IF(circ_int,eq_c1/2,0))/2))),IF(circ_int,0,eq_c1/2)+(s_0+7*s_r+IF(circ_int,eq_c1/2,0))*COS(3*PI()/2+(((51+0.5)*(4*IF(circ_int,0,eq_c1/2)+4*IF(circ_int,0,eq_c2/2)+2*PI()*(s_0+7*s_r+IF(circ_int,eq_c1/2,0)))/INDEX(lk_legs,8))-(((((((2*IF(circ_int,0,eq_c2/2))+(PI()*(s_0+7*s_r+IF(circ_int,eq_c1/2,0))/2))+2*IF(circ_int,0,eq_c1/2))+(PI()*(s_0+7*s_r+IF(circ_int,eq_c1/2,0))/2))+2*IF(circ_int,0,eq_c2/2))+(PI()*(s_0+7*s_r+IF(circ_int,eq_c1/2,0))/2))+2*IF(circ_int,0,eq_c1/2)))/(s_0+7*s_r+IF(circ_int,eq_c1/2,0)))))))))),NA())</f>
        <v/>
      </c>
      <c r="CQ54">
        <f>IF(AND(AND(links_on,8&lt;=n_per),INDEX(lk_kind,8)=1,51&lt;INDEX(lk_legs,8)),g_oy+IF(((51+0.5)*(4*IF(circ_int,0,eq_c1/2)+4*IF(circ_int,0,eq_c2/2)+2*PI()*(s_0+7*s_r+IF(circ_int,eq_c1/2,0)))/INDEX(lk_legs,8))&lt;(2*IF(circ_int,0,eq_c2/2)),-IF(circ_int,0,eq_c2/2)+((51+0.5)*(4*IF(circ_int,0,eq_c1/2)+4*IF(circ_int,0,eq_c2/2)+2*PI()*(s_0+7*s_r+IF(circ_int,eq_c1/2,0)))/INDEX(lk_legs,8)),IF(((51+0.5)*(4*IF(circ_int,0,eq_c1/2)+4*IF(circ_int,0,eq_c2/2)+2*PI()*(s_0+7*s_r+IF(circ_int,eq_c1/2,0)))/INDEX(lk_legs,8))&lt;((2*IF(circ_int,0,eq_c2/2))+(PI()*(s_0+7*s_r+IF(circ_int,eq_c1/2,0))/2)),IF(circ_int,0,eq_c2/2)+(s_0+7*s_r+IF(circ_int,eq_c1/2,0))*SIN((((51+0.5)*(4*IF(circ_int,0,eq_c1/2)+4*IF(circ_int,0,eq_c2/2)+2*PI()*(s_0+7*s_r+IF(circ_int,eq_c1/2,0)))/INDEX(lk_legs,8))-(2*IF(circ_int,0,eq_c2/2)))/(s_0+7*s_r+IF(circ_int,eq_c1/2,0))),IF(((51+0.5)*(4*IF(circ_int,0,eq_c1/2)+4*IF(circ_int,0,eq_c2/2)+2*PI()*(s_0+7*s_r+IF(circ_int,eq_c1/2,0)))/INDEX(lk_legs,8))&lt;(((2*IF(circ_int,0,eq_c2/2))+(PI()*(s_0+7*s_r+IF(circ_int,eq_c1/2,0))/2))+2*IF(circ_int,0,eq_c1/2)),IF(circ_int,0,eq_c2/2)+(s_0+7*s_r+IF(circ_int,eq_c1/2,0)),IF(((51+0.5)*(4*IF(circ_int,0,eq_c1/2)+4*IF(circ_int,0,eq_c2/2)+2*PI()*(s_0+7*s_r+IF(circ_int,eq_c1/2,0)))/INDEX(lk_legs,8))&lt;((((2*IF(circ_int,0,eq_c2/2))+(PI()*(s_0+7*s_r+IF(circ_int,eq_c1/2,0))/2))+2*IF(circ_int,0,eq_c1/2))+(PI()*(s_0+7*s_r+IF(circ_int,eq_c1/2,0))/2)),IF(circ_int,0,eq_c2/2)+(s_0+7*s_r+IF(circ_int,eq_c1/2,0))*SIN(PI()/2+(((51+0.5)*(4*IF(circ_int,0,eq_c1/2)+4*IF(circ_int,0,eq_c2/2)+2*PI()*(s_0+7*s_r+IF(circ_int,eq_c1/2,0)))/INDEX(lk_legs,8))-(((2*IF(circ_int,0,eq_c2/2))+(PI()*(s_0+7*s_r+IF(circ_int,eq_c1/2,0))/2))+2*IF(circ_int,0,eq_c1/2)))/(s_0+7*s_r+IF(circ_int,eq_c1/2,0))),IF(((51+0.5)*(4*IF(circ_int,0,eq_c1/2)+4*IF(circ_int,0,eq_c2/2)+2*PI()*(s_0+7*s_r+IF(circ_int,eq_c1/2,0)))/INDEX(lk_legs,8))&lt;(((((2*IF(circ_int,0,eq_c2/2))+(PI()*(s_0+7*s_r+IF(circ_int,eq_c1/2,0))/2))+2*IF(circ_int,0,eq_c1/2))+(PI()*(s_0+7*s_r+IF(circ_int,eq_c1/2,0))/2))+2*IF(circ_int,0,eq_c2/2)),IF(circ_int,0,eq_c2/2)-(((51+0.5)*(4*IF(circ_int,0,eq_c1/2)+4*IF(circ_int,0,eq_c2/2)+2*PI()*(s_0+7*s_r+IF(circ_int,eq_c1/2,0)))/INDEX(lk_legs,8))-((((2*IF(circ_int,0,eq_c2/2))+(PI()*(s_0+7*s_r+IF(circ_int,eq_c1/2,0))/2))+2*IF(circ_int,0,eq_c1/2))+(PI()*(s_0+7*s_r+IF(circ_int,eq_c1/2,0))/2))),IF(((51+0.5)*(4*IF(circ_int,0,eq_c1/2)+4*IF(circ_int,0,eq_c2/2)+2*PI()*(s_0+7*s_r+IF(circ_int,eq_c1/2,0)))/INDEX(lk_legs,8))&lt;((((((2*IF(circ_int,0,eq_c2/2))+(PI()*(s_0+7*s_r+IF(circ_int,eq_c1/2,0))/2))+2*IF(circ_int,0,eq_c1/2))+(PI()*(s_0+7*s_r+IF(circ_int,eq_c1/2,0))/2))+2*IF(circ_int,0,eq_c2/2))+(PI()*(s_0+7*s_r+IF(circ_int,eq_c1/2,0))/2)),-IF(circ_int,0,eq_c2/2)+(s_0+7*s_r+IF(circ_int,eq_c1/2,0))*SIN(PI()+(((51+0.5)*(4*IF(circ_int,0,eq_c1/2)+4*IF(circ_int,0,eq_c2/2)+2*PI()*(s_0+7*s_r+IF(circ_int,eq_c1/2,0)))/INDEX(lk_legs,8))-(((((2*IF(circ_int,0,eq_c2/2))+(PI()*(s_0+7*s_r+IF(circ_int,eq_c1/2,0))/2))+2*IF(circ_int,0,eq_c1/2))+(PI()*(s_0+7*s_r+IF(circ_int,eq_c1/2,0))/2))+2*IF(circ_int,0,eq_c2/2)))/(s_0+7*s_r+IF(circ_int,eq_c1/2,0))),IF(((51+0.5)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(51+0.5)*(4*IF(circ_int,0,eq_c1/2)+4*IF(circ_int,0,eq_c2/2)+2*PI()*(s_0+7*s_r+IF(circ_int,eq_c1/2,0)))/INDEX(lk_legs,8))-(((((((2*IF(circ_int,0,eq_c2/2))+(PI()*(s_0+7*s_r+IF(circ_int,eq_c1/2,0))/2))+2*IF(circ_int,0,eq_c1/2))+(PI()*(s_0+7*s_r+IF(circ_int,eq_c1/2,0))/2))+2*IF(circ_int,0,eq_c2/2))+(PI()*(s_0+7*s_r+IF(circ_int,eq_c1/2,0))/2))+2*IF(circ_int,0,eq_c1/2)))/(s_0+7*s_r+IF(circ_int,eq_c1/2,0)))))))))),NA())</f>
        <v/>
      </c>
      <c r="CS54">
        <f>IF(AND(links_on,9&lt;=n_per),IF(circ_int,(g_ox)+(c_1/2+(s_0+8*s_r))*0.992709,CHOOSE(INDEX(lk_kind,9),(g_ox+eq_c1/2)+((s_0+8*s_r))*1.000000,0,eq_a1+eq_c1+(s_0+8*s_r),eq_a1+eq_c1+(s_0+8*s_r))),NA())</f>
        <v/>
      </c>
      <c r="CT54">
        <f>IF(AND(links_on,9&lt;=n_per),IF(circ_int,(g_oy)+(c_1/2+(s_0+8*s_r))*-0.120537,CHOOSE(INDEX(lk_kind,9),(g_oy-eq_c2/2)+((s_0+8*s_r))*-0.000000,g_oy-eq_c2/2-(s_0+8*s_r),0,0)),NA())</f>
        <v/>
      </c>
      <c r="CV54">
        <f>IF(AND(AND(links_on,9&lt;=n_per),INDEX(lk_kind,9)=1,51&lt;INDEX(lk_legs,9)),g_ox+IF(((51+0.5)*(4*IF(circ_int,0,eq_c1/2)+4*IF(circ_int,0,eq_c2/2)+2*PI()*(s_0+8*s_r+IF(circ_int,eq_c1/2,0)))/INDEX(lk_legs,9))&lt;(2*IF(circ_int,0,eq_c2/2)),IF(circ_int,0,eq_c1/2)+(s_0+8*s_r+IF(circ_int,eq_c1/2,0)),IF(((51+0.5)*(4*IF(circ_int,0,eq_c1/2)+4*IF(circ_int,0,eq_c2/2)+2*PI()*(s_0+8*s_r+IF(circ_int,eq_c1/2,0)))/INDEX(lk_legs,9))&lt;((2*IF(circ_int,0,eq_c2/2))+(PI()*(s_0+8*s_r+IF(circ_int,eq_c1/2,0))/2)),IF(circ_int,0,eq_c1/2)+(s_0+8*s_r+IF(circ_int,eq_c1/2,0))*COS((((51+0.5)*(4*IF(circ_int,0,eq_c1/2)+4*IF(circ_int,0,eq_c2/2)+2*PI()*(s_0+8*s_r+IF(circ_int,eq_c1/2,0)))/INDEX(lk_legs,9))-(2*IF(circ_int,0,eq_c2/2)))/(s_0+8*s_r+IF(circ_int,eq_c1/2,0))),IF(((51+0.5)*(4*IF(circ_int,0,eq_c1/2)+4*IF(circ_int,0,eq_c2/2)+2*PI()*(s_0+8*s_r+IF(circ_int,eq_c1/2,0)))/INDEX(lk_legs,9))&lt;(((2*IF(circ_int,0,eq_c2/2))+(PI()*(s_0+8*s_r+IF(circ_int,eq_c1/2,0))/2))+2*IF(circ_int,0,eq_c1/2)),IF(circ_int,0,eq_c1/2)-(((51+0.5)*(4*IF(circ_int,0,eq_c1/2)+4*IF(circ_int,0,eq_c2/2)+2*PI()*(s_0+8*s_r+IF(circ_int,eq_c1/2,0)))/INDEX(lk_legs,9))-((2*IF(circ_int,0,eq_c2/2))+(PI()*(s_0+8*s_r+IF(circ_int,eq_c1/2,0))/2))),IF(((51+0.5)*(4*IF(circ_int,0,eq_c1/2)+4*IF(circ_int,0,eq_c2/2)+2*PI()*(s_0+8*s_r+IF(circ_int,eq_c1/2,0)))/INDEX(lk_legs,9))&lt;((((2*IF(circ_int,0,eq_c2/2))+(PI()*(s_0+8*s_r+IF(circ_int,eq_c1/2,0))/2))+2*IF(circ_int,0,eq_c1/2))+(PI()*(s_0+8*s_r+IF(circ_int,eq_c1/2,0))/2)),-IF(circ_int,0,eq_c1/2)+(s_0+8*s_r+IF(circ_int,eq_c1/2,0))*COS(PI()/2+(((51+0.5)*(4*IF(circ_int,0,eq_c1/2)+4*IF(circ_int,0,eq_c2/2)+2*PI()*(s_0+8*s_r+IF(circ_int,eq_c1/2,0)))/INDEX(lk_legs,9))-(((2*IF(circ_int,0,eq_c2/2))+(PI()*(s_0+8*s_r+IF(circ_int,eq_c1/2,0))/2))+2*IF(circ_int,0,eq_c1/2)))/(s_0+8*s_r+IF(circ_int,eq_c1/2,0))),IF(((51+0.5)*(4*IF(circ_int,0,eq_c1/2)+4*IF(circ_int,0,eq_c2/2)+2*PI()*(s_0+8*s_r+IF(circ_int,eq_c1/2,0)))/INDEX(lk_legs,9))&lt;(((((2*IF(circ_int,0,eq_c2/2))+(PI()*(s_0+8*s_r+IF(circ_int,eq_c1/2,0))/2))+2*IF(circ_int,0,eq_c1/2))+(PI()*(s_0+8*s_r+IF(circ_int,eq_c1/2,0))/2))+2*IF(circ_int,0,eq_c2/2)),-IF(circ_int,0,eq_c1/2)-(s_0+8*s_r+IF(circ_int,eq_c1/2,0)),IF(((51+0.5)*(4*IF(circ_int,0,eq_c1/2)+4*IF(circ_int,0,eq_c2/2)+2*PI()*(s_0+8*s_r+IF(circ_int,eq_c1/2,0)))/INDEX(lk_legs,9))&lt;((((((2*IF(circ_int,0,eq_c2/2))+(PI()*(s_0+8*s_r+IF(circ_int,eq_c1/2,0))/2))+2*IF(circ_int,0,eq_c1/2))+(PI()*(s_0+8*s_r+IF(circ_int,eq_c1/2,0))/2))+2*IF(circ_int,0,eq_c2/2))+(PI()*(s_0+8*s_r+IF(circ_int,eq_c1/2,0))/2)),-IF(circ_int,0,eq_c1/2)+(s_0+8*s_r+IF(circ_int,eq_c1/2,0))*COS(PI()+(((51+0.5)*(4*IF(circ_int,0,eq_c1/2)+4*IF(circ_int,0,eq_c2/2)+2*PI()*(s_0+8*s_r+IF(circ_int,eq_c1/2,0)))/INDEX(lk_legs,9))-(((((2*IF(circ_int,0,eq_c2/2))+(PI()*(s_0+8*s_r+IF(circ_int,eq_c1/2,0))/2))+2*IF(circ_int,0,eq_c1/2))+(PI()*(s_0+8*s_r+IF(circ_int,eq_c1/2,0))/2))+2*IF(circ_int,0,eq_c2/2)))/(s_0+8*s_r+IF(circ_int,eq_c1/2,0))),IF(((51+0.5)*(4*IF(circ_int,0,eq_c1/2)+4*IF(circ_int,0,eq_c2/2)+2*PI()*(s_0+8*s_r+IF(circ_int,eq_c1/2,0)))/INDEX(lk_legs,9))&lt;(((((((2*IF(circ_int,0,eq_c2/2))+(PI()*(s_0+8*s_r+IF(circ_int,eq_c1/2,0))/2))+2*IF(circ_int,0,eq_c1/2))+(PI()*(s_0+8*s_r+IF(circ_int,eq_c1/2,0))/2))+2*IF(circ_int,0,eq_c2/2))+(PI()*(s_0+8*s_r+IF(circ_int,eq_c1/2,0))/2))+2*IF(circ_int,0,eq_c1/2)),-IF(circ_int,0,eq_c1/2)+(((51+0.5)*(4*IF(circ_int,0,eq_c1/2)+4*IF(circ_int,0,eq_c2/2)+2*PI()*(s_0+8*s_r+IF(circ_int,eq_c1/2,0)))/INDEX(lk_legs,9))-((((((2*IF(circ_int,0,eq_c2/2))+(PI()*(s_0+8*s_r+IF(circ_int,eq_c1/2,0))/2))+2*IF(circ_int,0,eq_c1/2))+(PI()*(s_0+8*s_r+IF(circ_int,eq_c1/2,0))/2))+2*IF(circ_int,0,eq_c2/2))+(PI()*(s_0+8*s_r+IF(circ_int,eq_c1/2,0))/2))),IF(circ_int,0,eq_c1/2)+(s_0+8*s_r+IF(circ_int,eq_c1/2,0))*COS(3*PI()/2+(((51+0.5)*(4*IF(circ_int,0,eq_c1/2)+4*IF(circ_int,0,eq_c2/2)+2*PI()*(s_0+8*s_r+IF(circ_int,eq_c1/2,0)))/INDEX(lk_legs,9))-(((((((2*IF(circ_int,0,eq_c2/2))+(PI()*(s_0+8*s_r+IF(circ_int,eq_c1/2,0))/2))+2*IF(circ_int,0,eq_c1/2))+(PI()*(s_0+8*s_r+IF(circ_int,eq_c1/2,0))/2))+2*IF(circ_int,0,eq_c2/2))+(PI()*(s_0+8*s_r+IF(circ_int,eq_c1/2,0))/2))+2*IF(circ_int,0,eq_c1/2)))/(s_0+8*s_r+IF(circ_int,eq_c1/2,0)))))))))),NA())</f>
        <v/>
      </c>
      <c r="CW54">
        <f>IF(AND(AND(links_on,9&lt;=n_per),INDEX(lk_kind,9)=1,51&lt;INDEX(lk_legs,9)),g_oy+IF(((51+0.5)*(4*IF(circ_int,0,eq_c1/2)+4*IF(circ_int,0,eq_c2/2)+2*PI()*(s_0+8*s_r+IF(circ_int,eq_c1/2,0)))/INDEX(lk_legs,9))&lt;(2*IF(circ_int,0,eq_c2/2)),-IF(circ_int,0,eq_c2/2)+((51+0.5)*(4*IF(circ_int,0,eq_c1/2)+4*IF(circ_int,0,eq_c2/2)+2*PI()*(s_0+8*s_r+IF(circ_int,eq_c1/2,0)))/INDEX(lk_legs,9)),IF(((51+0.5)*(4*IF(circ_int,0,eq_c1/2)+4*IF(circ_int,0,eq_c2/2)+2*PI()*(s_0+8*s_r+IF(circ_int,eq_c1/2,0)))/INDEX(lk_legs,9))&lt;((2*IF(circ_int,0,eq_c2/2))+(PI()*(s_0+8*s_r+IF(circ_int,eq_c1/2,0))/2)),IF(circ_int,0,eq_c2/2)+(s_0+8*s_r+IF(circ_int,eq_c1/2,0))*SIN((((51+0.5)*(4*IF(circ_int,0,eq_c1/2)+4*IF(circ_int,0,eq_c2/2)+2*PI()*(s_0+8*s_r+IF(circ_int,eq_c1/2,0)))/INDEX(lk_legs,9))-(2*IF(circ_int,0,eq_c2/2)))/(s_0+8*s_r+IF(circ_int,eq_c1/2,0))),IF(((51+0.5)*(4*IF(circ_int,0,eq_c1/2)+4*IF(circ_int,0,eq_c2/2)+2*PI()*(s_0+8*s_r+IF(circ_int,eq_c1/2,0)))/INDEX(lk_legs,9))&lt;(((2*IF(circ_int,0,eq_c2/2))+(PI()*(s_0+8*s_r+IF(circ_int,eq_c1/2,0))/2))+2*IF(circ_int,0,eq_c1/2)),IF(circ_int,0,eq_c2/2)+(s_0+8*s_r+IF(circ_int,eq_c1/2,0)),IF(((51+0.5)*(4*IF(circ_int,0,eq_c1/2)+4*IF(circ_int,0,eq_c2/2)+2*PI()*(s_0+8*s_r+IF(circ_int,eq_c1/2,0)))/INDEX(lk_legs,9))&lt;((((2*IF(circ_int,0,eq_c2/2))+(PI()*(s_0+8*s_r+IF(circ_int,eq_c1/2,0))/2))+2*IF(circ_int,0,eq_c1/2))+(PI()*(s_0+8*s_r+IF(circ_int,eq_c1/2,0))/2)),IF(circ_int,0,eq_c2/2)+(s_0+8*s_r+IF(circ_int,eq_c1/2,0))*SIN(PI()/2+(((51+0.5)*(4*IF(circ_int,0,eq_c1/2)+4*IF(circ_int,0,eq_c2/2)+2*PI()*(s_0+8*s_r+IF(circ_int,eq_c1/2,0)))/INDEX(lk_legs,9))-(((2*IF(circ_int,0,eq_c2/2))+(PI()*(s_0+8*s_r+IF(circ_int,eq_c1/2,0))/2))+2*IF(circ_int,0,eq_c1/2)))/(s_0+8*s_r+IF(circ_int,eq_c1/2,0))),IF(((51+0.5)*(4*IF(circ_int,0,eq_c1/2)+4*IF(circ_int,0,eq_c2/2)+2*PI()*(s_0+8*s_r+IF(circ_int,eq_c1/2,0)))/INDEX(lk_legs,9))&lt;(((((2*IF(circ_int,0,eq_c2/2))+(PI()*(s_0+8*s_r+IF(circ_int,eq_c1/2,0))/2))+2*IF(circ_int,0,eq_c1/2))+(PI()*(s_0+8*s_r+IF(circ_int,eq_c1/2,0))/2))+2*IF(circ_int,0,eq_c2/2)),IF(circ_int,0,eq_c2/2)-(((51+0.5)*(4*IF(circ_int,0,eq_c1/2)+4*IF(circ_int,0,eq_c2/2)+2*PI()*(s_0+8*s_r+IF(circ_int,eq_c1/2,0)))/INDEX(lk_legs,9))-((((2*IF(circ_int,0,eq_c2/2))+(PI()*(s_0+8*s_r+IF(circ_int,eq_c1/2,0))/2))+2*IF(circ_int,0,eq_c1/2))+(PI()*(s_0+8*s_r+IF(circ_int,eq_c1/2,0))/2))),IF(((51+0.5)*(4*IF(circ_int,0,eq_c1/2)+4*IF(circ_int,0,eq_c2/2)+2*PI()*(s_0+8*s_r+IF(circ_int,eq_c1/2,0)))/INDEX(lk_legs,9))&lt;((((((2*IF(circ_int,0,eq_c2/2))+(PI()*(s_0+8*s_r+IF(circ_int,eq_c1/2,0))/2))+2*IF(circ_int,0,eq_c1/2))+(PI()*(s_0+8*s_r+IF(circ_int,eq_c1/2,0))/2))+2*IF(circ_int,0,eq_c2/2))+(PI()*(s_0+8*s_r+IF(circ_int,eq_c1/2,0))/2)),-IF(circ_int,0,eq_c2/2)+(s_0+8*s_r+IF(circ_int,eq_c1/2,0))*SIN(PI()+(((51+0.5)*(4*IF(circ_int,0,eq_c1/2)+4*IF(circ_int,0,eq_c2/2)+2*PI()*(s_0+8*s_r+IF(circ_int,eq_c1/2,0)))/INDEX(lk_legs,9))-(((((2*IF(circ_int,0,eq_c2/2))+(PI()*(s_0+8*s_r+IF(circ_int,eq_c1/2,0))/2))+2*IF(circ_int,0,eq_c1/2))+(PI()*(s_0+8*s_r+IF(circ_int,eq_c1/2,0))/2))+2*IF(circ_int,0,eq_c2/2)))/(s_0+8*s_r+IF(circ_int,eq_c1/2,0))),IF(((51+0.5)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(51+0.5)*(4*IF(circ_int,0,eq_c1/2)+4*IF(circ_int,0,eq_c2/2)+2*PI()*(s_0+8*s_r+IF(circ_int,eq_c1/2,0)))/INDEX(lk_legs,9))-(((((((2*IF(circ_int,0,eq_c2/2))+(PI()*(s_0+8*s_r+IF(circ_int,eq_c1/2,0))/2))+2*IF(circ_int,0,eq_c1/2))+(PI()*(s_0+8*s_r+IF(circ_int,eq_c1/2,0))/2))+2*IF(circ_int,0,eq_c2/2))+(PI()*(s_0+8*s_r+IF(circ_int,eq_c1/2,0))/2))+2*IF(circ_int,0,eq_c1/2)))/(s_0+8*s_r+IF(circ_int,eq_c1/2,0)))))))))),NA())</f>
        <v/>
      </c>
      <c r="CY54">
        <f>IF(AND(links_on,10&lt;=n_per),IF(circ_int,(g_ox)+(c_1/2+(s_0+9*s_r))*0.992709,CHOOSE(INDEX(lk_kind,10),(g_ox+eq_c1/2)+((s_0+9*s_r))*1.000000,0,eq_a1+eq_c1+(s_0+9*s_r),eq_a1+eq_c1+(s_0+9*s_r))),NA())</f>
        <v/>
      </c>
      <c r="CZ54">
        <f>IF(AND(links_on,10&lt;=n_per),IF(circ_int,(g_oy)+(c_1/2+(s_0+9*s_r))*-0.120537,CHOOSE(INDEX(lk_kind,10),(g_oy-eq_c2/2)+((s_0+9*s_r))*-0.000000,g_oy-eq_c2/2-(s_0+9*s_r),0,0)),NA())</f>
        <v/>
      </c>
      <c r="DB54">
        <f>IF(AND(AND(links_on,10&lt;=n_per),INDEX(lk_kind,10)=1,51&lt;INDEX(lk_legs,10)),g_ox+IF(((51+0.5)*(4*IF(circ_int,0,eq_c1/2)+4*IF(circ_int,0,eq_c2/2)+2*PI()*(s_0+9*s_r+IF(circ_int,eq_c1/2,0)))/INDEX(lk_legs,10))&lt;(2*IF(circ_int,0,eq_c2/2)),IF(circ_int,0,eq_c1/2)+(s_0+9*s_r+IF(circ_int,eq_c1/2,0)),IF(((51+0.5)*(4*IF(circ_int,0,eq_c1/2)+4*IF(circ_int,0,eq_c2/2)+2*PI()*(s_0+9*s_r+IF(circ_int,eq_c1/2,0)))/INDEX(lk_legs,10))&lt;((2*IF(circ_int,0,eq_c2/2))+(PI()*(s_0+9*s_r+IF(circ_int,eq_c1/2,0))/2)),IF(circ_int,0,eq_c1/2)+(s_0+9*s_r+IF(circ_int,eq_c1/2,0))*COS((((51+0.5)*(4*IF(circ_int,0,eq_c1/2)+4*IF(circ_int,0,eq_c2/2)+2*PI()*(s_0+9*s_r+IF(circ_int,eq_c1/2,0)))/INDEX(lk_legs,10))-(2*IF(circ_int,0,eq_c2/2)))/(s_0+9*s_r+IF(circ_int,eq_c1/2,0))),IF(((51+0.5)*(4*IF(circ_int,0,eq_c1/2)+4*IF(circ_int,0,eq_c2/2)+2*PI()*(s_0+9*s_r+IF(circ_int,eq_c1/2,0)))/INDEX(lk_legs,10))&lt;(((2*IF(circ_int,0,eq_c2/2))+(PI()*(s_0+9*s_r+IF(circ_int,eq_c1/2,0))/2))+2*IF(circ_int,0,eq_c1/2)),IF(circ_int,0,eq_c1/2)-(((51+0.5)*(4*IF(circ_int,0,eq_c1/2)+4*IF(circ_int,0,eq_c2/2)+2*PI()*(s_0+9*s_r+IF(circ_int,eq_c1/2,0)))/INDEX(lk_legs,10))-((2*IF(circ_int,0,eq_c2/2))+(PI()*(s_0+9*s_r+IF(circ_int,eq_c1/2,0))/2))),IF(((51+0.5)*(4*IF(circ_int,0,eq_c1/2)+4*IF(circ_int,0,eq_c2/2)+2*PI()*(s_0+9*s_r+IF(circ_int,eq_c1/2,0)))/INDEX(lk_legs,10))&lt;((((2*IF(circ_int,0,eq_c2/2))+(PI()*(s_0+9*s_r+IF(circ_int,eq_c1/2,0))/2))+2*IF(circ_int,0,eq_c1/2))+(PI()*(s_0+9*s_r+IF(circ_int,eq_c1/2,0))/2)),-IF(circ_int,0,eq_c1/2)+(s_0+9*s_r+IF(circ_int,eq_c1/2,0))*COS(PI()/2+(((51+0.5)*(4*IF(circ_int,0,eq_c1/2)+4*IF(circ_int,0,eq_c2/2)+2*PI()*(s_0+9*s_r+IF(circ_int,eq_c1/2,0)))/INDEX(lk_legs,10))-(((2*IF(circ_int,0,eq_c2/2))+(PI()*(s_0+9*s_r+IF(circ_int,eq_c1/2,0))/2))+2*IF(circ_int,0,eq_c1/2)))/(s_0+9*s_r+IF(circ_int,eq_c1/2,0))),IF(((51+0.5)*(4*IF(circ_int,0,eq_c1/2)+4*IF(circ_int,0,eq_c2/2)+2*PI()*(s_0+9*s_r+IF(circ_int,eq_c1/2,0)))/INDEX(lk_legs,10))&lt;(((((2*IF(circ_int,0,eq_c2/2))+(PI()*(s_0+9*s_r+IF(circ_int,eq_c1/2,0))/2))+2*IF(circ_int,0,eq_c1/2))+(PI()*(s_0+9*s_r+IF(circ_int,eq_c1/2,0))/2))+2*IF(circ_int,0,eq_c2/2)),-IF(circ_int,0,eq_c1/2)-(s_0+9*s_r+IF(circ_int,eq_c1/2,0)),IF(((51+0.5)*(4*IF(circ_int,0,eq_c1/2)+4*IF(circ_int,0,eq_c2/2)+2*PI()*(s_0+9*s_r+IF(circ_int,eq_c1/2,0)))/INDEX(lk_legs,10))&lt;((((((2*IF(circ_int,0,eq_c2/2))+(PI()*(s_0+9*s_r+IF(circ_int,eq_c1/2,0))/2))+2*IF(circ_int,0,eq_c1/2))+(PI()*(s_0+9*s_r+IF(circ_int,eq_c1/2,0))/2))+2*IF(circ_int,0,eq_c2/2))+(PI()*(s_0+9*s_r+IF(circ_int,eq_c1/2,0))/2)),-IF(circ_int,0,eq_c1/2)+(s_0+9*s_r+IF(circ_int,eq_c1/2,0))*COS(PI()+(((51+0.5)*(4*IF(circ_int,0,eq_c1/2)+4*IF(circ_int,0,eq_c2/2)+2*PI()*(s_0+9*s_r+IF(circ_int,eq_c1/2,0)))/INDEX(lk_legs,10))-(((((2*IF(circ_int,0,eq_c2/2))+(PI()*(s_0+9*s_r+IF(circ_int,eq_c1/2,0))/2))+2*IF(circ_int,0,eq_c1/2))+(PI()*(s_0+9*s_r+IF(circ_int,eq_c1/2,0))/2))+2*IF(circ_int,0,eq_c2/2)))/(s_0+9*s_r+IF(circ_int,eq_c1/2,0))),IF(((51+0.5)*(4*IF(circ_int,0,eq_c1/2)+4*IF(circ_int,0,eq_c2/2)+2*PI()*(s_0+9*s_r+IF(circ_int,eq_c1/2,0)))/INDEX(lk_legs,10))&lt;(((((((2*IF(circ_int,0,eq_c2/2))+(PI()*(s_0+9*s_r+IF(circ_int,eq_c1/2,0))/2))+2*IF(circ_int,0,eq_c1/2))+(PI()*(s_0+9*s_r+IF(circ_int,eq_c1/2,0))/2))+2*IF(circ_int,0,eq_c2/2))+(PI()*(s_0+9*s_r+IF(circ_int,eq_c1/2,0))/2))+2*IF(circ_int,0,eq_c1/2)),-IF(circ_int,0,eq_c1/2)+(((51+0.5)*(4*IF(circ_int,0,eq_c1/2)+4*IF(circ_int,0,eq_c2/2)+2*PI()*(s_0+9*s_r+IF(circ_int,eq_c1/2,0)))/INDEX(lk_legs,10))-((((((2*IF(circ_int,0,eq_c2/2))+(PI()*(s_0+9*s_r+IF(circ_int,eq_c1/2,0))/2))+2*IF(circ_int,0,eq_c1/2))+(PI()*(s_0+9*s_r+IF(circ_int,eq_c1/2,0))/2))+2*IF(circ_int,0,eq_c2/2))+(PI()*(s_0+9*s_r+IF(circ_int,eq_c1/2,0))/2))),IF(circ_int,0,eq_c1/2)+(s_0+9*s_r+IF(circ_int,eq_c1/2,0))*COS(3*PI()/2+(((51+0.5)*(4*IF(circ_int,0,eq_c1/2)+4*IF(circ_int,0,eq_c2/2)+2*PI()*(s_0+9*s_r+IF(circ_int,eq_c1/2,0)))/INDEX(lk_legs,10))-(((((((2*IF(circ_int,0,eq_c2/2))+(PI()*(s_0+9*s_r+IF(circ_int,eq_c1/2,0))/2))+2*IF(circ_int,0,eq_c1/2))+(PI()*(s_0+9*s_r+IF(circ_int,eq_c1/2,0))/2))+2*IF(circ_int,0,eq_c2/2))+(PI()*(s_0+9*s_r+IF(circ_int,eq_c1/2,0))/2))+2*IF(circ_int,0,eq_c1/2)))/(s_0+9*s_r+IF(circ_int,eq_c1/2,0)))))))))),NA())</f>
        <v/>
      </c>
      <c r="DC54">
        <f>IF(AND(AND(links_on,10&lt;=n_per),INDEX(lk_kind,10)=1,51&lt;INDEX(lk_legs,10)),g_oy+IF(((51+0.5)*(4*IF(circ_int,0,eq_c1/2)+4*IF(circ_int,0,eq_c2/2)+2*PI()*(s_0+9*s_r+IF(circ_int,eq_c1/2,0)))/INDEX(lk_legs,10))&lt;(2*IF(circ_int,0,eq_c2/2)),-IF(circ_int,0,eq_c2/2)+((51+0.5)*(4*IF(circ_int,0,eq_c1/2)+4*IF(circ_int,0,eq_c2/2)+2*PI()*(s_0+9*s_r+IF(circ_int,eq_c1/2,0)))/INDEX(lk_legs,10)),IF(((51+0.5)*(4*IF(circ_int,0,eq_c1/2)+4*IF(circ_int,0,eq_c2/2)+2*PI()*(s_0+9*s_r+IF(circ_int,eq_c1/2,0)))/INDEX(lk_legs,10))&lt;((2*IF(circ_int,0,eq_c2/2))+(PI()*(s_0+9*s_r+IF(circ_int,eq_c1/2,0))/2)),IF(circ_int,0,eq_c2/2)+(s_0+9*s_r+IF(circ_int,eq_c1/2,0))*SIN((((51+0.5)*(4*IF(circ_int,0,eq_c1/2)+4*IF(circ_int,0,eq_c2/2)+2*PI()*(s_0+9*s_r+IF(circ_int,eq_c1/2,0)))/INDEX(lk_legs,10))-(2*IF(circ_int,0,eq_c2/2)))/(s_0+9*s_r+IF(circ_int,eq_c1/2,0))),IF(((51+0.5)*(4*IF(circ_int,0,eq_c1/2)+4*IF(circ_int,0,eq_c2/2)+2*PI()*(s_0+9*s_r+IF(circ_int,eq_c1/2,0)))/INDEX(lk_legs,10))&lt;(((2*IF(circ_int,0,eq_c2/2))+(PI()*(s_0+9*s_r+IF(circ_int,eq_c1/2,0))/2))+2*IF(circ_int,0,eq_c1/2)),IF(circ_int,0,eq_c2/2)+(s_0+9*s_r+IF(circ_int,eq_c1/2,0)),IF(((51+0.5)*(4*IF(circ_int,0,eq_c1/2)+4*IF(circ_int,0,eq_c2/2)+2*PI()*(s_0+9*s_r+IF(circ_int,eq_c1/2,0)))/INDEX(lk_legs,10))&lt;((((2*IF(circ_int,0,eq_c2/2))+(PI()*(s_0+9*s_r+IF(circ_int,eq_c1/2,0))/2))+2*IF(circ_int,0,eq_c1/2))+(PI()*(s_0+9*s_r+IF(circ_int,eq_c1/2,0))/2)),IF(circ_int,0,eq_c2/2)+(s_0+9*s_r+IF(circ_int,eq_c1/2,0))*SIN(PI()/2+(((51+0.5)*(4*IF(circ_int,0,eq_c1/2)+4*IF(circ_int,0,eq_c2/2)+2*PI()*(s_0+9*s_r+IF(circ_int,eq_c1/2,0)))/INDEX(lk_legs,10))-(((2*IF(circ_int,0,eq_c2/2))+(PI()*(s_0+9*s_r+IF(circ_int,eq_c1/2,0))/2))+2*IF(circ_int,0,eq_c1/2)))/(s_0+9*s_r+IF(circ_int,eq_c1/2,0))),IF(((51+0.5)*(4*IF(circ_int,0,eq_c1/2)+4*IF(circ_int,0,eq_c2/2)+2*PI()*(s_0+9*s_r+IF(circ_int,eq_c1/2,0)))/INDEX(lk_legs,10))&lt;(((((2*IF(circ_int,0,eq_c2/2))+(PI()*(s_0+9*s_r+IF(circ_int,eq_c1/2,0))/2))+2*IF(circ_int,0,eq_c1/2))+(PI()*(s_0+9*s_r+IF(circ_int,eq_c1/2,0))/2))+2*IF(circ_int,0,eq_c2/2)),IF(circ_int,0,eq_c2/2)-(((51+0.5)*(4*IF(circ_int,0,eq_c1/2)+4*IF(circ_int,0,eq_c2/2)+2*PI()*(s_0+9*s_r+IF(circ_int,eq_c1/2,0)))/INDEX(lk_legs,10))-((((2*IF(circ_int,0,eq_c2/2))+(PI()*(s_0+9*s_r+IF(circ_int,eq_c1/2,0))/2))+2*IF(circ_int,0,eq_c1/2))+(PI()*(s_0+9*s_r+IF(circ_int,eq_c1/2,0))/2))),IF(((51+0.5)*(4*IF(circ_int,0,eq_c1/2)+4*IF(circ_int,0,eq_c2/2)+2*PI()*(s_0+9*s_r+IF(circ_int,eq_c1/2,0)))/INDEX(lk_legs,10))&lt;((((((2*IF(circ_int,0,eq_c2/2))+(PI()*(s_0+9*s_r+IF(circ_int,eq_c1/2,0))/2))+2*IF(circ_int,0,eq_c1/2))+(PI()*(s_0+9*s_r+IF(circ_int,eq_c1/2,0))/2))+2*IF(circ_int,0,eq_c2/2))+(PI()*(s_0+9*s_r+IF(circ_int,eq_c1/2,0))/2)),-IF(circ_int,0,eq_c2/2)+(s_0+9*s_r+IF(circ_int,eq_c1/2,0))*SIN(PI()+(((51+0.5)*(4*IF(circ_int,0,eq_c1/2)+4*IF(circ_int,0,eq_c2/2)+2*PI()*(s_0+9*s_r+IF(circ_int,eq_c1/2,0)))/INDEX(lk_legs,10))-(((((2*IF(circ_int,0,eq_c2/2))+(PI()*(s_0+9*s_r+IF(circ_int,eq_c1/2,0))/2))+2*IF(circ_int,0,eq_c1/2))+(PI()*(s_0+9*s_r+IF(circ_int,eq_c1/2,0))/2))+2*IF(circ_int,0,eq_c2/2)))/(s_0+9*s_r+IF(circ_int,eq_c1/2,0))),IF(((51+0.5)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(51+0.5)*(4*IF(circ_int,0,eq_c1/2)+4*IF(circ_int,0,eq_c2/2)+2*PI()*(s_0+9*s_r+IF(circ_int,eq_c1/2,0)))/INDEX(lk_legs,10))-(((((((2*IF(circ_int,0,eq_c2/2))+(PI()*(s_0+9*s_r+IF(circ_int,eq_c1/2,0))/2))+2*IF(circ_int,0,eq_c1/2))+(PI()*(s_0+9*s_r+IF(circ_int,eq_c1/2,0))/2))+2*IF(circ_int,0,eq_c2/2))+(PI()*(s_0+9*s_r+IF(circ_int,eq_c1/2,0))/2))+2*IF(circ_int,0,eq_c1/2)))/(s_0+9*s_r+IF(circ_int,eq_c1/2,0)))))))))),NA())</f>
        <v/>
      </c>
      <c r="DE54">
        <f>IF(AND(links_on,11&lt;=n_per),IF(circ_int,(g_ox)+(c_1/2+(s_0+10*s_r))*0.992709,CHOOSE(INDEX(lk_kind,11),(g_ox+eq_c1/2)+((s_0+10*s_r))*1.000000,0,eq_a1+eq_c1+(s_0+10*s_r),eq_a1+eq_c1+(s_0+10*s_r))),NA())</f>
        <v/>
      </c>
      <c r="DF54">
        <f>IF(AND(links_on,11&lt;=n_per),IF(circ_int,(g_oy)+(c_1/2+(s_0+10*s_r))*-0.120537,CHOOSE(INDEX(lk_kind,11),(g_oy-eq_c2/2)+((s_0+10*s_r))*-0.000000,g_oy-eq_c2/2-(s_0+10*s_r),0,0)),NA())</f>
        <v/>
      </c>
      <c r="DH54">
        <f>IF(AND(AND(links_on,11&lt;=n_per),INDEX(lk_kind,11)=1,51&lt;INDEX(lk_legs,11)),g_ox+IF(((51+0.5)*(4*IF(circ_int,0,eq_c1/2)+4*IF(circ_int,0,eq_c2/2)+2*PI()*(s_0+10*s_r+IF(circ_int,eq_c1/2,0)))/INDEX(lk_legs,11))&lt;(2*IF(circ_int,0,eq_c2/2)),IF(circ_int,0,eq_c1/2)+(s_0+10*s_r+IF(circ_int,eq_c1/2,0)),IF(((51+0.5)*(4*IF(circ_int,0,eq_c1/2)+4*IF(circ_int,0,eq_c2/2)+2*PI()*(s_0+10*s_r+IF(circ_int,eq_c1/2,0)))/INDEX(lk_legs,11))&lt;((2*IF(circ_int,0,eq_c2/2))+(PI()*(s_0+10*s_r+IF(circ_int,eq_c1/2,0))/2)),IF(circ_int,0,eq_c1/2)+(s_0+10*s_r+IF(circ_int,eq_c1/2,0))*COS((((51+0.5)*(4*IF(circ_int,0,eq_c1/2)+4*IF(circ_int,0,eq_c2/2)+2*PI()*(s_0+10*s_r+IF(circ_int,eq_c1/2,0)))/INDEX(lk_legs,11))-(2*IF(circ_int,0,eq_c2/2)))/(s_0+10*s_r+IF(circ_int,eq_c1/2,0))),IF(((51+0.5)*(4*IF(circ_int,0,eq_c1/2)+4*IF(circ_int,0,eq_c2/2)+2*PI()*(s_0+10*s_r+IF(circ_int,eq_c1/2,0)))/INDEX(lk_legs,11))&lt;(((2*IF(circ_int,0,eq_c2/2))+(PI()*(s_0+10*s_r+IF(circ_int,eq_c1/2,0))/2))+2*IF(circ_int,0,eq_c1/2)),IF(circ_int,0,eq_c1/2)-(((51+0.5)*(4*IF(circ_int,0,eq_c1/2)+4*IF(circ_int,0,eq_c2/2)+2*PI()*(s_0+10*s_r+IF(circ_int,eq_c1/2,0)))/INDEX(lk_legs,11))-((2*IF(circ_int,0,eq_c2/2))+(PI()*(s_0+10*s_r+IF(circ_int,eq_c1/2,0))/2))),IF(((51+0.5)*(4*IF(circ_int,0,eq_c1/2)+4*IF(circ_int,0,eq_c2/2)+2*PI()*(s_0+10*s_r+IF(circ_int,eq_c1/2,0)))/INDEX(lk_legs,11))&lt;((((2*IF(circ_int,0,eq_c2/2))+(PI()*(s_0+10*s_r+IF(circ_int,eq_c1/2,0))/2))+2*IF(circ_int,0,eq_c1/2))+(PI()*(s_0+10*s_r+IF(circ_int,eq_c1/2,0))/2)),-IF(circ_int,0,eq_c1/2)+(s_0+10*s_r+IF(circ_int,eq_c1/2,0))*COS(PI()/2+(((51+0.5)*(4*IF(circ_int,0,eq_c1/2)+4*IF(circ_int,0,eq_c2/2)+2*PI()*(s_0+10*s_r+IF(circ_int,eq_c1/2,0)))/INDEX(lk_legs,11))-(((2*IF(circ_int,0,eq_c2/2))+(PI()*(s_0+10*s_r+IF(circ_int,eq_c1/2,0))/2))+2*IF(circ_int,0,eq_c1/2)))/(s_0+10*s_r+IF(circ_int,eq_c1/2,0))),IF(((51+0.5)*(4*IF(circ_int,0,eq_c1/2)+4*IF(circ_int,0,eq_c2/2)+2*PI()*(s_0+10*s_r+IF(circ_int,eq_c1/2,0)))/INDEX(lk_legs,11))&lt;(((((2*IF(circ_int,0,eq_c2/2))+(PI()*(s_0+10*s_r+IF(circ_int,eq_c1/2,0))/2))+2*IF(circ_int,0,eq_c1/2))+(PI()*(s_0+10*s_r+IF(circ_int,eq_c1/2,0))/2))+2*IF(circ_int,0,eq_c2/2)),-IF(circ_int,0,eq_c1/2)-(s_0+10*s_r+IF(circ_int,eq_c1/2,0)),IF(((51+0.5)*(4*IF(circ_int,0,eq_c1/2)+4*IF(circ_int,0,eq_c2/2)+2*PI()*(s_0+10*s_r+IF(circ_int,eq_c1/2,0)))/INDEX(lk_legs,11))&lt;((((((2*IF(circ_int,0,eq_c2/2))+(PI()*(s_0+10*s_r+IF(circ_int,eq_c1/2,0))/2))+2*IF(circ_int,0,eq_c1/2))+(PI()*(s_0+10*s_r+IF(circ_int,eq_c1/2,0))/2))+2*IF(circ_int,0,eq_c2/2))+(PI()*(s_0+10*s_r+IF(circ_int,eq_c1/2,0))/2)),-IF(circ_int,0,eq_c1/2)+(s_0+10*s_r+IF(circ_int,eq_c1/2,0))*COS(PI()+(((51+0.5)*(4*IF(circ_int,0,eq_c1/2)+4*IF(circ_int,0,eq_c2/2)+2*PI()*(s_0+10*s_r+IF(circ_int,eq_c1/2,0)))/INDEX(lk_legs,11))-(((((2*IF(circ_int,0,eq_c2/2))+(PI()*(s_0+10*s_r+IF(circ_int,eq_c1/2,0))/2))+2*IF(circ_int,0,eq_c1/2))+(PI()*(s_0+10*s_r+IF(circ_int,eq_c1/2,0))/2))+2*IF(circ_int,0,eq_c2/2)))/(s_0+10*s_r+IF(circ_int,eq_c1/2,0))),IF(((51+0.5)*(4*IF(circ_int,0,eq_c1/2)+4*IF(circ_int,0,eq_c2/2)+2*PI()*(s_0+10*s_r+IF(circ_int,eq_c1/2,0)))/INDEX(lk_legs,11))&lt;(((((((2*IF(circ_int,0,eq_c2/2))+(PI()*(s_0+10*s_r+IF(circ_int,eq_c1/2,0))/2))+2*IF(circ_int,0,eq_c1/2))+(PI()*(s_0+10*s_r+IF(circ_int,eq_c1/2,0))/2))+2*IF(circ_int,0,eq_c2/2))+(PI()*(s_0+10*s_r+IF(circ_int,eq_c1/2,0))/2))+2*IF(circ_int,0,eq_c1/2)),-IF(circ_int,0,eq_c1/2)+(((51+0.5)*(4*IF(circ_int,0,eq_c1/2)+4*IF(circ_int,0,eq_c2/2)+2*PI()*(s_0+10*s_r+IF(circ_int,eq_c1/2,0)))/INDEX(lk_legs,11))-((((((2*IF(circ_int,0,eq_c2/2))+(PI()*(s_0+10*s_r+IF(circ_int,eq_c1/2,0))/2))+2*IF(circ_int,0,eq_c1/2))+(PI()*(s_0+10*s_r+IF(circ_int,eq_c1/2,0))/2))+2*IF(circ_int,0,eq_c2/2))+(PI()*(s_0+10*s_r+IF(circ_int,eq_c1/2,0))/2))),IF(circ_int,0,eq_c1/2)+(s_0+10*s_r+IF(circ_int,eq_c1/2,0))*COS(3*PI()/2+(((51+0.5)*(4*IF(circ_int,0,eq_c1/2)+4*IF(circ_int,0,eq_c2/2)+2*PI()*(s_0+10*s_r+IF(circ_int,eq_c1/2,0)))/INDEX(lk_legs,11))-(((((((2*IF(circ_int,0,eq_c2/2))+(PI()*(s_0+10*s_r+IF(circ_int,eq_c1/2,0))/2))+2*IF(circ_int,0,eq_c1/2))+(PI()*(s_0+10*s_r+IF(circ_int,eq_c1/2,0))/2))+2*IF(circ_int,0,eq_c2/2))+(PI()*(s_0+10*s_r+IF(circ_int,eq_c1/2,0))/2))+2*IF(circ_int,0,eq_c1/2)))/(s_0+10*s_r+IF(circ_int,eq_c1/2,0)))))))))),NA())</f>
        <v/>
      </c>
      <c r="DI54">
        <f>IF(AND(AND(links_on,11&lt;=n_per),INDEX(lk_kind,11)=1,51&lt;INDEX(lk_legs,11)),g_oy+IF(((51+0.5)*(4*IF(circ_int,0,eq_c1/2)+4*IF(circ_int,0,eq_c2/2)+2*PI()*(s_0+10*s_r+IF(circ_int,eq_c1/2,0)))/INDEX(lk_legs,11))&lt;(2*IF(circ_int,0,eq_c2/2)),-IF(circ_int,0,eq_c2/2)+((51+0.5)*(4*IF(circ_int,0,eq_c1/2)+4*IF(circ_int,0,eq_c2/2)+2*PI()*(s_0+10*s_r+IF(circ_int,eq_c1/2,0)))/INDEX(lk_legs,11)),IF(((51+0.5)*(4*IF(circ_int,0,eq_c1/2)+4*IF(circ_int,0,eq_c2/2)+2*PI()*(s_0+10*s_r+IF(circ_int,eq_c1/2,0)))/INDEX(lk_legs,11))&lt;((2*IF(circ_int,0,eq_c2/2))+(PI()*(s_0+10*s_r+IF(circ_int,eq_c1/2,0))/2)),IF(circ_int,0,eq_c2/2)+(s_0+10*s_r+IF(circ_int,eq_c1/2,0))*SIN((((51+0.5)*(4*IF(circ_int,0,eq_c1/2)+4*IF(circ_int,0,eq_c2/2)+2*PI()*(s_0+10*s_r+IF(circ_int,eq_c1/2,0)))/INDEX(lk_legs,11))-(2*IF(circ_int,0,eq_c2/2)))/(s_0+10*s_r+IF(circ_int,eq_c1/2,0))),IF(((51+0.5)*(4*IF(circ_int,0,eq_c1/2)+4*IF(circ_int,0,eq_c2/2)+2*PI()*(s_0+10*s_r+IF(circ_int,eq_c1/2,0)))/INDEX(lk_legs,11))&lt;(((2*IF(circ_int,0,eq_c2/2))+(PI()*(s_0+10*s_r+IF(circ_int,eq_c1/2,0))/2))+2*IF(circ_int,0,eq_c1/2)),IF(circ_int,0,eq_c2/2)+(s_0+10*s_r+IF(circ_int,eq_c1/2,0)),IF(((51+0.5)*(4*IF(circ_int,0,eq_c1/2)+4*IF(circ_int,0,eq_c2/2)+2*PI()*(s_0+10*s_r+IF(circ_int,eq_c1/2,0)))/INDEX(lk_legs,11))&lt;((((2*IF(circ_int,0,eq_c2/2))+(PI()*(s_0+10*s_r+IF(circ_int,eq_c1/2,0))/2))+2*IF(circ_int,0,eq_c1/2))+(PI()*(s_0+10*s_r+IF(circ_int,eq_c1/2,0))/2)),IF(circ_int,0,eq_c2/2)+(s_0+10*s_r+IF(circ_int,eq_c1/2,0))*SIN(PI()/2+(((51+0.5)*(4*IF(circ_int,0,eq_c1/2)+4*IF(circ_int,0,eq_c2/2)+2*PI()*(s_0+10*s_r+IF(circ_int,eq_c1/2,0)))/INDEX(lk_legs,11))-(((2*IF(circ_int,0,eq_c2/2))+(PI()*(s_0+10*s_r+IF(circ_int,eq_c1/2,0))/2))+2*IF(circ_int,0,eq_c1/2)))/(s_0+10*s_r+IF(circ_int,eq_c1/2,0))),IF(((51+0.5)*(4*IF(circ_int,0,eq_c1/2)+4*IF(circ_int,0,eq_c2/2)+2*PI()*(s_0+10*s_r+IF(circ_int,eq_c1/2,0)))/INDEX(lk_legs,11))&lt;(((((2*IF(circ_int,0,eq_c2/2))+(PI()*(s_0+10*s_r+IF(circ_int,eq_c1/2,0))/2))+2*IF(circ_int,0,eq_c1/2))+(PI()*(s_0+10*s_r+IF(circ_int,eq_c1/2,0))/2))+2*IF(circ_int,0,eq_c2/2)),IF(circ_int,0,eq_c2/2)-(((51+0.5)*(4*IF(circ_int,0,eq_c1/2)+4*IF(circ_int,0,eq_c2/2)+2*PI()*(s_0+10*s_r+IF(circ_int,eq_c1/2,0)))/INDEX(lk_legs,11))-((((2*IF(circ_int,0,eq_c2/2))+(PI()*(s_0+10*s_r+IF(circ_int,eq_c1/2,0))/2))+2*IF(circ_int,0,eq_c1/2))+(PI()*(s_0+10*s_r+IF(circ_int,eq_c1/2,0))/2))),IF(((51+0.5)*(4*IF(circ_int,0,eq_c1/2)+4*IF(circ_int,0,eq_c2/2)+2*PI()*(s_0+10*s_r+IF(circ_int,eq_c1/2,0)))/INDEX(lk_legs,11))&lt;((((((2*IF(circ_int,0,eq_c2/2))+(PI()*(s_0+10*s_r+IF(circ_int,eq_c1/2,0))/2))+2*IF(circ_int,0,eq_c1/2))+(PI()*(s_0+10*s_r+IF(circ_int,eq_c1/2,0))/2))+2*IF(circ_int,0,eq_c2/2))+(PI()*(s_0+10*s_r+IF(circ_int,eq_c1/2,0))/2)),-IF(circ_int,0,eq_c2/2)+(s_0+10*s_r+IF(circ_int,eq_c1/2,0))*SIN(PI()+(((51+0.5)*(4*IF(circ_int,0,eq_c1/2)+4*IF(circ_int,0,eq_c2/2)+2*PI()*(s_0+10*s_r+IF(circ_int,eq_c1/2,0)))/INDEX(lk_legs,11))-(((((2*IF(circ_int,0,eq_c2/2))+(PI()*(s_0+10*s_r+IF(circ_int,eq_c1/2,0))/2))+2*IF(circ_int,0,eq_c1/2))+(PI()*(s_0+10*s_r+IF(circ_int,eq_c1/2,0))/2))+2*IF(circ_int,0,eq_c2/2)))/(s_0+10*s_r+IF(circ_int,eq_c1/2,0))),IF(((51+0.5)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(51+0.5)*(4*IF(circ_int,0,eq_c1/2)+4*IF(circ_int,0,eq_c2/2)+2*PI()*(s_0+10*s_r+IF(circ_int,eq_c1/2,0)))/INDEX(lk_legs,11))-(((((((2*IF(circ_int,0,eq_c2/2))+(PI()*(s_0+10*s_r+IF(circ_int,eq_c1/2,0))/2))+2*IF(circ_int,0,eq_c1/2))+(PI()*(s_0+10*s_r+IF(circ_int,eq_c1/2,0))/2))+2*IF(circ_int,0,eq_c2/2))+(PI()*(s_0+10*s_r+IF(circ_int,eq_c1/2,0))/2))+2*IF(circ_int,0,eq_c1/2)))/(s_0+10*s_r+IF(circ_int,eq_c1/2,0)))))))))),NA())</f>
        <v/>
      </c>
      <c r="DK54">
        <f>IF(AND(links_on,12&lt;=n_per),IF(circ_int,(g_ox)+(c_1/2+(s_0+11*s_r))*0.992709,CHOOSE(INDEX(lk_kind,12),(g_ox+eq_c1/2)+((s_0+11*s_r))*1.000000,0,eq_a1+eq_c1+(s_0+11*s_r),eq_a1+eq_c1+(s_0+11*s_r))),NA())</f>
        <v/>
      </c>
      <c r="DL54">
        <f>IF(AND(links_on,12&lt;=n_per),IF(circ_int,(g_oy)+(c_1/2+(s_0+11*s_r))*-0.120537,CHOOSE(INDEX(lk_kind,12),(g_oy-eq_c2/2)+((s_0+11*s_r))*-0.000000,g_oy-eq_c2/2-(s_0+11*s_r),0,0)),NA())</f>
        <v/>
      </c>
      <c r="DN54">
        <f>IF(AND(AND(links_on,12&lt;=n_per),INDEX(lk_kind,12)=1,51&lt;INDEX(lk_legs,12)),g_ox+IF(((51+0.5)*(4*IF(circ_int,0,eq_c1/2)+4*IF(circ_int,0,eq_c2/2)+2*PI()*(s_0+11*s_r+IF(circ_int,eq_c1/2,0)))/INDEX(lk_legs,12))&lt;(2*IF(circ_int,0,eq_c2/2)),IF(circ_int,0,eq_c1/2)+(s_0+11*s_r+IF(circ_int,eq_c1/2,0)),IF(((51+0.5)*(4*IF(circ_int,0,eq_c1/2)+4*IF(circ_int,0,eq_c2/2)+2*PI()*(s_0+11*s_r+IF(circ_int,eq_c1/2,0)))/INDEX(lk_legs,12))&lt;((2*IF(circ_int,0,eq_c2/2))+(PI()*(s_0+11*s_r+IF(circ_int,eq_c1/2,0))/2)),IF(circ_int,0,eq_c1/2)+(s_0+11*s_r+IF(circ_int,eq_c1/2,0))*COS((((51+0.5)*(4*IF(circ_int,0,eq_c1/2)+4*IF(circ_int,0,eq_c2/2)+2*PI()*(s_0+11*s_r+IF(circ_int,eq_c1/2,0)))/INDEX(lk_legs,12))-(2*IF(circ_int,0,eq_c2/2)))/(s_0+11*s_r+IF(circ_int,eq_c1/2,0))),IF(((51+0.5)*(4*IF(circ_int,0,eq_c1/2)+4*IF(circ_int,0,eq_c2/2)+2*PI()*(s_0+11*s_r+IF(circ_int,eq_c1/2,0)))/INDEX(lk_legs,12))&lt;(((2*IF(circ_int,0,eq_c2/2))+(PI()*(s_0+11*s_r+IF(circ_int,eq_c1/2,0))/2))+2*IF(circ_int,0,eq_c1/2)),IF(circ_int,0,eq_c1/2)-(((51+0.5)*(4*IF(circ_int,0,eq_c1/2)+4*IF(circ_int,0,eq_c2/2)+2*PI()*(s_0+11*s_r+IF(circ_int,eq_c1/2,0)))/INDEX(lk_legs,12))-((2*IF(circ_int,0,eq_c2/2))+(PI()*(s_0+11*s_r+IF(circ_int,eq_c1/2,0))/2))),IF(((51+0.5)*(4*IF(circ_int,0,eq_c1/2)+4*IF(circ_int,0,eq_c2/2)+2*PI()*(s_0+11*s_r+IF(circ_int,eq_c1/2,0)))/INDEX(lk_legs,12))&lt;((((2*IF(circ_int,0,eq_c2/2))+(PI()*(s_0+11*s_r+IF(circ_int,eq_c1/2,0))/2))+2*IF(circ_int,0,eq_c1/2))+(PI()*(s_0+11*s_r+IF(circ_int,eq_c1/2,0))/2)),-IF(circ_int,0,eq_c1/2)+(s_0+11*s_r+IF(circ_int,eq_c1/2,0))*COS(PI()/2+(((51+0.5)*(4*IF(circ_int,0,eq_c1/2)+4*IF(circ_int,0,eq_c2/2)+2*PI()*(s_0+11*s_r+IF(circ_int,eq_c1/2,0)))/INDEX(lk_legs,12))-(((2*IF(circ_int,0,eq_c2/2))+(PI()*(s_0+11*s_r+IF(circ_int,eq_c1/2,0))/2))+2*IF(circ_int,0,eq_c1/2)))/(s_0+11*s_r+IF(circ_int,eq_c1/2,0))),IF(((51+0.5)*(4*IF(circ_int,0,eq_c1/2)+4*IF(circ_int,0,eq_c2/2)+2*PI()*(s_0+11*s_r+IF(circ_int,eq_c1/2,0)))/INDEX(lk_legs,12))&lt;(((((2*IF(circ_int,0,eq_c2/2))+(PI()*(s_0+11*s_r+IF(circ_int,eq_c1/2,0))/2))+2*IF(circ_int,0,eq_c1/2))+(PI()*(s_0+11*s_r+IF(circ_int,eq_c1/2,0))/2))+2*IF(circ_int,0,eq_c2/2)),-IF(circ_int,0,eq_c1/2)-(s_0+11*s_r+IF(circ_int,eq_c1/2,0)),IF(((51+0.5)*(4*IF(circ_int,0,eq_c1/2)+4*IF(circ_int,0,eq_c2/2)+2*PI()*(s_0+11*s_r+IF(circ_int,eq_c1/2,0)))/INDEX(lk_legs,12))&lt;((((((2*IF(circ_int,0,eq_c2/2))+(PI()*(s_0+11*s_r+IF(circ_int,eq_c1/2,0))/2))+2*IF(circ_int,0,eq_c1/2))+(PI()*(s_0+11*s_r+IF(circ_int,eq_c1/2,0))/2))+2*IF(circ_int,0,eq_c2/2))+(PI()*(s_0+11*s_r+IF(circ_int,eq_c1/2,0))/2)),-IF(circ_int,0,eq_c1/2)+(s_0+11*s_r+IF(circ_int,eq_c1/2,0))*COS(PI()+(((51+0.5)*(4*IF(circ_int,0,eq_c1/2)+4*IF(circ_int,0,eq_c2/2)+2*PI()*(s_0+11*s_r+IF(circ_int,eq_c1/2,0)))/INDEX(lk_legs,12))-(((((2*IF(circ_int,0,eq_c2/2))+(PI()*(s_0+11*s_r+IF(circ_int,eq_c1/2,0))/2))+2*IF(circ_int,0,eq_c1/2))+(PI()*(s_0+11*s_r+IF(circ_int,eq_c1/2,0))/2))+2*IF(circ_int,0,eq_c2/2)))/(s_0+11*s_r+IF(circ_int,eq_c1/2,0))),IF(((51+0.5)*(4*IF(circ_int,0,eq_c1/2)+4*IF(circ_int,0,eq_c2/2)+2*PI()*(s_0+11*s_r+IF(circ_int,eq_c1/2,0)))/INDEX(lk_legs,12))&lt;(((((((2*IF(circ_int,0,eq_c2/2))+(PI()*(s_0+11*s_r+IF(circ_int,eq_c1/2,0))/2))+2*IF(circ_int,0,eq_c1/2))+(PI()*(s_0+11*s_r+IF(circ_int,eq_c1/2,0))/2))+2*IF(circ_int,0,eq_c2/2))+(PI()*(s_0+11*s_r+IF(circ_int,eq_c1/2,0))/2))+2*IF(circ_int,0,eq_c1/2)),-IF(circ_int,0,eq_c1/2)+(((51+0.5)*(4*IF(circ_int,0,eq_c1/2)+4*IF(circ_int,0,eq_c2/2)+2*PI()*(s_0+11*s_r+IF(circ_int,eq_c1/2,0)))/INDEX(lk_legs,12))-((((((2*IF(circ_int,0,eq_c2/2))+(PI()*(s_0+11*s_r+IF(circ_int,eq_c1/2,0))/2))+2*IF(circ_int,0,eq_c1/2))+(PI()*(s_0+11*s_r+IF(circ_int,eq_c1/2,0))/2))+2*IF(circ_int,0,eq_c2/2))+(PI()*(s_0+11*s_r+IF(circ_int,eq_c1/2,0))/2))),IF(circ_int,0,eq_c1/2)+(s_0+11*s_r+IF(circ_int,eq_c1/2,0))*COS(3*PI()/2+(((51+0.5)*(4*IF(circ_int,0,eq_c1/2)+4*IF(circ_int,0,eq_c2/2)+2*PI()*(s_0+11*s_r+IF(circ_int,eq_c1/2,0)))/INDEX(lk_legs,12))-(((((((2*IF(circ_int,0,eq_c2/2))+(PI()*(s_0+11*s_r+IF(circ_int,eq_c1/2,0))/2))+2*IF(circ_int,0,eq_c1/2))+(PI()*(s_0+11*s_r+IF(circ_int,eq_c1/2,0))/2))+2*IF(circ_int,0,eq_c2/2))+(PI()*(s_0+11*s_r+IF(circ_int,eq_c1/2,0))/2))+2*IF(circ_int,0,eq_c1/2)))/(s_0+11*s_r+IF(circ_int,eq_c1/2,0)))))))))),NA())</f>
        <v/>
      </c>
      <c r="DO54">
        <f>IF(AND(AND(links_on,12&lt;=n_per),INDEX(lk_kind,12)=1,51&lt;INDEX(lk_legs,12)),g_oy+IF(((51+0.5)*(4*IF(circ_int,0,eq_c1/2)+4*IF(circ_int,0,eq_c2/2)+2*PI()*(s_0+11*s_r+IF(circ_int,eq_c1/2,0)))/INDEX(lk_legs,12))&lt;(2*IF(circ_int,0,eq_c2/2)),-IF(circ_int,0,eq_c2/2)+((51+0.5)*(4*IF(circ_int,0,eq_c1/2)+4*IF(circ_int,0,eq_c2/2)+2*PI()*(s_0+11*s_r+IF(circ_int,eq_c1/2,0)))/INDEX(lk_legs,12)),IF(((51+0.5)*(4*IF(circ_int,0,eq_c1/2)+4*IF(circ_int,0,eq_c2/2)+2*PI()*(s_0+11*s_r+IF(circ_int,eq_c1/2,0)))/INDEX(lk_legs,12))&lt;((2*IF(circ_int,0,eq_c2/2))+(PI()*(s_0+11*s_r+IF(circ_int,eq_c1/2,0))/2)),IF(circ_int,0,eq_c2/2)+(s_0+11*s_r+IF(circ_int,eq_c1/2,0))*SIN((((51+0.5)*(4*IF(circ_int,0,eq_c1/2)+4*IF(circ_int,0,eq_c2/2)+2*PI()*(s_0+11*s_r+IF(circ_int,eq_c1/2,0)))/INDEX(lk_legs,12))-(2*IF(circ_int,0,eq_c2/2)))/(s_0+11*s_r+IF(circ_int,eq_c1/2,0))),IF(((51+0.5)*(4*IF(circ_int,0,eq_c1/2)+4*IF(circ_int,0,eq_c2/2)+2*PI()*(s_0+11*s_r+IF(circ_int,eq_c1/2,0)))/INDEX(lk_legs,12))&lt;(((2*IF(circ_int,0,eq_c2/2))+(PI()*(s_0+11*s_r+IF(circ_int,eq_c1/2,0))/2))+2*IF(circ_int,0,eq_c1/2)),IF(circ_int,0,eq_c2/2)+(s_0+11*s_r+IF(circ_int,eq_c1/2,0)),IF(((51+0.5)*(4*IF(circ_int,0,eq_c1/2)+4*IF(circ_int,0,eq_c2/2)+2*PI()*(s_0+11*s_r+IF(circ_int,eq_c1/2,0)))/INDEX(lk_legs,12))&lt;((((2*IF(circ_int,0,eq_c2/2))+(PI()*(s_0+11*s_r+IF(circ_int,eq_c1/2,0))/2))+2*IF(circ_int,0,eq_c1/2))+(PI()*(s_0+11*s_r+IF(circ_int,eq_c1/2,0))/2)),IF(circ_int,0,eq_c2/2)+(s_0+11*s_r+IF(circ_int,eq_c1/2,0))*SIN(PI()/2+(((51+0.5)*(4*IF(circ_int,0,eq_c1/2)+4*IF(circ_int,0,eq_c2/2)+2*PI()*(s_0+11*s_r+IF(circ_int,eq_c1/2,0)))/INDEX(lk_legs,12))-(((2*IF(circ_int,0,eq_c2/2))+(PI()*(s_0+11*s_r+IF(circ_int,eq_c1/2,0))/2))+2*IF(circ_int,0,eq_c1/2)))/(s_0+11*s_r+IF(circ_int,eq_c1/2,0))),IF(((51+0.5)*(4*IF(circ_int,0,eq_c1/2)+4*IF(circ_int,0,eq_c2/2)+2*PI()*(s_0+11*s_r+IF(circ_int,eq_c1/2,0)))/INDEX(lk_legs,12))&lt;(((((2*IF(circ_int,0,eq_c2/2))+(PI()*(s_0+11*s_r+IF(circ_int,eq_c1/2,0))/2))+2*IF(circ_int,0,eq_c1/2))+(PI()*(s_0+11*s_r+IF(circ_int,eq_c1/2,0))/2))+2*IF(circ_int,0,eq_c2/2)),IF(circ_int,0,eq_c2/2)-(((51+0.5)*(4*IF(circ_int,0,eq_c1/2)+4*IF(circ_int,0,eq_c2/2)+2*PI()*(s_0+11*s_r+IF(circ_int,eq_c1/2,0)))/INDEX(lk_legs,12))-((((2*IF(circ_int,0,eq_c2/2))+(PI()*(s_0+11*s_r+IF(circ_int,eq_c1/2,0))/2))+2*IF(circ_int,0,eq_c1/2))+(PI()*(s_0+11*s_r+IF(circ_int,eq_c1/2,0))/2))),IF(((51+0.5)*(4*IF(circ_int,0,eq_c1/2)+4*IF(circ_int,0,eq_c2/2)+2*PI()*(s_0+11*s_r+IF(circ_int,eq_c1/2,0)))/INDEX(lk_legs,12))&lt;((((((2*IF(circ_int,0,eq_c2/2))+(PI()*(s_0+11*s_r+IF(circ_int,eq_c1/2,0))/2))+2*IF(circ_int,0,eq_c1/2))+(PI()*(s_0+11*s_r+IF(circ_int,eq_c1/2,0))/2))+2*IF(circ_int,0,eq_c2/2))+(PI()*(s_0+11*s_r+IF(circ_int,eq_c1/2,0))/2)),-IF(circ_int,0,eq_c2/2)+(s_0+11*s_r+IF(circ_int,eq_c1/2,0))*SIN(PI()+(((51+0.5)*(4*IF(circ_int,0,eq_c1/2)+4*IF(circ_int,0,eq_c2/2)+2*PI()*(s_0+11*s_r+IF(circ_int,eq_c1/2,0)))/INDEX(lk_legs,12))-(((((2*IF(circ_int,0,eq_c2/2))+(PI()*(s_0+11*s_r+IF(circ_int,eq_c1/2,0))/2))+2*IF(circ_int,0,eq_c1/2))+(PI()*(s_0+11*s_r+IF(circ_int,eq_c1/2,0))/2))+2*IF(circ_int,0,eq_c2/2)))/(s_0+11*s_r+IF(circ_int,eq_c1/2,0))),IF(((51+0.5)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(51+0.5)*(4*IF(circ_int,0,eq_c1/2)+4*IF(circ_int,0,eq_c2/2)+2*PI()*(s_0+11*s_r+IF(circ_int,eq_c1/2,0)))/INDEX(lk_legs,12))-(((((((2*IF(circ_int,0,eq_c2/2))+(PI()*(s_0+11*s_r+IF(circ_int,eq_c1/2,0))/2))+2*IF(circ_int,0,eq_c1/2))+(PI()*(s_0+11*s_r+IF(circ_int,eq_c1/2,0))/2))+2*IF(circ_int,0,eq_c2/2))+(PI()*(s_0+11*s_r+IF(circ_int,eq_c1/2,0))/2))+2*IF(circ_int,0,eq_c1/2)))/(s_0+11*s_r+IF(circ_int,eq_c1/2,0)))))))))),NA())</f>
        <v/>
      </c>
    </row>
    <row r="55">
      <c r="A55">
        <f>IF(shape="Circular",(g_ox)+(c_1/2+0)*1.000000,CHOOSE(1,(g_ox+eq_c1/2)+(0)*1.000000,0,eq_a1+eq_c1+0,eq_a1+eq_c1+0))</f>
        <v/>
      </c>
      <c r="B55">
        <f>IF(shape="Circular",(g_oy)+(c_1/2+0)*-0.000000,CHOOSE(1,(g_oy+eq_c2/2)+(0)*0.000000,g_oy-eq_c2/2-0,0,0))</f>
        <v/>
      </c>
      <c r="D55">
        <f>IF(circ_int,(g_ox)+(c_1/2+2*d_eff)*1.000000,CHOOSE(geo_idx,(g_ox+eq_c1/2)+(2*d_eff)*1.000000,0,eq_a1+eq_c1+2*d_eff,eq_a1+eq_c1+2*d_eff))</f>
        <v/>
      </c>
      <c r="E55">
        <f>IF(circ_int,(g_oy)+(c_1/2+2*d_eff)*-0.000000,CHOOSE(geo_idx,(g_oy+eq_c2/2)+(2*d_eff)*0.000000,g_oy-eq_c2/2-2*d_eff,0,0))</f>
        <v/>
      </c>
      <c r="G55">
        <f>IF(AND(inputs_ok,punch_ok,A_sw&gt;0),IF(circ_int,(g_ox)+(c_1/2+r_out)*1.000000,CHOOSE(kind_out,(g_ox+eq_c1/2)+(r_out)*1.000000,0,eq_a1+eq_c1+r_out,eq_a1+eq_c1+r_out)),NA())</f>
        <v/>
      </c>
      <c r="H55">
        <f>IF(AND(inputs_ok,punch_ok,A_sw&gt;0),IF(circ_int,(g_oy)+(c_1/2+r_out)*-0.000000,CHOOSE(kind_out,(g_oy+eq_c2/2)+(r_out)*0.000000,g_oy-eq_c2/2-r_out,0,0)),NA())</f>
        <v/>
      </c>
      <c r="AW55">
        <f>IF(AND(links_on,1&lt;=n_per),IF(circ_int,(g_ox)+(c_1/2+(s_0+0*s_r))*1.000000,CHOOSE(INDEX(lk_kind,1),(g_ox+eq_c1/2)+((s_0+0*s_r))*1.000000,0,eq_a1+eq_c1+(s_0+0*s_r),eq_a1+eq_c1+(s_0+0*s_r))),NA())</f>
        <v/>
      </c>
      <c r="AX55">
        <f>IF(AND(links_on,1&lt;=n_per),IF(circ_int,(g_oy)+(c_1/2+(s_0+0*s_r))*-0.000000,CHOOSE(INDEX(lk_kind,1),(g_oy+eq_c2/2)+((s_0+0*s_r))*0.000000,g_oy-eq_c2/2-(s_0+0*s_r),0,0)),NA())</f>
        <v/>
      </c>
      <c r="AZ55">
        <f>IF(AND(AND(links_on,1&lt;=n_per),INDEX(lk_kind,1)=1,52&lt;INDEX(lk_legs,1)),g_ox+IF(((52+0.5)*(4*IF(circ_int,0,eq_c1/2)+4*IF(circ_int,0,eq_c2/2)+2*PI()*(s_0+0*s_r+IF(circ_int,eq_c1/2,0)))/INDEX(lk_legs,1))&lt;(2*IF(circ_int,0,eq_c2/2)),IF(circ_int,0,eq_c1/2)+(s_0+0*s_r+IF(circ_int,eq_c1/2,0)),IF(((52+0.5)*(4*IF(circ_int,0,eq_c1/2)+4*IF(circ_int,0,eq_c2/2)+2*PI()*(s_0+0*s_r+IF(circ_int,eq_c1/2,0)))/INDEX(lk_legs,1))&lt;((2*IF(circ_int,0,eq_c2/2))+(PI()*(s_0+0*s_r+IF(circ_int,eq_c1/2,0))/2)),IF(circ_int,0,eq_c1/2)+(s_0+0*s_r+IF(circ_int,eq_c1/2,0))*COS((((52+0.5)*(4*IF(circ_int,0,eq_c1/2)+4*IF(circ_int,0,eq_c2/2)+2*PI()*(s_0+0*s_r+IF(circ_int,eq_c1/2,0)))/INDEX(lk_legs,1))-(2*IF(circ_int,0,eq_c2/2)))/(s_0+0*s_r+IF(circ_int,eq_c1/2,0))),IF(((52+0.5)*(4*IF(circ_int,0,eq_c1/2)+4*IF(circ_int,0,eq_c2/2)+2*PI()*(s_0+0*s_r+IF(circ_int,eq_c1/2,0)))/INDEX(lk_legs,1))&lt;(((2*IF(circ_int,0,eq_c2/2))+(PI()*(s_0+0*s_r+IF(circ_int,eq_c1/2,0))/2))+2*IF(circ_int,0,eq_c1/2)),IF(circ_int,0,eq_c1/2)-(((52+0.5)*(4*IF(circ_int,0,eq_c1/2)+4*IF(circ_int,0,eq_c2/2)+2*PI()*(s_0+0*s_r+IF(circ_int,eq_c1/2,0)))/INDEX(lk_legs,1))-((2*IF(circ_int,0,eq_c2/2))+(PI()*(s_0+0*s_r+IF(circ_int,eq_c1/2,0))/2))),IF(((52+0.5)*(4*IF(circ_int,0,eq_c1/2)+4*IF(circ_int,0,eq_c2/2)+2*PI()*(s_0+0*s_r+IF(circ_int,eq_c1/2,0)))/INDEX(lk_legs,1))&lt;((((2*IF(circ_int,0,eq_c2/2))+(PI()*(s_0+0*s_r+IF(circ_int,eq_c1/2,0))/2))+2*IF(circ_int,0,eq_c1/2))+(PI()*(s_0+0*s_r+IF(circ_int,eq_c1/2,0))/2)),-IF(circ_int,0,eq_c1/2)+(s_0+0*s_r+IF(circ_int,eq_c1/2,0))*COS(PI()/2+(((52+0.5)*(4*IF(circ_int,0,eq_c1/2)+4*IF(circ_int,0,eq_c2/2)+2*PI()*(s_0+0*s_r+IF(circ_int,eq_c1/2,0)))/INDEX(lk_legs,1))-(((2*IF(circ_int,0,eq_c2/2))+(PI()*(s_0+0*s_r+IF(circ_int,eq_c1/2,0))/2))+2*IF(circ_int,0,eq_c1/2)))/(s_0+0*s_r+IF(circ_int,eq_c1/2,0))),IF(((52+0.5)*(4*IF(circ_int,0,eq_c1/2)+4*IF(circ_int,0,eq_c2/2)+2*PI()*(s_0+0*s_r+IF(circ_int,eq_c1/2,0)))/INDEX(lk_legs,1))&lt;(((((2*IF(circ_int,0,eq_c2/2))+(PI()*(s_0+0*s_r+IF(circ_int,eq_c1/2,0))/2))+2*IF(circ_int,0,eq_c1/2))+(PI()*(s_0+0*s_r+IF(circ_int,eq_c1/2,0))/2))+2*IF(circ_int,0,eq_c2/2)),-IF(circ_int,0,eq_c1/2)-(s_0+0*s_r+IF(circ_int,eq_c1/2,0)),IF(((52+0.5)*(4*IF(circ_int,0,eq_c1/2)+4*IF(circ_int,0,eq_c2/2)+2*PI()*(s_0+0*s_r+IF(circ_int,eq_c1/2,0)))/INDEX(lk_legs,1))&lt;((((((2*IF(circ_int,0,eq_c2/2))+(PI()*(s_0+0*s_r+IF(circ_int,eq_c1/2,0))/2))+2*IF(circ_int,0,eq_c1/2))+(PI()*(s_0+0*s_r+IF(circ_int,eq_c1/2,0))/2))+2*IF(circ_int,0,eq_c2/2))+(PI()*(s_0+0*s_r+IF(circ_int,eq_c1/2,0))/2)),-IF(circ_int,0,eq_c1/2)+(s_0+0*s_r+IF(circ_int,eq_c1/2,0))*COS(PI()+(((52+0.5)*(4*IF(circ_int,0,eq_c1/2)+4*IF(circ_int,0,eq_c2/2)+2*PI()*(s_0+0*s_r+IF(circ_int,eq_c1/2,0)))/INDEX(lk_legs,1))-(((((2*IF(circ_int,0,eq_c2/2))+(PI()*(s_0+0*s_r+IF(circ_int,eq_c1/2,0))/2))+2*IF(circ_int,0,eq_c1/2))+(PI()*(s_0+0*s_r+IF(circ_int,eq_c1/2,0))/2))+2*IF(circ_int,0,eq_c2/2)))/(s_0+0*s_r+IF(circ_int,eq_c1/2,0))),IF(((52+0.5)*(4*IF(circ_int,0,eq_c1/2)+4*IF(circ_int,0,eq_c2/2)+2*PI()*(s_0+0*s_r+IF(circ_int,eq_c1/2,0)))/INDEX(lk_legs,1))&lt;(((((((2*IF(circ_int,0,eq_c2/2))+(PI()*(s_0+0*s_r+IF(circ_int,eq_c1/2,0))/2))+2*IF(circ_int,0,eq_c1/2))+(PI()*(s_0+0*s_r+IF(circ_int,eq_c1/2,0))/2))+2*IF(circ_int,0,eq_c2/2))+(PI()*(s_0+0*s_r+IF(circ_int,eq_c1/2,0))/2))+2*IF(circ_int,0,eq_c1/2)),-IF(circ_int,0,eq_c1/2)+(((52+0.5)*(4*IF(circ_int,0,eq_c1/2)+4*IF(circ_int,0,eq_c2/2)+2*PI()*(s_0+0*s_r+IF(circ_int,eq_c1/2,0)))/INDEX(lk_legs,1))-((((((2*IF(circ_int,0,eq_c2/2))+(PI()*(s_0+0*s_r+IF(circ_int,eq_c1/2,0))/2))+2*IF(circ_int,0,eq_c1/2))+(PI()*(s_0+0*s_r+IF(circ_int,eq_c1/2,0))/2))+2*IF(circ_int,0,eq_c2/2))+(PI()*(s_0+0*s_r+IF(circ_int,eq_c1/2,0))/2))),IF(circ_int,0,eq_c1/2)+(s_0+0*s_r+IF(circ_int,eq_c1/2,0))*COS(3*PI()/2+(((52+0.5)*(4*IF(circ_int,0,eq_c1/2)+4*IF(circ_int,0,eq_c2/2)+2*PI()*(s_0+0*s_r+IF(circ_int,eq_c1/2,0)))/INDEX(lk_legs,1))-(((((((2*IF(circ_int,0,eq_c2/2))+(PI()*(s_0+0*s_r+IF(circ_int,eq_c1/2,0))/2))+2*IF(circ_int,0,eq_c1/2))+(PI()*(s_0+0*s_r+IF(circ_int,eq_c1/2,0))/2))+2*IF(circ_int,0,eq_c2/2))+(PI()*(s_0+0*s_r+IF(circ_int,eq_c1/2,0))/2))+2*IF(circ_int,0,eq_c1/2)))/(s_0+0*s_r+IF(circ_int,eq_c1/2,0)))))))))),NA())</f>
        <v/>
      </c>
      <c r="BA55">
        <f>IF(AND(AND(links_on,1&lt;=n_per),INDEX(lk_kind,1)=1,52&lt;INDEX(lk_legs,1)),g_oy+IF(((52+0.5)*(4*IF(circ_int,0,eq_c1/2)+4*IF(circ_int,0,eq_c2/2)+2*PI()*(s_0+0*s_r+IF(circ_int,eq_c1/2,0)))/INDEX(lk_legs,1))&lt;(2*IF(circ_int,0,eq_c2/2)),-IF(circ_int,0,eq_c2/2)+((52+0.5)*(4*IF(circ_int,0,eq_c1/2)+4*IF(circ_int,0,eq_c2/2)+2*PI()*(s_0+0*s_r+IF(circ_int,eq_c1/2,0)))/INDEX(lk_legs,1)),IF(((52+0.5)*(4*IF(circ_int,0,eq_c1/2)+4*IF(circ_int,0,eq_c2/2)+2*PI()*(s_0+0*s_r+IF(circ_int,eq_c1/2,0)))/INDEX(lk_legs,1))&lt;((2*IF(circ_int,0,eq_c2/2))+(PI()*(s_0+0*s_r+IF(circ_int,eq_c1/2,0))/2)),IF(circ_int,0,eq_c2/2)+(s_0+0*s_r+IF(circ_int,eq_c1/2,0))*SIN((((52+0.5)*(4*IF(circ_int,0,eq_c1/2)+4*IF(circ_int,0,eq_c2/2)+2*PI()*(s_0+0*s_r+IF(circ_int,eq_c1/2,0)))/INDEX(lk_legs,1))-(2*IF(circ_int,0,eq_c2/2)))/(s_0+0*s_r+IF(circ_int,eq_c1/2,0))),IF(((52+0.5)*(4*IF(circ_int,0,eq_c1/2)+4*IF(circ_int,0,eq_c2/2)+2*PI()*(s_0+0*s_r+IF(circ_int,eq_c1/2,0)))/INDEX(lk_legs,1))&lt;(((2*IF(circ_int,0,eq_c2/2))+(PI()*(s_0+0*s_r+IF(circ_int,eq_c1/2,0))/2))+2*IF(circ_int,0,eq_c1/2)),IF(circ_int,0,eq_c2/2)+(s_0+0*s_r+IF(circ_int,eq_c1/2,0)),IF(((52+0.5)*(4*IF(circ_int,0,eq_c1/2)+4*IF(circ_int,0,eq_c2/2)+2*PI()*(s_0+0*s_r+IF(circ_int,eq_c1/2,0)))/INDEX(lk_legs,1))&lt;((((2*IF(circ_int,0,eq_c2/2))+(PI()*(s_0+0*s_r+IF(circ_int,eq_c1/2,0))/2))+2*IF(circ_int,0,eq_c1/2))+(PI()*(s_0+0*s_r+IF(circ_int,eq_c1/2,0))/2)),IF(circ_int,0,eq_c2/2)+(s_0+0*s_r+IF(circ_int,eq_c1/2,0))*SIN(PI()/2+(((52+0.5)*(4*IF(circ_int,0,eq_c1/2)+4*IF(circ_int,0,eq_c2/2)+2*PI()*(s_0+0*s_r+IF(circ_int,eq_c1/2,0)))/INDEX(lk_legs,1))-(((2*IF(circ_int,0,eq_c2/2))+(PI()*(s_0+0*s_r+IF(circ_int,eq_c1/2,0))/2))+2*IF(circ_int,0,eq_c1/2)))/(s_0+0*s_r+IF(circ_int,eq_c1/2,0))),IF(((52+0.5)*(4*IF(circ_int,0,eq_c1/2)+4*IF(circ_int,0,eq_c2/2)+2*PI()*(s_0+0*s_r+IF(circ_int,eq_c1/2,0)))/INDEX(lk_legs,1))&lt;(((((2*IF(circ_int,0,eq_c2/2))+(PI()*(s_0+0*s_r+IF(circ_int,eq_c1/2,0))/2))+2*IF(circ_int,0,eq_c1/2))+(PI()*(s_0+0*s_r+IF(circ_int,eq_c1/2,0))/2))+2*IF(circ_int,0,eq_c2/2)),IF(circ_int,0,eq_c2/2)-(((52+0.5)*(4*IF(circ_int,0,eq_c1/2)+4*IF(circ_int,0,eq_c2/2)+2*PI()*(s_0+0*s_r+IF(circ_int,eq_c1/2,0)))/INDEX(lk_legs,1))-((((2*IF(circ_int,0,eq_c2/2))+(PI()*(s_0+0*s_r+IF(circ_int,eq_c1/2,0))/2))+2*IF(circ_int,0,eq_c1/2))+(PI()*(s_0+0*s_r+IF(circ_int,eq_c1/2,0))/2))),IF(((52+0.5)*(4*IF(circ_int,0,eq_c1/2)+4*IF(circ_int,0,eq_c2/2)+2*PI()*(s_0+0*s_r+IF(circ_int,eq_c1/2,0)))/INDEX(lk_legs,1))&lt;((((((2*IF(circ_int,0,eq_c2/2))+(PI()*(s_0+0*s_r+IF(circ_int,eq_c1/2,0))/2))+2*IF(circ_int,0,eq_c1/2))+(PI()*(s_0+0*s_r+IF(circ_int,eq_c1/2,0))/2))+2*IF(circ_int,0,eq_c2/2))+(PI()*(s_0+0*s_r+IF(circ_int,eq_c1/2,0))/2)),-IF(circ_int,0,eq_c2/2)+(s_0+0*s_r+IF(circ_int,eq_c1/2,0))*SIN(PI()+(((52+0.5)*(4*IF(circ_int,0,eq_c1/2)+4*IF(circ_int,0,eq_c2/2)+2*PI()*(s_0+0*s_r+IF(circ_int,eq_c1/2,0)))/INDEX(lk_legs,1))-(((((2*IF(circ_int,0,eq_c2/2))+(PI()*(s_0+0*s_r+IF(circ_int,eq_c1/2,0))/2))+2*IF(circ_int,0,eq_c1/2))+(PI()*(s_0+0*s_r+IF(circ_int,eq_c1/2,0))/2))+2*IF(circ_int,0,eq_c2/2)))/(s_0+0*s_r+IF(circ_int,eq_c1/2,0))),IF(((52+0.5)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(52+0.5)*(4*IF(circ_int,0,eq_c1/2)+4*IF(circ_int,0,eq_c2/2)+2*PI()*(s_0+0*s_r+IF(circ_int,eq_c1/2,0)))/INDEX(lk_legs,1))-(((((((2*IF(circ_int,0,eq_c2/2))+(PI()*(s_0+0*s_r+IF(circ_int,eq_c1/2,0))/2))+2*IF(circ_int,0,eq_c1/2))+(PI()*(s_0+0*s_r+IF(circ_int,eq_c1/2,0))/2))+2*IF(circ_int,0,eq_c2/2))+(PI()*(s_0+0*s_r+IF(circ_int,eq_c1/2,0))/2))+2*IF(circ_int,0,eq_c1/2)))/(s_0+0*s_r+IF(circ_int,eq_c1/2,0)))))))))),NA())</f>
        <v/>
      </c>
      <c r="BC55">
        <f>IF(AND(links_on,2&lt;=n_per),IF(circ_int,(g_ox)+(c_1/2+(s_0+1*s_r))*1.000000,CHOOSE(INDEX(lk_kind,2),(g_ox+eq_c1/2)+((s_0+1*s_r))*1.000000,0,eq_a1+eq_c1+(s_0+1*s_r),eq_a1+eq_c1+(s_0+1*s_r))),NA())</f>
        <v/>
      </c>
      <c r="BD55">
        <f>IF(AND(links_on,2&lt;=n_per),IF(circ_int,(g_oy)+(c_1/2+(s_0+1*s_r))*-0.000000,CHOOSE(INDEX(lk_kind,2),(g_oy+eq_c2/2)+((s_0+1*s_r))*0.000000,g_oy-eq_c2/2-(s_0+1*s_r),0,0)),NA())</f>
        <v/>
      </c>
      <c r="BF55">
        <f>IF(AND(AND(links_on,2&lt;=n_per),INDEX(lk_kind,2)=1,52&lt;INDEX(lk_legs,2)),g_ox+IF(((52+0.5)*(4*IF(circ_int,0,eq_c1/2)+4*IF(circ_int,0,eq_c2/2)+2*PI()*(s_0+1*s_r+IF(circ_int,eq_c1/2,0)))/INDEX(lk_legs,2))&lt;(2*IF(circ_int,0,eq_c2/2)),IF(circ_int,0,eq_c1/2)+(s_0+1*s_r+IF(circ_int,eq_c1/2,0)),IF(((52+0.5)*(4*IF(circ_int,0,eq_c1/2)+4*IF(circ_int,0,eq_c2/2)+2*PI()*(s_0+1*s_r+IF(circ_int,eq_c1/2,0)))/INDEX(lk_legs,2))&lt;((2*IF(circ_int,0,eq_c2/2))+(PI()*(s_0+1*s_r+IF(circ_int,eq_c1/2,0))/2)),IF(circ_int,0,eq_c1/2)+(s_0+1*s_r+IF(circ_int,eq_c1/2,0))*COS((((52+0.5)*(4*IF(circ_int,0,eq_c1/2)+4*IF(circ_int,0,eq_c2/2)+2*PI()*(s_0+1*s_r+IF(circ_int,eq_c1/2,0)))/INDEX(lk_legs,2))-(2*IF(circ_int,0,eq_c2/2)))/(s_0+1*s_r+IF(circ_int,eq_c1/2,0))),IF(((52+0.5)*(4*IF(circ_int,0,eq_c1/2)+4*IF(circ_int,0,eq_c2/2)+2*PI()*(s_0+1*s_r+IF(circ_int,eq_c1/2,0)))/INDEX(lk_legs,2))&lt;(((2*IF(circ_int,0,eq_c2/2))+(PI()*(s_0+1*s_r+IF(circ_int,eq_c1/2,0))/2))+2*IF(circ_int,0,eq_c1/2)),IF(circ_int,0,eq_c1/2)-(((52+0.5)*(4*IF(circ_int,0,eq_c1/2)+4*IF(circ_int,0,eq_c2/2)+2*PI()*(s_0+1*s_r+IF(circ_int,eq_c1/2,0)))/INDEX(lk_legs,2))-((2*IF(circ_int,0,eq_c2/2))+(PI()*(s_0+1*s_r+IF(circ_int,eq_c1/2,0))/2))),IF(((52+0.5)*(4*IF(circ_int,0,eq_c1/2)+4*IF(circ_int,0,eq_c2/2)+2*PI()*(s_0+1*s_r+IF(circ_int,eq_c1/2,0)))/INDEX(lk_legs,2))&lt;((((2*IF(circ_int,0,eq_c2/2))+(PI()*(s_0+1*s_r+IF(circ_int,eq_c1/2,0))/2))+2*IF(circ_int,0,eq_c1/2))+(PI()*(s_0+1*s_r+IF(circ_int,eq_c1/2,0))/2)),-IF(circ_int,0,eq_c1/2)+(s_0+1*s_r+IF(circ_int,eq_c1/2,0))*COS(PI()/2+(((52+0.5)*(4*IF(circ_int,0,eq_c1/2)+4*IF(circ_int,0,eq_c2/2)+2*PI()*(s_0+1*s_r+IF(circ_int,eq_c1/2,0)))/INDEX(lk_legs,2))-(((2*IF(circ_int,0,eq_c2/2))+(PI()*(s_0+1*s_r+IF(circ_int,eq_c1/2,0))/2))+2*IF(circ_int,0,eq_c1/2)))/(s_0+1*s_r+IF(circ_int,eq_c1/2,0))),IF(((52+0.5)*(4*IF(circ_int,0,eq_c1/2)+4*IF(circ_int,0,eq_c2/2)+2*PI()*(s_0+1*s_r+IF(circ_int,eq_c1/2,0)))/INDEX(lk_legs,2))&lt;(((((2*IF(circ_int,0,eq_c2/2))+(PI()*(s_0+1*s_r+IF(circ_int,eq_c1/2,0))/2))+2*IF(circ_int,0,eq_c1/2))+(PI()*(s_0+1*s_r+IF(circ_int,eq_c1/2,0))/2))+2*IF(circ_int,0,eq_c2/2)),-IF(circ_int,0,eq_c1/2)-(s_0+1*s_r+IF(circ_int,eq_c1/2,0)),IF(((52+0.5)*(4*IF(circ_int,0,eq_c1/2)+4*IF(circ_int,0,eq_c2/2)+2*PI()*(s_0+1*s_r+IF(circ_int,eq_c1/2,0)))/INDEX(lk_legs,2))&lt;((((((2*IF(circ_int,0,eq_c2/2))+(PI()*(s_0+1*s_r+IF(circ_int,eq_c1/2,0))/2))+2*IF(circ_int,0,eq_c1/2))+(PI()*(s_0+1*s_r+IF(circ_int,eq_c1/2,0))/2))+2*IF(circ_int,0,eq_c2/2))+(PI()*(s_0+1*s_r+IF(circ_int,eq_c1/2,0))/2)),-IF(circ_int,0,eq_c1/2)+(s_0+1*s_r+IF(circ_int,eq_c1/2,0))*COS(PI()+(((52+0.5)*(4*IF(circ_int,0,eq_c1/2)+4*IF(circ_int,0,eq_c2/2)+2*PI()*(s_0+1*s_r+IF(circ_int,eq_c1/2,0)))/INDEX(lk_legs,2))-(((((2*IF(circ_int,0,eq_c2/2))+(PI()*(s_0+1*s_r+IF(circ_int,eq_c1/2,0))/2))+2*IF(circ_int,0,eq_c1/2))+(PI()*(s_0+1*s_r+IF(circ_int,eq_c1/2,0))/2))+2*IF(circ_int,0,eq_c2/2)))/(s_0+1*s_r+IF(circ_int,eq_c1/2,0))),IF(((52+0.5)*(4*IF(circ_int,0,eq_c1/2)+4*IF(circ_int,0,eq_c2/2)+2*PI()*(s_0+1*s_r+IF(circ_int,eq_c1/2,0)))/INDEX(lk_legs,2))&lt;(((((((2*IF(circ_int,0,eq_c2/2))+(PI()*(s_0+1*s_r+IF(circ_int,eq_c1/2,0))/2))+2*IF(circ_int,0,eq_c1/2))+(PI()*(s_0+1*s_r+IF(circ_int,eq_c1/2,0))/2))+2*IF(circ_int,0,eq_c2/2))+(PI()*(s_0+1*s_r+IF(circ_int,eq_c1/2,0))/2))+2*IF(circ_int,0,eq_c1/2)),-IF(circ_int,0,eq_c1/2)+(((52+0.5)*(4*IF(circ_int,0,eq_c1/2)+4*IF(circ_int,0,eq_c2/2)+2*PI()*(s_0+1*s_r+IF(circ_int,eq_c1/2,0)))/INDEX(lk_legs,2))-((((((2*IF(circ_int,0,eq_c2/2))+(PI()*(s_0+1*s_r+IF(circ_int,eq_c1/2,0))/2))+2*IF(circ_int,0,eq_c1/2))+(PI()*(s_0+1*s_r+IF(circ_int,eq_c1/2,0))/2))+2*IF(circ_int,0,eq_c2/2))+(PI()*(s_0+1*s_r+IF(circ_int,eq_c1/2,0))/2))),IF(circ_int,0,eq_c1/2)+(s_0+1*s_r+IF(circ_int,eq_c1/2,0))*COS(3*PI()/2+(((52+0.5)*(4*IF(circ_int,0,eq_c1/2)+4*IF(circ_int,0,eq_c2/2)+2*PI()*(s_0+1*s_r+IF(circ_int,eq_c1/2,0)))/INDEX(lk_legs,2))-(((((((2*IF(circ_int,0,eq_c2/2))+(PI()*(s_0+1*s_r+IF(circ_int,eq_c1/2,0))/2))+2*IF(circ_int,0,eq_c1/2))+(PI()*(s_0+1*s_r+IF(circ_int,eq_c1/2,0))/2))+2*IF(circ_int,0,eq_c2/2))+(PI()*(s_0+1*s_r+IF(circ_int,eq_c1/2,0))/2))+2*IF(circ_int,0,eq_c1/2)))/(s_0+1*s_r+IF(circ_int,eq_c1/2,0)))))))))),NA())</f>
        <v/>
      </c>
      <c r="BG55">
        <f>IF(AND(AND(links_on,2&lt;=n_per),INDEX(lk_kind,2)=1,52&lt;INDEX(lk_legs,2)),g_oy+IF(((52+0.5)*(4*IF(circ_int,0,eq_c1/2)+4*IF(circ_int,0,eq_c2/2)+2*PI()*(s_0+1*s_r+IF(circ_int,eq_c1/2,0)))/INDEX(lk_legs,2))&lt;(2*IF(circ_int,0,eq_c2/2)),-IF(circ_int,0,eq_c2/2)+((52+0.5)*(4*IF(circ_int,0,eq_c1/2)+4*IF(circ_int,0,eq_c2/2)+2*PI()*(s_0+1*s_r+IF(circ_int,eq_c1/2,0)))/INDEX(lk_legs,2)),IF(((52+0.5)*(4*IF(circ_int,0,eq_c1/2)+4*IF(circ_int,0,eq_c2/2)+2*PI()*(s_0+1*s_r+IF(circ_int,eq_c1/2,0)))/INDEX(lk_legs,2))&lt;((2*IF(circ_int,0,eq_c2/2))+(PI()*(s_0+1*s_r+IF(circ_int,eq_c1/2,0))/2)),IF(circ_int,0,eq_c2/2)+(s_0+1*s_r+IF(circ_int,eq_c1/2,0))*SIN((((52+0.5)*(4*IF(circ_int,0,eq_c1/2)+4*IF(circ_int,0,eq_c2/2)+2*PI()*(s_0+1*s_r+IF(circ_int,eq_c1/2,0)))/INDEX(lk_legs,2))-(2*IF(circ_int,0,eq_c2/2)))/(s_0+1*s_r+IF(circ_int,eq_c1/2,0))),IF(((52+0.5)*(4*IF(circ_int,0,eq_c1/2)+4*IF(circ_int,0,eq_c2/2)+2*PI()*(s_0+1*s_r+IF(circ_int,eq_c1/2,0)))/INDEX(lk_legs,2))&lt;(((2*IF(circ_int,0,eq_c2/2))+(PI()*(s_0+1*s_r+IF(circ_int,eq_c1/2,0))/2))+2*IF(circ_int,0,eq_c1/2)),IF(circ_int,0,eq_c2/2)+(s_0+1*s_r+IF(circ_int,eq_c1/2,0)),IF(((52+0.5)*(4*IF(circ_int,0,eq_c1/2)+4*IF(circ_int,0,eq_c2/2)+2*PI()*(s_0+1*s_r+IF(circ_int,eq_c1/2,0)))/INDEX(lk_legs,2))&lt;((((2*IF(circ_int,0,eq_c2/2))+(PI()*(s_0+1*s_r+IF(circ_int,eq_c1/2,0))/2))+2*IF(circ_int,0,eq_c1/2))+(PI()*(s_0+1*s_r+IF(circ_int,eq_c1/2,0))/2)),IF(circ_int,0,eq_c2/2)+(s_0+1*s_r+IF(circ_int,eq_c1/2,0))*SIN(PI()/2+(((52+0.5)*(4*IF(circ_int,0,eq_c1/2)+4*IF(circ_int,0,eq_c2/2)+2*PI()*(s_0+1*s_r+IF(circ_int,eq_c1/2,0)))/INDEX(lk_legs,2))-(((2*IF(circ_int,0,eq_c2/2))+(PI()*(s_0+1*s_r+IF(circ_int,eq_c1/2,0))/2))+2*IF(circ_int,0,eq_c1/2)))/(s_0+1*s_r+IF(circ_int,eq_c1/2,0))),IF(((52+0.5)*(4*IF(circ_int,0,eq_c1/2)+4*IF(circ_int,0,eq_c2/2)+2*PI()*(s_0+1*s_r+IF(circ_int,eq_c1/2,0)))/INDEX(lk_legs,2))&lt;(((((2*IF(circ_int,0,eq_c2/2))+(PI()*(s_0+1*s_r+IF(circ_int,eq_c1/2,0))/2))+2*IF(circ_int,0,eq_c1/2))+(PI()*(s_0+1*s_r+IF(circ_int,eq_c1/2,0))/2))+2*IF(circ_int,0,eq_c2/2)),IF(circ_int,0,eq_c2/2)-(((52+0.5)*(4*IF(circ_int,0,eq_c1/2)+4*IF(circ_int,0,eq_c2/2)+2*PI()*(s_0+1*s_r+IF(circ_int,eq_c1/2,0)))/INDEX(lk_legs,2))-((((2*IF(circ_int,0,eq_c2/2))+(PI()*(s_0+1*s_r+IF(circ_int,eq_c1/2,0))/2))+2*IF(circ_int,0,eq_c1/2))+(PI()*(s_0+1*s_r+IF(circ_int,eq_c1/2,0))/2))),IF(((52+0.5)*(4*IF(circ_int,0,eq_c1/2)+4*IF(circ_int,0,eq_c2/2)+2*PI()*(s_0+1*s_r+IF(circ_int,eq_c1/2,0)))/INDEX(lk_legs,2))&lt;((((((2*IF(circ_int,0,eq_c2/2))+(PI()*(s_0+1*s_r+IF(circ_int,eq_c1/2,0))/2))+2*IF(circ_int,0,eq_c1/2))+(PI()*(s_0+1*s_r+IF(circ_int,eq_c1/2,0))/2))+2*IF(circ_int,0,eq_c2/2))+(PI()*(s_0+1*s_r+IF(circ_int,eq_c1/2,0))/2)),-IF(circ_int,0,eq_c2/2)+(s_0+1*s_r+IF(circ_int,eq_c1/2,0))*SIN(PI()+(((52+0.5)*(4*IF(circ_int,0,eq_c1/2)+4*IF(circ_int,0,eq_c2/2)+2*PI()*(s_0+1*s_r+IF(circ_int,eq_c1/2,0)))/INDEX(lk_legs,2))-(((((2*IF(circ_int,0,eq_c2/2))+(PI()*(s_0+1*s_r+IF(circ_int,eq_c1/2,0))/2))+2*IF(circ_int,0,eq_c1/2))+(PI()*(s_0+1*s_r+IF(circ_int,eq_c1/2,0))/2))+2*IF(circ_int,0,eq_c2/2)))/(s_0+1*s_r+IF(circ_int,eq_c1/2,0))),IF(((52+0.5)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(52+0.5)*(4*IF(circ_int,0,eq_c1/2)+4*IF(circ_int,0,eq_c2/2)+2*PI()*(s_0+1*s_r+IF(circ_int,eq_c1/2,0)))/INDEX(lk_legs,2))-(((((((2*IF(circ_int,0,eq_c2/2))+(PI()*(s_0+1*s_r+IF(circ_int,eq_c1/2,0))/2))+2*IF(circ_int,0,eq_c1/2))+(PI()*(s_0+1*s_r+IF(circ_int,eq_c1/2,0))/2))+2*IF(circ_int,0,eq_c2/2))+(PI()*(s_0+1*s_r+IF(circ_int,eq_c1/2,0))/2))+2*IF(circ_int,0,eq_c1/2)))/(s_0+1*s_r+IF(circ_int,eq_c1/2,0)))))))))),NA())</f>
        <v/>
      </c>
      <c r="BI55">
        <f>IF(AND(links_on,3&lt;=n_per),IF(circ_int,(g_ox)+(c_1/2+(s_0+2*s_r))*1.000000,CHOOSE(INDEX(lk_kind,3),(g_ox+eq_c1/2)+((s_0+2*s_r))*1.000000,0,eq_a1+eq_c1+(s_0+2*s_r),eq_a1+eq_c1+(s_0+2*s_r))),NA())</f>
        <v/>
      </c>
      <c r="BJ55">
        <f>IF(AND(links_on,3&lt;=n_per),IF(circ_int,(g_oy)+(c_1/2+(s_0+2*s_r))*-0.000000,CHOOSE(INDEX(lk_kind,3),(g_oy+eq_c2/2)+((s_0+2*s_r))*0.000000,g_oy-eq_c2/2-(s_0+2*s_r),0,0)),NA())</f>
        <v/>
      </c>
      <c r="BL55">
        <f>IF(AND(AND(links_on,3&lt;=n_per),INDEX(lk_kind,3)=1,52&lt;INDEX(lk_legs,3)),g_ox+IF(((52+0.5)*(4*IF(circ_int,0,eq_c1/2)+4*IF(circ_int,0,eq_c2/2)+2*PI()*(s_0+2*s_r+IF(circ_int,eq_c1/2,0)))/INDEX(lk_legs,3))&lt;(2*IF(circ_int,0,eq_c2/2)),IF(circ_int,0,eq_c1/2)+(s_0+2*s_r+IF(circ_int,eq_c1/2,0)),IF(((52+0.5)*(4*IF(circ_int,0,eq_c1/2)+4*IF(circ_int,0,eq_c2/2)+2*PI()*(s_0+2*s_r+IF(circ_int,eq_c1/2,0)))/INDEX(lk_legs,3))&lt;((2*IF(circ_int,0,eq_c2/2))+(PI()*(s_0+2*s_r+IF(circ_int,eq_c1/2,0))/2)),IF(circ_int,0,eq_c1/2)+(s_0+2*s_r+IF(circ_int,eq_c1/2,0))*COS((((52+0.5)*(4*IF(circ_int,0,eq_c1/2)+4*IF(circ_int,0,eq_c2/2)+2*PI()*(s_0+2*s_r+IF(circ_int,eq_c1/2,0)))/INDEX(lk_legs,3))-(2*IF(circ_int,0,eq_c2/2)))/(s_0+2*s_r+IF(circ_int,eq_c1/2,0))),IF(((52+0.5)*(4*IF(circ_int,0,eq_c1/2)+4*IF(circ_int,0,eq_c2/2)+2*PI()*(s_0+2*s_r+IF(circ_int,eq_c1/2,0)))/INDEX(lk_legs,3))&lt;(((2*IF(circ_int,0,eq_c2/2))+(PI()*(s_0+2*s_r+IF(circ_int,eq_c1/2,0))/2))+2*IF(circ_int,0,eq_c1/2)),IF(circ_int,0,eq_c1/2)-(((52+0.5)*(4*IF(circ_int,0,eq_c1/2)+4*IF(circ_int,0,eq_c2/2)+2*PI()*(s_0+2*s_r+IF(circ_int,eq_c1/2,0)))/INDEX(lk_legs,3))-((2*IF(circ_int,0,eq_c2/2))+(PI()*(s_0+2*s_r+IF(circ_int,eq_c1/2,0))/2))),IF(((52+0.5)*(4*IF(circ_int,0,eq_c1/2)+4*IF(circ_int,0,eq_c2/2)+2*PI()*(s_0+2*s_r+IF(circ_int,eq_c1/2,0)))/INDEX(lk_legs,3))&lt;((((2*IF(circ_int,0,eq_c2/2))+(PI()*(s_0+2*s_r+IF(circ_int,eq_c1/2,0))/2))+2*IF(circ_int,0,eq_c1/2))+(PI()*(s_0+2*s_r+IF(circ_int,eq_c1/2,0))/2)),-IF(circ_int,0,eq_c1/2)+(s_0+2*s_r+IF(circ_int,eq_c1/2,0))*COS(PI()/2+(((52+0.5)*(4*IF(circ_int,0,eq_c1/2)+4*IF(circ_int,0,eq_c2/2)+2*PI()*(s_0+2*s_r+IF(circ_int,eq_c1/2,0)))/INDEX(lk_legs,3))-(((2*IF(circ_int,0,eq_c2/2))+(PI()*(s_0+2*s_r+IF(circ_int,eq_c1/2,0))/2))+2*IF(circ_int,0,eq_c1/2)))/(s_0+2*s_r+IF(circ_int,eq_c1/2,0))),IF(((52+0.5)*(4*IF(circ_int,0,eq_c1/2)+4*IF(circ_int,0,eq_c2/2)+2*PI()*(s_0+2*s_r+IF(circ_int,eq_c1/2,0)))/INDEX(lk_legs,3))&lt;(((((2*IF(circ_int,0,eq_c2/2))+(PI()*(s_0+2*s_r+IF(circ_int,eq_c1/2,0))/2))+2*IF(circ_int,0,eq_c1/2))+(PI()*(s_0+2*s_r+IF(circ_int,eq_c1/2,0))/2))+2*IF(circ_int,0,eq_c2/2)),-IF(circ_int,0,eq_c1/2)-(s_0+2*s_r+IF(circ_int,eq_c1/2,0)),IF(((52+0.5)*(4*IF(circ_int,0,eq_c1/2)+4*IF(circ_int,0,eq_c2/2)+2*PI()*(s_0+2*s_r+IF(circ_int,eq_c1/2,0)))/INDEX(lk_legs,3))&lt;((((((2*IF(circ_int,0,eq_c2/2))+(PI()*(s_0+2*s_r+IF(circ_int,eq_c1/2,0))/2))+2*IF(circ_int,0,eq_c1/2))+(PI()*(s_0+2*s_r+IF(circ_int,eq_c1/2,0))/2))+2*IF(circ_int,0,eq_c2/2))+(PI()*(s_0+2*s_r+IF(circ_int,eq_c1/2,0))/2)),-IF(circ_int,0,eq_c1/2)+(s_0+2*s_r+IF(circ_int,eq_c1/2,0))*COS(PI()+(((52+0.5)*(4*IF(circ_int,0,eq_c1/2)+4*IF(circ_int,0,eq_c2/2)+2*PI()*(s_0+2*s_r+IF(circ_int,eq_c1/2,0)))/INDEX(lk_legs,3))-(((((2*IF(circ_int,0,eq_c2/2))+(PI()*(s_0+2*s_r+IF(circ_int,eq_c1/2,0))/2))+2*IF(circ_int,0,eq_c1/2))+(PI()*(s_0+2*s_r+IF(circ_int,eq_c1/2,0))/2))+2*IF(circ_int,0,eq_c2/2)))/(s_0+2*s_r+IF(circ_int,eq_c1/2,0))),IF(((52+0.5)*(4*IF(circ_int,0,eq_c1/2)+4*IF(circ_int,0,eq_c2/2)+2*PI()*(s_0+2*s_r+IF(circ_int,eq_c1/2,0)))/INDEX(lk_legs,3))&lt;(((((((2*IF(circ_int,0,eq_c2/2))+(PI()*(s_0+2*s_r+IF(circ_int,eq_c1/2,0))/2))+2*IF(circ_int,0,eq_c1/2))+(PI()*(s_0+2*s_r+IF(circ_int,eq_c1/2,0))/2))+2*IF(circ_int,0,eq_c2/2))+(PI()*(s_0+2*s_r+IF(circ_int,eq_c1/2,0))/2))+2*IF(circ_int,0,eq_c1/2)),-IF(circ_int,0,eq_c1/2)+(((52+0.5)*(4*IF(circ_int,0,eq_c1/2)+4*IF(circ_int,0,eq_c2/2)+2*PI()*(s_0+2*s_r+IF(circ_int,eq_c1/2,0)))/INDEX(lk_legs,3))-((((((2*IF(circ_int,0,eq_c2/2))+(PI()*(s_0+2*s_r+IF(circ_int,eq_c1/2,0))/2))+2*IF(circ_int,0,eq_c1/2))+(PI()*(s_0+2*s_r+IF(circ_int,eq_c1/2,0))/2))+2*IF(circ_int,0,eq_c2/2))+(PI()*(s_0+2*s_r+IF(circ_int,eq_c1/2,0))/2))),IF(circ_int,0,eq_c1/2)+(s_0+2*s_r+IF(circ_int,eq_c1/2,0))*COS(3*PI()/2+(((52+0.5)*(4*IF(circ_int,0,eq_c1/2)+4*IF(circ_int,0,eq_c2/2)+2*PI()*(s_0+2*s_r+IF(circ_int,eq_c1/2,0)))/INDEX(lk_legs,3))-(((((((2*IF(circ_int,0,eq_c2/2))+(PI()*(s_0+2*s_r+IF(circ_int,eq_c1/2,0))/2))+2*IF(circ_int,0,eq_c1/2))+(PI()*(s_0+2*s_r+IF(circ_int,eq_c1/2,0))/2))+2*IF(circ_int,0,eq_c2/2))+(PI()*(s_0+2*s_r+IF(circ_int,eq_c1/2,0))/2))+2*IF(circ_int,0,eq_c1/2)))/(s_0+2*s_r+IF(circ_int,eq_c1/2,0)))))))))),NA())</f>
        <v/>
      </c>
      <c r="BM55">
        <f>IF(AND(AND(links_on,3&lt;=n_per),INDEX(lk_kind,3)=1,52&lt;INDEX(lk_legs,3)),g_oy+IF(((52+0.5)*(4*IF(circ_int,0,eq_c1/2)+4*IF(circ_int,0,eq_c2/2)+2*PI()*(s_0+2*s_r+IF(circ_int,eq_c1/2,0)))/INDEX(lk_legs,3))&lt;(2*IF(circ_int,0,eq_c2/2)),-IF(circ_int,0,eq_c2/2)+((52+0.5)*(4*IF(circ_int,0,eq_c1/2)+4*IF(circ_int,0,eq_c2/2)+2*PI()*(s_0+2*s_r+IF(circ_int,eq_c1/2,0)))/INDEX(lk_legs,3)),IF(((52+0.5)*(4*IF(circ_int,0,eq_c1/2)+4*IF(circ_int,0,eq_c2/2)+2*PI()*(s_0+2*s_r+IF(circ_int,eq_c1/2,0)))/INDEX(lk_legs,3))&lt;((2*IF(circ_int,0,eq_c2/2))+(PI()*(s_0+2*s_r+IF(circ_int,eq_c1/2,0))/2)),IF(circ_int,0,eq_c2/2)+(s_0+2*s_r+IF(circ_int,eq_c1/2,0))*SIN((((52+0.5)*(4*IF(circ_int,0,eq_c1/2)+4*IF(circ_int,0,eq_c2/2)+2*PI()*(s_0+2*s_r+IF(circ_int,eq_c1/2,0)))/INDEX(lk_legs,3))-(2*IF(circ_int,0,eq_c2/2)))/(s_0+2*s_r+IF(circ_int,eq_c1/2,0))),IF(((52+0.5)*(4*IF(circ_int,0,eq_c1/2)+4*IF(circ_int,0,eq_c2/2)+2*PI()*(s_0+2*s_r+IF(circ_int,eq_c1/2,0)))/INDEX(lk_legs,3))&lt;(((2*IF(circ_int,0,eq_c2/2))+(PI()*(s_0+2*s_r+IF(circ_int,eq_c1/2,0))/2))+2*IF(circ_int,0,eq_c1/2)),IF(circ_int,0,eq_c2/2)+(s_0+2*s_r+IF(circ_int,eq_c1/2,0)),IF(((52+0.5)*(4*IF(circ_int,0,eq_c1/2)+4*IF(circ_int,0,eq_c2/2)+2*PI()*(s_0+2*s_r+IF(circ_int,eq_c1/2,0)))/INDEX(lk_legs,3))&lt;((((2*IF(circ_int,0,eq_c2/2))+(PI()*(s_0+2*s_r+IF(circ_int,eq_c1/2,0))/2))+2*IF(circ_int,0,eq_c1/2))+(PI()*(s_0+2*s_r+IF(circ_int,eq_c1/2,0))/2)),IF(circ_int,0,eq_c2/2)+(s_0+2*s_r+IF(circ_int,eq_c1/2,0))*SIN(PI()/2+(((52+0.5)*(4*IF(circ_int,0,eq_c1/2)+4*IF(circ_int,0,eq_c2/2)+2*PI()*(s_0+2*s_r+IF(circ_int,eq_c1/2,0)))/INDEX(lk_legs,3))-(((2*IF(circ_int,0,eq_c2/2))+(PI()*(s_0+2*s_r+IF(circ_int,eq_c1/2,0))/2))+2*IF(circ_int,0,eq_c1/2)))/(s_0+2*s_r+IF(circ_int,eq_c1/2,0))),IF(((52+0.5)*(4*IF(circ_int,0,eq_c1/2)+4*IF(circ_int,0,eq_c2/2)+2*PI()*(s_0+2*s_r+IF(circ_int,eq_c1/2,0)))/INDEX(lk_legs,3))&lt;(((((2*IF(circ_int,0,eq_c2/2))+(PI()*(s_0+2*s_r+IF(circ_int,eq_c1/2,0))/2))+2*IF(circ_int,0,eq_c1/2))+(PI()*(s_0+2*s_r+IF(circ_int,eq_c1/2,0))/2))+2*IF(circ_int,0,eq_c2/2)),IF(circ_int,0,eq_c2/2)-(((52+0.5)*(4*IF(circ_int,0,eq_c1/2)+4*IF(circ_int,0,eq_c2/2)+2*PI()*(s_0+2*s_r+IF(circ_int,eq_c1/2,0)))/INDEX(lk_legs,3))-((((2*IF(circ_int,0,eq_c2/2))+(PI()*(s_0+2*s_r+IF(circ_int,eq_c1/2,0))/2))+2*IF(circ_int,0,eq_c1/2))+(PI()*(s_0+2*s_r+IF(circ_int,eq_c1/2,0))/2))),IF(((52+0.5)*(4*IF(circ_int,0,eq_c1/2)+4*IF(circ_int,0,eq_c2/2)+2*PI()*(s_0+2*s_r+IF(circ_int,eq_c1/2,0)))/INDEX(lk_legs,3))&lt;((((((2*IF(circ_int,0,eq_c2/2))+(PI()*(s_0+2*s_r+IF(circ_int,eq_c1/2,0))/2))+2*IF(circ_int,0,eq_c1/2))+(PI()*(s_0+2*s_r+IF(circ_int,eq_c1/2,0))/2))+2*IF(circ_int,0,eq_c2/2))+(PI()*(s_0+2*s_r+IF(circ_int,eq_c1/2,0))/2)),-IF(circ_int,0,eq_c2/2)+(s_0+2*s_r+IF(circ_int,eq_c1/2,0))*SIN(PI()+(((52+0.5)*(4*IF(circ_int,0,eq_c1/2)+4*IF(circ_int,0,eq_c2/2)+2*PI()*(s_0+2*s_r+IF(circ_int,eq_c1/2,0)))/INDEX(lk_legs,3))-(((((2*IF(circ_int,0,eq_c2/2))+(PI()*(s_0+2*s_r+IF(circ_int,eq_c1/2,0))/2))+2*IF(circ_int,0,eq_c1/2))+(PI()*(s_0+2*s_r+IF(circ_int,eq_c1/2,0))/2))+2*IF(circ_int,0,eq_c2/2)))/(s_0+2*s_r+IF(circ_int,eq_c1/2,0))),IF(((52+0.5)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(52+0.5)*(4*IF(circ_int,0,eq_c1/2)+4*IF(circ_int,0,eq_c2/2)+2*PI()*(s_0+2*s_r+IF(circ_int,eq_c1/2,0)))/INDEX(lk_legs,3))-(((((((2*IF(circ_int,0,eq_c2/2))+(PI()*(s_0+2*s_r+IF(circ_int,eq_c1/2,0))/2))+2*IF(circ_int,0,eq_c1/2))+(PI()*(s_0+2*s_r+IF(circ_int,eq_c1/2,0))/2))+2*IF(circ_int,0,eq_c2/2))+(PI()*(s_0+2*s_r+IF(circ_int,eq_c1/2,0))/2))+2*IF(circ_int,0,eq_c1/2)))/(s_0+2*s_r+IF(circ_int,eq_c1/2,0)))))))))),NA())</f>
        <v/>
      </c>
      <c r="BO55">
        <f>IF(AND(links_on,4&lt;=n_per),IF(circ_int,(g_ox)+(c_1/2+(s_0+3*s_r))*1.000000,CHOOSE(INDEX(lk_kind,4),(g_ox+eq_c1/2)+((s_0+3*s_r))*1.000000,0,eq_a1+eq_c1+(s_0+3*s_r),eq_a1+eq_c1+(s_0+3*s_r))),NA())</f>
        <v/>
      </c>
      <c r="BP55">
        <f>IF(AND(links_on,4&lt;=n_per),IF(circ_int,(g_oy)+(c_1/2+(s_0+3*s_r))*-0.000000,CHOOSE(INDEX(lk_kind,4),(g_oy+eq_c2/2)+((s_0+3*s_r))*0.000000,g_oy-eq_c2/2-(s_0+3*s_r),0,0)),NA())</f>
        <v/>
      </c>
      <c r="BR55">
        <f>IF(AND(AND(links_on,4&lt;=n_per),INDEX(lk_kind,4)=1,52&lt;INDEX(lk_legs,4)),g_ox+IF(((52+0.5)*(4*IF(circ_int,0,eq_c1/2)+4*IF(circ_int,0,eq_c2/2)+2*PI()*(s_0+3*s_r+IF(circ_int,eq_c1/2,0)))/INDEX(lk_legs,4))&lt;(2*IF(circ_int,0,eq_c2/2)),IF(circ_int,0,eq_c1/2)+(s_0+3*s_r+IF(circ_int,eq_c1/2,0)),IF(((52+0.5)*(4*IF(circ_int,0,eq_c1/2)+4*IF(circ_int,0,eq_c2/2)+2*PI()*(s_0+3*s_r+IF(circ_int,eq_c1/2,0)))/INDEX(lk_legs,4))&lt;((2*IF(circ_int,0,eq_c2/2))+(PI()*(s_0+3*s_r+IF(circ_int,eq_c1/2,0))/2)),IF(circ_int,0,eq_c1/2)+(s_0+3*s_r+IF(circ_int,eq_c1/2,0))*COS((((52+0.5)*(4*IF(circ_int,0,eq_c1/2)+4*IF(circ_int,0,eq_c2/2)+2*PI()*(s_0+3*s_r+IF(circ_int,eq_c1/2,0)))/INDEX(lk_legs,4))-(2*IF(circ_int,0,eq_c2/2)))/(s_0+3*s_r+IF(circ_int,eq_c1/2,0))),IF(((52+0.5)*(4*IF(circ_int,0,eq_c1/2)+4*IF(circ_int,0,eq_c2/2)+2*PI()*(s_0+3*s_r+IF(circ_int,eq_c1/2,0)))/INDEX(lk_legs,4))&lt;(((2*IF(circ_int,0,eq_c2/2))+(PI()*(s_0+3*s_r+IF(circ_int,eq_c1/2,0))/2))+2*IF(circ_int,0,eq_c1/2)),IF(circ_int,0,eq_c1/2)-(((52+0.5)*(4*IF(circ_int,0,eq_c1/2)+4*IF(circ_int,0,eq_c2/2)+2*PI()*(s_0+3*s_r+IF(circ_int,eq_c1/2,0)))/INDEX(lk_legs,4))-((2*IF(circ_int,0,eq_c2/2))+(PI()*(s_0+3*s_r+IF(circ_int,eq_c1/2,0))/2))),IF(((52+0.5)*(4*IF(circ_int,0,eq_c1/2)+4*IF(circ_int,0,eq_c2/2)+2*PI()*(s_0+3*s_r+IF(circ_int,eq_c1/2,0)))/INDEX(lk_legs,4))&lt;((((2*IF(circ_int,0,eq_c2/2))+(PI()*(s_0+3*s_r+IF(circ_int,eq_c1/2,0))/2))+2*IF(circ_int,0,eq_c1/2))+(PI()*(s_0+3*s_r+IF(circ_int,eq_c1/2,0))/2)),-IF(circ_int,0,eq_c1/2)+(s_0+3*s_r+IF(circ_int,eq_c1/2,0))*COS(PI()/2+(((52+0.5)*(4*IF(circ_int,0,eq_c1/2)+4*IF(circ_int,0,eq_c2/2)+2*PI()*(s_0+3*s_r+IF(circ_int,eq_c1/2,0)))/INDEX(lk_legs,4))-(((2*IF(circ_int,0,eq_c2/2))+(PI()*(s_0+3*s_r+IF(circ_int,eq_c1/2,0))/2))+2*IF(circ_int,0,eq_c1/2)))/(s_0+3*s_r+IF(circ_int,eq_c1/2,0))),IF(((52+0.5)*(4*IF(circ_int,0,eq_c1/2)+4*IF(circ_int,0,eq_c2/2)+2*PI()*(s_0+3*s_r+IF(circ_int,eq_c1/2,0)))/INDEX(lk_legs,4))&lt;(((((2*IF(circ_int,0,eq_c2/2))+(PI()*(s_0+3*s_r+IF(circ_int,eq_c1/2,0))/2))+2*IF(circ_int,0,eq_c1/2))+(PI()*(s_0+3*s_r+IF(circ_int,eq_c1/2,0))/2))+2*IF(circ_int,0,eq_c2/2)),-IF(circ_int,0,eq_c1/2)-(s_0+3*s_r+IF(circ_int,eq_c1/2,0)),IF(((52+0.5)*(4*IF(circ_int,0,eq_c1/2)+4*IF(circ_int,0,eq_c2/2)+2*PI()*(s_0+3*s_r+IF(circ_int,eq_c1/2,0)))/INDEX(lk_legs,4))&lt;((((((2*IF(circ_int,0,eq_c2/2))+(PI()*(s_0+3*s_r+IF(circ_int,eq_c1/2,0))/2))+2*IF(circ_int,0,eq_c1/2))+(PI()*(s_0+3*s_r+IF(circ_int,eq_c1/2,0))/2))+2*IF(circ_int,0,eq_c2/2))+(PI()*(s_0+3*s_r+IF(circ_int,eq_c1/2,0))/2)),-IF(circ_int,0,eq_c1/2)+(s_0+3*s_r+IF(circ_int,eq_c1/2,0))*COS(PI()+(((52+0.5)*(4*IF(circ_int,0,eq_c1/2)+4*IF(circ_int,0,eq_c2/2)+2*PI()*(s_0+3*s_r+IF(circ_int,eq_c1/2,0)))/INDEX(lk_legs,4))-(((((2*IF(circ_int,0,eq_c2/2))+(PI()*(s_0+3*s_r+IF(circ_int,eq_c1/2,0))/2))+2*IF(circ_int,0,eq_c1/2))+(PI()*(s_0+3*s_r+IF(circ_int,eq_c1/2,0))/2))+2*IF(circ_int,0,eq_c2/2)))/(s_0+3*s_r+IF(circ_int,eq_c1/2,0))),IF(((52+0.5)*(4*IF(circ_int,0,eq_c1/2)+4*IF(circ_int,0,eq_c2/2)+2*PI()*(s_0+3*s_r+IF(circ_int,eq_c1/2,0)))/INDEX(lk_legs,4))&lt;(((((((2*IF(circ_int,0,eq_c2/2))+(PI()*(s_0+3*s_r+IF(circ_int,eq_c1/2,0))/2))+2*IF(circ_int,0,eq_c1/2))+(PI()*(s_0+3*s_r+IF(circ_int,eq_c1/2,0))/2))+2*IF(circ_int,0,eq_c2/2))+(PI()*(s_0+3*s_r+IF(circ_int,eq_c1/2,0))/2))+2*IF(circ_int,0,eq_c1/2)),-IF(circ_int,0,eq_c1/2)+(((52+0.5)*(4*IF(circ_int,0,eq_c1/2)+4*IF(circ_int,0,eq_c2/2)+2*PI()*(s_0+3*s_r+IF(circ_int,eq_c1/2,0)))/INDEX(lk_legs,4))-((((((2*IF(circ_int,0,eq_c2/2))+(PI()*(s_0+3*s_r+IF(circ_int,eq_c1/2,0))/2))+2*IF(circ_int,0,eq_c1/2))+(PI()*(s_0+3*s_r+IF(circ_int,eq_c1/2,0))/2))+2*IF(circ_int,0,eq_c2/2))+(PI()*(s_0+3*s_r+IF(circ_int,eq_c1/2,0))/2))),IF(circ_int,0,eq_c1/2)+(s_0+3*s_r+IF(circ_int,eq_c1/2,0))*COS(3*PI()/2+(((52+0.5)*(4*IF(circ_int,0,eq_c1/2)+4*IF(circ_int,0,eq_c2/2)+2*PI()*(s_0+3*s_r+IF(circ_int,eq_c1/2,0)))/INDEX(lk_legs,4))-(((((((2*IF(circ_int,0,eq_c2/2))+(PI()*(s_0+3*s_r+IF(circ_int,eq_c1/2,0))/2))+2*IF(circ_int,0,eq_c1/2))+(PI()*(s_0+3*s_r+IF(circ_int,eq_c1/2,0))/2))+2*IF(circ_int,0,eq_c2/2))+(PI()*(s_0+3*s_r+IF(circ_int,eq_c1/2,0))/2))+2*IF(circ_int,0,eq_c1/2)))/(s_0+3*s_r+IF(circ_int,eq_c1/2,0)))))))))),NA())</f>
        <v/>
      </c>
      <c r="BS55">
        <f>IF(AND(AND(links_on,4&lt;=n_per),INDEX(lk_kind,4)=1,52&lt;INDEX(lk_legs,4)),g_oy+IF(((52+0.5)*(4*IF(circ_int,0,eq_c1/2)+4*IF(circ_int,0,eq_c2/2)+2*PI()*(s_0+3*s_r+IF(circ_int,eq_c1/2,0)))/INDEX(lk_legs,4))&lt;(2*IF(circ_int,0,eq_c2/2)),-IF(circ_int,0,eq_c2/2)+((52+0.5)*(4*IF(circ_int,0,eq_c1/2)+4*IF(circ_int,0,eq_c2/2)+2*PI()*(s_0+3*s_r+IF(circ_int,eq_c1/2,0)))/INDEX(lk_legs,4)),IF(((52+0.5)*(4*IF(circ_int,0,eq_c1/2)+4*IF(circ_int,0,eq_c2/2)+2*PI()*(s_0+3*s_r+IF(circ_int,eq_c1/2,0)))/INDEX(lk_legs,4))&lt;((2*IF(circ_int,0,eq_c2/2))+(PI()*(s_0+3*s_r+IF(circ_int,eq_c1/2,0))/2)),IF(circ_int,0,eq_c2/2)+(s_0+3*s_r+IF(circ_int,eq_c1/2,0))*SIN((((52+0.5)*(4*IF(circ_int,0,eq_c1/2)+4*IF(circ_int,0,eq_c2/2)+2*PI()*(s_0+3*s_r+IF(circ_int,eq_c1/2,0)))/INDEX(lk_legs,4))-(2*IF(circ_int,0,eq_c2/2)))/(s_0+3*s_r+IF(circ_int,eq_c1/2,0))),IF(((52+0.5)*(4*IF(circ_int,0,eq_c1/2)+4*IF(circ_int,0,eq_c2/2)+2*PI()*(s_0+3*s_r+IF(circ_int,eq_c1/2,0)))/INDEX(lk_legs,4))&lt;(((2*IF(circ_int,0,eq_c2/2))+(PI()*(s_0+3*s_r+IF(circ_int,eq_c1/2,0))/2))+2*IF(circ_int,0,eq_c1/2)),IF(circ_int,0,eq_c2/2)+(s_0+3*s_r+IF(circ_int,eq_c1/2,0)),IF(((52+0.5)*(4*IF(circ_int,0,eq_c1/2)+4*IF(circ_int,0,eq_c2/2)+2*PI()*(s_0+3*s_r+IF(circ_int,eq_c1/2,0)))/INDEX(lk_legs,4))&lt;((((2*IF(circ_int,0,eq_c2/2))+(PI()*(s_0+3*s_r+IF(circ_int,eq_c1/2,0))/2))+2*IF(circ_int,0,eq_c1/2))+(PI()*(s_0+3*s_r+IF(circ_int,eq_c1/2,0))/2)),IF(circ_int,0,eq_c2/2)+(s_0+3*s_r+IF(circ_int,eq_c1/2,0))*SIN(PI()/2+(((52+0.5)*(4*IF(circ_int,0,eq_c1/2)+4*IF(circ_int,0,eq_c2/2)+2*PI()*(s_0+3*s_r+IF(circ_int,eq_c1/2,0)))/INDEX(lk_legs,4))-(((2*IF(circ_int,0,eq_c2/2))+(PI()*(s_0+3*s_r+IF(circ_int,eq_c1/2,0))/2))+2*IF(circ_int,0,eq_c1/2)))/(s_0+3*s_r+IF(circ_int,eq_c1/2,0))),IF(((52+0.5)*(4*IF(circ_int,0,eq_c1/2)+4*IF(circ_int,0,eq_c2/2)+2*PI()*(s_0+3*s_r+IF(circ_int,eq_c1/2,0)))/INDEX(lk_legs,4))&lt;(((((2*IF(circ_int,0,eq_c2/2))+(PI()*(s_0+3*s_r+IF(circ_int,eq_c1/2,0))/2))+2*IF(circ_int,0,eq_c1/2))+(PI()*(s_0+3*s_r+IF(circ_int,eq_c1/2,0))/2))+2*IF(circ_int,0,eq_c2/2)),IF(circ_int,0,eq_c2/2)-(((52+0.5)*(4*IF(circ_int,0,eq_c1/2)+4*IF(circ_int,0,eq_c2/2)+2*PI()*(s_0+3*s_r+IF(circ_int,eq_c1/2,0)))/INDEX(lk_legs,4))-((((2*IF(circ_int,0,eq_c2/2))+(PI()*(s_0+3*s_r+IF(circ_int,eq_c1/2,0))/2))+2*IF(circ_int,0,eq_c1/2))+(PI()*(s_0+3*s_r+IF(circ_int,eq_c1/2,0))/2))),IF(((52+0.5)*(4*IF(circ_int,0,eq_c1/2)+4*IF(circ_int,0,eq_c2/2)+2*PI()*(s_0+3*s_r+IF(circ_int,eq_c1/2,0)))/INDEX(lk_legs,4))&lt;((((((2*IF(circ_int,0,eq_c2/2))+(PI()*(s_0+3*s_r+IF(circ_int,eq_c1/2,0))/2))+2*IF(circ_int,0,eq_c1/2))+(PI()*(s_0+3*s_r+IF(circ_int,eq_c1/2,0))/2))+2*IF(circ_int,0,eq_c2/2))+(PI()*(s_0+3*s_r+IF(circ_int,eq_c1/2,0))/2)),-IF(circ_int,0,eq_c2/2)+(s_0+3*s_r+IF(circ_int,eq_c1/2,0))*SIN(PI()+(((52+0.5)*(4*IF(circ_int,0,eq_c1/2)+4*IF(circ_int,0,eq_c2/2)+2*PI()*(s_0+3*s_r+IF(circ_int,eq_c1/2,0)))/INDEX(lk_legs,4))-(((((2*IF(circ_int,0,eq_c2/2))+(PI()*(s_0+3*s_r+IF(circ_int,eq_c1/2,0))/2))+2*IF(circ_int,0,eq_c1/2))+(PI()*(s_0+3*s_r+IF(circ_int,eq_c1/2,0))/2))+2*IF(circ_int,0,eq_c2/2)))/(s_0+3*s_r+IF(circ_int,eq_c1/2,0))),IF(((52+0.5)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(52+0.5)*(4*IF(circ_int,0,eq_c1/2)+4*IF(circ_int,0,eq_c2/2)+2*PI()*(s_0+3*s_r+IF(circ_int,eq_c1/2,0)))/INDEX(lk_legs,4))-(((((((2*IF(circ_int,0,eq_c2/2))+(PI()*(s_0+3*s_r+IF(circ_int,eq_c1/2,0))/2))+2*IF(circ_int,0,eq_c1/2))+(PI()*(s_0+3*s_r+IF(circ_int,eq_c1/2,0))/2))+2*IF(circ_int,0,eq_c2/2))+(PI()*(s_0+3*s_r+IF(circ_int,eq_c1/2,0))/2))+2*IF(circ_int,0,eq_c1/2)))/(s_0+3*s_r+IF(circ_int,eq_c1/2,0)))))))))),NA())</f>
        <v/>
      </c>
      <c r="BU55">
        <f>IF(AND(links_on,5&lt;=n_per),IF(circ_int,(g_ox)+(c_1/2+(s_0+4*s_r))*1.000000,CHOOSE(INDEX(lk_kind,5),(g_ox+eq_c1/2)+((s_0+4*s_r))*1.000000,0,eq_a1+eq_c1+(s_0+4*s_r),eq_a1+eq_c1+(s_0+4*s_r))),NA())</f>
        <v/>
      </c>
      <c r="BV55">
        <f>IF(AND(links_on,5&lt;=n_per),IF(circ_int,(g_oy)+(c_1/2+(s_0+4*s_r))*-0.000000,CHOOSE(INDEX(lk_kind,5),(g_oy+eq_c2/2)+((s_0+4*s_r))*0.000000,g_oy-eq_c2/2-(s_0+4*s_r),0,0)),NA())</f>
        <v/>
      </c>
      <c r="BX55">
        <f>IF(AND(AND(links_on,5&lt;=n_per),INDEX(lk_kind,5)=1,52&lt;INDEX(lk_legs,5)),g_ox+IF(((52+0.5)*(4*IF(circ_int,0,eq_c1/2)+4*IF(circ_int,0,eq_c2/2)+2*PI()*(s_0+4*s_r+IF(circ_int,eq_c1/2,0)))/INDEX(lk_legs,5))&lt;(2*IF(circ_int,0,eq_c2/2)),IF(circ_int,0,eq_c1/2)+(s_0+4*s_r+IF(circ_int,eq_c1/2,0)),IF(((52+0.5)*(4*IF(circ_int,0,eq_c1/2)+4*IF(circ_int,0,eq_c2/2)+2*PI()*(s_0+4*s_r+IF(circ_int,eq_c1/2,0)))/INDEX(lk_legs,5))&lt;((2*IF(circ_int,0,eq_c2/2))+(PI()*(s_0+4*s_r+IF(circ_int,eq_c1/2,0))/2)),IF(circ_int,0,eq_c1/2)+(s_0+4*s_r+IF(circ_int,eq_c1/2,0))*COS((((52+0.5)*(4*IF(circ_int,0,eq_c1/2)+4*IF(circ_int,0,eq_c2/2)+2*PI()*(s_0+4*s_r+IF(circ_int,eq_c1/2,0)))/INDEX(lk_legs,5))-(2*IF(circ_int,0,eq_c2/2)))/(s_0+4*s_r+IF(circ_int,eq_c1/2,0))),IF(((52+0.5)*(4*IF(circ_int,0,eq_c1/2)+4*IF(circ_int,0,eq_c2/2)+2*PI()*(s_0+4*s_r+IF(circ_int,eq_c1/2,0)))/INDEX(lk_legs,5))&lt;(((2*IF(circ_int,0,eq_c2/2))+(PI()*(s_0+4*s_r+IF(circ_int,eq_c1/2,0))/2))+2*IF(circ_int,0,eq_c1/2)),IF(circ_int,0,eq_c1/2)-(((52+0.5)*(4*IF(circ_int,0,eq_c1/2)+4*IF(circ_int,0,eq_c2/2)+2*PI()*(s_0+4*s_r+IF(circ_int,eq_c1/2,0)))/INDEX(lk_legs,5))-((2*IF(circ_int,0,eq_c2/2))+(PI()*(s_0+4*s_r+IF(circ_int,eq_c1/2,0))/2))),IF(((52+0.5)*(4*IF(circ_int,0,eq_c1/2)+4*IF(circ_int,0,eq_c2/2)+2*PI()*(s_0+4*s_r+IF(circ_int,eq_c1/2,0)))/INDEX(lk_legs,5))&lt;((((2*IF(circ_int,0,eq_c2/2))+(PI()*(s_0+4*s_r+IF(circ_int,eq_c1/2,0))/2))+2*IF(circ_int,0,eq_c1/2))+(PI()*(s_0+4*s_r+IF(circ_int,eq_c1/2,0))/2)),-IF(circ_int,0,eq_c1/2)+(s_0+4*s_r+IF(circ_int,eq_c1/2,0))*COS(PI()/2+(((52+0.5)*(4*IF(circ_int,0,eq_c1/2)+4*IF(circ_int,0,eq_c2/2)+2*PI()*(s_0+4*s_r+IF(circ_int,eq_c1/2,0)))/INDEX(lk_legs,5))-(((2*IF(circ_int,0,eq_c2/2))+(PI()*(s_0+4*s_r+IF(circ_int,eq_c1/2,0))/2))+2*IF(circ_int,0,eq_c1/2)))/(s_0+4*s_r+IF(circ_int,eq_c1/2,0))),IF(((52+0.5)*(4*IF(circ_int,0,eq_c1/2)+4*IF(circ_int,0,eq_c2/2)+2*PI()*(s_0+4*s_r+IF(circ_int,eq_c1/2,0)))/INDEX(lk_legs,5))&lt;(((((2*IF(circ_int,0,eq_c2/2))+(PI()*(s_0+4*s_r+IF(circ_int,eq_c1/2,0))/2))+2*IF(circ_int,0,eq_c1/2))+(PI()*(s_0+4*s_r+IF(circ_int,eq_c1/2,0))/2))+2*IF(circ_int,0,eq_c2/2)),-IF(circ_int,0,eq_c1/2)-(s_0+4*s_r+IF(circ_int,eq_c1/2,0)),IF(((52+0.5)*(4*IF(circ_int,0,eq_c1/2)+4*IF(circ_int,0,eq_c2/2)+2*PI()*(s_0+4*s_r+IF(circ_int,eq_c1/2,0)))/INDEX(lk_legs,5))&lt;((((((2*IF(circ_int,0,eq_c2/2))+(PI()*(s_0+4*s_r+IF(circ_int,eq_c1/2,0))/2))+2*IF(circ_int,0,eq_c1/2))+(PI()*(s_0+4*s_r+IF(circ_int,eq_c1/2,0))/2))+2*IF(circ_int,0,eq_c2/2))+(PI()*(s_0+4*s_r+IF(circ_int,eq_c1/2,0))/2)),-IF(circ_int,0,eq_c1/2)+(s_0+4*s_r+IF(circ_int,eq_c1/2,0))*COS(PI()+(((52+0.5)*(4*IF(circ_int,0,eq_c1/2)+4*IF(circ_int,0,eq_c2/2)+2*PI()*(s_0+4*s_r+IF(circ_int,eq_c1/2,0)))/INDEX(lk_legs,5))-(((((2*IF(circ_int,0,eq_c2/2))+(PI()*(s_0+4*s_r+IF(circ_int,eq_c1/2,0))/2))+2*IF(circ_int,0,eq_c1/2))+(PI()*(s_0+4*s_r+IF(circ_int,eq_c1/2,0))/2))+2*IF(circ_int,0,eq_c2/2)))/(s_0+4*s_r+IF(circ_int,eq_c1/2,0))),IF(((52+0.5)*(4*IF(circ_int,0,eq_c1/2)+4*IF(circ_int,0,eq_c2/2)+2*PI()*(s_0+4*s_r+IF(circ_int,eq_c1/2,0)))/INDEX(lk_legs,5))&lt;(((((((2*IF(circ_int,0,eq_c2/2))+(PI()*(s_0+4*s_r+IF(circ_int,eq_c1/2,0))/2))+2*IF(circ_int,0,eq_c1/2))+(PI()*(s_0+4*s_r+IF(circ_int,eq_c1/2,0))/2))+2*IF(circ_int,0,eq_c2/2))+(PI()*(s_0+4*s_r+IF(circ_int,eq_c1/2,0))/2))+2*IF(circ_int,0,eq_c1/2)),-IF(circ_int,0,eq_c1/2)+(((52+0.5)*(4*IF(circ_int,0,eq_c1/2)+4*IF(circ_int,0,eq_c2/2)+2*PI()*(s_0+4*s_r+IF(circ_int,eq_c1/2,0)))/INDEX(lk_legs,5))-((((((2*IF(circ_int,0,eq_c2/2))+(PI()*(s_0+4*s_r+IF(circ_int,eq_c1/2,0))/2))+2*IF(circ_int,0,eq_c1/2))+(PI()*(s_0+4*s_r+IF(circ_int,eq_c1/2,0))/2))+2*IF(circ_int,0,eq_c2/2))+(PI()*(s_0+4*s_r+IF(circ_int,eq_c1/2,0))/2))),IF(circ_int,0,eq_c1/2)+(s_0+4*s_r+IF(circ_int,eq_c1/2,0))*COS(3*PI()/2+(((52+0.5)*(4*IF(circ_int,0,eq_c1/2)+4*IF(circ_int,0,eq_c2/2)+2*PI()*(s_0+4*s_r+IF(circ_int,eq_c1/2,0)))/INDEX(lk_legs,5))-(((((((2*IF(circ_int,0,eq_c2/2))+(PI()*(s_0+4*s_r+IF(circ_int,eq_c1/2,0))/2))+2*IF(circ_int,0,eq_c1/2))+(PI()*(s_0+4*s_r+IF(circ_int,eq_c1/2,0))/2))+2*IF(circ_int,0,eq_c2/2))+(PI()*(s_0+4*s_r+IF(circ_int,eq_c1/2,0))/2))+2*IF(circ_int,0,eq_c1/2)))/(s_0+4*s_r+IF(circ_int,eq_c1/2,0)))))))))),NA())</f>
        <v/>
      </c>
      <c r="BY55">
        <f>IF(AND(AND(links_on,5&lt;=n_per),INDEX(lk_kind,5)=1,52&lt;INDEX(lk_legs,5)),g_oy+IF(((52+0.5)*(4*IF(circ_int,0,eq_c1/2)+4*IF(circ_int,0,eq_c2/2)+2*PI()*(s_0+4*s_r+IF(circ_int,eq_c1/2,0)))/INDEX(lk_legs,5))&lt;(2*IF(circ_int,0,eq_c2/2)),-IF(circ_int,0,eq_c2/2)+((52+0.5)*(4*IF(circ_int,0,eq_c1/2)+4*IF(circ_int,0,eq_c2/2)+2*PI()*(s_0+4*s_r+IF(circ_int,eq_c1/2,0)))/INDEX(lk_legs,5)),IF(((52+0.5)*(4*IF(circ_int,0,eq_c1/2)+4*IF(circ_int,0,eq_c2/2)+2*PI()*(s_0+4*s_r+IF(circ_int,eq_c1/2,0)))/INDEX(lk_legs,5))&lt;((2*IF(circ_int,0,eq_c2/2))+(PI()*(s_0+4*s_r+IF(circ_int,eq_c1/2,0))/2)),IF(circ_int,0,eq_c2/2)+(s_0+4*s_r+IF(circ_int,eq_c1/2,0))*SIN((((52+0.5)*(4*IF(circ_int,0,eq_c1/2)+4*IF(circ_int,0,eq_c2/2)+2*PI()*(s_0+4*s_r+IF(circ_int,eq_c1/2,0)))/INDEX(lk_legs,5))-(2*IF(circ_int,0,eq_c2/2)))/(s_0+4*s_r+IF(circ_int,eq_c1/2,0))),IF(((52+0.5)*(4*IF(circ_int,0,eq_c1/2)+4*IF(circ_int,0,eq_c2/2)+2*PI()*(s_0+4*s_r+IF(circ_int,eq_c1/2,0)))/INDEX(lk_legs,5))&lt;(((2*IF(circ_int,0,eq_c2/2))+(PI()*(s_0+4*s_r+IF(circ_int,eq_c1/2,0))/2))+2*IF(circ_int,0,eq_c1/2)),IF(circ_int,0,eq_c2/2)+(s_0+4*s_r+IF(circ_int,eq_c1/2,0)),IF(((52+0.5)*(4*IF(circ_int,0,eq_c1/2)+4*IF(circ_int,0,eq_c2/2)+2*PI()*(s_0+4*s_r+IF(circ_int,eq_c1/2,0)))/INDEX(lk_legs,5))&lt;((((2*IF(circ_int,0,eq_c2/2))+(PI()*(s_0+4*s_r+IF(circ_int,eq_c1/2,0))/2))+2*IF(circ_int,0,eq_c1/2))+(PI()*(s_0+4*s_r+IF(circ_int,eq_c1/2,0))/2)),IF(circ_int,0,eq_c2/2)+(s_0+4*s_r+IF(circ_int,eq_c1/2,0))*SIN(PI()/2+(((52+0.5)*(4*IF(circ_int,0,eq_c1/2)+4*IF(circ_int,0,eq_c2/2)+2*PI()*(s_0+4*s_r+IF(circ_int,eq_c1/2,0)))/INDEX(lk_legs,5))-(((2*IF(circ_int,0,eq_c2/2))+(PI()*(s_0+4*s_r+IF(circ_int,eq_c1/2,0))/2))+2*IF(circ_int,0,eq_c1/2)))/(s_0+4*s_r+IF(circ_int,eq_c1/2,0))),IF(((52+0.5)*(4*IF(circ_int,0,eq_c1/2)+4*IF(circ_int,0,eq_c2/2)+2*PI()*(s_0+4*s_r+IF(circ_int,eq_c1/2,0)))/INDEX(lk_legs,5))&lt;(((((2*IF(circ_int,0,eq_c2/2))+(PI()*(s_0+4*s_r+IF(circ_int,eq_c1/2,0))/2))+2*IF(circ_int,0,eq_c1/2))+(PI()*(s_0+4*s_r+IF(circ_int,eq_c1/2,0))/2))+2*IF(circ_int,0,eq_c2/2)),IF(circ_int,0,eq_c2/2)-(((52+0.5)*(4*IF(circ_int,0,eq_c1/2)+4*IF(circ_int,0,eq_c2/2)+2*PI()*(s_0+4*s_r+IF(circ_int,eq_c1/2,0)))/INDEX(lk_legs,5))-((((2*IF(circ_int,0,eq_c2/2))+(PI()*(s_0+4*s_r+IF(circ_int,eq_c1/2,0))/2))+2*IF(circ_int,0,eq_c1/2))+(PI()*(s_0+4*s_r+IF(circ_int,eq_c1/2,0))/2))),IF(((52+0.5)*(4*IF(circ_int,0,eq_c1/2)+4*IF(circ_int,0,eq_c2/2)+2*PI()*(s_0+4*s_r+IF(circ_int,eq_c1/2,0)))/INDEX(lk_legs,5))&lt;((((((2*IF(circ_int,0,eq_c2/2))+(PI()*(s_0+4*s_r+IF(circ_int,eq_c1/2,0))/2))+2*IF(circ_int,0,eq_c1/2))+(PI()*(s_0+4*s_r+IF(circ_int,eq_c1/2,0))/2))+2*IF(circ_int,0,eq_c2/2))+(PI()*(s_0+4*s_r+IF(circ_int,eq_c1/2,0))/2)),-IF(circ_int,0,eq_c2/2)+(s_0+4*s_r+IF(circ_int,eq_c1/2,0))*SIN(PI()+(((52+0.5)*(4*IF(circ_int,0,eq_c1/2)+4*IF(circ_int,0,eq_c2/2)+2*PI()*(s_0+4*s_r+IF(circ_int,eq_c1/2,0)))/INDEX(lk_legs,5))-(((((2*IF(circ_int,0,eq_c2/2))+(PI()*(s_0+4*s_r+IF(circ_int,eq_c1/2,0))/2))+2*IF(circ_int,0,eq_c1/2))+(PI()*(s_0+4*s_r+IF(circ_int,eq_c1/2,0))/2))+2*IF(circ_int,0,eq_c2/2)))/(s_0+4*s_r+IF(circ_int,eq_c1/2,0))),IF(((52+0.5)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(52+0.5)*(4*IF(circ_int,0,eq_c1/2)+4*IF(circ_int,0,eq_c2/2)+2*PI()*(s_0+4*s_r+IF(circ_int,eq_c1/2,0)))/INDEX(lk_legs,5))-(((((((2*IF(circ_int,0,eq_c2/2))+(PI()*(s_0+4*s_r+IF(circ_int,eq_c1/2,0))/2))+2*IF(circ_int,0,eq_c1/2))+(PI()*(s_0+4*s_r+IF(circ_int,eq_c1/2,0))/2))+2*IF(circ_int,0,eq_c2/2))+(PI()*(s_0+4*s_r+IF(circ_int,eq_c1/2,0))/2))+2*IF(circ_int,0,eq_c1/2)))/(s_0+4*s_r+IF(circ_int,eq_c1/2,0)))))))))),NA())</f>
        <v/>
      </c>
      <c r="CA55">
        <f>IF(AND(links_on,6&lt;=n_per),IF(circ_int,(g_ox)+(c_1/2+(s_0+5*s_r))*1.000000,CHOOSE(INDEX(lk_kind,6),(g_ox+eq_c1/2)+((s_0+5*s_r))*1.000000,0,eq_a1+eq_c1+(s_0+5*s_r),eq_a1+eq_c1+(s_0+5*s_r))),NA())</f>
        <v/>
      </c>
      <c r="CB55">
        <f>IF(AND(links_on,6&lt;=n_per),IF(circ_int,(g_oy)+(c_1/2+(s_0+5*s_r))*-0.000000,CHOOSE(INDEX(lk_kind,6),(g_oy+eq_c2/2)+((s_0+5*s_r))*0.000000,g_oy-eq_c2/2-(s_0+5*s_r),0,0)),NA())</f>
        <v/>
      </c>
      <c r="CD55">
        <f>IF(AND(AND(links_on,6&lt;=n_per),INDEX(lk_kind,6)=1,52&lt;INDEX(lk_legs,6)),g_ox+IF(((52+0.5)*(4*IF(circ_int,0,eq_c1/2)+4*IF(circ_int,0,eq_c2/2)+2*PI()*(s_0+5*s_r+IF(circ_int,eq_c1/2,0)))/INDEX(lk_legs,6))&lt;(2*IF(circ_int,0,eq_c2/2)),IF(circ_int,0,eq_c1/2)+(s_0+5*s_r+IF(circ_int,eq_c1/2,0)),IF(((52+0.5)*(4*IF(circ_int,0,eq_c1/2)+4*IF(circ_int,0,eq_c2/2)+2*PI()*(s_0+5*s_r+IF(circ_int,eq_c1/2,0)))/INDEX(lk_legs,6))&lt;((2*IF(circ_int,0,eq_c2/2))+(PI()*(s_0+5*s_r+IF(circ_int,eq_c1/2,0))/2)),IF(circ_int,0,eq_c1/2)+(s_0+5*s_r+IF(circ_int,eq_c1/2,0))*COS((((52+0.5)*(4*IF(circ_int,0,eq_c1/2)+4*IF(circ_int,0,eq_c2/2)+2*PI()*(s_0+5*s_r+IF(circ_int,eq_c1/2,0)))/INDEX(lk_legs,6))-(2*IF(circ_int,0,eq_c2/2)))/(s_0+5*s_r+IF(circ_int,eq_c1/2,0))),IF(((52+0.5)*(4*IF(circ_int,0,eq_c1/2)+4*IF(circ_int,0,eq_c2/2)+2*PI()*(s_0+5*s_r+IF(circ_int,eq_c1/2,0)))/INDEX(lk_legs,6))&lt;(((2*IF(circ_int,0,eq_c2/2))+(PI()*(s_0+5*s_r+IF(circ_int,eq_c1/2,0))/2))+2*IF(circ_int,0,eq_c1/2)),IF(circ_int,0,eq_c1/2)-(((52+0.5)*(4*IF(circ_int,0,eq_c1/2)+4*IF(circ_int,0,eq_c2/2)+2*PI()*(s_0+5*s_r+IF(circ_int,eq_c1/2,0)))/INDEX(lk_legs,6))-((2*IF(circ_int,0,eq_c2/2))+(PI()*(s_0+5*s_r+IF(circ_int,eq_c1/2,0))/2))),IF(((52+0.5)*(4*IF(circ_int,0,eq_c1/2)+4*IF(circ_int,0,eq_c2/2)+2*PI()*(s_0+5*s_r+IF(circ_int,eq_c1/2,0)))/INDEX(lk_legs,6))&lt;((((2*IF(circ_int,0,eq_c2/2))+(PI()*(s_0+5*s_r+IF(circ_int,eq_c1/2,0))/2))+2*IF(circ_int,0,eq_c1/2))+(PI()*(s_0+5*s_r+IF(circ_int,eq_c1/2,0))/2)),-IF(circ_int,0,eq_c1/2)+(s_0+5*s_r+IF(circ_int,eq_c1/2,0))*COS(PI()/2+(((52+0.5)*(4*IF(circ_int,0,eq_c1/2)+4*IF(circ_int,0,eq_c2/2)+2*PI()*(s_0+5*s_r+IF(circ_int,eq_c1/2,0)))/INDEX(lk_legs,6))-(((2*IF(circ_int,0,eq_c2/2))+(PI()*(s_0+5*s_r+IF(circ_int,eq_c1/2,0))/2))+2*IF(circ_int,0,eq_c1/2)))/(s_0+5*s_r+IF(circ_int,eq_c1/2,0))),IF(((52+0.5)*(4*IF(circ_int,0,eq_c1/2)+4*IF(circ_int,0,eq_c2/2)+2*PI()*(s_0+5*s_r+IF(circ_int,eq_c1/2,0)))/INDEX(lk_legs,6))&lt;(((((2*IF(circ_int,0,eq_c2/2))+(PI()*(s_0+5*s_r+IF(circ_int,eq_c1/2,0))/2))+2*IF(circ_int,0,eq_c1/2))+(PI()*(s_0+5*s_r+IF(circ_int,eq_c1/2,0))/2))+2*IF(circ_int,0,eq_c2/2)),-IF(circ_int,0,eq_c1/2)-(s_0+5*s_r+IF(circ_int,eq_c1/2,0)),IF(((52+0.5)*(4*IF(circ_int,0,eq_c1/2)+4*IF(circ_int,0,eq_c2/2)+2*PI()*(s_0+5*s_r+IF(circ_int,eq_c1/2,0)))/INDEX(lk_legs,6))&lt;((((((2*IF(circ_int,0,eq_c2/2))+(PI()*(s_0+5*s_r+IF(circ_int,eq_c1/2,0))/2))+2*IF(circ_int,0,eq_c1/2))+(PI()*(s_0+5*s_r+IF(circ_int,eq_c1/2,0))/2))+2*IF(circ_int,0,eq_c2/2))+(PI()*(s_0+5*s_r+IF(circ_int,eq_c1/2,0))/2)),-IF(circ_int,0,eq_c1/2)+(s_0+5*s_r+IF(circ_int,eq_c1/2,0))*COS(PI()+(((52+0.5)*(4*IF(circ_int,0,eq_c1/2)+4*IF(circ_int,0,eq_c2/2)+2*PI()*(s_0+5*s_r+IF(circ_int,eq_c1/2,0)))/INDEX(lk_legs,6))-(((((2*IF(circ_int,0,eq_c2/2))+(PI()*(s_0+5*s_r+IF(circ_int,eq_c1/2,0))/2))+2*IF(circ_int,0,eq_c1/2))+(PI()*(s_0+5*s_r+IF(circ_int,eq_c1/2,0))/2))+2*IF(circ_int,0,eq_c2/2)))/(s_0+5*s_r+IF(circ_int,eq_c1/2,0))),IF(((52+0.5)*(4*IF(circ_int,0,eq_c1/2)+4*IF(circ_int,0,eq_c2/2)+2*PI()*(s_0+5*s_r+IF(circ_int,eq_c1/2,0)))/INDEX(lk_legs,6))&lt;(((((((2*IF(circ_int,0,eq_c2/2))+(PI()*(s_0+5*s_r+IF(circ_int,eq_c1/2,0))/2))+2*IF(circ_int,0,eq_c1/2))+(PI()*(s_0+5*s_r+IF(circ_int,eq_c1/2,0))/2))+2*IF(circ_int,0,eq_c2/2))+(PI()*(s_0+5*s_r+IF(circ_int,eq_c1/2,0))/2))+2*IF(circ_int,0,eq_c1/2)),-IF(circ_int,0,eq_c1/2)+(((52+0.5)*(4*IF(circ_int,0,eq_c1/2)+4*IF(circ_int,0,eq_c2/2)+2*PI()*(s_0+5*s_r+IF(circ_int,eq_c1/2,0)))/INDEX(lk_legs,6))-((((((2*IF(circ_int,0,eq_c2/2))+(PI()*(s_0+5*s_r+IF(circ_int,eq_c1/2,0))/2))+2*IF(circ_int,0,eq_c1/2))+(PI()*(s_0+5*s_r+IF(circ_int,eq_c1/2,0))/2))+2*IF(circ_int,0,eq_c2/2))+(PI()*(s_0+5*s_r+IF(circ_int,eq_c1/2,0))/2))),IF(circ_int,0,eq_c1/2)+(s_0+5*s_r+IF(circ_int,eq_c1/2,0))*COS(3*PI()/2+(((52+0.5)*(4*IF(circ_int,0,eq_c1/2)+4*IF(circ_int,0,eq_c2/2)+2*PI()*(s_0+5*s_r+IF(circ_int,eq_c1/2,0)))/INDEX(lk_legs,6))-(((((((2*IF(circ_int,0,eq_c2/2))+(PI()*(s_0+5*s_r+IF(circ_int,eq_c1/2,0))/2))+2*IF(circ_int,0,eq_c1/2))+(PI()*(s_0+5*s_r+IF(circ_int,eq_c1/2,0))/2))+2*IF(circ_int,0,eq_c2/2))+(PI()*(s_0+5*s_r+IF(circ_int,eq_c1/2,0))/2))+2*IF(circ_int,0,eq_c1/2)))/(s_0+5*s_r+IF(circ_int,eq_c1/2,0)))))))))),NA())</f>
        <v/>
      </c>
      <c r="CE55">
        <f>IF(AND(AND(links_on,6&lt;=n_per),INDEX(lk_kind,6)=1,52&lt;INDEX(lk_legs,6)),g_oy+IF(((52+0.5)*(4*IF(circ_int,0,eq_c1/2)+4*IF(circ_int,0,eq_c2/2)+2*PI()*(s_0+5*s_r+IF(circ_int,eq_c1/2,0)))/INDEX(lk_legs,6))&lt;(2*IF(circ_int,0,eq_c2/2)),-IF(circ_int,0,eq_c2/2)+((52+0.5)*(4*IF(circ_int,0,eq_c1/2)+4*IF(circ_int,0,eq_c2/2)+2*PI()*(s_0+5*s_r+IF(circ_int,eq_c1/2,0)))/INDEX(lk_legs,6)),IF(((52+0.5)*(4*IF(circ_int,0,eq_c1/2)+4*IF(circ_int,0,eq_c2/2)+2*PI()*(s_0+5*s_r+IF(circ_int,eq_c1/2,0)))/INDEX(lk_legs,6))&lt;((2*IF(circ_int,0,eq_c2/2))+(PI()*(s_0+5*s_r+IF(circ_int,eq_c1/2,0))/2)),IF(circ_int,0,eq_c2/2)+(s_0+5*s_r+IF(circ_int,eq_c1/2,0))*SIN((((52+0.5)*(4*IF(circ_int,0,eq_c1/2)+4*IF(circ_int,0,eq_c2/2)+2*PI()*(s_0+5*s_r+IF(circ_int,eq_c1/2,0)))/INDEX(lk_legs,6))-(2*IF(circ_int,0,eq_c2/2)))/(s_0+5*s_r+IF(circ_int,eq_c1/2,0))),IF(((52+0.5)*(4*IF(circ_int,0,eq_c1/2)+4*IF(circ_int,0,eq_c2/2)+2*PI()*(s_0+5*s_r+IF(circ_int,eq_c1/2,0)))/INDEX(lk_legs,6))&lt;(((2*IF(circ_int,0,eq_c2/2))+(PI()*(s_0+5*s_r+IF(circ_int,eq_c1/2,0))/2))+2*IF(circ_int,0,eq_c1/2)),IF(circ_int,0,eq_c2/2)+(s_0+5*s_r+IF(circ_int,eq_c1/2,0)),IF(((52+0.5)*(4*IF(circ_int,0,eq_c1/2)+4*IF(circ_int,0,eq_c2/2)+2*PI()*(s_0+5*s_r+IF(circ_int,eq_c1/2,0)))/INDEX(lk_legs,6))&lt;((((2*IF(circ_int,0,eq_c2/2))+(PI()*(s_0+5*s_r+IF(circ_int,eq_c1/2,0))/2))+2*IF(circ_int,0,eq_c1/2))+(PI()*(s_0+5*s_r+IF(circ_int,eq_c1/2,0))/2)),IF(circ_int,0,eq_c2/2)+(s_0+5*s_r+IF(circ_int,eq_c1/2,0))*SIN(PI()/2+(((52+0.5)*(4*IF(circ_int,0,eq_c1/2)+4*IF(circ_int,0,eq_c2/2)+2*PI()*(s_0+5*s_r+IF(circ_int,eq_c1/2,0)))/INDEX(lk_legs,6))-(((2*IF(circ_int,0,eq_c2/2))+(PI()*(s_0+5*s_r+IF(circ_int,eq_c1/2,0))/2))+2*IF(circ_int,0,eq_c1/2)))/(s_0+5*s_r+IF(circ_int,eq_c1/2,0))),IF(((52+0.5)*(4*IF(circ_int,0,eq_c1/2)+4*IF(circ_int,0,eq_c2/2)+2*PI()*(s_0+5*s_r+IF(circ_int,eq_c1/2,0)))/INDEX(lk_legs,6))&lt;(((((2*IF(circ_int,0,eq_c2/2))+(PI()*(s_0+5*s_r+IF(circ_int,eq_c1/2,0))/2))+2*IF(circ_int,0,eq_c1/2))+(PI()*(s_0+5*s_r+IF(circ_int,eq_c1/2,0))/2))+2*IF(circ_int,0,eq_c2/2)),IF(circ_int,0,eq_c2/2)-(((52+0.5)*(4*IF(circ_int,0,eq_c1/2)+4*IF(circ_int,0,eq_c2/2)+2*PI()*(s_0+5*s_r+IF(circ_int,eq_c1/2,0)))/INDEX(lk_legs,6))-((((2*IF(circ_int,0,eq_c2/2))+(PI()*(s_0+5*s_r+IF(circ_int,eq_c1/2,0))/2))+2*IF(circ_int,0,eq_c1/2))+(PI()*(s_0+5*s_r+IF(circ_int,eq_c1/2,0))/2))),IF(((52+0.5)*(4*IF(circ_int,0,eq_c1/2)+4*IF(circ_int,0,eq_c2/2)+2*PI()*(s_0+5*s_r+IF(circ_int,eq_c1/2,0)))/INDEX(lk_legs,6))&lt;((((((2*IF(circ_int,0,eq_c2/2))+(PI()*(s_0+5*s_r+IF(circ_int,eq_c1/2,0))/2))+2*IF(circ_int,0,eq_c1/2))+(PI()*(s_0+5*s_r+IF(circ_int,eq_c1/2,0))/2))+2*IF(circ_int,0,eq_c2/2))+(PI()*(s_0+5*s_r+IF(circ_int,eq_c1/2,0))/2)),-IF(circ_int,0,eq_c2/2)+(s_0+5*s_r+IF(circ_int,eq_c1/2,0))*SIN(PI()+(((52+0.5)*(4*IF(circ_int,0,eq_c1/2)+4*IF(circ_int,0,eq_c2/2)+2*PI()*(s_0+5*s_r+IF(circ_int,eq_c1/2,0)))/INDEX(lk_legs,6))-(((((2*IF(circ_int,0,eq_c2/2))+(PI()*(s_0+5*s_r+IF(circ_int,eq_c1/2,0))/2))+2*IF(circ_int,0,eq_c1/2))+(PI()*(s_0+5*s_r+IF(circ_int,eq_c1/2,0))/2))+2*IF(circ_int,0,eq_c2/2)))/(s_0+5*s_r+IF(circ_int,eq_c1/2,0))),IF(((52+0.5)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(52+0.5)*(4*IF(circ_int,0,eq_c1/2)+4*IF(circ_int,0,eq_c2/2)+2*PI()*(s_0+5*s_r+IF(circ_int,eq_c1/2,0)))/INDEX(lk_legs,6))-(((((((2*IF(circ_int,0,eq_c2/2))+(PI()*(s_0+5*s_r+IF(circ_int,eq_c1/2,0))/2))+2*IF(circ_int,0,eq_c1/2))+(PI()*(s_0+5*s_r+IF(circ_int,eq_c1/2,0))/2))+2*IF(circ_int,0,eq_c2/2))+(PI()*(s_0+5*s_r+IF(circ_int,eq_c1/2,0))/2))+2*IF(circ_int,0,eq_c1/2)))/(s_0+5*s_r+IF(circ_int,eq_c1/2,0)))))))))),NA())</f>
        <v/>
      </c>
      <c r="CG55">
        <f>IF(AND(links_on,7&lt;=n_per),IF(circ_int,(g_ox)+(c_1/2+(s_0+6*s_r))*1.000000,CHOOSE(INDEX(lk_kind,7),(g_ox+eq_c1/2)+((s_0+6*s_r))*1.000000,0,eq_a1+eq_c1+(s_0+6*s_r),eq_a1+eq_c1+(s_0+6*s_r))),NA())</f>
        <v/>
      </c>
      <c r="CH55">
        <f>IF(AND(links_on,7&lt;=n_per),IF(circ_int,(g_oy)+(c_1/2+(s_0+6*s_r))*-0.000000,CHOOSE(INDEX(lk_kind,7),(g_oy+eq_c2/2)+((s_0+6*s_r))*0.000000,g_oy-eq_c2/2-(s_0+6*s_r),0,0)),NA())</f>
        <v/>
      </c>
      <c r="CJ55">
        <f>IF(AND(AND(links_on,7&lt;=n_per),INDEX(lk_kind,7)=1,52&lt;INDEX(lk_legs,7)),g_ox+IF(((52+0.5)*(4*IF(circ_int,0,eq_c1/2)+4*IF(circ_int,0,eq_c2/2)+2*PI()*(s_0+6*s_r+IF(circ_int,eq_c1/2,0)))/INDEX(lk_legs,7))&lt;(2*IF(circ_int,0,eq_c2/2)),IF(circ_int,0,eq_c1/2)+(s_0+6*s_r+IF(circ_int,eq_c1/2,0)),IF(((52+0.5)*(4*IF(circ_int,0,eq_c1/2)+4*IF(circ_int,0,eq_c2/2)+2*PI()*(s_0+6*s_r+IF(circ_int,eq_c1/2,0)))/INDEX(lk_legs,7))&lt;((2*IF(circ_int,0,eq_c2/2))+(PI()*(s_0+6*s_r+IF(circ_int,eq_c1/2,0))/2)),IF(circ_int,0,eq_c1/2)+(s_0+6*s_r+IF(circ_int,eq_c1/2,0))*COS((((52+0.5)*(4*IF(circ_int,0,eq_c1/2)+4*IF(circ_int,0,eq_c2/2)+2*PI()*(s_0+6*s_r+IF(circ_int,eq_c1/2,0)))/INDEX(lk_legs,7))-(2*IF(circ_int,0,eq_c2/2)))/(s_0+6*s_r+IF(circ_int,eq_c1/2,0))),IF(((52+0.5)*(4*IF(circ_int,0,eq_c1/2)+4*IF(circ_int,0,eq_c2/2)+2*PI()*(s_0+6*s_r+IF(circ_int,eq_c1/2,0)))/INDEX(lk_legs,7))&lt;(((2*IF(circ_int,0,eq_c2/2))+(PI()*(s_0+6*s_r+IF(circ_int,eq_c1/2,0))/2))+2*IF(circ_int,0,eq_c1/2)),IF(circ_int,0,eq_c1/2)-(((52+0.5)*(4*IF(circ_int,0,eq_c1/2)+4*IF(circ_int,0,eq_c2/2)+2*PI()*(s_0+6*s_r+IF(circ_int,eq_c1/2,0)))/INDEX(lk_legs,7))-((2*IF(circ_int,0,eq_c2/2))+(PI()*(s_0+6*s_r+IF(circ_int,eq_c1/2,0))/2))),IF(((52+0.5)*(4*IF(circ_int,0,eq_c1/2)+4*IF(circ_int,0,eq_c2/2)+2*PI()*(s_0+6*s_r+IF(circ_int,eq_c1/2,0)))/INDEX(lk_legs,7))&lt;((((2*IF(circ_int,0,eq_c2/2))+(PI()*(s_0+6*s_r+IF(circ_int,eq_c1/2,0))/2))+2*IF(circ_int,0,eq_c1/2))+(PI()*(s_0+6*s_r+IF(circ_int,eq_c1/2,0))/2)),-IF(circ_int,0,eq_c1/2)+(s_0+6*s_r+IF(circ_int,eq_c1/2,0))*COS(PI()/2+(((52+0.5)*(4*IF(circ_int,0,eq_c1/2)+4*IF(circ_int,0,eq_c2/2)+2*PI()*(s_0+6*s_r+IF(circ_int,eq_c1/2,0)))/INDEX(lk_legs,7))-(((2*IF(circ_int,0,eq_c2/2))+(PI()*(s_0+6*s_r+IF(circ_int,eq_c1/2,0))/2))+2*IF(circ_int,0,eq_c1/2)))/(s_0+6*s_r+IF(circ_int,eq_c1/2,0))),IF(((52+0.5)*(4*IF(circ_int,0,eq_c1/2)+4*IF(circ_int,0,eq_c2/2)+2*PI()*(s_0+6*s_r+IF(circ_int,eq_c1/2,0)))/INDEX(lk_legs,7))&lt;(((((2*IF(circ_int,0,eq_c2/2))+(PI()*(s_0+6*s_r+IF(circ_int,eq_c1/2,0))/2))+2*IF(circ_int,0,eq_c1/2))+(PI()*(s_0+6*s_r+IF(circ_int,eq_c1/2,0))/2))+2*IF(circ_int,0,eq_c2/2)),-IF(circ_int,0,eq_c1/2)-(s_0+6*s_r+IF(circ_int,eq_c1/2,0)),IF(((52+0.5)*(4*IF(circ_int,0,eq_c1/2)+4*IF(circ_int,0,eq_c2/2)+2*PI()*(s_0+6*s_r+IF(circ_int,eq_c1/2,0)))/INDEX(lk_legs,7))&lt;((((((2*IF(circ_int,0,eq_c2/2))+(PI()*(s_0+6*s_r+IF(circ_int,eq_c1/2,0))/2))+2*IF(circ_int,0,eq_c1/2))+(PI()*(s_0+6*s_r+IF(circ_int,eq_c1/2,0))/2))+2*IF(circ_int,0,eq_c2/2))+(PI()*(s_0+6*s_r+IF(circ_int,eq_c1/2,0))/2)),-IF(circ_int,0,eq_c1/2)+(s_0+6*s_r+IF(circ_int,eq_c1/2,0))*COS(PI()+(((52+0.5)*(4*IF(circ_int,0,eq_c1/2)+4*IF(circ_int,0,eq_c2/2)+2*PI()*(s_0+6*s_r+IF(circ_int,eq_c1/2,0)))/INDEX(lk_legs,7))-(((((2*IF(circ_int,0,eq_c2/2))+(PI()*(s_0+6*s_r+IF(circ_int,eq_c1/2,0))/2))+2*IF(circ_int,0,eq_c1/2))+(PI()*(s_0+6*s_r+IF(circ_int,eq_c1/2,0))/2))+2*IF(circ_int,0,eq_c2/2)))/(s_0+6*s_r+IF(circ_int,eq_c1/2,0))),IF(((52+0.5)*(4*IF(circ_int,0,eq_c1/2)+4*IF(circ_int,0,eq_c2/2)+2*PI()*(s_0+6*s_r+IF(circ_int,eq_c1/2,0)))/INDEX(lk_legs,7))&lt;(((((((2*IF(circ_int,0,eq_c2/2))+(PI()*(s_0+6*s_r+IF(circ_int,eq_c1/2,0))/2))+2*IF(circ_int,0,eq_c1/2))+(PI()*(s_0+6*s_r+IF(circ_int,eq_c1/2,0))/2))+2*IF(circ_int,0,eq_c2/2))+(PI()*(s_0+6*s_r+IF(circ_int,eq_c1/2,0))/2))+2*IF(circ_int,0,eq_c1/2)),-IF(circ_int,0,eq_c1/2)+(((52+0.5)*(4*IF(circ_int,0,eq_c1/2)+4*IF(circ_int,0,eq_c2/2)+2*PI()*(s_0+6*s_r+IF(circ_int,eq_c1/2,0)))/INDEX(lk_legs,7))-((((((2*IF(circ_int,0,eq_c2/2))+(PI()*(s_0+6*s_r+IF(circ_int,eq_c1/2,0))/2))+2*IF(circ_int,0,eq_c1/2))+(PI()*(s_0+6*s_r+IF(circ_int,eq_c1/2,0))/2))+2*IF(circ_int,0,eq_c2/2))+(PI()*(s_0+6*s_r+IF(circ_int,eq_c1/2,0))/2))),IF(circ_int,0,eq_c1/2)+(s_0+6*s_r+IF(circ_int,eq_c1/2,0))*COS(3*PI()/2+(((52+0.5)*(4*IF(circ_int,0,eq_c1/2)+4*IF(circ_int,0,eq_c2/2)+2*PI()*(s_0+6*s_r+IF(circ_int,eq_c1/2,0)))/INDEX(lk_legs,7))-(((((((2*IF(circ_int,0,eq_c2/2))+(PI()*(s_0+6*s_r+IF(circ_int,eq_c1/2,0))/2))+2*IF(circ_int,0,eq_c1/2))+(PI()*(s_0+6*s_r+IF(circ_int,eq_c1/2,0))/2))+2*IF(circ_int,0,eq_c2/2))+(PI()*(s_0+6*s_r+IF(circ_int,eq_c1/2,0))/2))+2*IF(circ_int,0,eq_c1/2)))/(s_0+6*s_r+IF(circ_int,eq_c1/2,0)))))))))),NA())</f>
        <v/>
      </c>
      <c r="CK55">
        <f>IF(AND(AND(links_on,7&lt;=n_per),INDEX(lk_kind,7)=1,52&lt;INDEX(lk_legs,7)),g_oy+IF(((52+0.5)*(4*IF(circ_int,0,eq_c1/2)+4*IF(circ_int,0,eq_c2/2)+2*PI()*(s_0+6*s_r+IF(circ_int,eq_c1/2,0)))/INDEX(lk_legs,7))&lt;(2*IF(circ_int,0,eq_c2/2)),-IF(circ_int,0,eq_c2/2)+((52+0.5)*(4*IF(circ_int,0,eq_c1/2)+4*IF(circ_int,0,eq_c2/2)+2*PI()*(s_0+6*s_r+IF(circ_int,eq_c1/2,0)))/INDEX(lk_legs,7)),IF(((52+0.5)*(4*IF(circ_int,0,eq_c1/2)+4*IF(circ_int,0,eq_c2/2)+2*PI()*(s_0+6*s_r+IF(circ_int,eq_c1/2,0)))/INDEX(lk_legs,7))&lt;((2*IF(circ_int,0,eq_c2/2))+(PI()*(s_0+6*s_r+IF(circ_int,eq_c1/2,0))/2)),IF(circ_int,0,eq_c2/2)+(s_0+6*s_r+IF(circ_int,eq_c1/2,0))*SIN((((52+0.5)*(4*IF(circ_int,0,eq_c1/2)+4*IF(circ_int,0,eq_c2/2)+2*PI()*(s_0+6*s_r+IF(circ_int,eq_c1/2,0)))/INDEX(lk_legs,7))-(2*IF(circ_int,0,eq_c2/2)))/(s_0+6*s_r+IF(circ_int,eq_c1/2,0))),IF(((52+0.5)*(4*IF(circ_int,0,eq_c1/2)+4*IF(circ_int,0,eq_c2/2)+2*PI()*(s_0+6*s_r+IF(circ_int,eq_c1/2,0)))/INDEX(lk_legs,7))&lt;(((2*IF(circ_int,0,eq_c2/2))+(PI()*(s_0+6*s_r+IF(circ_int,eq_c1/2,0))/2))+2*IF(circ_int,0,eq_c1/2)),IF(circ_int,0,eq_c2/2)+(s_0+6*s_r+IF(circ_int,eq_c1/2,0)),IF(((52+0.5)*(4*IF(circ_int,0,eq_c1/2)+4*IF(circ_int,0,eq_c2/2)+2*PI()*(s_0+6*s_r+IF(circ_int,eq_c1/2,0)))/INDEX(lk_legs,7))&lt;((((2*IF(circ_int,0,eq_c2/2))+(PI()*(s_0+6*s_r+IF(circ_int,eq_c1/2,0))/2))+2*IF(circ_int,0,eq_c1/2))+(PI()*(s_0+6*s_r+IF(circ_int,eq_c1/2,0))/2)),IF(circ_int,0,eq_c2/2)+(s_0+6*s_r+IF(circ_int,eq_c1/2,0))*SIN(PI()/2+(((52+0.5)*(4*IF(circ_int,0,eq_c1/2)+4*IF(circ_int,0,eq_c2/2)+2*PI()*(s_0+6*s_r+IF(circ_int,eq_c1/2,0)))/INDEX(lk_legs,7))-(((2*IF(circ_int,0,eq_c2/2))+(PI()*(s_0+6*s_r+IF(circ_int,eq_c1/2,0))/2))+2*IF(circ_int,0,eq_c1/2)))/(s_0+6*s_r+IF(circ_int,eq_c1/2,0))),IF(((52+0.5)*(4*IF(circ_int,0,eq_c1/2)+4*IF(circ_int,0,eq_c2/2)+2*PI()*(s_0+6*s_r+IF(circ_int,eq_c1/2,0)))/INDEX(lk_legs,7))&lt;(((((2*IF(circ_int,0,eq_c2/2))+(PI()*(s_0+6*s_r+IF(circ_int,eq_c1/2,0))/2))+2*IF(circ_int,0,eq_c1/2))+(PI()*(s_0+6*s_r+IF(circ_int,eq_c1/2,0))/2))+2*IF(circ_int,0,eq_c2/2)),IF(circ_int,0,eq_c2/2)-(((52+0.5)*(4*IF(circ_int,0,eq_c1/2)+4*IF(circ_int,0,eq_c2/2)+2*PI()*(s_0+6*s_r+IF(circ_int,eq_c1/2,0)))/INDEX(lk_legs,7))-((((2*IF(circ_int,0,eq_c2/2))+(PI()*(s_0+6*s_r+IF(circ_int,eq_c1/2,0))/2))+2*IF(circ_int,0,eq_c1/2))+(PI()*(s_0+6*s_r+IF(circ_int,eq_c1/2,0))/2))),IF(((52+0.5)*(4*IF(circ_int,0,eq_c1/2)+4*IF(circ_int,0,eq_c2/2)+2*PI()*(s_0+6*s_r+IF(circ_int,eq_c1/2,0)))/INDEX(lk_legs,7))&lt;((((((2*IF(circ_int,0,eq_c2/2))+(PI()*(s_0+6*s_r+IF(circ_int,eq_c1/2,0))/2))+2*IF(circ_int,0,eq_c1/2))+(PI()*(s_0+6*s_r+IF(circ_int,eq_c1/2,0))/2))+2*IF(circ_int,0,eq_c2/2))+(PI()*(s_0+6*s_r+IF(circ_int,eq_c1/2,0))/2)),-IF(circ_int,0,eq_c2/2)+(s_0+6*s_r+IF(circ_int,eq_c1/2,0))*SIN(PI()+(((52+0.5)*(4*IF(circ_int,0,eq_c1/2)+4*IF(circ_int,0,eq_c2/2)+2*PI()*(s_0+6*s_r+IF(circ_int,eq_c1/2,0)))/INDEX(lk_legs,7))-(((((2*IF(circ_int,0,eq_c2/2))+(PI()*(s_0+6*s_r+IF(circ_int,eq_c1/2,0))/2))+2*IF(circ_int,0,eq_c1/2))+(PI()*(s_0+6*s_r+IF(circ_int,eq_c1/2,0))/2))+2*IF(circ_int,0,eq_c2/2)))/(s_0+6*s_r+IF(circ_int,eq_c1/2,0))),IF(((52+0.5)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(52+0.5)*(4*IF(circ_int,0,eq_c1/2)+4*IF(circ_int,0,eq_c2/2)+2*PI()*(s_0+6*s_r+IF(circ_int,eq_c1/2,0)))/INDEX(lk_legs,7))-(((((((2*IF(circ_int,0,eq_c2/2))+(PI()*(s_0+6*s_r+IF(circ_int,eq_c1/2,0))/2))+2*IF(circ_int,0,eq_c1/2))+(PI()*(s_0+6*s_r+IF(circ_int,eq_c1/2,0))/2))+2*IF(circ_int,0,eq_c2/2))+(PI()*(s_0+6*s_r+IF(circ_int,eq_c1/2,0))/2))+2*IF(circ_int,0,eq_c1/2)))/(s_0+6*s_r+IF(circ_int,eq_c1/2,0)))))))))),NA())</f>
        <v/>
      </c>
      <c r="CM55">
        <f>IF(AND(links_on,8&lt;=n_per),IF(circ_int,(g_ox)+(c_1/2+(s_0+7*s_r))*1.000000,CHOOSE(INDEX(lk_kind,8),(g_ox+eq_c1/2)+((s_0+7*s_r))*1.000000,0,eq_a1+eq_c1+(s_0+7*s_r),eq_a1+eq_c1+(s_0+7*s_r))),NA())</f>
        <v/>
      </c>
      <c r="CN55">
        <f>IF(AND(links_on,8&lt;=n_per),IF(circ_int,(g_oy)+(c_1/2+(s_0+7*s_r))*-0.000000,CHOOSE(INDEX(lk_kind,8),(g_oy+eq_c2/2)+((s_0+7*s_r))*0.000000,g_oy-eq_c2/2-(s_0+7*s_r),0,0)),NA())</f>
        <v/>
      </c>
      <c r="CP55">
        <f>IF(AND(AND(links_on,8&lt;=n_per),INDEX(lk_kind,8)=1,52&lt;INDEX(lk_legs,8)),g_ox+IF(((52+0.5)*(4*IF(circ_int,0,eq_c1/2)+4*IF(circ_int,0,eq_c2/2)+2*PI()*(s_0+7*s_r+IF(circ_int,eq_c1/2,0)))/INDEX(lk_legs,8))&lt;(2*IF(circ_int,0,eq_c2/2)),IF(circ_int,0,eq_c1/2)+(s_0+7*s_r+IF(circ_int,eq_c1/2,0)),IF(((52+0.5)*(4*IF(circ_int,0,eq_c1/2)+4*IF(circ_int,0,eq_c2/2)+2*PI()*(s_0+7*s_r+IF(circ_int,eq_c1/2,0)))/INDEX(lk_legs,8))&lt;((2*IF(circ_int,0,eq_c2/2))+(PI()*(s_0+7*s_r+IF(circ_int,eq_c1/2,0))/2)),IF(circ_int,0,eq_c1/2)+(s_0+7*s_r+IF(circ_int,eq_c1/2,0))*COS((((52+0.5)*(4*IF(circ_int,0,eq_c1/2)+4*IF(circ_int,0,eq_c2/2)+2*PI()*(s_0+7*s_r+IF(circ_int,eq_c1/2,0)))/INDEX(lk_legs,8))-(2*IF(circ_int,0,eq_c2/2)))/(s_0+7*s_r+IF(circ_int,eq_c1/2,0))),IF(((52+0.5)*(4*IF(circ_int,0,eq_c1/2)+4*IF(circ_int,0,eq_c2/2)+2*PI()*(s_0+7*s_r+IF(circ_int,eq_c1/2,0)))/INDEX(lk_legs,8))&lt;(((2*IF(circ_int,0,eq_c2/2))+(PI()*(s_0+7*s_r+IF(circ_int,eq_c1/2,0))/2))+2*IF(circ_int,0,eq_c1/2)),IF(circ_int,0,eq_c1/2)-(((52+0.5)*(4*IF(circ_int,0,eq_c1/2)+4*IF(circ_int,0,eq_c2/2)+2*PI()*(s_0+7*s_r+IF(circ_int,eq_c1/2,0)))/INDEX(lk_legs,8))-((2*IF(circ_int,0,eq_c2/2))+(PI()*(s_0+7*s_r+IF(circ_int,eq_c1/2,0))/2))),IF(((52+0.5)*(4*IF(circ_int,0,eq_c1/2)+4*IF(circ_int,0,eq_c2/2)+2*PI()*(s_0+7*s_r+IF(circ_int,eq_c1/2,0)))/INDEX(lk_legs,8))&lt;((((2*IF(circ_int,0,eq_c2/2))+(PI()*(s_0+7*s_r+IF(circ_int,eq_c1/2,0))/2))+2*IF(circ_int,0,eq_c1/2))+(PI()*(s_0+7*s_r+IF(circ_int,eq_c1/2,0))/2)),-IF(circ_int,0,eq_c1/2)+(s_0+7*s_r+IF(circ_int,eq_c1/2,0))*COS(PI()/2+(((52+0.5)*(4*IF(circ_int,0,eq_c1/2)+4*IF(circ_int,0,eq_c2/2)+2*PI()*(s_0+7*s_r+IF(circ_int,eq_c1/2,0)))/INDEX(lk_legs,8))-(((2*IF(circ_int,0,eq_c2/2))+(PI()*(s_0+7*s_r+IF(circ_int,eq_c1/2,0))/2))+2*IF(circ_int,0,eq_c1/2)))/(s_0+7*s_r+IF(circ_int,eq_c1/2,0))),IF(((52+0.5)*(4*IF(circ_int,0,eq_c1/2)+4*IF(circ_int,0,eq_c2/2)+2*PI()*(s_0+7*s_r+IF(circ_int,eq_c1/2,0)))/INDEX(lk_legs,8))&lt;(((((2*IF(circ_int,0,eq_c2/2))+(PI()*(s_0+7*s_r+IF(circ_int,eq_c1/2,0))/2))+2*IF(circ_int,0,eq_c1/2))+(PI()*(s_0+7*s_r+IF(circ_int,eq_c1/2,0))/2))+2*IF(circ_int,0,eq_c2/2)),-IF(circ_int,0,eq_c1/2)-(s_0+7*s_r+IF(circ_int,eq_c1/2,0)),IF(((52+0.5)*(4*IF(circ_int,0,eq_c1/2)+4*IF(circ_int,0,eq_c2/2)+2*PI()*(s_0+7*s_r+IF(circ_int,eq_c1/2,0)))/INDEX(lk_legs,8))&lt;((((((2*IF(circ_int,0,eq_c2/2))+(PI()*(s_0+7*s_r+IF(circ_int,eq_c1/2,0))/2))+2*IF(circ_int,0,eq_c1/2))+(PI()*(s_0+7*s_r+IF(circ_int,eq_c1/2,0))/2))+2*IF(circ_int,0,eq_c2/2))+(PI()*(s_0+7*s_r+IF(circ_int,eq_c1/2,0))/2)),-IF(circ_int,0,eq_c1/2)+(s_0+7*s_r+IF(circ_int,eq_c1/2,0))*COS(PI()+(((52+0.5)*(4*IF(circ_int,0,eq_c1/2)+4*IF(circ_int,0,eq_c2/2)+2*PI()*(s_0+7*s_r+IF(circ_int,eq_c1/2,0)))/INDEX(lk_legs,8))-(((((2*IF(circ_int,0,eq_c2/2))+(PI()*(s_0+7*s_r+IF(circ_int,eq_c1/2,0))/2))+2*IF(circ_int,0,eq_c1/2))+(PI()*(s_0+7*s_r+IF(circ_int,eq_c1/2,0))/2))+2*IF(circ_int,0,eq_c2/2)))/(s_0+7*s_r+IF(circ_int,eq_c1/2,0))),IF(((52+0.5)*(4*IF(circ_int,0,eq_c1/2)+4*IF(circ_int,0,eq_c2/2)+2*PI()*(s_0+7*s_r+IF(circ_int,eq_c1/2,0)))/INDEX(lk_legs,8))&lt;(((((((2*IF(circ_int,0,eq_c2/2))+(PI()*(s_0+7*s_r+IF(circ_int,eq_c1/2,0))/2))+2*IF(circ_int,0,eq_c1/2))+(PI()*(s_0+7*s_r+IF(circ_int,eq_c1/2,0))/2))+2*IF(circ_int,0,eq_c2/2))+(PI()*(s_0+7*s_r+IF(circ_int,eq_c1/2,0))/2))+2*IF(circ_int,0,eq_c1/2)),-IF(circ_int,0,eq_c1/2)+(((52+0.5)*(4*IF(circ_int,0,eq_c1/2)+4*IF(circ_int,0,eq_c2/2)+2*PI()*(s_0+7*s_r+IF(circ_int,eq_c1/2,0)))/INDEX(lk_legs,8))-((((((2*IF(circ_int,0,eq_c2/2))+(PI()*(s_0+7*s_r+IF(circ_int,eq_c1/2,0))/2))+2*IF(circ_int,0,eq_c1/2))+(PI()*(s_0+7*s_r+IF(circ_int,eq_c1/2,0))/2))+2*IF(circ_int,0,eq_c2/2))+(PI()*(s_0+7*s_r+IF(circ_int,eq_c1/2,0))/2))),IF(circ_int,0,eq_c1/2)+(s_0+7*s_r+IF(circ_int,eq_c1/2,0))*COS(3*PI()/2+(((52+0.5)*(4*IF(circ_int,0,eq_c1/2)+4*IF(circ_int,0,eq_c2/2)+2*PI()*(s_0+7*s_r+IF(circ_int,eq_c1/2,0)))/INDEX(lk_legs,8))-(((((((2*IF(circ_int,0,eq_c2/2))+(PI()*(s_0+7*s_r+IF(circ_int,eq_c1/2,0))/2))+2*IF(circ_int,0,eq_c1/2))+(PI()*(s_0+7*s_r+IF(circ_int,eq_c1/2,0))/2))+2*IF(circ_int,0,eq_c2/2))+(PI()*(s_0+7*s_r+IF(circ_int,eq_c1/2,0))/2))+2*IF(circ_int,0,eq_c1/2)))/(s_0+7*s_r+IF(circ_int,eq_c1/2,0)))))))))),NA())</f>
        <v/>
      </c>
      <c r="CQ55">
        <f>IF(AND(AND(links_on,8&lt;=n_per),INDEX(lk_kind,8)=1,52&lt;INDEX(lk_legs,8)),g_oy+IF(((52+0.5)*(4*IF(circ_int,0,eq_c1/2)+4*IF(circ_int,0,eq_c2/2)+2*PI()*(s_0+7*s_r+IF(circ_int,eq_c1/2,0)))/INDEX(lk_legs,8))&lt;(2*IF(circ_int,0,eq_c2/2)),-IF(circ_int,0,eq_c2/2)+((52+0.5)*(4*IF(circ_int,0,eq_c1/2)+4*IF(circ_int,0,eq_c2/2)+2*PI()*(s_0+7*s_r+IF(circ_int,eq_c1/2,0)))/INDEX(lk_legs,8)),IF(((52+0.5)*(4*IF(circ_int,0,eq_c1/2)+4*IF(circ_int,0,eq_c2/2)+2*PI()*(s_0+7*s_r+IF(circ_int,eq_c1/2,0)))/INDEX(lk_legs,8))&lt;((2*IF(circ_int,0,eq_c2/2))+(PI()*(s_0+7*s_r+IF(circ_int,eq_c1/2,0))/2)),IF(circ_int,0,eq_c2/2)+(s_0+7*s_r+IF(circ_int,eq_c1/2,0))*SIN((((52+0.5)*(4*IF(circ_int,0,eq_c1/2)+4*IF(circ_int,0,eq_c2/2)+2*PI()*(s_0+7*s_r+IF(circ_int,eq_c1/2,0)))/INDEX(lk_legs,8))-(2*IF(circ_int,0,eq_c2/2)))/(s_0+7*s_r+IF(circ_int,eq_c1/2,0))),IF(((52+0.5)*(4*IF(circ_int,0,eq_c1/2)+4*IF(circ_int,0,eq_c2/2)+2*PI()*(s_0+7*s_r+IF(circ_int,eq_c1/2,0)))/INDEX(lk_legs,8))&lt;(((2*IF(circ_int,0,eq_c2/2))+(PI()*(s_0+7*s_r+IF(circ_int,eq_c1/2,0))/2))+2*IF(circ_int,0,eq_c1/2)),IF(circ_int,0,eq_c2/2)+(s_0+7*s_r+IF(circ_int,eq_c1/2,0)),IF(((52+0.5)*(4*IF(circ_int,0,eq_c1/2)+4*IF(circ_int,0,eq_c2/2)+2*PI()*(s_0+7*s_r+IF(circ_int,eq_c1/2,0)))/INDEX(lk_legs,8))&lt;((((2*IF(circ_int,0,eq_c2/2))+(PI()*(s_0+7*s_r+IF(circ_int,eq_c1/2,0))/2))+2*IF(circ_int,0,eq_c1/2))+(PI()*(s_0+7*s_r+IF(circ_int,eq_c1/2,0))/2)),IF(circ_int,0,eq_c2/2)+(s_0+7*s_r+IF(circ_int,eq_c1/2,0))*SIN(PI()/2+(((52+0.5)*(4*IF(circ_int,0,eq_c1/2)+4*IF(circ_int,0,eq_c2/2)+2*PI()*(s_0+7*s_r+IF(circ_int,eq_c1/2,0)))/INDEX(lk_legs,8))-(((2*IF(circ_int,0,eq_c2/2))+(PI()*(s_0+7*s_r+IF(circ_int,eq_c1/2,0))/2))+2*IF(circ_int,0,eq_c1/2)))/(s_0+7*s_r+IF(circ_int,eq_c1/2,0))),IF(((52+0.5)*(4*IF(circ_int,0,eq_c1/2)+4*IF(circ_int,0,eq_c2/2)+2*PI()*(s_0+7*s_r+IF(circ_int,eq_c1/2,0)))/INDEX(lk_legs,8))&lt;(((((2*IF(circ_int,0,eq_c2/2))+(PI()*(s_0+7*s_r+IF(circ_int,eq_c1/2,0))/2))+2*IF(circ_int,0,eq_c1/2))+(PI()*(s_0+7*s_r+IF(circ_int,eq_c1/2,0))/2))+2*IF(circ_int,0,eq_c2/2)),IF(circ_int,0,eq_c2/2)-(((52+0.5)*(4*IF(circ_int,0,eq_c1/2)+4*IF(circ_int,0,eq_c2/2)+2*PI()*(s_0+7*s_r+IF(circ_int,eq_c1/2,0)))/INDEX(lk_legs,8))-((((2*IF(circ_int,0,eq_c2/2))+(PI()*(s_0+7*s_r+IF(circ_int,eq_c1/2,0))/2))+2*IF(circ_int,0,eq_c1/2))+(PI()*(s_0+7*s_r+IF(circ_int,eq_c1/2,0))/2))),IF(((52+0.5)*(4*IF(circ_int,0,eq_c1/2)+4*IF(circ_int,0,eq_c2/2)+2*PI()*(s_0+7*s_r+IF(circ_int,eq_c1/2,0)))/INDEX(lk_legs,8))&lt;((((((2*IF(circ_int,0,eq_c2/2))+(PI()*(s_0+7*s_r+IF(circ_int,eq_c1/2,0))/2))+2*IF(circ_int,0,eq_c1/2))+(PI()*(s_0+7*s_r+IF(circ_int,eq_c1/2,0))/2))+2*IF(circ_int,0,eq_c2/2))+(PI()*(s_0+7*s_r+IF(circ_int,eq_c1/2,0))/2)),-IF(circ_int,0,eq_c2/2)+(s_0+7*s_r+IF(circ_int,eq_c1/2,0))*SIN(PI()+(((52+0.5)*(4*IF(circ_int,0,eq_c1/2)+4*IF(circ_int,0,eq_c2/2)+2*PI()*(s_0+7*s_r+IF(circ_int,eq_c1/2,0)))/INDEX(lk_legs,8))-(((((2*IF(circ_int,0,eq_c2/2))+(PI()*(s_0+7*s_r+IF(circ_int,eq_c1/2,0))/2))+2*IF(circ_int,0,eq_c1/2))+(PI()*(s_0+7*s_r+IF(circ_int,eq_c1/2,0))/2))+2*IF(circ_int,0,eq_c2/2)))/(s_0+7*s_r+IF(circ_int,eq_c1/2,0))),IF(((52+0.5)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(52+0.5)*(4*IF(circ_int,0,eq_c1/2)+4*IF(circ_int,0,eq_c2/2)+2*PI()*(s_0+7*s_r+IF(circ_int,eq_c1/2,0)))/INDEX(lk_legs,8))-(((((((2*IF(circ_int,0,eq_c2/2))+(PI()*(s_0+7*s_r+IF(circ_int,eq_c1/2,0))/2))+2*IF(circ_int,0,eq_c1/2))+(PI()*(s_0+7*s_r+IF(circ_int,eq_c1/2,0))/2))+2*IF(circ_int,0,eq_c2/2))+(PI()*(s_0+7*s_r+IF(circ_int,eq_c1/2,0))/2))+2*IF(circ_int,0,eq_c1/2)))/(s_0+7*s_r+IF(circ_int,eq_c1/2,0)))))))))),NA())</f>
        <v/>
      </c>
      <c r="CS55">
        <f>IF(AND(links_on,9&lt;=n_per),IF(circ_int,(g_ox)+(c_1/2+(s_0+8*s_r))*1.000000,CHOOSE(INDEX(lk_kind,9),(g_ox+eq_c1/2)+((s_0+8*s_r))*1.000000,0,eq_a1+eq_c1+(s_0+8*s_r),eq_a1+eq_c1+(s_0+8*s_r))),NA())</f>
        <v/>
      </c>
      <c r="CT55">
        <f>IF(AND(links_on,9&lt;=n_per),IF(circ_int,(g_oy)+(c_1/2+(s_0+8*s_r))*-0.000000,CHOOSE(INDEX(lk_kind,9),(g_oy+eq_c2/2)+((s_0+8*s_r))*0.000000,g_oy-eq_c2/2-(s_0+8*s_r),0,0)),NA())</f>
        <v/>
      </c>
      <c r="CV55">
        <f>IF(AND(AND(links_on,9&lt;=n_per),INDEX(lk_kind,9)=1,52&lt;INDEX(lk_legs,9)),g_ox+IF(((52+0.5)*(4*IF(circ_int,0,eq_c1/2)+4*IF(circ_int,0,eq_c2/2)+2*PI()*(s_0+8*s_r+IF(circ_int,eq_c1/2,0)))/INDEX(lk_legs,9))&lt;(2*IF(circ_int,0,eq_c2/2)),IF(circ_int,0,eq_c1/2)+(s_0+8*s_r+IF(circ_int,eq_c1/2,0)),IF(((52+0.5)*(4*IF(circ_int,0,eq_c1/2)+4*IF(circ_int,0,eq_c2/2)+2*PI()*(s_0+8*s_r+IF(circ_int,eq_c1/2,0)))/INDEX(lk_legs,9))&lt;((2*IF(circ_int,0,eq_c2/2))+(PI()*(s_0+8*s_r+IF(circ_int,eq_c1/2,0))/2)),IF(circ_int,0,eq_c1/2)+(s_0+8*s_r+IF(circ_int,eq_c1/2,0))*COS((((52+0.5)*(4*IF(circ_int,0,eq_c1/2)+4*IF(circ_int,0,eq_c2/2)+2*PI()*(s_0+8*s_r+IF(circ_int,eq_c1/2,0)))/INDEX(lk_legs,9))-(2*IF(circ_int,0,eq_c2/2)))/(s_0+8*s_r+IF(circ_int,eq_c1/2,0))),IF(((52+0.5)*(4*IF(circ_int,0,eq_c1/2)+4*IF(circ_int,0,eq_c2/2)+2*PI()*(s_0+8*s_r+IF(circ_int,eq_c1/2,0)))/INDEX(lk_legs,9))&lt;(((2*IF(circ_int,0,eq_c2/2))+(PI()*(s_0+8*s_r+IF(circ_int,eq_c1/2,0))/2))+2*IF(circ_int,0,eq_c1/2)),IF(circ_int,0,eq_c1/2)-(((52+0.5)*(4*IF(circ_int,0,eq_c1/2)+4*IF(circ_int,0,eq_c2/2)+2*PI()*(s_0+8*s_r+IF(circ_int,eq_c1/2,0)))/INDEX(lk_legs,9))-((2*IF(circ_int,0,eq_c2/2))+(PI()*(s_0+8*s_r+IF(circ_int,eq_c1/2,0))/2))),IF(((52+0.5)*(4*IF(circ_int,0,eq_c1/2)+4*IF(circ_int,0,eq_c2/2)+2*PI()*(s_0+8*s_r+IF(circ_int,eq_c1/2,0)))/INDEX(lk_legs,9))&lt;((((2*IF(circ_int,0,eq_c2/2))+(PI()*(s_0+8*s_r+IF(circ_int,eq_c1/2,0))/2))+2*IF(circ_int,0,eq_c1/2))+(PI()*(s_0+8*s_r+IF(circ_int,eq_c1/2,0))/2)),-IF(circ_int,0,eq_c1/2)+(s_0+8*s_r+IF(circ_int,eq_c1/2,0))*COS(PI()/2+(((52+0.5)*(4*IF(circ_int,0,eq_c1/2)+4*IF(circ_int,0,eq_c2/2)+2*PI()*(s_0+8*s_r+IF(circ_int,eq_c1/2,0)))/INDEX(lk_legs,9))-(((2*IF(circ_int,0,eq_c2/2))+(PI()*(s_0+8*s_r+IF(circ_int,eq_c1/2,0))/2))+2*IF(circ_int,0,eq_c1/2)))/(s_0+8*s_r+IF(circ_int,eq_c1/2,0))),IF(((52+0.5)*(4*IF(circ_int,0,eq_c1/2)+4*IF(circ_int,0,eq_c2/2)+2*PI()*(s_0+8*s_r+IF(circ_int,eq_c1/2,0)))/INDEX(lk_legs,9))&lt;(((((2*IF(circ_int,0,eq_c2/2))+(PI()*(s_0+8*s_r+IF(circ_int,eq_c1/2,0))/2))+2*IF(circ_int,0,eq_c1/2))+(PI()*(s_0+8*s_r+IF(circ_int,eq_c1/2,0))/2))+2*IF(circ_int,0,eq_c2/2)),-IF(circ_int,0,eq_c1/2)-(s_0+8*s_r+IF(circ_int,eq_c1/2,0)),IF(((52+0.5)*(4*IF(circ_int,0,eq_c1/2)+4*IF(circ_int,0,eq_c2/2)+2*PI()*(s_0+8*s_r+IF(circ_int,eq_c1/2,0)))/INDEX(lk_legs,9))&lt;((((((2*IF(circ_int,0,eq_c2/2))+(PI()*(s_0+8*s_r+IF(circ_int,eq_c1/2,0))/2))+2*IF(circ_int,0,eq_c1/2))+(PI()*(s_0+8*s_r+IF(circ_int,eq_c1/2,0))/2))+2*IF(circ_int,0,eq_c2/2))+(PI()*(s_0+8*s_r+IF(circ_int,eq_c1/2,0))/2)),-IF(circ_int,0,eq_c1/2)+(s_0+8*s_r+IF(circ_int,eq_c1/2,0))*COS(PI()+(((52+0.5)*(4*IF(circ_int,0,eq_c1/2)+4*IF(circ_int,0,eq_c2/2)+2*PI()*(s_0+8*s_r+IF(circ_int,eq_c1/2,0)))/INDEX(lk_legs,9))-(((((2*IF(circ_int,0,eq_c2/2))+(PI()*(s_0+8*s_r+IF(circ_int,eq_c1/2,0))/2))+2*IF(circ_int,0,eq_c1/2))+(PI()*(s_0+8*s_r+IF(circ_int,eq_c1/2,0))/2))+2*IF(circ_int,0,eq_c2/2)))/(s_0+8*s_r+IF(circ_int,eq_c1/2,0))),IF(((52+0.5)*(4*IF(circ_int,0,eq_c1/2)+4*IF(circ_int,0,eq_c2/2)+2*PI()*(s_0+8*s_r+IF(circ_int,eq_c1/2,0)))/INDEX(lk_legs,9))&lt;(((((((2*IF(circ_int,0,eq_c2/2))+(PI()*(s_0+8*s_r+IF(circ_int,eq_c1/2,0))/2))+2*IF(circ_int,0,eq_c1/2))+(PI()*(s_0+8*s_r+IF(circ_int,eq_c1/2,0))/2))+2*IF(circ_int,0,eq_c2/2))+(PI()*(s_0+8*s_r+IF(circ_int,eq_c1/2,0))/2))+2*IF(circ_int,0,eq_c1/2)),-IF(circ_int,0,eq_c1/2)+(((52+0.5)*(4*IF(circ_int,0,eq_c1/2)+4*IF(circ_int,0,eq_c2/2)+2*PI()*(s_0+8*s_r+IF(circ_int,eq_c1/2,0)))/INDEX(lk_legs,9))-((((((2*IF(circ_int,0,eq_c2/2))+(PI()*(s_0+8*s_r+IF(circ_int,eq_c1/2,0))/2))+2*IF(circ_int,0,eq_c1/2))+(PI()*(s_0+8*s_r+IF(circ_int,eq_c1/2,0))/2))+2*IF(circ_int,0,eq_c2/2))+(PI()*(s_0+8*s_r+IF(circ_int,eq_c1/2,0))/2))),IF(circ_int,0,eq_c1/2)+(s_0+8*s_r+IF(circ_int,eq_c1/2,0))*COS(3*PI()/2+(((52+0.5)*(4*IF(circ_int,0,eq_c1/2)+4*IF(circ_int,0,eq_c2/2)+2*PI()*(s_0+8*s_r+IF(circ_int,eq_c1/2,0)))/INDEX(lk_legs,9))-(((((((2*IF(circ_int,0,eq_c2/2))+(PI()*(s_0+8*s_r+IF(circ_int,eq_c1/2,0))/2))+2*IF(circ_int,0,eq_c1/2))+(PI()*(s_0+8*s_r+IF(circ_int,eq_c1/2,0))/2))+2*IF(circ_int,0,eq_c2/2))+(PI()*(s_0+8*s_r+IF(circ_int,eq_c1/2,0))/2))+2*IF(circ_int,0,eq_c1/2)))/(s_0+8*s_r+IF(circ_int,eq_c1/2,0)))))))))),NA())</f>
        <v/>
      </c>
      <c r="CW55">
        <f>IF(AND(AND(links_on,9&lt;=n_per),INDEX(lk_kind,9)=1,52&lt;INDEX(lk_legs,9)),g_oy+IF(((52+0.5)*(4*IF(circ_int,0,eq_c1/2)+4*IF(circ_int,0,eq_c2/2)+2*PI()*(s_0+8*s_r+IF(circ_int,eq_c1/2,0)))/INDEX(lk_legs,9))&lt;(2*IF(circ_int,0,eq_c2/2)),-IF(circ_int,0,eq_c2/2)+((52+0.5)*(4*IF(circ_int,0,eq_c1/2)+4*IF(circ_int,0,eq_c2/2)+2*PI()*(s_0+8*s_r+IF(circ_int,eq_c1/2,0)))/INDEX(lk_legs,9)),IF(((52+0.5)*(4*IF(circ_int,0,eq_c1/2)+4*IF(circ_int,0,eq_c2/2)+2*PI()*(s_0+8*s_r+IF(circ_int,eq_c1/2,0)))/INDEX(lk_legs,9))&lt;((2*IF(circ_int,0,eq_c2/2))+(PI()*(s_0+8*s_r+IF(circ_int,eq_c1/2,0))/2)),IF(circ_int,0,eq_c2/2)+(s_0+8*s_r+IF(circ_int,eq_c1/2,0))*SIN((((52+0.5)*(4*IF(circ_int,0,eq_c1/2)+4*IF(circ_int,0,eq_c2/2)+2*PI()*(s_0+8*s_r+IF(circ_int,eq_c1/2,0)))/INDEX(lk_legs,9))-(2*IF(circ_int,0,eq_c2/2)))/(s_0+8*s_r+IF(circ_int,eq_c1/2,0))),IF(((52+0.5)*(4*IF(circ_int,0,eq_c1/2)+4*IF(circ_int,0,eq_c2/2)+2*PI()*(s_0+8*s_r+IF(circ_int,eq_c1/2,0)))/INDEX(lk_legs,9))&lt;(((2*IF(circ_int,0,eq_c2/2))+(PI()*(s_0+8*s_r+IF(circ_int,eq_c1/2,0))/2))+2*IF(circ_int,0,eq_c1/2)),IF(circ_int,0,eq_c2/2)+(s_0+8*s_r+IF(circ_int,eq_c1/2,0)),IF(((52+0.5)*(4*IF(circ_int,0,eq_c1/2)+4*IF(circ_int,0,eq_c2/2)+2*PI()*(s_0+8*s_r+IF(circ_int,eq_c1/2,0)))/INDEX(lk_legs,9))&lt;((((2*IF(circ_int,0,eq_c2/2))+(PI()*(s_0+8*s_r+IF(circ_int,eq_c1/2,0))/2))+2*IF(circ_int,0,eq_c1/2))+(PI()*(s_0+8*s_r+IF(circ_int,eq_c1/2,0))/2)),IF(circ_int,0,eq_c2/2)+(s_0+8*s_r+IF(circ_int,eq_c1/2,0))*SIN(PI()/2+(((52+0.5)*(4*IF(circ_int,0,eq_c1/2)+4*IF(circ_int,0,eq_c2/2)+2*PI()*(s_0+8*s_r+IF(circ_int,eq_c1/2,0)))/INDEX(lk_legs,9))-(((2*IF(circ_int,0,eq_c2/2))+(PI()*(s_0+8*s_r+IF(circ_int,eq_c1/2,0))/2))+2*IF(circ_int,0,eq_c1/2)))/(s_0+8*s_r+IF(circ_int,eq_c1/2,0))),IF(((52+0.5)*(4*IF(circ_int,0,eq_c1/2)+4*IF(circ_int,0,eq_c2/2)+2*PI()*(s_0+8*s_r+IF(circ_int,eq_c1/2,0)))/INDEX(lk_legs,9))&lt;(((((2*IF(circ_int,0,eq_c2/2))+(PI()*(s_0+8*s_r+IF(circ_int,eq_c1/2,0))/2))+2*IF(circ_int,0,eq_c1/2))+(PI()*(s_0+8*s_r+IF(circ_int,eq_c1/2,0))/2))+2*IF(circ_int,0,eq_c2/2)),IF(circ_int,0,eq_c2/2)-(((52+0.5)*(4*IF(circ_int,0,eq_c1/2)+4*IF(circ_int,0,eq_c2/2)+2*PI()*(s_0+8*s_r+IF(circ_int,eq_c1/2,0)))/INDEX(lk_legs,9))-((((2*IF(circ_int,0,eq_c2/2))+(PI()*(s_0+8*s_r+IF(circ_int,eq_c1/2,0))/2))+2*IF(circ_int,0,eq_c1/2))+(PI()*(s_0+8*s_r+IF(circ_int,eq_c1/2,0))/2))),IF(((52+0.5)*(4*IF(circ_int,0,eq_c1/2)+4*IF(circ_int,0,eq_c2/2)+2*PI()*(s_0+8*s_r+IF(circ_int,eq_c1/2,0)))/INDEX(lk_legs,9))&lt;((((((2*IF(circ_int,0,eq_c2/2))+(PI()*(s_0+8*s_r+IF(circ_int,eq_c1/2,0))/2))+2*IF(circ_int,0,eq_c1/2))+(PI()*(s_0+8*s_r+IF(circ_int,eq_c1/2,0))/2))+2*IF(circ_int,0,eq_c2/2))+(PI()*(s_0+8*s_r+IF(circ_int,eq_c1/2,0))/2)),-IF(circ_int,0,eq_c2/2)+(s_0+8*s_r+IF(circ_int,eq_c1/2,0))*SIN(PI()+(((52+0.5)*(4*IF(circ_int,0,eq_c1/2)+4*IF(circ_int,0,eq_c2/2)+2*PI()*(s_0+8*s_r+IF(circ_int,eq_c1/2,0)))/INDEX(lk_legs,9))-(((((2*IF(circ_int,0,eq_c2/2))+(PI()*(s_0+8*s_r+IF(circ_int,eq_c1/2,0))/2))+2*IF(circ_int,0,eq_c1/2))+(PI()*(s_0+8*s_r+IF(circ_int,eq_c1/2,0))/2))+2*IF(circ_int,0,eq_c2/2)))/(s_0+8*s_r+IF(circ_int,eq_c1/2,0))),IF(((52+0.5)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(52+0.5)*(4*IF(circ_int,0,eq_c1/2)+4*IF(circ_int,0,eq_c2/2)+2*PI()*(s_0+8*s_r+IF(circ_int,eq_c1/2,0)))/INDEX(lk_legs,9))-(((((((2*IF(circ_int,0,eq_c2/2))+(PI()*(s_0+8*s_r+IF(circ_int,eq_c1/2,0))/2))+2*IF(circ_int,0,eq_c1/2))+(PI()*(s_0+8*s_r+IF(circ_int,eq_c1/2,0))/2))+2*IF(circ_int,0,eq_c2/2))+(PI()*(s_0+8*s_r+IF(circ_int,eq_c1/2,0))/2))+2*IF(circ_int,0,eq_c1/2)))/(s_0+8*s_r+IF(circ_int,eq_c1/2,0)))))))))),NA())</f>
        <v/>
      </c>
      <c r="CY55">
        <f>IF(AND(links_on,10&lt;=n_per),IF(circ_int,(g_ox)+(c_1/2+(s_0+9*s_r))*1.000000,CHOOSE(INDEX(lk_kind,10),(g_ox+eq_c1/2)+((s_0+9*s_r))*1.000000,0,eq_a1+eq_c1+(s_0+9*s_r),eq_a1+eq_c1+(s_0+9*s_r))),NA())</f>
        <v/>
      </c>
      <c r="CZ55">
        <f>IF(AND(links_on,10&lt;=n_per),IF(circ_int,(g_oy)+(c_1/2+(s_0+9*s_r))*-0.000000,CHOOSE(INDEX(lk_kind,10),(g_oy+eq_c2/2)+((s_0+9*s_r))*0.000000,g_oy-eq_c2/2-(s_0+9*s_r),0,0)),NA())</f>
        <v/>
      </c>
      <c r="DB55">
        <f>IF(AND(AND(links_on,10&lt;=n_per),INDEX(lk_kind,10)=1,52&lt;INDEX(lk_legs,10)),g_ox+IF(((52+0.5)*(4*IF(circ_int,0,eq_c1/2)+4*IF(circ_int,0,eq_c2/2)+2*PI()*(s_0+9*s_r+IF(circ_int,eq_c1/2,0)))/INDEX(lk_legs,10))&lt;(2*IF(circ_int,0,eq_c2/2)),IF(circ_int,0,eq_c1/2)+(s_0+9*s_r+IF(circ_int,eq_c1/2,0)),IF(((52+0.5)*(4*IF(circ_int,0,eq_c1/2)+4*IF(circ_int,0,eq_c2/2)+2*PI()*(s_0+9*s_r+IF(circ_int,eq_c1/2,0)))/INDEX(lk_legs,10))&lt;((2*IF(circ_int,0,eq_c2/2))+(PI()*(s_0+9*s_r+IF(circ_int,eq_c1/2,0))/2)),IF(circ_int,0,eq_c1/2)+(s_0+9*s_r+IF(circ_int,eq_c1/2,0))*COS((((52+0.5)*(4*IF(circ_int,0,eq_c1/2)+4*IF(circ_int,0,eq_c2/2)+2*PI()*(s_0+9*s_r+IF(circ_int,eq_c1/2,0)))/INDEX(lk_legs,10))-(2*IF(circ_int,0,eq_c2/2)))/(s_0+9*s_r+IF(circ_int,eq_c1/2,0))),IF(((52+0.5)*(4*IF(circ_int,0,eq_c1/2)+4*IF(circ_int,0,eq_c2/2)+2*PI()*(s_0+9*s_r+IF(circ_int,eq_c1/2,0)))/INDEX(lk_legs,10))&lt;(((2*IF(circ_int,0,eq_c2/2))+(PI()*(s_0+9*s_r+IF(circ_int,eq_c1/2,0))/2))+2*IF(circ_int,0,eq_c1/2)),IF(circ_int,0,eq_c1/2)-(((52+0.5)*(4*IF(circ_int,0,eq_c1/2)+4*IF(circ_int,0,eq_c2/2)+2*PI()*(s_0+9*s_r+IF(circ_int,eq_c1/2,0)))/INDEX(lk_legs,10))-((2*IF(circ_int,0,eq_c2/2))+(PI()*(s_0+9*s_r+IF(circ_int,eq_c1/2,0))/2))),IF(((52+0.5)*(4*IF(circ_int,0,eq_c1/2)+4*IF(circ_int,0,eq_c2/2)+2*PI()*(s_0+9*s_r+IF(circ_int,eq_c1/2,0)))/INDEX(lk_legs,10))&lt;((((2*IF(circ_int,0,eq_c2/2))+(PI()*(s_0+9*s_r+IF(circ_int,eq_c1/2,0))/2))+2*IF(circ_int,0,eq_c1/2))+(PI()*(s_0+9*s_r+IF(circ_int,eq_c1/2,0))/2)),-IF(circ_int,0,eq_c1/2)+(s_0+9*s_r+IF(circ_int,eq_c1/2,0))*COS(PI()/2+(((52+0.5)*(4*IF(circ_int,0,eq_c1/2)+4*IF(circ_int,0,eq_c2/2)+2*PI()*(s_0+9*s_r+IF(circ_int,eq_c1/2,0)))/INDEX(lk_legs,10))-(((2*IF(circ_int,0,eq_c2/2))+(PI()*(s_0+9*s_r+IF(circ_int,eq_c1/2,0))/2))+2*IF(circ_int,0,eq_c1/2)))/(s_0+9*s_r+IF(circ_int,eq_c1/2,0))),IF(((52+0.5)*(4*IF(circ_int,0,eq_c1/2)+4*IF(circ_int,0,eq_c2/2)+2*PI()*(s_0+9*s_r+IF(circ_int,eq_c1/2,0)))/INDEX(lk_legs,10))&lt;(((((2*IF(circ_int,0,eq_c2/2))+(PI()*(s_0+9*s_r+IF(circ_int,eq_c1/2,0))/2))+2*IF(circ_int,0,eq_c1/2))+(PI()*(s_0+9*s_r+IF(circ_int,eq_c1/2,0))/2))+2*IF(circ_int,0,eq_c2/2)),-IF(circ_int,0,eq_c1/2)-(s_0+9*s_r+IF(circ_int,eq_c1/2,0)),IF(((52+0.5)*(4*IF(circ_int,0,eq_c1/2)+4*IF(circ_int,0,eq_c2/2)+2*PI()*(s_0+9*s_r+IF(circ_int,eq_c1/2,0)))/INDEX(lk_legs,10))&lt;((((((2*IF(circ_int,0,eq_c2/2))+(PI()*(s_0+9*s_r+IF(circ_int,eq_c1/2,0))/2))+2*IF(circ_int,0,eq_c1/2))+(PI()*(s_0+9*s_r+IF(circ_int,eq_c1/2,0))/2))+2*IF(circ_int,0,eq_c2/2))+(PI()*(s_0+9*s_r+IF(circ_int,eq_c1/2,0))/2)),-IF(circ_int,0,eq_c1/2)+(s_0+9*s_r+IF(circ_int,eq_c1/2,0))*COS(PI()+(((52+0.5)*(4*IF(circ_int,0,eq_c1/2)+4*IF(circ_int,0,eq_c2/2)+2*PI()*(s_0+9*s_r+IF(circ_int,eq_c1/2,0)))/INDEX(lk_legs,10))-(((((2*IF(circ_int,0,eq_c2/2))+(PI()*(s_0+9*s_r+IF(circ_int,eq_c1/2,0))/2))+2*IF(circ_int,0,eq_c1/2))+(PI()*(s_0+9*s_r+IF(circ_int,eq_c1/2,0))/2))+2*IF(circ_int,0,eq_c2/2)))/(s_0+9*s_r+IF(circ_int,eq_c1/2,0))),IF(((52+0.5)*(4*IF(circ_int,0,eq_c1/2)+4*IF(circ_int,0,eq_c2/2)+2*PI()*(s_0+9*s_r+IF(circ_int,eq_c1/2,0)))/INDEX(lk_legs,10))&lt;(((((((2*IF(circ_int,0,eq_c2/2))+(PI()*(s_0+9*s_r+IF(circ_int,eq_c1/2,0))/2))+2*IF(circ_int,0,eq_c1/2))+(PI()*(s_0+9*s_r+IF(circ_int,eq_c1/2,0))/2))+2*IF(circ_int,0,eq_c2/2))+(PI()*(s_0+9*s_r+IF(circ_int,eq_c1/2,0))/2))+2*IF(circ_int,0,eq_c1/2)),-IF(circ_int,0,eq_c1/2)+(((52+0.5)*(4*IF(circ_int,0,eq_c1/2)+4*IF(circ_int,0,eq_c2/2)+2*PI()*(s_0+9*s_r+IF(circ_int,eq_c1/2,0)))/INDEX(lk_legs,10))-((((((2*IF(circ_int,0,eq_c2/2))+(PI()*(s_0+9*s_r+IF(circ_int,eq_c1/2,0))/2))+2*IF(circ_int,0,eq_c1/2))+(PI()*(s_0+9*s_r+IF(circ_int,eq_c1/2,0))/2))+2*IF(circ_int,0,eq_c2/2))+(PI()*(s_0+9*s_r+IF(circ_int,eq_c1/2,0))/2))),IF(circ_int,0,eq_c1/2)+(s_0+9*s_r+IF(circ_int,eq_c1/2,0))*COS(3*PI()/2+(((52+0.5)*(4*IF(circ_int,0,eq_c1/2)+4*IF(circ_int,0,eq_c2/2)+2*PI()*(s_0+9*s_r+IF(circ_int,eq_c1/2,0)))/INDEX(lk_legs,10))-(((((((2*IF(circ_int,0,eq_c2/2))+(PI()*(s_0+9*s_r+IF(circ_int,eq_c1/2,0))/2))+2*IF(circ_int,0,eq_c1/2))+(PI()*(s_0+9*s_r+IF(circ_int,eq_c1/2,0))/2))+2*IF(circ_int,0,eq_c2/2))+(PI()*(s_0+9*s_r+IF(circ_int,eq_c1/2,0))/2))+2*IF(circ_int,0,eq_c1/2)))/(s_0+9*s_r+IF(circ_int,eq_c1/2,0)))))))))),NA())</f>
        <v/>
      </c>
      <c r="DC55">
        <f>IF(AND(AND(links_on,10&lt;=n_per),INDEX(lk_kind,10)=1,52&lt;INDEX(lk_legs,10)),g_oy+IF(((52+0.5)*(4*IF(circ_int,0,eq_c1/2)+4*IF(circ_int,0,eq_c2/2)+2*PI()*(s_0+9*s_r+IF(circ_int,eq_c1/2,0)))/INDEX(lk_legs,10))&lt;(2*IF(circ_int,0,eq_c2/2)),-IF(circ_int,0,eq_c2/2)+((52+0.5)*(4*IF(circ_int,0,eq_c1/2)+4*IF(circ_int,0,eq_c2/2)+2*PI()*(s_0+9*s_r+IF(circ_int,eq_c1/2,0)))/INDEX(lk_legs,10)),IF(((52+0.5)*(4*IF(circ_int,0,eq_c1/2)+4*IF(circ_int,0,eq_c2/2)+2*PI()*(s_0+9*s_r+IF(circ_int,eq_c1/2,0)))/INDEX(lk_legs,10))&lt;((2*IF(circ_int,0,eq_c2/2))+(PI()*(s_0+9*s_r+IF(circ_int,eq_c1/2,0))/2)),IF(circ_int,0,eq_c2/2)+(s_0+9*s_r+IF(circ_int,eq_c1/2,0))*SIN((((52+0.5)*(4*IF(circ_int,0,eq_c1/2)+4*IF(circ_int,0,eq_c2/2)+2*PI()*(s_0+9*s_r+IF(circ_int,eq_c1/2,0)))/INDEX(lk_legs,10))-(2*IF(circ_int,0,eq_c2/2)))/(s_0+9*s_r+IF(circ_int,eq_c1/2,0))),IF(((52+0.5)*(4*IF(circ_int,0,eq_c1/2)+4*IF(circ_int,0,eq_c2/2)+2*PI()*(s_0+9*s_r+IF(circ_int,eq_c1/2,0)))/INDEX(lk_legs,10))&lt;(((2*IF(circ_int,0,eq_c2/2))+(PI()*(s_0+9*s_r+IF(circ_int,eq_c1/2,0))/2))+2*IF(circ_int,0,eq_c1/2)),IF(circ_int,0,eq_c2/2)+(s_0+9*s_r+IF(circ_int,eq_c1/2,0)),IF(((52+0.5)*(4*IF(circ_int,0,eq_c1/2)+4*IF(circ_int,0,eq_c2/2)+2*PI()*(s_0+9*s_r+IF(circ_int,eq_c1/2,0)))/INDEX(lk_legs,10))&lt;((((2*IF(circ_int,0,eq_c2/2))+(PI()*(s_0+9*s_r+IF(circ_int,eq_c1/2,0))/2))+2*IF(circ_int,0,eq_c1/2))+(PI()*(s_0+9*s_r+IF(circ_int,eq_c1/2,0))/2)),IF(circ_int,0,eq_c2/2)+(s_0+9*s_r+IF(circ_int,eq_c1/2,0))*SIN(PI()/2+(((52+0.5)*(4*IF(circ_int,0,eq_c1/2)+4*IF(circ_int,0,eq_c2/2)+2*PI()*(s_0+9*s_r+IF(circ_int,eq_c1/2,0)))/INDEX(lk_legs,10))-(((2*IF(circ_int,0,eq_c2/2))+(PI()*(s_0+9*s_r+IF(circ_int,eq_c1/2,0))/2))+2*IF(circ_int,0,eq_c1/2)))/(s_0+9*s_r+IF(circ_int,eq_c1/2,0))),IF(((52+0.5)*(4*IF(circ_int,0,eq_c1/2)+4*IF(circ_int,0,eq_c2/2)+2*PI()*(s_0+9*s_r+IF(circ_int,eq_c1/2,0)))/INDEX(lk_legs,10))&lt;(((((2*IF(circ_int,0,eq_c2/2))+(PI()*(s_0+9*s_r+IF(circ_int,eq_c1/2,0))/2))+2*IF(circ_int,0,eq_c1/2))+(PI()*(s_0+9*s_r+IF(circ_int,eq_c1/2,0))/2))+2*IF(circ_int,0,eq_c2/2)),IF(circ_int,0,eq_c2/2)-(((52+0.5)*(4*IF(circ_int,0,eq_c1/2)+4*IF(circ_int,0,eq_c2/2)+2*PI()*(s_0+9*s_r+IF(circ_int,eq_c1/2,0)))/INDEX(lk_legs,10))-((((2*IF(circ_int,0,eq_c2/2))+(PI()*(s_0+9*s_r+IF(circ_int,eq_c1/2,0))/2))+2*IF(circ_int,0,eq_c1/2))+(PI()*(s_0+9*s_r+IF(circ_int,eq_c1/2,0))/2))),IF(((52+0.5)*(4*IF(circ_int,0,eq_c1/2)+4*IF(circ_int,0,eq_c2/2)+2*PI()*(s_0+9*s_r+IF(circ_int,eq_c1/2,0)))/INDEX(lk_legs,10))&lt;((((((2*IF(circ_int,0,eq_c2/2))+(PI()*(s_0+9*s_r+IF(circ_int,eq_c1/2,0))/2))+2*IF(circ_int,0,eq_c1/2))+(PI()*(s_0+9*s_r+IF(circ_int,eq_c1/2,0))/2))+2*IF(circ_int,0,eq_c2/2))+(PI()*(s_0+9*s_r+IF(circ_int,eq_c1/2,0))/2)),-IF(circ_int,0,eq_c2/2)+(s_0+9*s_r+IF(circ_int,eq_c1/2,0))*SIN(PI()+(((52+0.5)*(4*IF(circ_int,0,eq_c1/2)+4*IF(circ_int,0,eq_c2/2)+2*PI()*(s_0+9*s_r+IF(circ_int,eq_c1/2,0)))/INDEX(lk_legs,10))-(((((2*IF(circ_int,0,eq_c2/2))+(PI()*(s_0+9*s_r+IF(circ_int,eq_c1/2,0))/2))+2*IF(circ_int,0,eq_c1/2))+(PI()*(s_0+9*s_r+IF(circ_int,eq_c1/2,0))/2))+2*IF(circ_int,0,eq_c2/2)))/(s_0+9*s_r+IF(circ_int,eq_c1/2,0))),IF(((52+0.5)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(52+0.5)*(4*IF(circ_int,0,eq_c1/2)+4*IF(circ_int,0,eq_c2/2)+2*PI()*(s_0+9*s_r+IF(circ_int,eq_c1/2,0)))/INDEX(lk_legs,10))-(((((((2*IF(circ_int,0,eq_c2/2))+(PI()*(s_0+9*s_r+IF(circ_int,eq_c1/2,0))/2))+2*IF(circ_int,0,eq_c1/2))+(PI()*(s_0+9*s_r+IF(circ_int,eq_c1/2,0))/2))+2*IF(circ_int,0,eq_c2/2))+(PI()*(s_0+9*s_r+IF(circ_int,eq_c1/2,0))/2))+2*IF(circ_int,0,eq_c1/2)))/(s_0+9*s_r+IF(circ_int,eq_c1/2,0)))))))))),NA())</f>
        <v/>
      </c>
      <c r="DE55">
        <f>IF(AND(links_on,11&lt;=n_per),IF(circ_int,(g_ox)+(c_1/2+(s_0+10*s_r))*1.000000,CHOOSE(INDEX(lk_kind,11),(g_ox+eq_c1/2)+((s_0+10*s_r))*1.000000,0,eq_a1+eq_c1+(s_0+10*s_r),eq_a1+eq_c1+(s_0+10*s_r))),NA())</f>
        <v/>
      </c>
      <c r="DF55">
        <f>IF(AND(links_on,11&lt;=n_per),IF(circ_int,(g_oy)+(c_1/2+(s_0+10*s_r))*-0.000000,CHOOSE(INDEX(lk_kind,11),(g_oy+eq_c2/2)+((s_0+10*s_r))*0.000000,g_oy-eq_c2/2-(s_0+10*s_r),0,0)),NA())</f>
        <v/>
      </c>
      <c r="DH55">
        <f>IF(AND(AND(links_on,11&lt;=n_per),INDEX(lk_kind,11)=1,52&lt;INDEX(lk_legs,11)),g_ox+IF(((52+0.5)*(4*IF(circ_int,0,eq_c1/2)+4*IF(circ_int,0,eq_c2/2)+2*PI()*(s_0+10*s_r+IF(circ_int,eq_c1/2,0)))/INDEX(lk_legs,11))&lt;(2*IF(circ_int,0,eq_c2/2)),IF(circ_int,0,eq_c1/2)+(s_0+10*s_r+IF(circ_int,eq_c1/2,0)),IF(((52+0.5)*(4*IF(circ_int,0,eq_c1/2)+4*IF(circ_int,0,eq_c2/2)+2*PI()*(s_0+10*s_r+IF(circ_int,eq_c1/2,0)))/INDEX(lk_legs,11))&lt;((2*IF(circ_int,0,eq_c2/2))+(PI()*(s_0+10*s_r+IF(circ_int,eq_c1/2,0))/2)),IF(circ_int,0,eq_c1/2)+(s_0+10*s_r+IF(circ_int,eq_c1/2,0))*COS((((52+0.5)*(4*IF(circ_int,0,eq_c1/2)+4*IF(circ_int,0,eq_c2/2)+2*PI()*(s_0+10*s_r+IF(circ_int,eq_c1/2,0)))/INDEX(lk_legs,11))-(2*IF(circ_int,0,eq_c2/2)))/(s_0+10*s_r+IF(circ_int,eq_c1/2,0))),IF(((52+0.5)*(4*IF(circ_int,0,eq_c1/2)+4*IF(circ_int,0,eq_c2/2)+2*PI()*(s_0+10*s_r+IF(circ_int,eq_c1/2,0)))/INDEX(lk_legs,11))&lt;(((2*IF(circ_int,0,eq_c2/2))+(PI()*(s_0+10*s_r+IF(circ_int,eq_c1/2,0))/2))+2*IF(circ_int,0,eq_c1/2)),IF(circ_int,0,eq_c1/2)-(((52+0.5)*(4*IF(circ_int,0,eq_c1/2)+4*IF(circ_int,0,eq_c2/2)+2*PI()*(s_0+10*s_r+IF(circ_int,eq_c1/2,0)))/INDEX(lk_legs,11))-((2*IF(circ_int,0,eq_c2/2))+(PI()*(s_0+10*s_r+IF(circ_int,eq_c1/2,0))/2))),IF(((52+0.5)*(4*IF(circ_int,0,eq_c1/2)+4*IF(circ_int,0,eq_c2/2)+2*PI()*(s_0+10*s_r+IF(circ_int,eq_c1/2,0)))/INDEX(lk_legs,11))&lt;((((2*IF(circ_int,0,eq_c2/2))+(PI()*(s_0+10*s_r+IF(circ_int,eq_c1/2,0))/2))+2*IF(circ_int,0,eq_c1/2))+(PI()*(s_0+10*s_r+IF(circ_int,eq_c1/2,0))/2)),-IF(circ_int,0,eq_c1/2)+(s_0+10*s_r+IF(circ_int,eq_c1/2,0))*COS(PI()/2+(((52+0.5)*(4*IF(circ_int,0,eq_c1/2)+4*IF(circ_int,0,eq_c2/2)+2*PI()*(s_0+10*s_r+IF(circ_int,eq_c1/2,0)))/INDEX(lk_legs,11))-(((2*IF(circ_int,0,eq_c2/2))+(PI()*(s_0+10*s_r+IF(circ_int,eq_c1/2,0))/2))+2*IF(circ_int,0,eq_c1/2)))/(s_0+10*s_r+IF(circ_int,eq_c1/2,0))),IF(((52+0.5)*(4*IF(circ_int,0,eq_c1/2)+4*IF(circ_int,0,eq_c2/2)+2*PI()*(s_0+10*s_r+IF(circ_int,eq_c1/2,0)))/INDEX(lk_legs,11))&lt;(((((2*IF(circ_int,0,eq_c2/2))+(PI()*(s_0+10*s_r+IF(circ_int,eq_c1/2,0))/2))+2*IF(circ_int,0,eq_c1/2))+(PI()*(s_0+10*s_r+IF(circ_int,eq_c1/2,0))/2))+2*IF(circ_int,0,eq_c2/2)),-IF(circ_int,0,eq_c1/2)-(s_0+10*s_r+IF(circ_int,eq_c1/2,0)),IF(((52+0.5)*(4*IF(circ_int,0,eq_c1/2)+4*IF(circ_int,0,eq_c2/2)+2*PI()*(s_0+10*s_r+IF(circ_int,eq_c1/2,0)))/INDEX(lk_legs,11))&lt;((((((2*IF(circ_int,0,eq_c2/2))+(PI()*(s_0+10*s_r+IF(circ_int,eq_c1/2,0))/2))+2*IF(circ_int,0,eq_c1/2))+(PI()*(s_0+10*s_r+IF(circ_int,eq_c1/2,0))/2))+2*IF(circ_int,0,eq_c2/2))+(PI()*(s_0+10*s_r+IF(circ_int,eq_c1/2,0))/2)),-IF(circ_int,0,eq_c1/2)+(s_0+10*s_r+IF(circ_int,eq_c1/2,0))*COS(PI()+(((52+0.5)*(4*IF(circ_int,0,eq_c1/2)+4*IF(circ_int,0,eq_c2/2)+2*PI()*(s_0+10*s_r+IF(circ_int,eq_c1/2,0)))/INDEX(lk_legs,11))-(((((2*IF(circ_int,0,eq_c2/2))+(PI()*(s_0+10*s_r+IF(circ_int,eq_c1/2,0))/2))+2*IF(circ_int,0,eq_c1/2))+(PI()*(s_0+10*s_r+IF(circ_int,eq_c1/2,0))/2))+2*IF(circ_int,0,eq_c2/2)))/(s_0+10*s_r+IF(circ_int,eq_c1/2,0))),IF(((52+0.5)*(4*IF(circ_int,0,eq_c1/2)+4*IF(circ_int,0,eq_c2/2)+2*PI()*(s_0+10*s_r+IF(circ_int,eq_c1/2,0)))/INDEX(lk_legs,11))&lt;(((((((2*IF(circ_int,0,eq_c2/2))+(PI()*(s_0+10*s_r+IF(circ_int,eq_c1/2,0))/2))+2*IF(circ_int,0,eq_c1/2))+(PI()*(s_0+10*s_r+IF(circ_int,eq_c1/2,0))/2))+2*IF(circ_int,0,eq_c2/2))+(PI()*(s_0+10*s_r+IF(circ_int,eq_c1/2,0))/2))+2*IF(circ_int,0,eq_c1/2)),-IF(circ_int,0,eq_c1/2)+(((52+0.5)*(4*IF(circ_int,0,eq_c1/2)+4*IF(circ_int,0,eq_c2/2)+2*PI()*(s_0+10*s_r+IF(circ_int,eq_c1/2,0)))/INDEX(lk_legs,11))-((((((2*IF(circ_int,0,eq_c2/2))+(PI()*(s_0+10*s_r+IF(circ_int,eq_c1/2,0))/2))+2*IF(circ_int,0,eq_c1/2))+(PI()*(s_0+10*s_r+IF(circ_int,eq_c1/2,0))/2))+2*IF(circ_int,0,eq_c2/2))+(PI()*(s_0+10*s_r+IF(circ_int,eq_c1/2,0))/2))),IF(circ_int,0,eq_c1/2)+(s_0+10*s_r+IF(circ_int,eq_c1/2,0))*COS(3*PI()/2+(((52+0.5)*(4*IF(circ_int,0,eq_c1/2)+4*IF(circ_int,0,eq_c2/2)+2*PI()*(s_0+10*s_r+IF(circ_int,eq_c1/2,0)))/INDEX(lk_legs,11))-(((((((2*IF(circ_int,0,eq_c2/2))+(PI()*(s_0+10*s_r+IF(circ_int,eq_c1/2,0))/2))+2*IF(circ_int,0,eq_c1/2))+(PI()*(s_0+10*s_r+IF(circ_int,eq_c1/2,0))/2))+2*IF(circ_int,0,eq_c2/2))+(PI()*(s_0+10*s_r+IF(circ_int,eq_c1/2,0))/2))+2*IF(circ_int,0,eq_c1/2)))/(s_0+10*s_r+IF(circ_int,eq_c1/2,0)))))))))),NA())</f>
        <v/>
      </c>
      <c r="DI55">
        <f>IF(AND(AND(links_on,11&lt;=n_per),INDEX(lk_kind,11)=1,52&lt;INDEX(lk_legs,11)),g_oy+IF(((52+0.5)*(4*IF(circ_int,0,eq_c1/2)+4*IF(circ_int,0,eq_c2/2)+2*PI()*(s_0+10*s_r+IF(circ_int,eq_c1/2,0)))/INDEX(lk_legs,11))&lt;(2*IF(circ_int,0,eq_c2/2)),-IF(circ_int,0,eq_c2/2)+((52+0.5)*(4*IF(circ_int,0,eq_c1/2)+4*IF(circ_int,0,eq_c2/2)+2*PI()*(s_0+10*s_r+IF(circ_int,eq_c1/2,0)))/INDEX(lk_legs,11)),IF(((52+0.5)*(4*IF(circ_int,0,eq_c1/2)+4*IF(circ_int,0,eq_c2/2)+2*PI()*(s_0+10*s_r+IF(circ_int,eq_c1/2,0)))/INDEX(lk_legs,11))&lt;((2*IF(circ_int,0,eq_c2/2))+(PI()*(s_0+10*s_r+IF(circ_int,eq_c1/2,0))/2)),IF(circ_int,0,eq_c2/2)+(s_0+10*s_r+IF(circ_int,eq_c1/2,0))*SIN((((52+0.5)*(4*IF(circ_int,0,eq_c1/2)+4*IF(circ_int,0,eq_c2/2)+2*PI()*(s_0+10*s_r+IF(circ_int,eq_c1/2,0)))/INDEX(lk_legs,11))-(2*IF(circ_int,0,eq_c2/2)))/(s_0+10*s_r+IF(circ_int,eq_c1/2,0))),IF(((52+0.5)*(4*IF(circ_int,0,eq_c1/2)+4*IF(circ_int,0,eq_c2/2)+2*PI()*(s_0+10*s_r+IF(circ_int,eq_c1/2,0)))/INDEX(lk_legs,11))&lt;(((2*IF(circ_int,0,eq_c2/2))+(PI()*(s_0+10*s_r+IF(circ_int,eq_c1/2,0))/2))+2*IF(circ_int,0,eq_c1/2)),IF(circ_int,0,eq_c2/2)+(s_0+10*s_r+IF(circ_int,eq_c1/2,0)),IF(((52+0.5)*(4*IF(circ_int,0,eq_c1/2)+4*IF(circ_int,0,eq_c2/2)+2*PI()*(s_0+10*s_r+IF(circ_int,eq_c1/2,0)))/INDEX(lk_legs,11))&lt;((((2*IF(circ_int,0,eq_c2/2))+(PI()*(s_0+10*s_r+IF(circ_int,eq_c1/2,0))/2))+2*IF(circ_int,0,eq_c1/2))+(PI()*(s_0+10*s_r+IF(circ_int,eq_c1/2,0))/2)),IF(circ_int,0,eq_c2/2)+(s_0+10*s_r+IF(circ_int,eq_c1/2,0))*SIN(PI()/2+(((52+0.5)*(4*IF(circ_int,0,eq_c1/2)+4*IF(circ_int,0,eq_c2/2)+2*PI()*(s_0+10*s_r+IF(circ_int,eq_c1/2,0)))/INDEX(lk_legs,11))-(((2*IF(circ_int,0,eq_c2/2))+(PI()*(s_0+10*s_r+IF(circ_int,eq_c1/2,0))/2))+2*IF(circ_int,0,eq_c1/2)))/(s_0+10*s_r+IF(circ_int,eq_c1/2,0))),IF(((52+0.5)*(4*IF(circ_int,0,eq_c1/2)+4*IF(circ_int,0,eq_c2/2)+2*PI()*(s_0+10*s_r+IF(circ_int,eq_c1/2,0)))/INDEX(lk_legs,11))&lt;(((((2*IF(circ_int,0,eq_c2/2))+(PI()*(s_0+10*s_r+IF(circ_int,eq_c1/2,0))/2))+2*IF(circ_int,0,eq_c1/2))+(PI()*(s_0+10*s_r+IF(circ_int,eq_c1/2,0))/2))+2*IF(circ_int,0,eq_c2/2)),IF(circ_int,0,eq_c2/2)-(((52+0.5)*(4*IF(circ_int,0,eq_c1/2)+4*IF(circ_int,0,eq_c2/2)+2*PI()*(s_0+10*s_r+IF(circ_int,eq_c1/2,0)))/INDEX(lk_legs,11))-((((2*IF(circ_int,0,eq_c2/2))+(PI()*(s_0+10*s_r+IF(circ_int,eq_c1/2,0))/2))+2*IF(circ_int,0,eq_c1/2))+(PI()*(s_0+10*s_r+IF(circ_int,eq_c1/2,0))/2))),IF(((52+0.5)*(4*IF(circ_int,0,eq_c1/2)+4*IF(circ_int,0,eq_c2/2)+2*PI()*(s_0+10*s_r+IF(circ_int,eq_c1/2,0)))/INDEX(lk_legs,11))&lt;((((((2*IF(circ_int,0,eq_c2/2))+(PI()*(s_0+10*s_r+IF(circ_int,eq_c1/2,0))/2))+2*IF(circ_int,0,eq_c1/2))+(PI()*(s_0+10*s_r+IF(circ_int,eq_c1/2,0))/2))+2*IF(circ_int,0,eq_c2/2))+(PI()*(s_0+10*s_r+IF(circ_int,eq_c1/2,0))/2)),-IF(circ_int,0,eq_c2/2)+(s_0+10*s_r+IF(circ_int,eq_c1/2,0))*SIN(PI()+(((52+0.5)*(4*IF(circ_int,0,eq_c1/2)+4*IF(circ_int,0,eq_c2/2)+2*PI()*(s_0+10*s_r+IF(circ_int,eq_c1/2,0)))/INDEX(lk_legs,11))-(((((2*IF(circ_int,0,eq_c2/2))+(PI()*(s_0+10*s_r+IF(circ_int,eq_c1/2,0))/2))+2*IF(circ_int,0,eq_c1/2))+(PI()*(s_0+10*s_r+IF(circ_int,eq_c1/2,0))/2))+2*IF(circ_int,0,eq_c2/2)))/(s_0+10*s_r+IF(circ_int,eq_c1/2,0))),IF(((52+0.5)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(52+0.5)*(4*IF(circ_int,0,eq_c1/2)+4*IF(circ_int,0,eq_c2/2)+2*PI()*(s_0+10*s_r+IF(circ_int,eq_c1/2,0)))/INDEX(lk_legs,11))-(((((((2*IF(circ_int,0,eq_c2/2))+(PI()*(s_0+10*s_r+IF(circ_int,eq_c1/2,0))/2))+2*IF(circ_int,0,eq_c1/2))+(PI()*(s_0+10*s_r+IF(circ_int,eq_c1/2,0))/2))+2*IF(circ_int,0,eq_c2/2))+(PI()*(s_0+10*s_r+IF(circ_int,eq_c1/2,0))/2))+2*IF(circ_int,0,eq_c1/2)))/(s_0+10*s_r+IF(circ_int,eq_c1/2,0)))))))))),NA())</f>
        <v/>
      </c>
      <c r="DK55">
        <f>IF(AND(links_on,12&lt;=n_per),IF(circ_int,(g_ox)+(c_1/2+(s_0+11*s_r))*1.000000,CHOOSE(INDEX(lk_kind,12),(g_ox+eq_c1/2)+((s_0+11*s_r))*1.000000,0,eq_a1+eq_c1+(s_0+11*s_r),eq_a1+eq_c1+(s_0+11*s_r))),NA())</f>
        <v/>
      </c>
      <c r="DL55">
        <f>IF(AND(links_on,12&lt;=n_per),IF(circ_int,(g_oy)+(c_1/2+(s_0+11*s_r))*-0.000000,CHOOSE(INDEX(lk_kind,12),(g_oy+eq_c2/2)+((s_0+11*s_r))*0.000000,g_oy-eq_c2/2-(s_0+11*s_r),0,0)),NA())</f>
        <v/>
      </c>
      <c r="DN55">
        <f>IF(AND(AND(links_on,12&lt;=n_per),INDEX(lk_kind,12)=1,52&lt;INDEX(lk_legs,12)),g_ox+IF(((52+0.5)*(4*IF(circ_int,0,eq_c1/2)+4*IF(circ_int,0,eq_c2/2)+2*PI()*(s_0+11*s_r+IF(circ_int,eq_c1/2,0)))/INDEX(lk_legs,12))&lt;(2*IF(circ_int,0,eq_c2/2)),IF(circ_int,0,eq_c1/2)+(s_0+11*s_r+IF(circ_int,eq_c1/2,0)),IF(((52+0.5)*(4*IF(circ_int,0,eq_c1/2)+4*IF(circ_int,0,eq_c2/2)+2*PI()*(s_0+11*s_r+IF(circ_int,eq_c1/2,0)))/INDEX(lk_legs,12))&lt;((2*IF(circ_int,0,eq_c2/2))+(PI()*(s_0+11*s_r+IF(circ_int,eq_c1/2,0))/2)),IF(circ_int,0,eq_c1/2)+(s_0+11*s_r+IF(circ_int,eq_c1/2,0))*COS((((52+0.5)*(4*IF(circ_int,0,eq_c1/2)+4*IF(circ_int,0,eq_c2/2)+2*PI()*(s_0+11*s_r+IF(circ_int,eq_c1/2,0)))/INDEX(lk_legs,12))-(2*IF(circ_int,0,eq_c2/2)))/(s_0+11*s_r+IF(circ_int,eq_c1/2,0))),IF(((52+0.5)*(4*IF(circ_int,0,eq_c1/2)+4*IF(circ_int,0,eq_c2/2)+2*PI()*(s_0+11*s_r+IF(circ_int,eq_c1/2,0)))/INDEX(lk_legs,12))&lt;(((2*IF(circ_int,0,eq_c2/2))+(PI()*(s_0+11*s_r+IF(circ_int,eq_c1/2,0))/2))+2*IF(circ_int,0,eq_c1/2)),IF(circ_int,0,eq_c1/2)-(((52+0.5)*(4*IF(circ_int,0,eq_c1/2)+4*IF(circ_int,0,eq_c2/2)+2*PI()*(s_0+11*s_r+IF(circ_int,eq_c1/2,0)))/INDEX(lk_legs,12))-((2*IF(circ_int,0,eq_c2/2))+(PI()*(s_0+11*s_r+IF(circ_int,eq_c1/2,0))/2))),IF(((52+0.5)*(4*IF(circ_int,0,eq_c1/2)+4*IF(circ_int,0,eq_c2/2)+2*PI()*(s_0+11*s_r+IF(circ_int,eq_c1/2,0)))/INDEX(lk_legs,12))&lt;((((2*IF(circ_int,0,eq_c2/2))+(PI()*(s_0+11*s_r+IF(circ_int,eq_c1/2,0))/2))+2*IF(circ_int,0,eq_c1/2))+(PI()*(s_0+11*s_r+IF(circ_int,eq_c1/2,0))/2)),-IF(circ_int,0,eq_c1/2)+(s_0+11*s_r+IF(circ_int,eq_c1/2,0))*COS(PI()/2+(((52+0.5)*(4*IF(circ_int,0,eq_c1/2)+4*IF(circ_int,0,eq_c2/2)+2*PI()*(s_0+11*s_r+IF(circ_int,eq_c1/2,0)))/INDEX(lk_legs,12))-(((2*IF(circ_int,0,eq_c2/2))+(PI()*(s_0+11*s_r+IF(circ_int,eq_c1/2,0))/2))+2*IF(circ_int,0,eq_c1/2)))/(s_0+11*s_r+IF(circ_int,eq_c1/2,0))),IF(((52+0.5)*(4*IF(circ_int,0,eq_c1/2)+4*IF(circ_int,0,eq_c2/2)+2*PI()*(s_0+11*s_r+IF(circ_int,eq_c1/2,0)))/INDEX(lk_legs,12))&lt;(((((2*IF(circ_int,0,eq_c2/2))+(PI()*(s_0+11*s_r+IF(circ_int,eq_c1/2,0))/2))+2*IF(circ_int,0,eq_c1/2))+(PI()*(s_0+11*s_r+IF(circ_int,eq_c1/2,0))/2))+2*IF(circ_int,0,eq_c2/2)),-IF(circ_int,0,eq_c1/2)-(s_0+11*s_r+IF(circ_int,eq_c1/2,0)),IF(((52+0.5)*(4*IF(circ_int,0,eq_c1/2)+4*IF(circ_int,0,eq_c2/2)+2*PI()*(s_0+11*s_r+IF(circ_int,eq_c1/2,0)))/INDEX(lk_legs,12))&lt;((((((2*IF(circ_int,0,eq_c2/2))+(PI()*(s_0+11*s_r+IF(circ_int,eq_c1/2,0))/2))+2*IF(circ_int,0,eq_c1/2))+(PI()*(s_0+11*s_r+IF(circ_int,eq_c1/2,0))/2))+2*IF(circ_int,0,eq_c2/2))+(PI()*(s_0+11*s_r+IF(circ_int,eq_c1/2,0))/2)),-IF(circ_int,0,eq_c1/2)+(s_0+11*s_r+IF(circ_int,eq_c1/2,0))*COS(PI()+(((52+0.5)*(4*IF(circ_int,0,eq_c1/2)+4*IF(circ_int,0,eq_c2/2)+2*PI()*(s_0+11*s_r+IF(circ_int,eq_c1/2,0)))/INDEX(lk_legs,12))-(((((2*IF(circ_int,0,eq_c2/2))+(PI()*(s_0+11*s_r+IF(circ_int,eq_c1/2,0))/2))+2*IF(circ_int,0,eq_c1/2))+(PI()*(s_0+11*s_r+IF(circ_int,eq_c1/2,0))/2))+2*IF(circ_int,0,eq_c2/2)))/(s_0+11*s_r+IF(circ_int,eq_c1/2,0))),IF(((52+0.5)*(4*IF(circ_int,0,eq_c1/2)+4*IF(circ_int,0,eq_c2/2)+2*PI()*(s_0+11*s_r+IF(circ_int,eq_c1/2,0)))/INDEX(lk_legs,12))&lt;(((((((2*IF(circ_int,0,eq_c2/2))+(PI()*(s_0+11*s_r+IF(circ_int,eq_c1/2,0))/2))+2*IF(circ_int,0,eq_c1/2))+(PI()*(s_0+11*s_r+IF(circ_int,eq_c1/2,0))/2))+2*IF(circ_int,0,eq_c2/2))+(PI()*(s_0+11*s_r+IF(circ_int,eq_c1/2,0))/2))+2*IF(circ_int,0,eq_c1/2)),-IF(circ_int,0,eq_c1/2)+(((52+0.5)*(4*IF(circ_int,0,eq_c1/2)+4*IF(circ_int,0,eq_c2/2)+2*PI()*(s_0+11*s_r+IF(circ_int,eq_c1/2,0)))/INDEX(lk_legs,12))-((((((2*IF(circ_int,0,eq_c2/2))+(PI()*(s_0+11*s_r+IF(circ_int,eq_c1/2,0))/2))+2*IF(circ_int,0,eq_c1/2))+(PI()*(s_0+11*s_r+IF(circ_int,eq_c1/2,0))/2))+2*IF(circ_int,0,eq_c2/2))+(PI()*(s_0+11*s_r+IF(circ_int,eq_c1/2,0))/2))),IF(circ_int,0,eq_c1/2)+(s_0+11*s_r+IF(circ_int,eq_c1/2,0))*COS(3*PI()/2+(((52+0.5)*(4*IF(circ_int,0,eq_c1/2)+4*IF(circ_int,0,eq_c2/2)+2*PI()*(s_0+11*s_r+IF(circ_int,eq_c1/2,0)))/INDEX(lk_legs,12))-(((((((2*IF(circ_int,0,eq_c2/2))+(PI()*(s_0+11*s_r+IF(circ_int,eq_c1/2,0))/2))+2*IF(circ_int,0,eq_c1/2))+(PI()*(s_0+11*s_r+IF(circ_int,eq_c1/2,0))/2))+2*IF(circ_int,0,eq_c2/2))+(PI()*(s_0+11*s_r+IF(circ_int,eq_c1/2,0))/2))+2*IF(circ_int,0,eq_c1/2)))/(s_0+11*s_r+IF(circ_int,eq_c1/2,0)))))))))),NA())</f>
        <v/>
      </c>
      <c r="DO55">
        <f>IF(AND(AND(links_on,12&lt;=n_per),INDEX(lk_kind,12)=1,52&lt;INDEX(lk_legs,12)),g_oy+IF(((52+0.5)*(4*IF(circ_int,0,eq_c1/2)+4*IF(circ_int,0,eq_c2/2)+2*PI()*(s_0+11*s_r+IF(circ_int,eq_c1/2,0)))/INDEX(lk_legs,12))&lt;(2*IF(circ_int,0,eq_c2/2)),-IF(circ_int,0,eq_c2/2)+((52+0.5)*(4*IF(circ_int,0,eq_c1/2)+4*IF(circ_int,0,eq_c2/2)+2*PI()*(s_0+11*s_r+IF(circ_int,eq_c1/2,0)))/INDEX(lk_legs,12)),IF(((52+0.5)*(4*IF(circ_int,0,eq_c1/2)+4*IF(circ_int,0,eq_c2/2)+2*PI()*(s_0+11*s_r+IF(circ_int,eq_c1/2,0)))/INDEX(lk_legs,12))&lt;((2*IF(circ_int,0,eq_c2/2))+(PI()*(s_0+11*s_r+IF(circ_int,eq_c1/2,0))/2)),IF(circ_int,0,eq_c2/2)+(s_0+11*s_r+IF(circ_int,eq_c1/2,0))*SIN((((52+0.5)*(4*IF(circ_int,0,eq_c1/2)+4*IF(circ_int,0,eq_c2/2)+2*PI()*(s_0+11*s_r+IF(circ_int,eq_c1/2,0)))/INDEX(lk_legs,12))-(2*IF(circ_int,0,eq_c2/2)))/(s_0+11*s_r+IF(circ_int,eq_c1/2,0))),IF(((52+0.5)*(4*IF(circ_int,0,eq_c1/2)+4*IF(circ_int,0,eq_c2/2)+2*PI()*(s_0+11*s_r+IF(circ_int,eq_c1/2,0)))/INDEX(lk_legs,12))&lt;(((2*IF(circ_int,0,eq_c2/2))+(PI()*(s_0+11*s_r+IF(circ_int,eq_c1/2,0))/2))+2*IF(circ_int,0,eq_c1/2)),IF(circ_int,0,eq_c2/2)+(s_0+11*s_r+IF(circ_int,eq_c1/2,0)),IF(((52+0.5)*(4*IF(circ_int,0,eq_c1/2)+4*IF(circ_int,0,eq_c2/2)+2*PI()*(s_0+11*s_r+IF(circ_int,eq_c1/2,0)))/INDEX(lk_legs,12))&lt;((((2*IF(circ_int,0,eq_c2/2))+(PI()*(s_0+11*s_r+IF(circ_int,eq_c1/2,0))/2))+2*IF(circ_int,0,eq_c1/2))+(PI()*(s_0+11*s_r+IF(circ_int,eq_c1/2,0))/2)),IF(circ_int,0,eq_c2/2)+(s_0+11*s_r+IF(circ_int,eq_c1/2,0))*SIN(PI()/2+(((52+0.5)*(4*IF(circ_int,0,eq_c1/2)+4*IF(circ_int,0,eq_c2/2)+2*PI()*(s_0+11*s_r+IF(circ_int,eq_c1/2,0)))/INDEX(lk_legs,12))-(((2*IF(circ_int,0,eq_c2/2))+(PI()*(s_0+11*s_r+IF(circ_int,eq_c1/2,0))/2))+2*IF(circ_int,0,eq_c1/2)))/(s_0+11*s_r+IF(circ_int,eq_c1/2,0))),IF(((52+0.5)*(4*IF(circ_int,0,eq_c1/2)+4*IF(circ_int,0,eq_c2/2)+2*PI()*(s_0+11*s_r+IF(circ_int,eq_c1/2,0)))/INDEX(lk_legs,12))&lt;(((((2*IF(circ_int,0,eq_c2/2))+(PI()*(s_0+11*s_r+IF(circ_int,eq_c1/2,0))/2))+2*IF(circ_int,0,eq_c1/2))+(PI()*(s_0+11*s_r+IF(circ_int,eq_c1/2,0))/2))+2*IF(circ_int,0,eq_c2/2)),IF(circ_int,0,eq_c2/2)-(((52+0.5)*(4*IF(circ_int,0,eq_c1/2)+4*IF(circ_int,0,eq_c2/2)+2*PI()*(s_0+11*s_r+IF(circ_int,eq_c1/2,0)))/INDEX(lk_legs,12))-((((2*IF(circ_int,0,eq_c2/2))+(PI()*(s_0+11*s_r+IF(circ_int,eq_c1/2,0))/2))+2*IF(circ_int,0,eq_c1/2))+(PI()*(s_0+11*s_r+IF(circ_int,eq_c1/2,0))/2))),IF(((52+0.5)*(4*IF(circ_int,0,eq_c1/2)+4*IF(circ_int,0,eq_c2/2)+2*PI()*(s_0+11*s_r+IF(circ_int,eq_c1/2,0)))/INDEX(lk_legs,12))&lt;((((((2*IF(circ_int,0,eq_c2/2))+(PI()*(s_0+11*s_r+IF(circ_int,eq_c1/2,0))/2))+2*IF(circ_int,0,eq_c1/2))+(PI()*(s_0+11*s_r+IF(circ_int,eq_c1/2,0))/2))+2*IF(circ_int,0,eq_c2/2))+(PI()*(s_0+11*s_r+IF(circ_int,eq_c1/2,0))/2)),-IF(circ_int,0,eq_c2/2)+(s_0+11*s_r+IF(circ_int,eq_c1/2,0))*SIN(PI()+(((52+0.5)*(4*IF(circ_int,0,eq_c1/2)+4*IF(circ_int,0,eq_c2/2)+2*PI()*(s_0+11*s_r+IF(circ_int,eq_c1/2,0)))/INDEX(lk_legs,12))-(((((2*IF(circ_int,0,eq_c2/2))+(PI()*(s_0+11*s_r+IF(circ_int,eq_c1/2,0))/2))+2*IF(circ_int,0,eq_c1/2))+(PI()*(s_0+11*s_r+IF(circ_int,eq_c1/2,0))/2))+2*IF(circ_int,0,eq_c2/2)))/(s_0+11*s_r+IF(circ_int,eq_c1/2,0))),IF(((52+0.5)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(52+0.5)*(4*IF(circ_int,0,eq_c1/2)+4*IF(circ_int,0,eq_c2/2)+2*PI()*(s_0+11*s_r+IF(circ_int,eq_c1/2,0)))/INDEX(lk_legs,12))-(((((((2*IF(circ_int,0,eq_c2/2))+(PI()*(s_0+11*s_r+IF(circ_int,eq_c1/2,0))/2))+2*IF(circ_int,0,eq_c1/2))+(PI()*(s_0+11*s_r+IF(circ_int,eq_c1/2,0))/2))+2*IF(circ_int,0,eq_c2/2))+(PI()*(s_0+11*s_r+IF(circ_int,eq_c1/2,0))/2))+2*IF(circ_int,0,eq_c1/2)))/(s_0+11*s_r+IF(circ_int,eq_c1/2,0)))))))))),NA())</f>
        <v/>
      </c>
    </row>
    <row r="56">
      <c r="AZ56">
        <f>IF(AND(AND(links_on,1&lt;=n_per),INDEX(lk_kind,1)=1,53&lt;INDEX(lk_legs,1)),g_ox+IF(((53+0.5)*(4*IF(circ_int,0,eq_c1/2)+4*IF(circ_int,0,eq_c2/2)+2*PI()*(s_0+0*s_r+IF(circ_int,eq_c1/2,0)))/INDEX(lk_legs,1))&lt;(2*IF(circ_int,0,eq_c2/2)),IF(circ_int,0,eq_c1/2)+(s_0+0*s_r+IF(circ_int,eq_c1/2,0)),IF(((53+0.5)*(4*IF(circ_int,0,eq_c1/2)+4*IF(circ_int,0,eq_c2/2)+2*PI()*(s_0+0*s_r+IF(circ_int,eq_c1/2,0)))/INDEX(lk_legs,1))&lt;((2*IF(circ_int,0,eq_c2/2))+(PI()*(s_0+0*s_r+IF(circ_int,eq_c1/2,0))/2)),IF(circ_int,0,eq_c1/2)+(s_0+0*s_r+IF(circ_int,eq_c1/2,0))*COS((((53+0.5)*(4*IF(circ_int,0,eq_c1/2)+4*IF(circ_int,0,eq_c2/2)+2*PI()*(s_0+0*s_r+IF(circ_int,eq_c1/2,0)))/INDEX(lk_legs,1))-(2*IF(circ_int,0,eq_c2/2)))/(s_0+0*s_r+IF(circ_int,eq_c1/2,0))),IF(((53+0.5)*(4*IF(circ_int,0,eq_c1/2)+4*IF(circ_int,0,eq_c2/2)+2*PI()*(s_0+0*s_r+IF(circ_int,eq_c1/2,0)))/INDEX(lk_legs,1))&lt;(((2*IF(circ_int,0,eq_c2/2))+(PI()*(s_0+0*s_r+IF(circ_int,eq_c1/2,0))/2))+2*IF(circ_int,0,eq_c1/2)),IF(circ_int,0,eq_c1/2)-(((53+0.5)*(4*IF(circ_int,0,eq_c1/2)+4*IF(circ_int,0,eq_c2/2)+2*PI()*(s_0+0*s_r+IF(circ_int,eq_c1/2,0)))/INDEX(lk_legs,1))-((2*IF(circ_int,0,eq_c2/2))+(PI()*(s_0+0*s_r+IF(circ_int,eq_c1/2,0))/2))),IF(((53+0.5)*(4*IF(circ_int,0,eq_c1/2)+4*IF(circ_int,0,eq_c2/2)+2*PI()*(s_0+0*s_r+IF(circ_int,eq_c1/2,0)))/INDEX(lk_legs,1))&lt;((((2*IF(circ_int,0,eq_c2/2))+(PI()*(s_0+0*s_r+IF(circ_int,eq_c1/2,0))/2))+2*IF(circ_int,0,eq_c1/2))+(PI()*(s_0+0*s_r+IF(circ_int,eq_c1/2,0))/2)),-IF(circ_int,0,eq_c1/2)+(s_0+0*s_r+IF(circ_int,eq_c1/2,0))*COS(PI()/2+(((53+0.5)*(4*IF(circ_int,0,eq_c1/2)+4*IF(circ_int,0,eq_c2/2)+2*PI()*(s_0+0*s_r+IF(circ_int,eq_c1/2,0)))/INDEX(lk_legs,1))-(((2*IF(circ_int,0,eq_c2/2))+(PI()*(s_0+0*s_r+IF(circ_int,eq_c1/2,0))/2))+2*IF(circ_int,0,eq_c1/2)))/(s_0+0*s_r+IF(circ_int,eq_c1/2,0))),IF(((53+0.5)*(4*IF(circ_int,0,eq_c1/2)+4*IF(circ_int,0,eq_c2/2)+2*PI()*(s_0+0*s_r+IF(circ_int,eq_c1/2,0)))/INDEX(lk_legs,1))&lt;(((((2*IF(circ_int,0,eq_c2/2))+(PI()*(s_0+0*s_r+IF(circ_int,eq_c1/2,0))/2))+2*IF(circ_int,0,eq_c1/2))+(PI()*(s_0+0*s_r+IF(circ_int,eq_c1/2,0))/2))+2*IF(circ_int,0,eq_c2/2)),-IF(circ_int,0,eq_c1/2)-(s_0+0*s_r+IF(circ_int,eq_c1/2,0)),IF(((53+0.5)*(4*IF(circ_int,0,eq_c1/2)+4*IF(circ_int,0,eq_c2/2)+2*PI()*(s_0+0*s_r+IF(circ_int,eq_c1/2,0)))/INDEX(lk_legs,1))&lt;((((((2*IF(circ_int,0,eq_c2/2))+(PI()*(s_0+0*s_r+IF(circ_int,eq_c1/2,0))/2))+2*IF(circ_int,0,eq_c1/2))+(PI()*(s_0+0*s_r+IF(circ_int,eq_c1/2,0))/2))+2*IF(circ_int,0,eq_c2/2))+(PI()*(s_0+0*s_r+IF(circ_int,eq_c1/2,0))/2)),-IF(circ_int,0,eq_c1/2)+(s_0+0*s_r+IF(circ_int,eq_c1/2,0))*COS(PI()+(((53+0.5)*(4*IF(circ_int,0,eq_c1/2)+4*IF(circ_int,0,eq_c2/2)+2*PI()*(s_0+0*s_r+IF(circ_int,eq_c1/2,0)))/INDEX(lk_legs,1))-(((((2*IF(circ_int,0,eq_c2/2))+(PI()*(s_0+0*s_r+IF(circ_int,eq_c1/2,0))/2))+2*IF(circ_int,0,eq_c1/2))+(PI()*(s_0+0*s_r+IF(circ_int,eq_c1/2,0))/2))+2*IF(circ_int,0,eq_c2/2)))/(s_0+0*s_r+IF(circ_int,eq_c1/2,0))),IF(((53+0.5)*(4*IF(circ_int,0,eq_c1/2)+4*IF(circ_int,0,eq_c2/2)+2*PI()*(s_0+0*s_r+IF(circ_int,eq_c1/2,0)))/INDEX(lk_legs,1))&lt;(((((((2*IF(circ_int,0,eq_c2/2))+(PI()*(s_0+0*s_r+IF(circ_int,eq_c1/2,0))/2))+2*IF(circ_int,0,eq_c1/2))+(PI()*(s_0+0*s_r+IF(circ_int,eq_c1/2,0))/2))+2*IF(circ_int,0,eq_c2/2))+(PI()*(s_0+0*s_r+IF(circ_int,eq_c1/2,0))/2))+2*IF(circ_int,0,eq_c1/2)),-IF(circ_int,0,eq_c1/2)+(((53+0.5)*(4*IF(circ_int,0,eq_c1/2)+4*IF(circ_int,0,eq_c2/2)+2*PI()*(s_0+0*s_r+IF(circ_int,eq_c1/2,0)))/INDEX(lk_legs,1))-((((((2*IF(circ_int,0,eq_c2/2))+(PI()*(s_0+0*s_r+IF(circ_int,eq_c1/2,0))/2))+2*IF(circ_int,0,eq_c1/2))+(PI()*(s_0+0*s_r+IF(circ_int,eq_c1/2,0))/2))+2*IF(circ_int,0,eq_c2/2))+(PI()*(s_0+0*s_r+IF(circ_int,eq_c1/2,0))/2))),IF(circ_int,0,eq_c1/2)+(s_0+0*s_r+IF(circ_int,eq_c1/2,0))*COS(3*PI()/2+(((53+0.5)*(4*IF(circ_int,0,eq_c1/2)+4*IF(circ_int,0,eq_c2/2)+2*PI()*(s_0+0*s_r+IF(circ_int,eq_c1/2,0)))/INDEX(lk_legs,1))-(((((((2*IF(circ_int,0,eq_c2/2))+(PI()*(s_0+0*s_r+IF(circ_int,eq_c1/2,0))/2))+2*IF(circ_int,0,eq_c1/2))+(PI()*(s_0+0*s_r+IF(circ_int,eq_c1/2,0))/2))+2*IF(circ_int,0,eq_c2/2))+(PI()*(s_0+0*s_r+IF(circ_int,eq_c1/2,0))/2))+2*IF(circ_int,0,eq_c1/2)))/(s_0+0*s_r+IF(circ_int,eq_c1/2,0)))))))))),NA())</f>
        <v/>
      </c>
      <c r="BA56">
        <f>IF(AND(AND(links_on,1&lt;=n_per),INDEX(lk_kind,1)=1,53&lt;INDEX(lk_legs,1)),g_oy+IF(((53+0.5)*(4*IF(circ_int,0,eq_c1/2)+4*IF(circ_int,0,eq_c2/2)+2*PI()*(s_0+0*s_r+IF(circ_int,eq_c1/2,0)))/INDEX(lk_legs,1))&lt;(2*IF(circ_int,0,eq_c2/2)),-IF(circ_int,0,eq_c2/2)+((53+0.5)*(4*IF(circ_int,0,eq_c1/2)+4*IF(circ_int,0,eq_c2/2)+2*PI()*(s_0+0*s_r+IF(circ_int,eq_c1/2,0)))/INDEX(lk_legs,1)),IF(((53+0.5)*(4*IF(circ_int,0,eq_c1/2)+4*IF(circ_int,0,eq_c2/2)+2*PI()*(s_0+0*s_r+IF(circ_int,eq_c1/2,0)))/INDEX(lk_legs,1))&lt;((2*IF(circ_int,0,eq_c2/2))+(PI()*(s_0+0*s_r+IF(circ_int,eq_c1/2,0))/2)),IF(circ_int,0,eq_c2/2)+(s_0+0*s_r+IF(circ_int,eq_c1/2,0))*SIN((((53+0.5)*(4*IF(circ_int,0,eq_c1/2)+4*IF(circ_int,0,eq_c2/2)+2*PI()*(s_0+0*s_r+IF(circ_int,eq_c1/2,0)))/INDEX(lk_legs,1))-(2*IF(circ_int,0,eq_c2/2)))/(s_0+0*s_r+IF(circ_int,eq_c1/2,0))),IF(((53+0.5)*(4*IF(circ_int,0,eq_c1/2)+4*IF(circ_int,0,eq_c2/2)+2*PI()*(s_0+0*s_r+IF(circ_int,eq_c1/2,0)))/INDEX(lk_legs,1))&lt;(((2*IF(circ_int,0,eq_c2/2))+(PI()*(s_0+0*s_r+IF(circ_int,eq_c1/2,0))/2))+2*IF(circ_int,0,eq_c1/2)),IF(circ_int,0,eq_c2/2)+(s_0+0*s_r+IF(circ_int,eq_c1/2,0)),IF(((53+0.5)*(4*IF(circ_int,0,eq_c1/2)+4*IF(circ_int,0,eq_c2/2)+2*PI()*(s_0+0*s_r+IF(circ_int,eq_c1/2,0)))/INDEX(lk_legs,1))&lt;((((2*IF(circ_int,0,eq_c2/2))+(PI()*(s_0+0*s_r+IF(circ_int,eq_c1/2,0))/2))+2*IF(circ_int,0,eq_c1/2))+(PI()*(s_0+0*s_r+IF(circ_int,eq_c1/2,0))/2)),IF(circ_int,0,eq_c2/2)+(s_0+0*s_r+IF(circ_int,eq_c1/2,0))*SIN(PI()/2+(((53+0.5)*(4*IF(circ_int,0,eq_c1/2)+4*IF(circ_int,0,eq_c2/2)+2*PI()*(s_0+0*s_r+IF(circ_int,eq_c1/2,0)))/INDEX(lk_legs,1))-(((2*IF(circ_int,0,eq_c2/2))+(PI()*(s_0+0*s_r+IF(circ_int,eq_c1/2,0))/2))+2*IF(circ_int,0,eq_c1/2)))/(s_0+0*s_r+IF(circ_int,eq_c1/2,0))),IF(((53+0.5)*(4*IF(circ_int,0,eq_c1/2)+4*IF(circ_int,0,eq_c2/2)+2*PI()*(s_0+0*s_r+IF(circ_int,eq_c1/2,0)))/INDEX(lk_legs,1))&lt;(((((2*IF(circ_int,0,eq_c2/2))+(PI()*(s_0+0*s_r+IF(circ_int,eq_c1/2,0))/2))+2*IF(circ_int,0,eq_c1/2))+(PI()*(s_0+0*s_r+IF(circ_int,eq_c1/2,0))/2))+2*IF(circ_int,0,eq_c2/2)),IF(circ_int,0,eq_c2/2)-(((53+0.5)*(4*IF(circ_int,0,eq_c1/2)+4*IF(circ_int,0,eq_c2/2)+2*PI()*(s_0+0*s_r+IF(circ_int,eq_c1/2,0)))/INDEX(lk_legs,1))-((((2*IF(circ_int,0,eq_c2/2))+(PI()*(s_0+0*s_r+IF(circ_int,eq_c1/2,0))/2))+2*IF(circ_int,0,eq_c1/2))+(PI()*(s_0+0*s_r+IF(circ_int,eq_c1/2,0))/2))),IF(((53+0.5)*(4*IF(circ_int,0,eq_c1/2)+4*IF(circ_int,0,eq_c2/2)+2*PI()*(s_0+0*s_r+IF(circ_int,eq_c1/2,0)))/INDEX(lk_legs,1))&lt;((((((2*IF(circ_int,0,eq_c2/2))+(PI()*(s_0+0*s_r+IF(circ_int,eq_c1/2,0))/2))+2*IF(circ_int,0,eq_c1/2))+(PI()*(s_0+0*s_r+IF(circ_int,eq_c1/2,0))/2))+2*IF(circ_int,0,eq_c2/2))+(PI()*(s_0+0*s_r+IF(circ_int,eq_c1/2,0))/2)),-IF(circ_int,0,eq_c2/2)+(s_0+0*s_r+IF(circ_int,eq_c1/2,0))*SIN(PI()+(((53+0.5)*(4*IF(circ_int,0,eq_c1/2)+4*IF(circ_int,0,eq_c2/2)+2*PI()*(s_0+0*s_r+IF(circ_int,eq_c1/2,0)))/INDEX(lk_legs,1))-(((((2*IF(circ_int,0,eq_c2/2))+(PI()*(s_0+0*s_r+IF(circ_int,eq_c1/2,0))/2))+2*IF(circ_int,0,eq_c1/2))+(PI()*(s_0+0*s_r+IF(circ_int,eq_c1/2,0))/2))+2*IF(circ_int,0,eq_c2/2)))/(s_0+0*s_r+IF(circ_int,eq_c1/2,0))),IF(((53+0.5)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(53+0.5)*(4*IF(circ_int,0,eq_c1/2)+4*IF(circ_int,0,eq_c2/2)+2*PI()*(s_0+0*s_r+IF(circ_int,eq_c1/2,0)))/INDEX(lk_legs,1))-(((((((2*IF(circ_int,0,eq_c2/2))+(PI()*(s_0+0*s_r+IF(circ_int,eq_c1/2,0))/2))+2*IF(circ_int,0,eq_c1/2))+(PI()*(s_0+0*s_r+IF(circ_int,eq_c1/2,0))/2))+2*IF(circ_int,0,eq_c2/2))+(PI()*(s_0+0*s_r+IF(circ_int,eq_c1/2,0))/2))+2*IF(circ_int,0,eq_c1/2)))/(s_0+0*s_r+IF(circ_int,eq_c1/2,0)))))))))),NA())</f>
        <v/>
      </c>
      <c r="BF56">
        <f>IF(AND(AND(links_on,2&lt;=n_per),INDEX(lk_kind,2)=1,53&lt;INDEX(lk_legs,2)),g_ox+IF(((53+0.5)*(4*IF(circ_int,0,eq_c1/2)+4*IF(circ_int,0,eq_c2/2)+2*PI()*(s_0+1*s_r+IF(circ_int,eq_c1/2,0)))/INDEX(lk_legs,2))&lt;(2*IF(circ_int,0,eq_c2/2)),IF(circ_int,0,eq_c1/2)+(s_0+1*s_r+IF(circ_int,eq_c1/2,0)),IF(((53+0.5)*(4*IF(circ_int,0,eq_c1/2)+4*IF(circ_int,0,eq_c2/2)+2*PI()*(s_0+1*s_r+IF(circ_int,eq_c1/2,0)))/INDEX(lk_legs,2))&lt;((2*IF(circ_int,0,eq_c2/2))+(PI()*(s_0+1*s_r+IF(circ_int,eq_c1/2,0))/2)),IF(circ_int,0,eq_c1/2)+(s_0+1*s_r+IF(circ_int,eq_c1/2,0))*COS((((53+0.5)*(4*IF(circ_int,0,eq_c1/2)+4*IF(circ_int,0,eq_c2/2)+2*PI()*(s_0+1*s_r+IF(circ_int,eq_c1/2,0)))/INDEX(lk_legs,2))-(2*IF(circ_int,0,eq_c2/2)))/(s_0+1*s_r+IF(circ_int,eq_c1/2,0))),IF(((53+0.5)*(4*IF(circ_int,0,eq_c1/2)+4*IF(circ_int,0,eq_c2/2)+2*PI()*(s_0+1*s_r+IF(circ_int,eq_c1/2,0)))/INDEX(lk_legs,2))&lt;(((2*IF(circ_int,0,eq_c2/2))+(PI()*(s_0+1*s_r+IF(circ_int,eq_c1/2,0))/2))+2*IF(circ_int,0,eq_c1/2)),IF(circ_int,0,eq_c1/2)-(((53+0.5)*(4*IF(circ_int,0,eq_c1/2)+4*IF(circ_int,0,eq_c2/2)+2*PI()*(s_0+1*s_r+IF(circ_int,eq_c1/2,0)))/INDEX(lk_legs,2))-((2*IF(circ_int,0,eq_c2/2))+(PI()*(s_0+1*s_r+IF(circ_int,eq_c1/2,0))/2))),IF(((53+0.5)*(4*IF(circ_int,0,eq_c1/2)+4*IF(circ_int,0,eq_c2/2)+2*PI()*(s_0+1*s_r+IF(circ_int,eq_c1/2,0)))/INDEX(lk_legs,2))&lt;((((2*IF(circ_int,0,eq_c2/2))+(PI()*(s_0+1*s_r+IF(circ_int,eq_c1/2,0))/2))+2*IF(circ_int,0,eq_c1/2))+(PI()*(s_0+1*s_r+IF(circ_int,eq_c1/2,0))/2)),-IF(circ_int,0,eq_c1/2)+(s_0+1*s_r+IF(circ_int,eq_c1/2,0))*COS(PI()/2+(((53+0.5)*(4*IF(circ_int,0,eq_c1/2)+4*IF(circ_int,0,eq_c2/2)+2*PI()*(s_0+1*s_r+IF(circ_int,eq_c1/2,0)))/INDEX(lk_legs,2))-(((2*IF(circ_int,0,eq_c2/2))+(PI()*(s_0+1*s_r+IF(circ_int,eq_c1/2,0))/2))+2*IF(circ_int,0,eq_c1/2)))/(s_0+1*s_r+IF(circ_int,eq_c1/2,0))),IF(((53+0.5)*(4*IF(circ_int,0,eq_c1/2)+4*IF(circ_int,0,eq_c2/2)+2*PI()*(s_0+1*s_r+IF(circ_int,eq_c1/2,0)))/INDEX(lk_legs,2))&lt;(((((2*IF(circ_int,0,eq_c2/2))+(PI()*(s_0+1*s_r+IF(circ_int,eq_c1/2,0))/2))+2*IF(circ_int,0,eq_c1/2))+(PI()*(s_0+1*s_r+IF(circ_int,eq_c1/2,0))/2))+2*IF(circ_int,0,eq_c2/2)),-IF(circ_int,0,eq_c1/2)-(s_0+1*s_r+IF(circ_int,eq_c1/2,0)),IF(((53+0.5)*(4*IF(circ_int,0,eq_c1/2)+4*IF(circ_int,0,eq_c2/2)+2*PI()*(s_0+1*s_r+IF(circ_int,eq_c1/2,0)))/INDEX(lk_legs,2))&lt;((((((2*IF(circ_int,0,eq_c2/2))+(PI()*(s_0+1*s_r+IF(circ_int,eq_c1/2,0))/2))+2*IF(circ_int,0,eq_c1/2))+(PI()*(s_0+1*s_r+IF(circ_int,eq_c1/2,0))/2))+2*IF(circ_int,0,eq_c2/2))+(PI()*(s_0+1*s_r+IF(circ_int,eq_c1/2,0))/2)),-IF(circ_int,0,eq_c1/2)+(s_0+1*s_r+IF(circ_int,eq_c1/2,0))*COS(PI()+(((53+0.5)*(4*IF(circ_int,0,eq_c1/2)+4*IF(circ_int,0,eq_c2/2)+2*PI()*(s_0+1*s_r+IF(circ_int,eq_c1/2,0)))/INDEX(lk_legs,2))-(((((2*IF(circ_int,0,eq_c2/2))+(PI()*(s_0+1*s_r+IF(circ_int,eq_c1/2,0))/2))+2*IF(circ_int,0,eq_c1/2))+(PI()*(s_0+1*s_r+IF(circ_int,eq_c1/2,0))/2))+2*IF(circ_int,0,eq_c2/2)))/(s_0+1*s_r+IF(circ_int,eq_c1/2,0))),IF(((53+0.5)*(4*IF(circ_int,0,eq_c1/2)+4*IF(circ_int,0,eq_c2/2)+2*PI()*(s_0+1*s_r+IF(circ_int,eq_c1/2,0)))/INDEX(lk_legs,2))&lt;(((((((2*IF(circ_int,0,eq_c2/2))+(PI()*(s_0+1*s_r+IF(circ_int,eq_c1/2,0))/2))+2*IF(circ_int,0,eq_c1/2))+(PI()*(s_0+1*s_r+IF(circ_int,eq_c1/2,0))/2))+2*IF(circ_int,0,eq_c2/2))+(PI()*(s_0+1*s_r+IF(circ_int,eq_c1/2,0))/2))+2*IF(circ_int,0,eq_c1/2)),-IF(circ_int,0,eq_c1/2)+(((53+0.5)*(4*IF(circ_int,0,eq_c1/2)+4*IF(circ_int,0,eq_c2/2)+2*PI()*(s_0+1*s_r+IF(circ_int,eq_c1/2,0)))/INDEX(lk_legs,2))-((((((2*IF(circ_int,0,eq_c2/2))+(PI()*(s_0+1*s_r+IF(circ_int,eq_c1/2,0))/2))+2*IF(circ_int,0,eq_c1/2))+(PI()*(s_0+1*s_r+IF(circ_int,eq_c1/2,0))/2))+2*IF(circ_int,0,eq_c2/2))+(PI()*(s_0+1*s_r+IF(circ_int,eq_c1/2,0))/2))),IF(circ_int,0,eq_c1/2)+(s_0+1*s_r+IF(circ_int,eq_c1/2,0))*COS(3*PI()/2+(((53+0.5)*(4*IF(circ_int,0,eq_c1/2)+4*IF(circ_int,0,eq_c2/2)+2*PI()*(s_0+1*s_r+IF(circ_int,eq_c1/2,0)))/INDEX(lk_legs,2))-(((((((2*IF(circ_int,0,eq_c2/2))+(PI()*(s_0+1*s_r+IF(circ_int,eq_c1/2,0))/2))+2*IF(circ_int,0,eq_c1/2))+(PI()*(s_0+1*s_r+IF(circ_int,eq_c1/2,0))/2))+2*IF(circ_int,0,eq_c2/2))+(PI()*(s_0+1*s_r+IF(circ_int,eq_c1/2,0))/2))+2*IF(circ_int,0,eq_c1/2)))/(s_0+1*s_r+IF(circ_int,eq_c1/2,0)))))))))),NA())</f>
        <v/>
      </c>
      <c r="BG56">
        <f>IF(AND(AND(links_on,2&lt;=n_per),INDEX(lk_kind,2)=1,53&lt;INDEX(lk_legs,2)),g_oy+IF(((53+0.5)*(4*IF(circ_int,0,eq_c1/2)+4*IF(circ_int,0,eq_c2/2)+2*PI()*(s_0+1*s_r+IF(circ_int,eq_c1/2,0)))/INDEX(lk_legs,2))&lt;(2*IF(circ_int,0,eq_c2/2)),-IF(circ_int,0,eq_c2/2)+((53+0.5)*(4*IF(circ_int,0,eq_c1/2)+4*IF(circ_int,0,eq_c2/2)+2*PI()*(s_0+1*s_r+IF(circ_int,eq_c1/2,0)))/INDEX(lk_legs,2)),IF(((53+0.5)*(4*IF(circ_int,0,eq_c1/2)+4*IF(circ_int,0,eq_c2/2)+2*PI()*(s_0+1*s_r+IF(circ_int,eq_c1/2,0)))/INDEX(lk_legs,2))&lt;((2*IF(circ_int,0,eq_c2/2))+(PI()*(s_0+1*s_r+IF(circ_int,eq_c1/2,0))/2)),IF(circ_int,0,eq_c2/2)+(s_0+1*s_r+IF(circ_int,eq_c1/2,0))*SIN((((53+0.5)*(4*IF(circ_int,0,eq_c1/2)+4*IF(circ_int,0,eq_c2/2)+2*PI()*(s_0+1*s_r+IF(circ_int,eq_c1/2,0)))/INDEX(lk_legs,2))-(2*IF(circ_int,0,eq_c2/2)))/(s_0+1*s_r+IF(circ_int,eq_c1/2,0))),IF(((53+0.5)*(4*IF(circ_int,0,eq_c1/2)+4*IF(circ_int,0,eq_c2/2)+2*PI()*(s_0+1*s_r+IF(circ_int,eq_c1/2,0)))/INDEX(lk_legs,2))&lt;(((2*IF(circ_int,0,eq_c2/2))+(PI()*(s_0+1*s_r+IF(circ_int,eq_c1/2,0))/2))+2*IF(circ_int,0,eq_c1/2)),IF(circ_int,0,eq_c2/2)+(s_0+1*s_r+IF(circ_int,eq_c1/2,0)),IF(((53+0.5)*(4*IF(circ_int,0,eq_c1/2)+4*IF(circ_int,0,eq_c2/2)+2*PI()*(s_0+1*s_r+IF(circ_int,eq_c1/2,0)))/INDEX(lk_legs,2))&lt;((((2*IF(circ_int,0,eq_c2/2))+(PI()*(s_0+1*s_r+IF(circ_int,eq_c1/2,0))/2))+2*IF(circ_int,0,eq_c1/2))+(PI()*(s_0+1*s_r+IF(circ_int,eq_c1/2,0))/2)),IF(circ_int,0,eq_c2/2)+(s_0+1*s_r+IF(circ_int,eq_c1/2,0))*SIN(PI()/2+(((53+0.5)*(4*IF(circ_int,0,eq_c1/2)+4*IF(circ_int,0,eq_c2/2)+2*PI()*(s_0+1*s_r+IF(circ_int,eq_c1/2,0)))/INDEX(lk_legs,2))-(((2*IF(circ_int,0,eq_c2/2))+(PI()*(s_0+1*s_r+IF(circ_int,eq_c1/2,0))/2))+2*IF(circ_int,0,eq_c1/2)))/(s_0+1*s_r+IF(circ_int,eq_c1/2,0))),IF(((53+0.5)*(4*IF(circ_int,0,eq_c1/2)+4*IF(circ_int,0,eq_c2/2)+2*PI()*(s_0+1*s_r+IF(circ_int,eq_c1/2,0)))/INDEX(lk_legs,2))&lt;(((((2*IF(circ_int,0,eq_c2/2))+(PI()*(s_0+1*s_r+IF(circ_int,eq_c1/2,0))/2))+2*IF(circ_int,0,eq_c1/2))+(PI()*(s_0+1*s_r+IF(circ_int,eq_c1/2,0))/2))+2*IF(circ_int,0,eq_c2/2)),IF(circ_int,0,eq_c2/2)-(((53+0.5)*(4*IF(circ_int,0,eq_c1/2)+4*IF(circ_int,0,eq_c2/2)+2*PI()*(s_0+1*s_r+IF(circ_int,eq_c1/2,0)))/INDEX(lk_legs,2))-((((2*IF(circ_int,0,eq_c2/2))+(PI()*(s_0+1*s_r+IF(circ_int,eq_c1/2,0))/2))+2*IF(circ_int,0,eq_c1/2))+(PI()*(s_0+1*s_r+IF(circ_int,eq_c1/2,0))/2))),IF(((53+0.5)*(4*IF(circ_int,0,eq_c1/2)+4*IF(circ_int,0,eq_c2/2)+2*PI()*(s_0+1*s_r+IF(circ_int,eq_c1/2,0)))/INDEX(lk_legs,2))&lt;((((((2*IF(circ_int,0,eq_c2/2))+(PI()*(s_0+1*s_r+IF(circ_int,eq_c1/2,0))/2))+2*IF(circ_int,0,eq_c1/2))+(PI()*(s_0+1*s_r+IF(circ_int,eq_c1/2,0))/2))+2*IF(circ_int,0,eq_c2/2))+(PI()*(s_0+1*s_r+IF(circ_int,eq_c1/2,0))/2)),-IF(circ_int,0,eq_c2/2)+(s_0+1*s_r+IF(circ_int,eq_c1/2,0))*SIN(PI()+(((53+0.5)*(4*IF(circ_int,0,eq_c1/2)+4*IF(circ_int,0,eq_c2/2)+2*PI()*(s_0+1*s_r+IF(circ_int,eq_c1/2,0)))/INDEX(lk_legs,2))-(((((2*IF(circ_int,0,eq_c2/2))+(PI()*(s_0+1*s_r+IF(circ_int,eq_c1/2,0))/2))+2*IF(circ_int,0,eq_c1/2))+(PI()*(s_0+1*s_r+IF(circ_int,eq_c1/2,0))/2))+2*IF(circ_int,0,eq_c2/2)))/(s_0+1*s_r+IF(circ_int,eq_c1/2,0))),IF(((53+0.5)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(53+0.5)*(4*IF(circ_int,0,eq_c1/2)+4*IF(circ_int,0,eq_c2/2)+2*PI()*(s_0+1*s_r+IF(circ_int,eq_c1/2,0)))/INDEX(lk_legs,2))-(((((((2*IF(circ_int,0,eq_c2/2))+(PI()*(s_0+1*s_r+IF(circ_int,eq_c1/2,0))/2))+2*IF(circ_int,0,eq_c1/2))+(PI()*(s_0+1*s_r+IF(circ_int,eq_c1/2,0))/2))+2*IF(circ_int,0,eq_c2/2))+(PI()*(s_0+1*s_r+IF(circ_int,eq_c1/2,0))/2))+2*IF(circ_int,0,eq_c1/2)))/(s_0+1*s_r+IF(circ_int,eq_c1/2,0)))))))))),NA())</f>
        <v/>
      </c>
      <c r="BL56">
        <f>IF(AND(AND(links_on,3&lt;=n_per),INDEX(lk_kind,3)=1,53&lt;INDEX(lk_legs,3)),g_ox+IF(((53+0.5)*(4*IF(circ_int,0,eq_c1/2)+4*IF(circ_int,0,eq_c2/2)+2*PI()*(s_0+2*s_r+IF(circ_int,eq_c1/2,0)))/INDEX(lk_legs,3))&lt;(2*IF(circ_int,0,eq_c2/2)),IF(circ_int,0,eq_c1/2)+(s_0+2*s_r+IF(circ_int,eq_c1/2,0)),IF(((53+0.5)*(4*IF(circ_int,0,eq_c1/2)+4*IF(circ_int,0,eq_c2/2)+2*PI()*(s_0+2*s_r+IF(circ_int,eq_c1/2,0)))/INDEX(lk_legs,3))&lt;((2*IF(circ_int,0,eq_c2/2))+(PI()*(s_0+2*s_r+IF(circ_int,eq_c1/2,0))/2)),IF(circ_int,0,eq_c1/2)+(s_0+2*s_r+IF(circ_int,eq_c1/2,0))*COS((((53+0.5)*(4*IF(circ_int,0,eq_c1/2)+4*IF(circ_int,0,eq_c2/2)+2*PI()*(s_0+2*s_r+IF(circ_int,eq_c1/2,0)))/INDEX(lk_legs,3))-(2*IF(circ_int,0,eq_c2/2)))/(s_0+2*s_r+IF(circ_int,eq_c1/2,0))),IF(((53+0.5)*(4*IF(circ_int,0,eq_c1/2)+4*IF(circ_int,0,eq_c2/2)+2*PI()*(s_0+2*s_r+IF(circ_int,eq_c1/2,0)))/INDEX(lk_legs,3))&lt;(((2*IF(circ_int,0,eq_c2/2))+(PI()*(s_0+2*s_r+IF(circ_int,eq_c1/2,0))/2))+2*IF(circ_int,0,eq_c1/2)),IF(circ_int,0,eq_c1/2)-(((53+0.5)*(4*IF(circ_int,0,eq_c1/2)+4*IF(circ_int,0,eq_c2/2)+2*PI()*(s_0+2*s_r+IF(circ_int,eq_c1/2,0)))/INDEX(lk_legs,3))-((2*IF(circ_int,0,eq_c2/2))+(PI()*(s_0+2*s_r+IF(circ_int,eq_c1/2,0))/2))),IF(((53+0.5)*(4*IF(circ_int,0,eq_c1/2)+4*IF(circ_int,0,eq_c2/2)+2*PI()*(s_0+2*s_r+IF(circ_int,eq_c1/2,0)))/INDEX(lk_legs,3))&lt;((((2*IF(circ_int,0,eq_c2/2))+(PI()*(s_0+2*s_r+IF(circ_int,eq_c1/2,0))/2))+2*IF(circ_int,0,eq_c1/2))+(PI()*(s_0+2*s_r+IF(circ_int,eq_c1/2,0))/2)),-IF(circ_int,0,eq_c1/2)+(s_0+2*s_r+IF(circ_int,eq_c1/2,0))*COS(PI()/2+(((53+0.5)*(4*IF(circ_int,0,eq_c1/2)+4*IF(circ_int,0,eq_c2/2)+2*PI()*(s_0+2*s_r+IF(circ_int,eq_c1/2,0)))/INDEX(lk_legs,3))-(((2*IF(circ_int,0,eq_c2/2))+(PI()*(s_0+2*s_r+IF(circ_int,eq_c1/2,0))/2))+2*IF(circ_int,0,eq_c1/2)))/(s_0+2*s_r+IF(circ_int,eq_c1/2,0))),IF(((53+0.5)*(4*IF(circ_int,0,eq_c1/2)+4*IF(circ_int,0,eq_c2/2)+2*PI()*(s_0+2*s_r+IF(circ_int,eq_c1/2,0)))/INDEX(lk_legs,3))&lt;(((((2*IF(circ_int,0,eq_c2/2))+(PI()*(s_0+2*s_r+IF(circ_int,eq_c1/2,0))/2))+2*IF(circ_int,0,eq_c1/2))+(PI()*(s_0+2*s_r+IF(circ_int,eq_c1/2,0))/2))+2*IF(circ_int,0,eq_c2/2)),-IF(circ_int,0,eq_c1/2)-(s_0+2*s_r+IF(circ_int,eq_c1/2,0)),IF(((53+0.5)*(4*IF(circ_int,0,eq_c1/2)+4*IF(circ_int,0,eq_c2/2)+2*PI()*(s_0+2*s_r+IF(circ_int,eq_c1/2,0)))/INDEX(lk_legs,3))&lt;((((((2*IF(circ_int,0,eq_c2/2))+(PI()*(s_0+2*s_r+IF(circ_int,eq_c1/2,0))/2))+2*IF(circ_int,0,eq_c1/2))+(PI()*(s_0+2*s_r+IF(circ_int,eq_c1/2,0))/2))+2*IF(circ_int,0,eq_c2/2))+(PI()*(s_0+2*s_r+IF(circ_int,eq_c1/2,0))/2)),-IF(circ_int,0,eq_c1/2)+(s_0+2*s_r+IF(circ_int,eq_c1/2,0))*COS(PI()+(((53+0.5)*(4*IF(circ_int,0,eq_c1/2)+4*IF(circ_int,0,eq_c2/2)+2*PI()*(s_0+2*s_r+IF(circ_int,eq_c1/2,0)))/INDEX(lk_legs,3))-(((((2*IF(circ_int,0,eq_c2/2))+(PI()*(s_0+2*s_r+IF(circ_int,eq_c1/2,0))/2))+2*IF(circ_int,0,eq_c1/2))+(PI()*(s_0+2*s_r+IF(circ_int,eq_c1/2,0))/2))+2*IF(circ_int,0,eq_c2/2)))/(s_0+2*s_r+IF(circ_int,eq_c1/2,0))),IF(((53+0.5)*(4*IF(circ_int,0,eq_c1/2)+4*IF(circ_int,0,eq_c2/2)+2*PI()*(s_0+2*s_r+IF(circ_int,eq_c1/2,0)))/INDEX(lk_legs,3))&lt;(((((((2*IF(circ_int,0,eq_c2/2))+(PI()*(s_0+2*s_r+IF(circ_int,eq_c1/2,0))/2))+2*IF(circ_int,0,eq_c1/2))+(PI()*(s_0+2*s_r+IF(circ_int,eq_c1/2,0))/2))+2*IF(circ_int,0,eq_c2/2))+(PI()*(s_0+2*s_r+IF(circ_int,eq_c1/2,0))/2))+2*IF(circ_int,0,eq_c1/2)),-IF(circ_int,0,eq_c1/2)+(((53+0.5)*(4*IF(circ_int,0,eq_c1/2)+4*IF(circ_int,0,eq_c2/2)+2*PI()*(s_0+2*s_r+IF(circ_int,eq_c1/2,0)))/INDEX(lk_legs,3))-((((((2*IF(circ_int,0,eq_c2/2))+(PI()*(s_0+2*s_r+IF(circ_int,eq_c1/2,0))/2))+2*IF(circ_int,0,eq_c1/2))+(PI()*(s_0+2*s_r+IF(circ_int,eq_c1/2,0))/2))+2*IF(circ_int,0,eq_c2/2))+(PI()*(s_0+2*s_r+IF(circ_int,eq_c1/2,0))/2))),IF(circ_int,0,eq_c1/2)+(s_0+2*s_r+IF(circ_int,eq_c1/2,0))*COS(3*PI()/2+(((53+0.5)*(4*IF(circ_int,0,eq_c1/2)+4*IF(circ_int,0,eq_c2/2)+2*PI()*(s_0+2*s_r+IF(circ_int,eq_c1/2,0)))/INDEX(lk_legs,3))-(((((((2*IF(circ_int,0,eq_c2/2))+(PI()*(s_0+2*s_r+IF(circ_int,eq_c1/2,0))/2))+2*IF(circ_int,0,eq_c1/2))+(PI()*(s_0+2*s_r+IF(circ_int,eq_c1/2,0))/2))+2*IF(circ_int,0,eq_c2/2))+(PI()*(s_0+2*s_r+IF(circ_int,eq_c1/2,0))/2))+2*IF(circ_int,0,eq_c1/2)))/(s_0+2*s_r+IF(circ_int,eq_c1/2,0)))))))))),NA())</f>
        <v/>
      </c>
      <c r="BM56">
        <f>IF(AND(AND(links_on,3&lt;=n_per),INDEX(lk_kind,3)=1,53&lt;INDEX(lk_legs,3)),g_oy+IF(((53+0.5)*(4*IF(circ_int,0,eq_c1/2)+4*IF(circ_int,0,eq_c2/2)+2*PI()*(s_0+2*s_r+IF(circ_int,eq_c1/2,0)))/INDEX(lk_legs,3))&lt;(2*IF(circ_int,0,eq_c2/2)),-IF(circ_int,0,eq_c2/2)+((53+0.5)*(4*IF(circ_int,0,eq_c1/2)+4*IF(circ_int,0,eq_c2/2)+2*PI()*(s_0+2*s_r+IF(circ_int,eq_c1/2,0)))/INDEX(lk_legs,3)),IF(((53+0.5)*(4*IF(circ_int,0,eq_c1/2)+4*IF(circ_int,0,eq_c2/2)+2*PI()*(s_0+2*s_r+IF(circ_int,eq_c1/2,0)))/INDEX(lk_legs,3))&lt;((2*IF(circ_int,0,eq_c2/2))+(PI()*(s_0+2*s_r+IF(circ_int,eq_c1/2,0))/2)),IF(circ_int,0,eq_c2/2)+(s_0+2*s_r+IF(circ_int,eq_c1/2,0))*SIN((((53+0.5)*(4*IF(circ_int,0,eq_c1/2)+4*IF(circ_int,0,eq_c2/2)+2*PI()*(s_0+2*s_r+IF(circ_int,eq_c1/2,0)))/INDEX(lk_legs,3))-(2*IF(circ_int,0,eq_c2/2)))/(s_0+2*s_r+IF(circ_int,eq_c1/2,0))),IF(((53+0.5)*(4*IF(circ_int,0,eq_c1/2)+4*IF(circ_int,0,eq_c2/2)+2*PI()*(s_0+2*s_r+IF(circ_int,eq_c1/2,0)))/INDEX(lk_legs,3))&lt;(((2*IF(circ_int,0,eq_c2/2))+(PI()*(s_0+2*s_r+IF(circ_int,eq_c1/2,0))/2))+2*IF(circ_int,0,eq_c1/2)),IF(circ_int,0,eq_c2/2)+(s_0+2*s_r+IF(circ_int,eq_c1/2,0)),IF(((53+0.5)*(4*IF(circ_int,0,eq_c1/2)+4*IF(circ_int,0,eq_c2/2)+2*PI()*(s_0+2*s_r+IF(circ_int,eq_c1/2,0)))/INDEX(lk_legs,3))&lt;((((2*IF(circ_int,0,eq_c2/2))+(PI()*(s_0+2*s_r+IF(circ_int,eq_c1/2,0))/2))+2*IF(circ_int,0,eq_c1/2))+(PI()*(s_0+2*s_r+IF(circ_int,eq_c1/2,0))/2)),IF(circ_int,0,eq_c2/2)+(s_0+2*s_r+IF(circ_int,eq_c1/2,0))*SIN(PI()/2+(((53+0.5)*(4*IF(circ_int,0,eq_c1/2)+4*IF(circ_int,0,eq_c2/2)+2*PI()*(s_0+2*s_r+IF(circ_int,eq_c1/2,0)))/INDEX(lk_legs,3))-(((2*IF(circ_int,0,eq_c2/2))+(PI()*(s_0+2*s_r+IF(circ_int,eq_c1/2,0))/2))+2*IF(circ_int,0,eq_c1/2)))/(s_0+2*s_r+IF(circ_int,eq_c1/2,0))),IF(((53+0.5)*(4*IF(circ_int,0,eq_c1/2)+4*IF(circ_int,0,eq_c2/2)+2*PI()*(s_0+2*s_r+IF(circ_int,eq_c1/2,0)))/INDEX(lk_legs,3))&lt;(((((2*IF(circ_int,0,eq_c2/2))+(PI()*(s_0+2*s_r+IF(circ_int,eq_c1/2,0))/2))+2*IF(circ_int,0,eq_c1/2))+(PI()*(s_0+2*s_r+IF(circ_int,eq_c1/2,0))/2))+2*IF(circ_int,0,eq_c2/2)),IF(circ_int,0,eq_c2/2)-(((53+0.5)*(4*IF(circ_int,0,eq_c1/2)+4*IF(circ_int,0,eq_c2/2)+2*PI()*(s_0+2*s_r+IF(circ_int,eq_c1/2,0)))/INDEX(lk_legs,3))-((((2*IF(circ_int,0,eq_c2/2))+(PI()*(s_0+2*s_r+IF(circ_int,eq_c1/2,0))/2))+2*IF(circ_int,0,eq_c1/2))+(PI()*(s_0+2*s_r+IF(circ_int,eq_c1/2,0))/2))),IF(((53+0.5)*(4*IF(circ_int,0,eq_c1/2)+4*IF(circ_int,0,eq_c2/2)+2*PI()*(s_0+2*s_r+IF(circ_int,eq_c1/2,0)))/INDEX(lk_legs,3))&lt;((((((2*IF(circ_int,0,eq_c2/2))+(PI()*(s_0+2*s_r+IF(circ_int,eq_c1/2,0))/2))+2*IF(circ_int,0,eq_c1/2))+(PI()*(s_0+2*s_r+IF(circ_int,eq_c1/2,0))/2))+2*IF(circ_int,0,eq_c2/2))+(PI()*(s_0+2*s_r+IF(circ_int,eq_c1/2,0))/2)),-IF(circ_int,0,eq_c2/2)+(s_0+2*s_r+IF(circ_int,eq_c1/2,0))*SIN(PI()+(((53+0.5)*(4*IF(circ_int,0,eq_c1/2)+4*IF(circ_int,0,eq_c2/2)+2*PI()*(s_0+2*s_r+IF(circ_int,eq_c1/2,0)))/INDEX(lk_legs,3))-(((((2*IF(circ_int,0,eq_c2/2))+(PI()*(s_0+2*s_r+IF(circ_int,eq_c1/2,0))/2))+2*IF(circ_int,0,eq_c1/2))+(PI()*(s_0+2*s_r+IF(circ_int,eq_c1/2,0))/2))+2*IF(circ_int,0,eq_c2/2)))/(s_0+2*s_r+IF(circ_int,eq_c1/2,0))),IF(((53+0.5)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(53+0.5)*(4*IF(circ_int,0,eq_c1/2)+4*IF(circ_int,0,eq_c2/2)+2*PI()*(s_0+2*s_r+IF(circ_int,eq_c1/2,0)))/INDEX(lk_legs,3))-(((((((2*IF(circ_int,0,eq_c2/2))+(PI()*(s_0+2*s_r+IF(circ_int,eq_c1/2,0))/2))+2*IF(circ_int,0,eq_c1/2))+(PI()*(s_0+2*s_r+IF(circ_int,eq_c1/2,0))/2))+2*IF(circ_int,0,eq_c2/2))+(PI()*(s_0+2*s_r+IF(circ_int,eq_c1/2,0))/2))+2*IF(circ_int,0,eq_c1/2)))/(s_0+2*s_r+IF(circ_int,eq_c1/2,0)))))))))),NA())</f>
        <v/>
      </c>
      <c r="BR56">
        <f>IF(AND(AND(links_on,4&lt;=n_per),INDEX(lk_kind,4)=1,53&lt;INDEX(lk_legs,4)),g_ox+IF(((53+0.5)*(4*IF(circ_int,0,eq_c1/2)+4*IF(circ_int,0,eq_c2/2)+2*PI()*(s_0+3*s_r+IF(circ_int,eq_c1/2,0)))/INDEX(lk_legs,4))&lt;(2*IF(circ_int,0,eq_c2/2)),IF(circ_int,0,eq_c1/2)+(s_0+3*s_r+IF(circ_int,eq_c1/2,0)),IF(((53+0.5)*(4*IF(circ_int,0,eq_c1/2)+4*IF(circ_int,0,eq_c2/2)+2*PI()*(s_0+3*s_r+IF(circ_int,eq_c1/2,0)))/INDEX(lk_legs,4))&lt;((2*IF(circ_int,0,eq_c2/2))+(PI()*(s_0+3*s_r+IF(circ_int,eq_c1/2,0))/2)),IF(circ_int,0,eq_c1/2)+(s_0+3*s_r+IF(circ_int,eq_c1/2,0))*COS((((53+0.5)*(4*IF(circ_int,0,eq_c1/2)+4*IF(circ_int,0,eq_c2/2)+2*PI()*(s_0+3*s_r+IF(circ_int,eq_c1/2,0)))/INDEX(lk_legs,4))-(2*IF(circ_int,0,eq_c2/2)))/(s_0+3*s_r+IF(circ_int,eq_c1/2,0))),IF(((53+0.5)*(4*IF(circ_int,0,eq_c1/2)+4*IF(circ_int,0,eq_c2/2)+2*PI()*(s_0+3*s_r+IF(circ_int,eq_c1/2,0)))/INDEX(lk_legs,4))&lt;(((2*IF(circ_int,0,eq_c2/2))+(PI()*(s_0+3*s_r+IF(circ_int,eq_c1/2,0))/2))+2*IF(circ_int,0,eq_c1/2)),IF(circ_int,0,eq_c1/2)-(((53+0.5)*(4*IF(circ_int,0,eq_c1/2)+4*IF(circ_int,0,eq_c2/2)+2*PI()*(s_0+3*s_r+IF(circ_int,eq_c1/2,0)))/INDEX(lk_legs,4))-((2*IF(circ_int,0,eq_c2/2))+(PI()*(s_0+3*s_r+IF(circ_int,eq_c1/2,0))/2))),IF(((53+0.5)*(4*IF(circ_int,0,eq_c1/2)+4*IF(circ_int,0,eq_c2/2)+2*PI()*(s_0+3*s_r+IF(circ_int,eq_c1/2,0)))/INDEX(lk_legs,4))&lt;((((2*IF(circ_int,0,eq_c2/2))+(PI()*(s_0+3*s_r+IF(circ_int,eq_c1/2,0))/2))+2*IF(circ_int,0,eq_c1/2))+(PI()*(s_0+3*s_r+IF(circ_int,eq_c1/2,0))/2)),-IF(circ_int,0,eq_c1/2)+(s_0+3*s_r+IF(circ_int,eq_c1/2,0))*COS(PI()/2+(((53+0.5)*(4*IF(circ_int,0,eq_c1/2)+4*IF(circ_int,0,eq_c2/2)+2*PI()*(s_0+3*s_r+IF(circ_int,eq_c1/2,0)))/INDEX(lk_legs,4))-(((2*IF(circ_int,0,eq_c2/2))+(PI()*(s_0+3*s_r+IF(circ_int,eq_c1/2,0))/2))+2*IF(circ_int,0,eq_c1/2)))/(s_0+3*s_r+IF(circ_int,eq_c1/2,0))),IF(((53+0.5)*(4*IF(circ_int,0,eq_c1/2)+4*IF(circ_int,0,eq_c2/2)+2*PI()*(s_0+3*s_r+IF(circ_int,eq_c1/2,0)))/INDEX(lk_legs,4))&lt;(((((2*IF(circ_int,0,eq_c2/2))+(PI()*(s_0+3*s_r+IF(circ_int,eq_c1/2,0))/2))+2*IF(circ_int,0,eq_c1/2))+(PI()*(s_0+3*s_r+IF(circ_int,eq_c1/2,0))/2))+2*IF(circ_int,0,eq_c2/2)),-IF(circ_int,0,eq_c1/2)-(s_0+3*s_r+IF(circ_int,eq_c1/2,0)),IF(((53+0.5)*(4*IF(circ_int,0,eq_c1/2)+4*IF(circ_int,0,eq_c2/2)+2*PI()*(s_0+3*s_r+IF(circ_int,eq_c1/2,0)))/INDEX(lk_legs,4))&lt;((((((2*IF(circ_int,0,eq_c2/2))+(PI()*(s_0+3*s_r+IF(circ_int,eq_c1/2,0))/2))+2*IF(circ_int,0,eq_c1/2))+(PI()*(s_0+3*s_r+IF(circ_int,eq_c1/2,0))/2))+2*IF(circ_int,0,eq_c2/2))+(PI()*(s_0+3*s_r+IF(circ_int,eq_c1/2,0))/2)),-IF(circ_int,0,eq_c1/2)+(s_0+3*s_r+IF(circ_int,eq_c1/2,0))*COS(PI()+(((53+0.5)*(4*IF(circ_int,0,eq_c1/2)+4*IF(circ_int,0,eq_c2/2)+2*PI()*(s_0+3*s_r+IF(circ_int,eq_c1/2,0)))/INDEX(lk_legs,4))-(((((2*IF(circ_int,0,eq_c2/2))+(PI()*(s_0+3*s_r+IF(circ_int,eq_c1/2,0))/2))+2*IF(circ_int,0,eq_c1/2))+(PI()*(s_0+3*s_r+IF(circ_int,eq_c1/2,0))/2))+2*IF(circ_int,0,eq_c2/2)))/(s_0+3*s_r+IF(circ_int,eq_c1/2,0))),IF(((53+0.5)*(4*IF(circ_int,0,eq_c1/2)+4*IF(circ_int,0,eq_c2/2)+2*PI()*(s_0+3*s_r+IF(circ_int,eq_c1/2,0)))/INDEX(lk_legs,4))&lt;(((((((2*IF(circ_int,0,eq_c2/2))+(PI()*(s_0+3*s_r+IF(circ_int,eq_c1/2,0))/2))+2*IF(circ_int,0,eq_c1/2))+(PI()*(s_0+3*s_r+IF(circ_int,eq_c1/2,0))/2))+2*IF(circ_int,0,eq_c2/2))+(PI()*(s_0+3*s_r+IF(circ_int,eq_c1/2,0))/2))+2*IF(circ_int,0,eq_c1/2)),-IF(circ_int,0,eq_c1/2)+(((53+0.5)*(4*IF(circ_int,0,eq_c1/2)+4*IF(circ_int,0,eq_c2/2)+2*PI()*(s_0+3*s_r+IF(circ_int,eq_c1/2,0)))/INDEX(lk_legs,4))-((((((2*IF(circ_int,0,eq_c2/2))+(PI()*(s_0+3*s_r+IF(circ_int,eq_c1/2,0))/2))+2*IF(circ_int,0,eq_c1/2))+(PI()*(s_0+3*s_r+IF(circ_int,eq_c1/2,0))/2))+2*IF(circ_int,0,eq_c2/2))+(PI()*(s_0+3*s_r+IF(circ_int,eq_c1/2,0))/2))),IF(circ_int,0,eq_c1/2)+(s_0+3*s_r+IF(circ_int,eq_c1/2,0))*COS(3*PI()/2+(((53+0.5)*(4*IF(circ_int,0,eq_c1/2)+4*IF(circ_int,0,eq_c2/2)+2*PI()*(s_0+3*s_r+IF(circ_int,eq_c1/2,0)))/INDEX(lk_legs,4))-(((((((2*IF(circ_int,0,eq_c2/2))+(PI()*(s_0+3*s_r+IF(circ_int,eq_c1/2,0))/2))+2*IF(circ_int,0,eq_c1/2))+(PI()*(s_0+3*s_r+IF(circ_int,eq_c1/2,0))/2))+2*IF(circ_int,0,eq_c2/2))+(PI()*(s_0+3*s_r+IF(circ_int,eq_c1/2,0))/2))+2*IF(circ_int,0,eq_c1/2)))/(s_0+3*s_r+IF(circ_int,eq_c1/2,0)))))))))),NA())</f>
        <v/>
      </c>
      <c r="BS56">
        <f>IF(AND(AND(links_on,4&lt;=n_per),INDEX(lk_kind,4)=1,53&lt;INDEX(lk_legs,4)),g_oy+IF(((53+0.5)*(4*IF(circ_int,0,eq_c1/2)+4*IF(circ_int,0,eq_c2/2)+2*PI()*(s_0+3*s_r+IF(circ_int,eq_c1/2,0)))/INDEX(lk_legs,4))&lt;(2*IF(circ_int,0,eq_c2/2)),-IF(circ_int,0,eq_c2/2)+((53+0.5)*(4*IF(circ_int,0,eq_c1/2)+4*IF(circ_int,0,eq_c2/2)+2*PI()*(s_0+3*s_r+IF(circ_int,eq_c1/2,0)))/INDEX(lk_legs,4)),IF(((53+0.5)*(4*IF(circ_int,0,eq_c1/2)+4*IF(circ_int,0,eq_c2/2)+2*PI()*(s_0+3*s_r+IF(circ_int,eq_c1/2,0)))/INDEX(lk_legs,4))&lt;((2*IF(circ_int,0,eq_c2/2))+(PI()*(s_0+3*s_r+IF(circ_int,eq_c1/2,0))/2)),IF(circ_int,0,eq_c2/2)+(s_0+3*s_r+IF(circ_int,eq_c1/2,0))*SIN((((53+0.5)*(4*IF(circ_int,0,eq_c1/2)+4*IF(circ_int,0,eq_c2/2)+2*PI()*(s_0+3*s_r+IF(circ_int,eq_c1/2,0)))/INDEX(lk_legs,4))-(2*IF(circ_int,0,eq_c2/2)))/(s_0+3*s_r+IF(circ_int,eq_c1/2,0))),IF(((53+0.5)*(4*IF(circ_int,0,eq_c1/2)+4*IF(circ_int,0,eq_c2/2)+2*PI()*(s_0+3*s_r+IF(circ_int,eq_c1/2,0)))/INDEX(lk_legs,4))&lt;(((2*IF(circ_int,0,eq_c2/2))+(PI()*(s_0+3*s_r+IF(circ_int,eq_c1/2,0))/2))+2*IF(circ_int,0,eq_c1/2)),IF(circ_int,0,eq_c2/2)+(s_0+3*s_r+IF(circ_int,eq_c1/2,0)),IF(((53+0.5)*(4*IF(circ_int,0,eq_c1/2)+4*IF(circ_int,0,eq_c2/2)+2*PI()*(s_0+3*s_r+IF(circ_int,eq_c1/2,0)))/INDEX(lk_legs,4))&lt;((((2*IF(circ_int,0,eq_c2/2))+(PI()*(s_0+3*s_r+IF(circ_int,eq_c1/2,0))/2))+2*IF(circ_int,0,eq_c1/2))+(PI()*(s_0+3*s_r+IF(circ_int,eq_c1/2,0))/2)),IF(circ_int,0,eq_c2/2)+(s_0+3*s_r+IF(circ_int,eq_c1/2,0))*SIN(PI()/2+(((53+0.5)*(4*IF(circ_int,0,eq_c1/2)+4*IF(circ_int,0,eq_c2/2)+2*PI()*(s_0+3*s_r+IF(circ_int,eq_c1/2,0)))/INDEX(lk_legs,4))-(((2*IF(circ_int,0,eq_c2/2))+(PI()*(s_0+3*s_r+IF(circ_int,eq_c1/2,0))/2))+2*IF(circ_int,0,eq_c1/2)))/(s_0+3*s_r+IF(circ_int,eq_c1/2,0))),IF(((53+0.5)*(4*IF(circ_int,0,eq_c1/2)+4*IF(circ_int,0,eq_c2/2)+2*PI()*(s_0+3*s_r+IF(circ_int,eq_c1/2,0)))/INDEX(lk_legs,4))&lt;(((((2*IF(circ_int,0,eq_c2/2))+(PI()*(s_0+3*s_r+IF(circ_int,eq_c1/2,0))/2))+2*IF(circ_int,0,eq_c1/2))+(PI()*(s_0+3*s_r+IF(circ_int,eq_c1/2,0))/2))+2*IF(circ_int,0,eq_c2/2)),IF(circ_int,0,eq_c2/2)-(((53+0.5)*(4*IF(circ_int,0,eq_c1/2)+4*IF(circ_int,0,eq_c2/2)+2*PI()*(s_0+3*s_r+IF(circ_int,eq_c1/2,0)))/INDEX(lk_legs,4))-((((2*IF(circ_int,0,eq_c2/2))+(PI()*(s_0+3*s_r+IF(circ_int,eq_c1/2,0))/2))+2*IF(circ_int,0,eq_c1/2))+(PI()*(s_0+3*s_r+IF(circ_int,eq_c1/2,0))/2))),IF(((53+0.5)*(4*IF(circ_int,0,eq_c1/2)+4*IF(circ_int,0,eq_c2/2)+2*PI()*(s_0+3*s_r+IF(circ_int,eq_c1/2,0)))/INDEX(lk_legs,4))&lt;((((((2*IF(circ_int,0,eq_c2/2))+(PI()*(s_0+3*s_r+IF(circ_int,eq_c1/2,0))/2))+2*IF(circ_int,0,eq_c1/2))+(PI()*(s_0+3*s_r+IF(circ_int,eq_c1/2,0))/2))+2*IF(circ_int,0,eq_c2/2))+(PI()*(s_0+3*s_r+IF(circ_int,eq_c1/2,0))/2)),-IF(circ_int,0,eq_c2/2)+(s_0+3*s_r+IF(circ_int,eq_c1/2,0))*SIN(PI()+(((53+0.5)*(4*IF(circ_int,0,eq_c1/2)+4*IF(circ_int,0,eq_c2/2)+2*PI()*(s_0+3*s_r+IF(circ_int,eq_c1/2,0)))/INDEX(lk_legs,4))-(((((2*IF(circ_int,0,eq_c2/2))+(PI()*(s_0+3*s_r+IF(circ_int,eq_c1/2,0))/2))+2*IF(circ_int,0,eq_c1/2))+(PI()*(s_0+3*s_r+IF(circ_int,eq_c1/2,0))/2))+2*IF(circ_int,0,eq_c2/2)))/(s_0+3*s_r+IF(circ_int,eq_c1/2,0))),IF(((53+0.5)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(53+0.5)*(4*IF(circ_int,0,eq_c1/2)+4*IF(circ_int,0,eq_c2/2)+2*PI()*(s_0+3*s_r+IF(circ_int,eq_c1/2,0)))/INDEX(lk_legs,4))-(((((((2*IF(circ_int,0,eq_c2/2))+(PI()*(s_0+3*s_r+IF(circ_int,eq_c1/2,0))/2))+2*IF(circ_int,0,eq_c1/2))+(PI()*(s_0+3*s_r+IF(circ_int,eq_c1/2,0))/2))+2*IF(circ_int,0,eq_c2/2))+(PI()*(s_0+3*s_r+IF(circ_int,eq_c1/2,0))/2))+2*IF(circ_int,0,eq_c1/2)))/(s_0+3*s_r+IF(circ_int,eq_c1/2,0)))))))))),NA())</f>
        <v/>
      </c>
      <c r="BX56">
        <f>IF(AND(AND(links_on,5&lt;=n_per),INDEX(lk_kind,5)=1,53&lt;INDEX(lk_legs,5)),g_ox+IF(((53+0.5)*(4*IF(circ_int,0,eq_c1/2)+4*IF(circ_int,0,eq_c2/2)+2*PI()*(s_0+4*s_r+IF(circ_int,eq_c1/2,0)))/INDEX(lk_legs,5))&lt;(2*IF(circ_int,0,eq_c2/2)),IF(circ_int,0,eq_c1/2)+(s_0+4*s_r+IF(circ_int,eq_c1/2,0)),IF(((53+0.5)*(4*IF(circ_int,0,eq_c1/2)+4*IF(circ_int,0,eq_c2/2)+2*PI()*(s_0+4*s_r+IF(circ_int,eq_c1/2,0)))/INDEX(lk_legs,5))&lt;((2*IF(circ_int,0,eq_c2/2))+(PI()*(s_0+4*s_r+IF(circ_int,eq_c1/2,0))/2)),IF(circ_int,0,eq_c1/2)+(s_0+4*s_r+IF(circ_int,eq_c1/2,0))*COS((((53+0.5)*(4*IF(circ_int,0,eq_c1/2)+4*IF(circ_int,0,eq_c2/2)+2*PI()*(s_0+4*s_r+IF(circ_int,eq_c1/2,0)))/INDEX(lk_legs,5))-(2*IF(circ_int,0,eq_c2/2)))/(s_0+4*s_r+IF(circ_int,eq_c1/2,0))),IF(((53+0.5)*(4*IF(circ_int,0,eq_c1/2)+4*IF(circ_int,0,eq_c2/2)+2*PI()*(s_0+4*s_r+IF(circ_int,eq_c1/2,0)))/INDEX(lk_legs,5))&lt;(((2*IF(circ_int,0,eq_c2/2))+(PI()*(s_0+4*s_r+IF(circ_int,eq_c1/2,0))/2))+2*IF(circ_int,0,eq_c1/2)),IF(circ_int,0,eq_c1/2)-(((53+0.5)*(4*IF(circ_int,0,eq_c1/2)+4*IF(circ_int,0,eq_c2/2)+2*PI()*(s_0+4*s_r+IF(circ_int,eq_c1/2,0)))/INDEX(lk_legs,5))-((2*IF(circ_int,0,eq_c2/2))+(PI()*(s_0+4*s_r+IF(circ_int,eq_c1/2,0))/2))),IF(((53+0.5)*(4*IF(circ_int,0,eq_c1/2)+4*IF(circ_int,0,eq_c2/2)+2*PI()*(s_0+4*s_r+IF(circ_int,eq_c1/2,0)))/INDEX(lk_legs,5))&lt;((((2*IF(circ_int,0,eq_c2/2))+(PI()*(s_0+4*s_r+IF(circ_int,eq_c1/2,0))/2))+2*IF(circ_int,0,eq_c1/2))+(PI()*(s_0+4*s_r+IF(circ_int,eq_c1/2,0))/2)),-IF(circ_int,0,eq_c1/2)+(s_0+4*s_r+IF(circ_int,eq_c1/2,0))*COS(PI()/2+(((53+0.5)*(4*IF(circ_int,0,eq_c1/2)+4*IF(circ_int,0,eq_c2/2)+2*PI()*(s_0+4*s_r+IF(circ_int,eq_c1/2,0)))/INDEX(lk_legs,5))-(((2*IF(circ_int,0,eq_c2/2))+(PI()*(s_0+4*s_r+IF(circ_int,eq_c1/2,0))/2))+2*IF(circ_int,0,eq_c1/2)))/(s_0+4*s_r+IF(circ_int,eq_c1/2,0))),IF(((53+0.5)*(4*IF(circ_int,0,eq_c1/2)+4*IF(circ_int,0,eq_c2/2)+2*PI()*(s_0+4*s_r+IF(circ_int,eq_c1/2,0)))/INDEX(lk_legs,5))&lt;(((((2*IF(circ_int,0,eq_c2/2))+(PI()*(s_0+4*s_r+IF(circ_int,eq_c1/2,0))/2))+2*IF(circ_int,0,eq_c1/2))+(PI()*(s_0+4*s_r+IF(circ_int,eq_c1/2,0))/2))+2*IF(circ_int,0,eq_c2/2)),-IF(circ_int,0,eq_c1/2)-(s_0+4*s_r+IF(circ_int,eq_c1/2,0)),IF(((53+0.5)*(4*IF(circ_int,0,eq_c1/2)+4*IF(circ_int,0,eq_c2/2)+2*PI()*(s_0+4*s_r+IF(circ_int,eq_c1/2,0)))/INDEX(lk_legs,5))&lt;((((((2*IF(circ_int,0,eq_c2/2))+(PI()*(s_0+4*s_r+IF(circ_int,eq_c1/2,0))/2))+2*IF(circ_int,0,eq_c1/2))+(PI()*(s_0+4*s_r+IF(circ_int,eq_c1/2,0))/2))+2*IF(circ_int,0,eq_c2/2))+(PI()*(s_0+4*s_r+IF(circ_int,eq_c1/2,0))/2)),-IF(circ_int,0,eq_c1/2)+(s_0+4*s_r+IF(circ_int,eq_c1/2,0))*COS(PI()+(((53+0.5)*(4*IF(circ_int,0,eq_c1/2)+4*IF(circ_int,0,eq_c2/2)+2*PI()*(s_0+4*s_r+IF(circ_int,eq_c1/2,0)))/INDEX(lk_legs,5))-(((((2*IF(circ_int,0,eq_c2/2))+(PI()*(s_0+4*s_r+IF(circ_int,eq_c1/2,0))/2))+2*IF(circ_int,0,eq_c1/2))+(PI()*(s_0+4*s_r+IF(circ_int,eq_c1/2,0))/2))+2*IF(circ_int,0,eq_c2/2)))/(s_0+4*s_r+IF(circ_int,eq_c1/2,0))),IF(((53+0.5)*(4*IF(circ_int,0,eq_c1/2)+4*IF(circ_int,0,eq_c2/2)+2*PI()*(s_0+4*s_r+IF(circ_int,eq_c1/2,0)))/INDEX(lk_legs,5))&lt;(((((((2*IF(circ_int,0,eq_c2/2))+(PI()*(s_0+4*s_r+IF(circ_int,eq_c1/2,0))/2))+2*IF(circ_int,0,eq_c1/2))+(PI()*(s_0+4*s_r+IF(circ_int,eq_c1/2,0))/2))+2*IF(circ_int,0,eq_c2/2))+(PI()*(s_0+4*s_r+IF(circ_int,eq_c1/2,0))/2))+2*IF(circ_int,0,eq_c1/2)),-IF(circ_int,0,eq_c1/2)+(((53+0.5)*(4*IF(circ_int,0,eq_c1/2)+4*IF(circ_int,0,eq_c2/2)+2*PI()*(s_0+4*s_r+IF(circ_int,eq_c1/2,0)))/INDEX(lk_legs,5))-((((((2*IF(circ_int,0,eq_c2/2))+(PI()*(s_0+4*s_r+IF(circ_int,eq_c1/2,0))/2))+2*IF(circ_int,0,eq_c1/2))+(PI()*(s_0+4*s_r+IF(circ_int,eq_c1/2,0))/2))+2*IF(circ_int,0,eq_c2/2))+(PI()*(s_0+4*s_r+IF(circ_int,eq_c1/2,0))/2))),IF(circ_int,0,eq_c1/2)+(s_0+4*s_r+IF(circ_int,eq_c1/2,0))*COS(3*PI()/2+(((53+0.5)*(4*IF(circ_int,0,eq_c1/2)+4*IF(circ_int,0,eq_c2/2)+2*PI()*(s_0+4*s_r+IF(circ_int,eq_c1/2,0)))/INDEX(lk_legs,5))-(((((((2*IF(circ_int,0,eq_c2/2))+(PI()*(s_0+4*s_r+IF(circ_int,eq_c1/2,0))/2))+2*IF(circ_int,0,eq_c1/2))+(PI()*(s_0+4*s_r+IF(circ_int,eq_c1/2,0))/2))+2*IF(circ_int,0,eq_c2/2))+(PI()*(s_0+4*s_r+IF(circ_int,eq_c1/2,0))/2))+2*IF(circ_int,0,eq_c1/2)))/(s_0+4*s_r+IF(circ_int,eq_c1/2,0)))))))))),NA())</f>
        <v/>
      </c>
      <c r="BY56">
        <f>IF(AND(AND(links_on,5&lt;=n_per),INDEX(lk_kind,5)=1,53&lt;INDEX(lk_legs,5)),g_oy+IF(((53+0.5)*(4*IF(circ_int,0,eq_c1/2)+4*IF(circ_int,0,eq_c2/2)+2*PI()*(s_0+4*s_r+IF(circ_int,eq_c1/2,0)))/INDEX(lk_legs,5))&lt;(2*IF(circ_int,0,eq_c2/2)),-IF(circ_int,0,eq_c2/2)+((53+0.5)*(4*IF(circ_int,0,eq_c1/2)+4*IF(circ_int,0,eq_c2/2)+2*PI()*(s_0+4*s_r+IF(circ_int,eq_c1/2,0)))/INDEX(lk_legs,5)),IF(((53+0.5)*(4*IF(circ_int,0,eq_c1/2)+4*IF(circ_int,0,eq_c2/2)+2*PI()*(s_0+4*s_r+IF(circ_int,eq_c1/2,0)))/INDEX(lk_legs,5))&lt;((2*IF(circ_int,0,eq_c2/2))+(PI()*(s_0+4*s_r+IF(circ_int,eq_c1/2,0))/2)),IF(circ_int,0,eq_c2/2)+(s_0+4*s_r+IF(circ_int,eq_c1/2,0))*SIN((((53+0.5)*(4*IF(circ_int,0,eq_c1/2)+4*IF(circ_int,0,eq_c2/2)+2*PI()*(s_0+4*s_r+IF(circ_int,eq_c1/2,0)))/INDEX(lk_legs,5))-(2*IF(circ_int,0,eq_c2/2)))/(s_0+4*s_r+IF(circ_int,eq_c1/2,0))),IF(((53+0.5)*(4*IF(circ_int,0,eq_c1/2)+4*IF(circ_int,0,eq_c2/2)+2*PI()*(s_0+4*s_r+IF(circ_int,eq_c1/2,0)))/INDEX(lk_legs,5))&lt;(((2*IF(circ_int,0,eq_c2/2))+(PI()*(s_0+4*s_r+IF(circ_int,eq_c1/2,0))/2))+2*IF(circ_int,0,eq_c1/2)),IF(circ_int,0,eq_c2/2)+(s_0+4*s_r+IF(circ_int,eq_c1/2,0)),IF(((53+0.5)*(4*IF(circ_int,0,eq_c1/2)+4*IF(circ_int,0,eq_c2/2)+2*PI()*(s_0+4*s_r+IF(circ_int,eq_c1/2,0)))/INDEX(lk_legs,5))&lt;((((2*IF(circ_int,0,eq_c2/2))+(PI()*(s_0+4*s_r+IF(circ_int,eq_c1/2,0))/2))+2*IF(circ_int,0,eq_c1/2))+(PI()*(s_0+4*s_r+IF(circ_int,eq_c1/2,0))/2)),IF(circ_int,0,eq_c2/2)+(s_0+4*s_r+IF(circ_int,eq_c1/2,0))*SIN(PI()/2+(((53+0.5)*(4*IF(circ_int,0,eq_c1/2)+4*IF(circ_int,0,eq_c2/2)+2*PI()*(s_0+4*s_r+IF(circ_int,eq_c1/2,0)))/INDEX(lk_legs,5))-(((2*IF(circ_int,0,eq_c2/2))+(PI()*(s_0+4*s_r+IF(circ_int,eq_c1/2,0))/2))+2*IF(circ_int,0,eq_c1/2)))/(s_0+4*s_r+IF(circ_int,eq_c1/2,0))),IF(((53+0.5)*(4*IF(circ_int,0,eq_c1/2)+4*IF(circ_int,0,eq_c2/2)+2*PI()*(s_0+4*s_r+IF(circ_int,eq_c1/2,0)))/INDEX(lk_legs,5))&lt;(((((2*IF(circ_int,0,eq_c2/2))+(PI()*(s_0+4*s_r+IF(circ_int,eq_c1/2,0))/2))+2*IF(circ_int,0,eq_c1/2))+(PI()*(s_0+4*s_r+IF(circ_int,eq_c1/2,0))/2))+2*IF(circ_int,0,eq_c2/2)),IF(circ_int,0,eq_c2/2)-(((53+0.5)*(4*IF(circ_int,0,eq_c1/2)+4*IF(circ_int,0,eq_c2/2)+2*PI()*(s_0+4*s_r+IF(circ_int,eq_c1/2,0)))/INDEX(lk_legs,5))-((((2*IF(circ_int,0,eq_c2/2))+(PI()*(s_0+4*s_r+IF(circ_int,eq_c1/2,0))/2))+2*IF(circ_int,0,eq_c1/2))+(PI()*(s_0+4*s_r+IF(circ_int,eq_c1/2,0))/2))),IF(((53+0.5)*(4*IF(circ_int,0,eq_c1/2)+4*IF(circ_int,0,eq_c2/2)+2*PI()*(s_0+4*s_r+IF(circ_int,eq_c1/2,0)))/INDEX(lk_legs,5))&lt;((((((2*IF(circ_int,0,eq_c2/2))+(PI()*(s_0+4*s_r+IF(circ_int,eq_c1/2,0))/2))+2*IF(circ_int,0,eq_c1/2))+(PI()*(s_0+4*s_r+IF(circ_int,eq_c1/2,0))/2))+2*IF(circ_int,0,eq_c2/2))+(PI()*(s_0+4*s_r+IF(circ_int,eq_c1/2,0))/2)),-IF(circ_int,0,eq_c2/2)+(s_0+4*s_r+IF(circ_int,eq_c1/2,0))*SIN(PI()+(((53+0.5)*(4*IF(circ_int,0,eq_c1/2)+4*IF(circ_int,0,eq_c2/2)+2*PI()*(s_0+4*s_r+IF(circ_int,eq_c1/2,0)))/INDEX(lk_legs,5))-(((((2*IF(circ_int,0,eq_c2/2))+(PI()*(s_0+4*s_r+IF(circ_int,eq_c1/2,0))/2))+2*IF(circ_int,0,eq_c1/2))+(PI()*(s_0+4*s_r+IF(circ_int,eq_c1/2,0))/2))+2*IF(circ_int,0,eq_c2/2)))/(s_0+4*s_r+IF(circ_int,eq_c1/2,0))),IF(((53+0.5)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(53+0.5)*(4*IF(circ_int,0,eq_c1/2)+4*IF(circ_int,0,eq_c2/2)+2*PI()*(s_0+4*s_r+IF(circ_int,eq_c1/2,0)))/INDEX(lk_legs,5))-(((((((2*IF(circ_int,0,eq_c2/2))+(PI()*(s_0+4*s_r+IF(circ_int,eq_c1/2,0))/2))+2*IF(circ_int,0,eq_c1/2))+(PI()*(s_0+4*s_r+IF(circ_int,eq_c1/2,0))/2))+2*IF(circ_int,0,eq_c2/2))+(PI()*(s_0+4*s_r+IF(circ_int,eq_c1/2,0))/2))+2*IF(circ_int,0,eq_c1/2)))/(s_0+4*s_r+IF(circ_int,eq_c1/2,0)))))))))),NA())</f>
        <v/>
      </c>
      <c r="CD56">
        <f>IF(AND(AND(links_on,6&lt;=n_per),INDEX(lk_kind,6)=1,53&lt;INDEX(lk_legs,6)),g_ox+IF(((53+0.5)*(4*IF(circ_int,0,eq_c1/2)+4*IF(circ_int,0,eq_c2/2)+2*PI()*(s_0+5*s_r+IF(circ_int,eq_c1/2,0)))/INDEX(lk_legs,6))&lt;(2*IF(circ_int,0,eq_c2/2)),IF(circ_int,0,eq_c1/2)+(s_0+5*s_r+IF(circ_int,eq_c1/2,0)),IF(((53+0.5)*(4*IF(circ_int,0,eq_c1/2)+4*IF(circ_int,0,eq_c2/2)+2*PI()*(s_0+5*s_r+IF(circ_int,eq_c1/2,0)))/INDEX(lk_legs,6))&lt;((2*IF(circ_int,0,eq_c2/2))+(PI()*(s_0+5*s_r+IF(circ_int,eq_c1/2,0))/2)),IF(circ_int,0,eq_c1/2)+(s_0+5*s_r+IF(circ_int,eq_c1/2,0))*COS((((53+0.5)*(4*IF(circ_int,0,eq_c1/2)+4*IF(circ_int,0,eq_c2/2)+2*PI()*(s_0+5*s_r+IF(circ_int,eq_c1/2,0)))/INDEX(lk_legs,6))-(2*IF(circ_int,0,eq_c2/2)))/(s_0+5*s_r+IF(circ_int,eq_c1/2,0))),IF(((53+0.5)*(4*IF(circ_int,0,eq_c1/2)+4*IF(circ_int,0,eq_c2/2)+2*PI()*(s_0+5*s_r+IF(circ_int,eq_c1/2,0)))/INDEX(lk_legs,6))&lt;(((2*IF(circ_int,0,eq_c2/2))+(PI()*(s_0+5*s_r+IF(circ_int,eq_c1/2,0))/2))+2*IF(circ_int,0,eq_c1/2)),IF(circ_int,0,eq_c1/2)-(((53+0.5)*(4*IF(circ_int,0,eq_c1/2)+4*IF(circ_int,0,eq_c2/2)+2*PI()*(s_0+5*s_r+IF(circ_int,eq_c1/2,0)))/INDEX(lk_legs,6))-((2*IF(circ_int,0,eq_c2/2))+(PI()*(s_0+5*s_r+IF(circ_int,eq_c1/2,0))/2))),IF(((53+0.5)*(4*IF(circ_int,0,eq_c1/2)+4*IF(circ_int,0,eq_c2/2)+2*PI()*(s_0+5*s_r+IF(circ_int,eq_c1/2,0)))/INDEX(lk_legs,6))&lt;((((2*IF(circ_int,0,eq_c2/2))+(PI()*(s_0+5*s_r+IF(circ_int,eq_c1/2,0))/2))+2*IF(circ_int,0,eq_c1/2))+(PI()*(s_0+5*s_r+IF(circ_int,eq_c1/2,0))/2)),-IF(circ_int,0,eq_c1/2)+(s_0+5*s_r+IF(circ_int,eq_c1/2,0))*COS(PI()/2+(((53+0.5)*(4*IF(circ_int,0,eq_c1/2)+4*IF(circ_int,0,eq_c2/2)+2*PI()*(s_0+5*s_r+IF(circ_int,eq_c1/2,0)))/INDEX(lk_legs,6))-(((2*IF(circ_int,0,eq_c2/2))+(PI()*(s_0+5*s_r+IF(circ_int,eq_c1/2,0))/2))+2*IF(circ_int,0,eq_c1/2)))/(s_0+5*s_r+IF(circ_int,eq_c1/2,0))),IF(((53+0.5)*(4*IF(circ_int,0,eq_c1/2)+4*IF(circ_int,0,eq_c2/2)+2*PI()*(s_0+5*s_r+IF(circ_int,eq_c1/2,0)))/INDEX(lk_legs,6))&lt;(((((2*IF(circ_int,0,eq_c2/2))+(PI()*(s_0+5*s_r+IF(circ_int,eq_c1/2,0))/2))+2*IF(circ_int,0,eq_c1/2))+(PI()*(s_0+5*s_r+IF(circ_int,eq_c1/2,0))/2))+2*IF(circ_int,0,eq_c2/2)),-IF(circ_int,0,eq_c1/2)-(s_0+5*s_r+IF(circ_int,eq_c1/2,0)),IF(((53+0.5)*(4*IF(circ_int,0,eq_c1/2)+4*IF(circ_int,0,eq_c2/2)+2*PI()*(s_0+5*s_r+IF(circ_int,eq_c1/2,0)))/INDEX(lk_legs,6))&lt;((((((2*IF(circ_int,0,eq_c2/2))+(PI()*(s_0+5*s_r+IF(circ_int,eq_c1/2,0))/2))+2*IF(circ_int,0,eq_c1/2))+(PI()*(s_0+5*s_r+IF(circ_int,eq_c1/2,0))/2))+2*IF(circ_int,0,eq_c2/2))+(PI()*(s_0+5*s_r+IF(circ_int,eq_c1/2,0))/2)),-IF(circ_int,0,eq_c1/2)+(s_0+5*s_r+IF(circ_int,eq_c1/2,0))*COS(PI()+(((53+0.5)*(4*IF(circ_int,0,eq_c1/2)+4*IF(circ_int,0,eq_c2/2)+2*PI()*(s_0+5*s_r+IF(circ_int,eq_c1/2,0)))/INDEX(lk_legs,6))-(((((2*IF(circ_int,0,eq_c2/2))+(PI()*(s_0+5*s_r+IF(circ_int,eq_c1/2,0))/2))+2*IF(circ_int,0,eq_c1/2))+(PI()*(s_0+5*s_r+IF(circ_int,eq_c1/2,0))/2))+2*IF(circ_int,0,eq_c2/2)))/(s_0+5*s_r+IF(circ_int,eq_c1/2,0))),IF(((53+0.5)*(4*IF(circ_int,0,eq_c1/2)+4*IF(circ_int,0,eq_c2/2)+2*PI()*(s_0+5*s_r+IF(circ_int,eq_c1/2,0)))/INDEX(lk_legs,6))&lt;(((((((2*IF(circ_int,0,eq_c2/2))+(PI()*(s_0+5*s_r+IF(circ_int,eq_c1/2,0))/2))+2*IF(circ_int,0,eq_c1/2))+(PI()*(s_0+5*s_r+IF(circ_int,eq_c1/2,0))/2))+2*IF(circ_int,0,eq_c2/2))+(PI()*(s_0+5*s_r+IF(circ_int,eq_c1/2,0))/2))+2*IF(circ_int,0,eq_c1/2)),-IF(circ_int,0,eq_c1/2)+(((53+0.5)*(4*IF(circ_int,0,eq_c1/2)+4*IF(circ_int,0,eq_c2/2)+2*PI()*(s_0+5*s_r+IF(circ_int,eq_c1/2,0)))/INDEX(lk_legs,6))-((((((2*IF(circ_int,0,eq_c2/2))+(PI()*(s_0+5*s_r+IF(circ_int,eq_c1/2,0))/2))+2*IF(circ_int,0,eq_c1/2))+(PI()*(s_0+5*s_r+IF(circ_int,eq_c1/2,0))/2))+2*IF(circ_int,0,eq_c2/2))+(PI()*(s_0+5*s_r+IF(circ_int,eq_c1/2,0))/2))),IF(circ_int,0,eq_c1/2)+(s_0+5*s_r+IF(circ_int,eq_c1/2,0))*COS(3*PI()/2+(((53+0.5)*(4*IF(circ_int,0,eq_c1/2)+4*IF(circ_int,0,eq_c2/2)+2*PI()*(s_0+5*s_r+IF(circ_int,eq_c1/2,0)))/INDEX(lk_legs,6))-(((((((2*IF(circ_int,0,eq_c2/2))+(PI()*(s_0+5*s_r+IF(circ_int,eq_c1/2,0))/2))+2*IF(circ_int,0,eq_c1/2))+(PI()*(s_0+5*s_r+IF(circ_int,eq_c1/2,0))/2))+2*IF(circ_int,0,eq_c2/2))+(PI()*(s_0+5*s_r+IF(circ_int,eq_c1/2,0))/2))+2*IF(circ_int,0,eq_c1/2)))/(s_0+5*s_r+IF(circ_int,eq_c1/2,0)))))))))),NA())</f>
        <v/>
      </c>
      <c r="CE56">
        <f>IF(AND(AND(links_on,6&lt;=n_per),INDEX(lk_kind,6)=1,53&lt;INDEX(lk_legs,6)),g_oy+IF(((53+0.5)*(4*IF(circ_int,0,eq_c1/2)+4*IF(circ_int,0,eq_c2/2)+2*PI()*(s_0+5*s_r+IF(circ_int,eq_c1/2,0)))/INDEX(lk_legs,6))&lt;(2*IF(circ_int,0,eq_c2/2)),-IF(circ_int,0,eq_c2/2)+((53+0.5)*(4*IF(circ_int,0,eq_c1/2)+4*IF(circ_int,0,eq_c2/2)+2*PI()*(s_0+5*s_r+IF(circ_int,eq_c1/2,0)))/INDEX(lk_legs,6)),IF(((53+0.5)*(4*IF(circ_int,0,eq_c1/2)+4*IF(circ_int,0,eq_c2/2)+2*PI()*(s_0+5*s_r+IF(circ_int,eq_c1/2,0)))/INDEX(lk_legs,6))&lt;((2*IF(circ_int,0,eq_c2/2))+(PI()*(s_0+5*s_r+IF(circ_int,eq_c1/2,0))/2)),IF(circ_int,0,eq_c2/2)+(s_0+5*s_r+IF(circ_int,eq_c1/2,0))*SIN((((53+0.5)*(4*IF(circ_int,0,eq_c1/2)+4*IF(circ_int,0,eq_c2/2)+2*PI()*(s_0+5*s_r+IF(circ_int,eq_c1/2,0)))/INDEX(lk_legs,6))-(2*IF(circ_int,0,eq_c2/2)))/(s_0+5*s_r+IF(circ_int,eq_c1/2,0))),IF(((53+0.5)*(4*IF(circ_int,0,eq_c1/2)+4*IF(circ_int,0,eq_c2/2)+2*PI()*(s_0+5*s_r+IF(circ_int,eq_c1/2,0)))/INDEX(lk_legs,6))&lt;(((2*IF(circ_int,0,eq_c2/2))+(PI()*(s_0+5*s_r+IF(circ_int,eq_c1/2,0))/2))+2*IF(circ_int,0,eq_c1/2)),IF(circ_int,0,eq_c2/2)+(s_0+5*s_r+IF(circ_int,eq_c1/2,0)),IF(((53+0.5)*(4*IF(circ_int,0,eq_c1/2)+4*IF(circ_int,0,eq_c2/2)+2*PI()*(s_0+5*s_r+IF(circ_int,eq_c1/2,0)))/INDEX(lk_legs,6))&lt;((((2*IF(circ_int,0,eq_c2/2))+(PI()*(s_0+5*s_r+IF(circ_int,eq_c1/2,0))/2))+2*IF(circ_int,0,eq_c1/2))+(PI()*(s_0+5*s_r+IF(circ_int,eq_c1/2,0))/2)),IF(circ_int,0,eq_c2/2)+(s_0+5*s_r+IF(circ_int,eq_c1/2,0))*SIN(PI()/2+(((53+0.5)*(4*IF(circ_int,0,eq_c1/2)+4*IF(circ_int,0,eq_c2/2)+2*PI()*(s_0+5*s_r+IF(circ_int,eq_c1/2,0)))/INDEX(lk_legs,6))-(((2*IF(circ_int,0,eq_c2/2))+(PI()*(s_0+5*s_r+IF(circ_int,eq_c1/2,0))/2))+2*IF(circ_int,0,eq_c1/2)))/(s_0+5*s_r+IF(circ_int,eq_c1/2,0))),IF(((53+0.5)*(4*IF(circ_int,0,eq_c1/2)+4*IF(circ_int,0,eq_c2/2)+2*PI()*(s_0+5*s_r+IF(circ_int,eq_c1/2,0)))/INDEX(lk_legs,6))&lt;(((((2*IF(circ_int,0,eq_c2/2))+(PI()*(s_0+5*s_r+IF(circ_int,eq_c1/2,0))/2))+2*IF(circ_int,0,eq_c1/2))+(PI()*(s_0+5*s_r+IF(circ_int,eq_c1/2,0))/2))+2*IF(circ_int,0,eq_c2/2)),IF(circ_int,0,eq_c2/2)-(((53+0.5)*(4*IF(circ_int,0,eq_c1/2)+4*IF(circ_int,0,eq_c2/2)+2*PI()*(s_0+5*s_r+IF(circ_int,eq_c1/2,0)))/INDEX(lk_legs,6))-((((2*IF(circ_int,0,eq_c2/2))+(PI()*(s_0+5*s_r+IF(circ_int,eq_c1/2,0))/2))+2*IF(circ_int,0,eq_c1/2))+(PI()*(s_0+5*s_r+IF(circ_int,eq_c1/2,0))/2))),IF(((53+0.5)*(4*IF(circ_int,0,eq_c1/2)+4*IF(circ_int,0,eq_c2/2)+2*PI()*(s_0+5*s_r+IF(circ_int,eq_c1/2,0)))/INDEX(lk_legs,6))&lt;((((((2*IF(circ_int,0,eq_c2/2))+(PI()*(s_0+5*s_r+IF(circ_int,eq_c1/2,0))/2))+2*IF(circ_int,0,eq_c1/2))+(PI()*(s_0+5*s_r+IF(circ_int,eq_c1/2,0))/2))+2*IF(circ_int,0,eq_c2/2))+(PI()*(s_0+5*s_r+IF(circ_int,eq_c1/2,0))/2)),-IF(circ_int,0,eq_c2/2)+(s_0+5*s_r+IF(circ_int,eq_c1/2,0))*SIN(PI()+(((53+0.5)*(4*IF(circ_int,0,eq_c1/2)+4*IF(circ_int,0,eq_c2/2)+2*PI()*(s_0+5*s_r+IF(circ_int,eq_c1/2,0)))/INDEX(lk_legs,6))-(((((2*IF(circ_int,0,eq_c2/2))+(PI()*(s_0+5*s_r+IF(circ_int,eq_c1/2,0))/2))+2*IF(circ_int,0,eq_c1/2))+(PI()*(s_0+5*s_r+IF(circ_int,eq_c1/2,0))/2))+2*IF(circ_int,0,eq_c2/2)))/(s_0+5*s_r+IF(circ_int,eq_c1/2,0))),IF(((53+0.5)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(53+0.5)*(4*IF(circ_int,0,eq_c1/2)+4*IF(circ_int,0,eq_c2/2)+2*PI()*(s_0+5*s_r+IF(circ_int,eq_c1/2,0)))/INDEX(lk_legs,6))-(((((((2*IF(circ_int,0,eq_c2/2))+(PI()*(s_0+5*s_r+IF(circ_int,eq_c1/2,0))/2))+2*IF(circ_int,0,eq_c1/2))+(PI()*(s_0+5*s_r+IF(circ_int,eq_c1/2,0))/2))+2*IF(circ_int,0,eq_c2/2))+(PI()*(s_0+5*s_r+IF(circ_int,eq_c1/2,0))/2))+2*IF(circ_int,0,eq_c1/2)))/(s_0+5*s_r+IF(circ_int,eq_c1/2,0)))))))))),NA())</f>
        <v/>
      </c>
      <c r="CJ56">
        <f>IF(AND(AND(links_on,7&lt;=n_per),INDEX(lk_kind,7)=1,53&lt;INDEX(lk_legs,7)),g_ox+IF(((53+0.5)*(4*IF(circ_int,0,eq_c1/2)+4*IF(circ_int,0,eq_c2/2)+2*PI()*(s_0+6*s_r+IF(circ_int,eq_c1/2,0)))/INDEX(lk_legs,7))&lt;(2*IF(circ_int,0,eq_c2/2)),IF(circ_int,0,eq_c1/2)+(s_0+6*s_r+IF(circ_int,eq_c1/2,0)),IF(((53+0.5)*(4*IF(circ_int,0,eq_c1/2)+4*IF(circ_int,0,eq_c2/2)+2*PI()*(s_0+6*s_r+IF(circ_int,eq_c1/2,0)))/INDEX(lk_legs,7))&lt;((2*IF(circ_int,0,eq_c2/2))+(PI()*(s_0+6*s_r+IF(circ_int,eq_c1/2,0))/2)),IF(circ_int,0,eq_c1/2)+(s_0+6*s_r+IF(circ_int,eq_c1/2,0))*COS((((53+0.5)*(4*IF(circ_int,0,eq_c1/2)+4*IF(circ_int,0,eq_c2/2)+2*PI()*(s_0+6*s_r+IF(circ_int,eq_c1/2,0)))/INDEX(lk_legs,7))-(2*IF(circ_int,0,eq_c2/2)))/(s_0+6*s_r+IF(circ_int,eq_c1/2,0))),IF(((53+0.5)*(4*IF(circ_int,0,eq_c1/2)+4*IF(circ_int,0,eq_c2/2)+2*PI()*(s_0+6*s_r+IF(circ_int,eq_c1/2,0)))/INDEX(lk_legs,7))&lt;(((2*IF(circ_int,0,eq_c2/2))+(PI()*(s_0+6*s_r+IF(circ_int,eq_c1/2,0))/2))+2*IF(circ_int,0,eq_c1/2)),IF(circ_int,0,eq_c1/2)-(((53+0.5)*(4*IF(circ_int,0,eq_c1/2)+4*IF(circ_int,0,eq_c2/2)+2*PI()*(s_0+6*s_r+IF(circ_int,eq_c1/2,0)))/INDEX(lk_legs,7))-((2*IF(circ_int,0,eq_c2/2))+(PI()*(s_0+6*s_r+IF(circ_int,eq_c1/2,0))/2))),IF(((53+0.5)*(4*IF(circ_int,0,eq_c1/2)+4*IF(circ_int,0,eq_c2/2)+2*PI()*(s_0+6*s_r+IF(circ_int,eq_c1/2,0)))/INDEX(lk_legs,7))&lt;((((2*IF(circ_int,0,eq_c2/2))+(PI()*(s_0+6*s_r+IF(circ_int,eq_c1/2,0))/2))+2*IF(circ_int,0,eq_c1/2))+(PI()*(s_0+6*s_r+IF(circ_int,eq_c1/2,0))/2)),-IF(circ_int,0,eq_c1/2)+(s_0+6*s_r+IF(circ_int,eq_c1/2,0))*COS(PI()/2+(((53+0.5)*(4*IF(circ_int,0,eq_c1/2)+4*IF(circ_int,0,eq_c2/2)+2*PI()*(s_0+6*s_r+IF(circ_int,eq_c1/2,0)))/INDEX(lk_legs,7))-(((2*IF(circ_int,0,eq_c2/2))+(PI()*(s_0+6*s_r+IF(circ_int,eq_c1/2,0))/2))+2*IF(circ_int,0,eq_c1/2)))/(s_0+6*s_r+IF(circ_int,eq_c1/2,0))),IF(((53+0.5)*(4*IF(circ_int,0,eq_c1/2)+4*IF(circ_int,0,eq_c2/2)+2*PI()*(s_0+6*s_r+IF(circ_int,eq_c1/2,0)))/INDEX(lk_legs,7))&lt;(((((2*IF(circ_int,0,eq_c2/2))+(PI()*(s_0+6*s_r+IF(circ_int,eq_c1/2,0))/2))+2*IF(circ_int,0,eq_c1/2))+(PI()*(s_0+6*s_r+IF(circ_int,eq_c1/2,0))/2))+2*IF(circ_int,0,eq_c2/2)),-IF(circ_int,0,eq_c1/2)-(s_0+6*s_r+IF(circ_int,eq_c1/2,0)),IF(((53+0.5)*(4*IF(circ_int,0,eq_c1/2)+4*IF(circ_int,0,eq_c2/2)+2*PI()*(s_0+6*s_r+IF(circ_int,eq_c1/2,0)))/INDEX(lk_legs,7))&lt;((((((2*IF(circ_int,0,eq_c2/2))+(PI()*(s_0+6*s_r+IF(circ_int,eq_c1/2,0))/2))+2*IF(circ_int,0,eq_c1/2))+(PI()*(s_0+6*s_r+IF(circ_int,eq_c1/2,0))/2))+2*IF(circ_int,0,eq_c2/2))+(PI()*(s_0+6*s_r+IF(circ_int,eq_c1/2,0))/2)),-IF(circ_int,0,eq_c1/2)+(s_0+6*s_r+IF(circ_int,eq_c1/2,0))*COS(PI()+(((53+0.5)*(4*IF(circ_int,0,eq_c1/2)+4*IF(circ_int,0,eq_c2/2)+2*PI()*(s_0+6*s_r+IF(circ_int,eq_c1/2,0)))/INDEX(lk_legs,7))-(((((2*IF(circ_int,0,eq_c2/2))+(PI()*(s_0+6*s_r+IF(circ_int,eq_c1/2,0))/2))+2*IF(circ_int,0,eq_c1/2))+(PI()*(s_0+6*s_r+IF(circ_int,eq_c1/2,0))/2))+2*IF(circ_int,0,eq_c2/2)))/(s_0+6*s_r+IF(circ_int,eq_c1/2,0))),IF(((53+0.5)*(4*IF(circ_int,0,eq_c1/2)+4*IF(circ_int,0,eq_c2/2)+2*PI()*(s_0+6*s_r+IF(circ_int,eq_c1/2,0)))/INDEX(lk_legs,7))&lt;(((((((2*IF(circ_int,0,eq_c2/2))+(PI()*(s_0+6*s_r+IF(circ_int,eq_c1/2,0))/2))+2*IF(circ_int,0,eq_c1/2))+(PI()*(s_0+6*s_r+IF(circ_int,eq_c1/2,0))/2))+2*IF(circ_int,0,eq_c2/2))+(PI()*(s_0+6*s_r+IF(circ_int,eq_c1/2,0))/2))+2*IF(circ_int,0,eq_c1/2)),-IF(circ_int,0,eq_c1/2)+(((53+0.5)*(4*IF(circ_int,0,eq_c1/2)+4*IF(circ_int,0,eq_c2/2)+2*PI()*(s_0+6*s_r+IF(circ_int,eq_c1/2,0)))/INDEX(lk_legs,7))-((((((2*IF(circ_int,0,eq_c2/2))+(PI()*(s_0+6*s_r+IF(circ_int,eq_c1/2,0))/2))+2*IF(circ_int,0,eq_c1/2))+(PI()*(s_0+6*s_r+IF(circ_int,eq_c1/2,0))/2))+2*IF(circ_int,0,eq_c2/2))+(PI()*(s_0+6*s_r+IF(circ_int,eq_c1/2,0))/2))),IF(circ_int,0,eq_c1/2)+(s_0+6*s_r+IF(circ_int,eq_c1/2,0))*COS(3*PI()/2+(((53+0.5)*(4*IF(circ_int,0,eq_c1/2)+4*IF(circ_int,0,eq_c2/2)+2*PI()*(s_0+6*s_r+IF(circ_int,eq_c1/2,0)))/INDEX(lk_legs,7))-(((((((2*IF(circ_int,0,eq_c2/2))+(PI()*(s_0+6*s_r+IF(circ_int,eq_c1/2,0))/2))+2*IF(circ_int,0,eq_c1/2))+(PI()*(s_0+6*s_r+IF(circ_int,eq_c1/2,0))/2))+2*IF(circ_int,0,eq_c2/2))+(PI()*(s_0+6*s_r+IF(circ_int,eq_c1/2,0))/2))+2*IF(circ_int,0,eq_c1/2)))/(s_0+6*s_r+IF(circ_int,eq_c1/2,0)))))))))),NA())</f>
        <v/>
      </c>
      <c r="CK56">
        <f>IF(AND(AND(links_on,7&lt;=n_per),INDEX(lk_kind,7)=1,53&lt;INDEX(lk_legs,7)),g_oy+IF(((53+0.5)*(4*IF(circ_int,0,eq_c1/2)+4*IF(circ_int,0,eq_c2/2)+2*PI()*(s_0+6*s_r+IF(circ_int,eq_c1/2,0)))/INDEX(lk_legs,7))&lt;(2*IF(circ_int,0,eq_c2/2)),-IF(circ_int,0,eq_c2/2)+((53+0.5)*(4*IF(circ_int,0,eq_c1/2)+4*IF(circ_int,0,eq_c2/2)+2*PI()*(s_0+6*s_r+IF(circ_int,eq_c1/2,0)))/INDEX(lk_legs,7)),IF(((53+0.5)*(4*IF(circ_int,0,eq_c1/2)+4*IF(circ_int,0,eq_c2/2)+2*PI()*(s_0+6*s_r+IF(circ_int,eq_c1/2,0)))/INDEX(lk_legs,7))&lt;((2*IF(circ_int,0,eq_c2/2))+(PI()*(s_0+6*s_r+IF(circ_int,eq_c1/2,0))/2)),IF(circ_int,0,eq_c2/2)+(s_0+6*s_r+IF(circ_int,eq_c1/2,0))*SIN((((53+0.5)*(4*IF(circ_int,0,eq_c1/2)+4*IF(circ_int,0,eq_c2/2)+2*PI()*(s_0+6*s_r+IF(circ_int,eq_c1/2,0)))/INDEX(lk_legs,7))-(2*IF(circ_int,0,eq_c2/2)))/(s_0+6*s_r+IF(circ_int,eq_c1/2,0))),IF(((53+0.5)*(4*IF(circ_int,0,eq_c1/2)+4*IF(circ_int,0,eq_c2/2)+2*PI()*(s_0+6*s_r+IF(circ_int,eq_c1/2,0)))/INDEX(lk_legs,7))&lt;(((2*IF(circ_int,0,eq_c2/2))+(PI()*(s_0+6*s_r+IF(circ_int,eq_c1/2,0))/2))+2*IF(circ_int,0,eq_c1/2)),IF(circ_int,0,eq_c2/2)+(s_0+6*s_r+IF(circ_int,eq_c1/2,0)),IF(((53+0.5)*(4*IF(circ_int,0,eq_c1/2)+4*IF(circ_int,0,eq_c2/2)+2*PI()*(s_0+6*s_r+IF(circ_int,eq_c1/2,0)))/INDEX(lk_legs,7))&lt;((((2*IF(circ_int,0,eq_c2/2))+(PI()*(s_0+6*s_r+IF(circ_int,eq_c1/2,0))/2))+2*IF(circ_int,0,eq_c1/2))+(PI()*(s_0+6*s_r+IF(circ_int,eq_c1/2,0))/2)),IF(circ_int,0,eq_c2/2)+(s_0+6*s_r+IF(circ_int,eq_c1/2,0))*SIN(PI()/2+(((53+0.5)*(4*IF(circ_int,0,eq_c1/2)+4*IF(circ_int,0,eq_c2/2)+2*PI()*(s_0+6*s_r+IF(circ_int,eq_c1/2,0)))/INDEX(lk_legs,7))-(((2*IF(circ_int,0,eq_c2/2))+(PI()*(s_0+6*s_r+IF(circ_int,eq_c1/2,0))/2))+2*IF(circ_int,0,eq_c1/2)))/(s_0+6*s_r+IF(circ_int,eq_c1/2,0))),IF(((53+0.5)*(4*IF(circ_int,0,eq_c1/2)+4*IF(circ_int,0,eq_c2/2)+2*PI()*(s_0+6*s_r+IF(circ_int,eq_c1/2,0)))/INDEX(lk_legs,7))&lt;(((((2*IF(circ_int,0,eq_c2/2))+(PI()*(s_0+6*s_r+IF(circ_int,eq_c1/2,0))/2))+2*IF(circ_int,0,eq_c1/2))+(PI()*(s_0+6*s_r+IF(circ_int,eq_c1/2,0))/2))+2*IF(circ_int,0,eq_c2/2)),IF(circ_int,0,eq_c2/2)-(((53+0.5)*(4*IF(circ_int,0,eq_c1/2)+4*IF(circ_int,0,eq_c2/2)+2*PI()*(s_0+6*s_r+IF(circ_int,eq_c1/2,0)))/INDEX(lk_legs,7))-((((2*IF(circ_int,0,eq_c2/2))+(PI()*(s_0+6*s_r+IF(circ_int,eq_c1/2,0))/2))+2*IF(circ_int,0,eq_c1/2))+(PI()*(s_0+6*s_r+IF(circ_int,eq_c1/2,0))/2))),IF(((53+0.5)*(4*IF(circ_int,0,eq_c1/2)+4*IF(circ_int,0,eq_c2/2)+2*PI()*(s_0+6*s_r+IF(circ_int,eq_c1/2,0)))/INDEX(lk_legs,7))&lt;((((((2*IF(circ_int,0,eq_c2/2))+(PI()*(s_0+6*s_r+IF(circ_int,eq_c1/2,0))/2))+2*IF(circ_int,0,eq_c1/2))+(PI()*(s_0+6*s_r+IF(circ_int,eq_c1/2,0))/2))+2*IF(circ_int,0,eq_c2/2))+(PI()*(s_0+6*s_r+IF(circ_int,eq_c1/2,0))/2)),-IF(circ_int,0,eq_c2/2)+(s_0+6*s_r+IF(circ_int,eq_c1/2,0))*SIN(PI()+(((53+0.5)*(4*IF(circ_int,0,eq_c1/2)+4*IF(circ_int,0,eq_c2/2)+2*PI()*(s_0+6*s_r+IF(circ_int,eq_c1/2,0)))/INDEX(lk_legs,7))-(((((2*IF(circ_int,0,eq_c2/2))+(PI()*(s_0+6*s_r+IF(circ_int,eq_c1/2,0))/2))+2*IF(circ_int,0,eq_c1/2))+(PI()*(s_0+6*s_r+IF(circ_int,eq_c1/2,0))/2))+2*IF(circ_int,0,eq_c2/2)))/(s_0+6*s_r+IF(circ_int,eq_c1/2,0))),IF(((53+0.5)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(53+0.5)*(4*IF(circ_int,0,eq_c1/2)+4*IF(circ_int,0,eq_c2/2)+2*PI()*(s_0+6*s_r+IF(circ_int,eq_c1/2,0)))/INDEX(lk_legs,7))-(((((((2*IF(circ_int,0,eq_c2/2))+(PI()*(s_0+6*s_r+IF(circ_int,eq_c1/2,0))/2))+2*IF(circ_int,0,eq_c1/2))+(PI()*(s_0+6*s_r+IF(circ_int,eq_c1/2,0))/2))+2*IF(circ_int,0,eq_c2/2))+(PI()*(s_0+6*s_r+IF(circ_int,eq_c1/2,0))/2))+2*IF(circ_int,0,eq_c1/2)))/(s_0+6*s_r+IF(circ_int,eq_c1/2,0)))))))))),NA())</f>
        <v/>
      </c>
      <c r="CP56">
        <f>IF(AND(AND(links_on,8&lt;=n_per),INDEX(lk_kind,8)=1,53&lt;INDEX(lk_legs,8)),g_ox+IF(((53+0.5)*(4*IF(circ_int,0,eq_c1/2)+4*IF(circ_int,0,eq_c2/2)+2*PI()*(s_0+7*s_r+IF(circ_int,eq_c1/2,0)))/INDEX(lk_legs,8))&lt;(2*IF(circ_int,0,eq_c2/2)),IF(circ_int,0,eq_c1/2)+(s_0+7*s_r+IF(circ_int,eq_c1/2,0)),IF(((53+0.5)*(4*IF(circ_int,0,eq_c1/2)+4*IF(circ_int,0,eq_c2/2)+2*PI()*(s_0+7*s_r+IF(circ_int,eq_c1/2,0)))/INDEX(lk_legs,8))&lt;((2*IF(circ_int,0,eq_c2/2))+(PI()*(s_0+7*s_r+IF(circ_int,eq_c1/2,0))/2)),IF(circ_int,0,eq_c1/2)+(s_0+7*s_r+IF(circ_int,eq_c1/2,0))*COS((((53+0.5)*(4*IF(circ_int,0,eq_c1/2)+4*IF(circ_int,0,eq_c2/2)+2*PI()*(s_0+7*s_r+IF(circ_int,eq_c1/2,0)))/INDEX(lk_legs,8))-(2*IF(circ_int,0,eq_c2/2)))/(s_0+7*s_r+IF(circ_int,eq_c1/2,0))),IF(((53+0.5)*(4*IF(circ_int,0,eq_c1/2)+4*IF(circ_int,0,eq_c2/2)+2*PI()*(s_0+7*s_r+IF(circ_int,eq_c1/2,0)))/INDEX(lk_legs,8))&lt;(((2*IF(circ_int,0,eq_c2/2))+(PI()*(s_0+7*s_r+IF(circ_int,eq_c1/2,0))/2))+2*IF(circ_int,0,eq_c1/2)),IF(circ_int,0,eq_c1/2)-(((53+0.5)*(4*IF(circ_int,0,eq_c1/2)+4*IF(circ_int,0,eq_c2/2)+2*PI()*(s_0+7*s_r+IF(circ_int,eq_c1/2,0)))/INDEX(lk_legs,8))-((2*IF(circ_int,0,eq_c2/2))+(PI()*(s_0+7*s_r+IF(circ_int,eq_c1/2,0))/2))),IF(((53+0.5)*(4*IF(circ_int,0,eq_c1/2)+4*IF(circ_int,0,eq_c2/2)+2*PI()*(s_0+7*s_r+IF(circ_int,eq_c1/2,0)))/INDEX(lk_legs,8))&lt;((((2*IF(circ_int,0,eq_c2/2))+(PI()*(s_0+7*s_r+IF(circ_int,eq_c1/2,0))/2))+2*IF(circ_int,0,eq_c1/2))+(PI()*(s_0+7*s_r+IF(circ_int,eq_c1/2,0))/2)),-IF(circ_int,0,eq_c1/2)+(s_0+7*s_r+IF(circ_int,eq_c1/2,0))*COS(PI()/2+(((53+0.5)*(4*IF(circ_int,0,eq_c1/2)+4*IF(circ_int,0,eq_c2/2)+2*PI()*(s_0+7*s_r+IF(circ_int,eq_c1/2,0)))/INDEX(lk_legs,8))-(((2*IF(circ_int,0,eq_c2/2))+(PI()*(s_0+7*s_r+IF(circ_int,eq_c1/2,0))/2))+2*IF(circ_int,0,eq_c1/2)))/(s_0+7*s_r+IF(circ_int,eq_c1/2,0))),IF(((53+0.5)*(4*IF(circ_int,0,eq_c1/2)+4*IF(circ_int,0,eq_c2/2)+2*PI()*(s_0+7*s_r+IF(circ_int,eq_c1/2,0)))/INDEX(lk_legs,8))&lt;(((((2*IF(circ_int,0,eq_c2/2))+(PI()*(s_0+7*s_r+IF(circ_int,eq_c1/2,0))/2))+2*IF(circ_int,0,eq_c1/2))+(PI()*(s_0+7*s_r+IF(circ_int,eq_c1/2,0))/2))+2*IF(circ_int,0,eq_c2/2)),-IF(circ_int,0,eq_c1/2)-(s_0+7*s_r+IF(circ_int,eq_c1/2,0)),IF(((53+0.5)*(4*IF(circ_int,0,eq_c1/2)+4*IF(circ_int,0,eq_c2/2)+2*PI()*(s_0+7*s_r+IF(circ_int,eq_c1/2,0)))/INDEX(lk_legs,8))&lt;((((((2*IF(circ_int,0,eq_c2/2))+(PI()*(s_0+7*s_r+IF(circ_int,eq_c1/2,0))/2))+2*IF(circ_int,0,eq_c1/2))+(PI()*(s_0+7*s_r+IF(circ_int,eq_c1/2,0))/2))+2*IF(circ_int,0,eq_c2/2))+(PI()*(s_0+7*s_r+IF(circ_int,eq_c1/2,0))/2)),-IF(circ_int,0,eq_c1/2)+(s_0+7*s_r+IF(circ_int,eq_c1/2,0))*COS(PI()+(((53+0.5)*(4*IF(circ_int,0,eq_c1/2)+4*IF(circ_int,0,eq_c2/2)+2*PI()*(s_0+7*s_r+IF(circ_int,eq_c1/2,0)))/INDEX(lk_legs,8))-(((((2*IF(circ_int,0,eq_c2/2))+(PI()*(s_0+7*s_r+IF(circ_int,eq_c1/2,0))/2))+2*IF(circ_int,0,eq_c1/2))+(PI()*(s_0+7*s_r+IF(circ_int,eq_c1/2,0))/2))+2*IF(circ_int,0,eq_c2/2)))/(s_0+7*s_r+IF(circ_int,eq_c1/2,0))),IF(((53+0.5)*(4*IF(circ_int,0,eq_c1/2)+4*IF(circ_int,0,eq_c2/2)+2*PI()*(s_0+7*s_r+IF(circ_int,eq_c1/2,0)))/INDEX(lk_legs,8))&lt;(((((((2*IF(circ_int,0,eq_c2/2))+(PI()*(s_0+7*s_r+IF(circ_int,eq_c1/2,0))/2))+2*IF(circ_int,0,eq_c1/2))+(PI()*(s_0+7*s_r+IF(circ_int,eq_c1/2,0))/2))+2*IF(circ_int,0,eq_c2/2))+(PI()*(s_0+7*s_r+IF(circ_int,eq_c1/2,0))/2))+2*IF(circ_int,0,eq_c1/2)),-IF(circ_int,0,eq_c1/2)+(((53+0.5)*(4*IF(circ_int,0,eq_c1/2)+4*IF(circ_int,0,eq_c2/2)+2*PI()*(s_0+7*s_r+IF(circ_int,eq_c1/2,0)))/INDEX(lk_legs,8))-((((((2*IF(circ_int,0,eq_c2/2))+(PI()*(s_0+7*s_r+IF(circ_int,eq_c1/2,0))/2))+2*IF(circ_int,0,eq_c1/2))+(PI()*(s_0+7*s_r+IF(circ_int,eq_c1/2,0))/2))+2*IF(circ_int,0,eq_c2/2))+(PI()*(s_0+7*s_r+IF(circ_int,eq_c1/2,0))/2))),IF(circ_int,0,eq_c1/2)+(s_0+7*s_r+IF(circ_int,eq_c1/2,0))*COS(3*PI()/2+(((53+0.5)*(4*IF(circ_int,0,eq_c1/2)+4*IF(circ_int,0,eq_c2/2)+2*PI()*(s_0+7*s_r+IF(circ_int,eq_c1/2,0)))/INDEX(lk_legs,8))-(((((((2*IF(circ_int,0,eq_c2/2))+(PI()*(s_0+7*s_r+IF(circ_int,eq_c1/2,0))/2))+2*IF(circ_int,0,eq_c1/2))+(PI()*(s_0+7*s_r+IF(circ_int,eq_c1/2,0))/2))+2*IF(circ_int,0,eq_c2/2))+(PI()*(s_0+7*s_r+IF(circ_int,eq_c1/2,0))/2))+2*IF(circ_int,0,eq_c1/2)))/(s_0+7*s_r+IF(circ_int,eq_c1/2,0)))))))))),NA())</f>
        <v/>
      </c>
      <c r="CQ56">
        <f>IF(AND(AND(links_on,8&lt;=n_per),INDEX(lk_kind,8)=1,53&lt;INDEX(lk_legs,8)),g_oy+IF(((53+0.5)*(4*IF(circ_int,0,eq_c1/2)+4*IF(circ_int,0,eq_c2/2)+2*PI()*(s_0+7*s_r+IF(circ_int,eq_c1/2,0)))/INDEX(lk_legs,8))&lt;(2*IF(circ_int,0,eq_c2/2)),-IF(circ_int,0,eq_c2/2)+((53+0.5)*(4*IF(circ_int,0,eq_c1/2)+4*IF(circ_int,0,eq_c2/2)+2*PI()*(s_0+7*s_r+IF(circ_int,eq_c1/2,0)))/INDEX(lk_legs,8)),IF(((53+0.5)*(4*IF(circ_int,0,eq_c1/2)+4*IF(circ_int,0,eq_c2/2)+2*PI()*(s_0+7*s_r+IF(circ_int,eq_c1/2,0)))/INDEX(lk_legs,8))&lt;((2*IF(circ_int,0,eq_c2/2))+(PI()*(s_0+7*s_r+IF(circ_int,eq_c1/2,0))/2)),IF(circ_int,0,eq_c2/2)+(s_0+7*s_r+IF(circ_int,eq_c1/2,0))*SIN((((53+0.5)*(4*IF(circ_int,0,eq_c1/2)+4*IF(circ_int,0,eq_c2/2)+2*PI()*(s_0+7*s_r+IF(circ_int,eq_c1/2,0)))/INDEX(lk_legs,8))-(2*IF(circ_int,0,eq_c2/2)))/(s_0+7*s_r+IF(circ_int,eq_c1/2,0))),IF(((53+0.5)*(4*IF(circ_int,0,eq_c1/2)+4*IF(circ_int,0,eq_c2/2)+2*PI()*(s_0+7*s_r+IF(circ_int,eq_c1/2,0)))/INDEX(lk_legs,8))&lt;(((2*IF(circ_int,0,eq_c2/2))+(PI()*(s_0+7*s_r+IF(circ_int,eq_c1/2,0))/2))+2*IF(circ_int,0,eq_c1/2)),IF(circ_int,0,eq_c2/2)+(s_0+7*s_r+IF(circ_int,eq_c1/2,0)),IF(((53+0.5)*(4*IF(circ_int,0,eq_c1/2)+4*IF(circ_int,0,eq_c2/2)+2*PI()*(s_0+7*s_r+IF(circ_int,eq_c1/2,0)))/INDEX(lk_legs,8))&lt;((((2*IF(circ_int,0,eq_c2/2))+(PI()*(s_0+7*s_r+IF(circ_int,eq_c1/2,0))/2))+2*IF(circ_int,0,eq_c1/2))+(PI()*(s_0+7*s_r+IF(circ_int,eq_c1/2,0))/2)),IF(circ_int,0,eq_c2/2)+(s_0+7*s_r+IF(circ_int,eq_c1/2,0))*SIN(PI()/2+(((53+0.5)*(4*IF(circ_int,0,eq_c1/2)+4*IF(circ_int,0,eq_c2/2)+2*PI()*(s_0+7*s_r+IF(circ_int,eq_c1/2,0)))/INDEX(lk_legs,8))-(((2*IF(circ_int,0,eq_c2/2))+(PI()*(s_0+7*s_r+IF(circ_int,eq_c1/2,0))/2))+2*IF(circ_int,0,eq_c1/2)))/(s_0+7*s_r+IF(circ_int,eq_c1/2,0))),IF(((53+0.5)*(4*IF(circ_int,0,eq_c1/2)+4*IF(circ_int,0,eq_c2/2)+2*PI()*(s_0+7*s_r+IF(circ_int,eq_c1/2,0)))/INDEX(lk_legs,8))&lt;(((((2*IF(circ_int,0,eq_c2/2))+(PI()*(s_0+7*s_r+IF(circ_int,eq_c1/2,0))/2))+2*IF(circ_int,0,eq_c1/2))+(PI()*(s_0+7*s_r+IF(circ_int,eq_c1/2,0))/2))+2*IF(circ_int,0,eq_c2/2)),IF(circ_int,0,eq_c2/2)-(((53+0.5)*(4*IF(circ_int,0,eq_c1/2)+4*IF(circ_int,0,eq_c2/2)+2*PI()*(s_0+7*s_r+IF(circ_int,eq_c1/2,0)))/INDEX(lk_legs,8))-((((2*IF(circ_int,0,eq_c2/2))+(PI()*(s_0+7*s_r+IF(circ_int,eq_c1/2,0))/2))+2*IF(circ_int,0,eq_c1/2))+(PI()*(s_0+7*s_r+IF(circ_int,eq_c1/2,0))/2))),IF(((53+0.5)*(4*IF(circ_int,0,eq_c1/2)+4*IF(circ_int,0,eq_c2/2)+2*PI()*(s_0+7*s_r+IF(circ_int,eq_c1/2,0)))/INDEX(lk_legs,8))&lt;((((((2*IF(circ_int,0,eq_c2/2))+(PI()*(s_0+7*s_r+IF(circ_int,eq_c1/2,0))/2))+2*IF(circ_int,0,eq_c1/2))+(PI()*(s_0+7*s_r+IF(circ_int,eq_c1/2,0))/2))+2*IF(circ_int,0,eq_c2/2))+(PI()*(s_0+7*s_r+IF(circ_int,eq_c1/2,0))/2)),-IF(circ_int,0,eq_c2/2)+(s_0+7*s_r+IF(circ_int,eq_c1/2,0))*SIN(PI()+(((53+0.5)*(4*IF(circ_int,0,eq_c1/2)+4*IF(circ_int,0,eq_c2/2)+2*PI()*(s_0+7*s_r+IF(circ_int,eq_c1/2,0)))/INDEX(lk_legs,8))-(((((2*IF(circ_int,0,eq_c2/2))+(PI()*(s_0+7*s_r+IF(circ_int,eq_c1/2,0))/2))+2*IF(circ_int,0,eq_c1/2))+(PI()*(s_0+7*s_r+IF(circ_int,eq_c1/2,0))/2))+2*IF(circ_int,0,eq_c2/2)))/(s_0+7*s_r+IF(circ_int,eq_c1/2,0))),IF(((53+0.5)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(53+0.5)*(4*IF(circ_int,0,eq_c1/2)+4*IF(circ_int,0,eq_c2/2)+2*PI()*(s_0+7*s_r+IF(circ_int,eq_c1/2,0)))/INDEX(lk_legs,8))-(((((((2*IF(circ_int,0,eq_c2/2))+(PI()*(s_0+7*s_r+IF(circ_int,eq_c1/2,0))/2))+2*IF(circ_int,0,eq_c1/2))+(PI()*(s_0+7*s_r+IF(circ_int,eq_c1/2,0))/2))+2*IF(circ_int,0,eq_c2/2))+(PI()*(s_0+7*s_r+IF(circ_int,eq_c1/2,0))/2))+2*IF(circ_int,0,eq_c1/2)))/(s_0+7*s_r+IF(circ_int,eq_c1/2,0)))))))))),NA())</f>
        <v/>
      </c>
      <c r="CV56">
        <f>IF(AND(AND(links_on,9&lt;=n_per),INDEX(lk_kind,9)=1,53&lt;INDEX(lk_legs,9)),g_ox+IF(((53+0.5)*(4*IF(circ_int,0,eq_c1/2)+4*IF(circ_int,0,eq_c2/2)+2*PI()*(s_0+8*s_r+IF(circ_int,eq_c1/2,0)))/INDEX(lk_legs,9))&lt;(2*IF(circ_int,0,eq_c2/2)),IF(circ_int,0,eq_c1/2)+(s_0+8*s_r+IF(circ_int,eq_c1/2,0)),IF(((53+0.5)*(4*IF(circ_int,0,eq_c1/2)+4*IF(circ_int,0,eq_c2/2)+2*PI()*(s_0+8*s_r+IF(circ_int,eq_c1/2,0)))/INDEX(lk_legs,9))&lt;((2*IF(circ_int,0,eq_c2/2))+(PI()*(s_0+8*s_r+IF(circ_int,eq_c1/2,0))/2)),IF(circ_int,0,eq_c1/2)+(s_0+8*s_r+IF(circ_int,eq_c1/2,0))*COS((((53+0.5)*(4*IF(circ_int,0,eq_c1/2)+4*IF(circ_int,0,eq_c2/2)+2*PI()*(s_0+8*s_r+IF(circ_int,eq_c1/2,0)))/INDEX(lk_legs,9))-(2*IF(circ_int,0,eq_c2/2)))/(s_0+8*s_r+IF(circ_int,eq_c1/2,0))),IF(((53+0.5)*(4*IF(circ_int,0,eq_c1/2)+4*IF(circ_int,0,eq_c2/2)+2*PI()*(s_0+8*s_r+IF(circ_int,eq_c1/2,0)))/INDEX(lk_legs,9))&lt;(((2*IF(circ_int,0,eq_c2/2))+(PI()*(s_0+8*s_r+IF(circ_int,eq_c1/2,0))/2))+2*IF(circ_int,0,eq_c1/2)),IF(circ_int,0,eq_c1/2)-(((53+0.5)*(4*IF(circ_int,0,eq_c1/2)+4*IF(circ_int,0,eq_c2/2)+2*PI()*(s_0+8*s_r+IF(circ_int,eq_c1/2,0)))/INDEX(lk_legs,9))-((2*IF(circ_int,0,eq_c2/2))+(PI()*(s_0+8*s_r+IF(circ_int,eq_c1/2,0))/2))),IF(((53+0.5)*(4*IF(circ_int,0,eq_c1/2)+4*IF(circ_int,0,eq_c2/2)+2*PI()*(s_0+8*s_r+IF(circ_int,eq_c1/2,0)))/INDEX(lk_legs,9))&lt;((((2*IF(circ_int,0,eq_c2/2))+(PI()*(s_0+8*s_r+IF(circ_int,eq_c1/2,0))/2))+2*IF(circ_int,0,eq_c1/2))+(PI()*(s_0+8*s_r+IF(circ_int,eq_c1/2,0))/2)),-IF(circ_int,0,eq_c1/2)+(s_0+8*s_r+IF(circ_int,eq_c1/2,0))*COS(PI()/2+(((53+0.5)*(4*IF(circ_int,0,eq_c1/2)+4*IF(circ_int,0,eq_c2/2)+2*PI()*(s_0+8*s_r+IF(circ_int,eq_c1/2,0)))/INDEX(lk_legs,9))-(((2*IF(circ_int,0,eq_c2/2))+(PI()*(s_0+8*s_r+IF(circ_int,eq_c1/2,0))/2))+2*IF(circ_int,0,eq_c1/2)))/(s_0+8*s_r+IF(circ_int,eq_c1/2,0))),IF(((53+0.5)*(4*IF(circ_int,0,eq_c1/2)+4*IF(circ_int,0,eq_c2/2)+2*PI()*(s_0+8*s_r+IF(circ_int,eq_c1/2,0)))/INDEX(lk_legs,9))&lt;(((((2*IF(circ_int,0,eq_c2/2))+(PI()*(s_0+8*s_r+IF(circ_int,eq_c1/2,0))/2))+2*IF(circ_int,0,eq_c1/2))+(PI()*(s_0+8*s_r+IF(circ_int,eq_c1/2,0))/2))+2*IF(circ_int,0,eq_c2/2)),-IF(circ_int,0,eq_c1/2)-(s_0+8*s_r+IF(circ_int,eq_c1/2,0)),IF(((53+0.5)*(4*IF(circ_int,0,eq_c1/2)+4*IF(circ_int,0,eq_c2/2)+2*PI()*(s_0+8*s_r+IF(circ_int,eq_c1/2,0)))/INDEX(lk_legs,9))&lt;((((((2*IF(circ_int,0,eq_c2/2))+(PI()*(s_0+8*s_r+IF(circ_int,eq_c1/2,0))/2))+2*IF(circ_int,0,eq_c1/2))+(PI()*(s_0+8*s_r+IF(circ_int,eq_c1/2,0))/2))+2*IF(circ_int,0,eq_c2/2))+(PI()*(s_0+8*s_r+IF(circ_int,eq_c1/2,0))/2)),-IF(circ_int,0,eq_c1/2)+(s_0+8*s_r+IF(circ_int,eq_c1/2,0))*COS(PI()+(((53+0.5)*(4*IF(circ_int,0,eq_c1/2)+4*IF(circ_int,0,eq_c2/2)+2*PI()*(s_0+8*s_r+IF(circ_int,eq_c1/2,0)))/INDEX(lk_legs,9))-(((((2*IF(circ_int,0,eq_c2/2))+(PI()*(s_0+8*s_r+IF(circ_int,eq_c1/2,0))/2))+2*IF(circ_int,0,eq_c1/2))+(PI()*(s_0+8*s_r+IF(circ_int,eq_c1/2,0))/2))+2*IF(circ_int,0,eq_c2/2)))/(s_0+8*s_r+IF(circ_int,eq_c1/2,0))),IF(((53+0.5)*(4*IF(circ_int,0,eq_c1/2)+4*IF(circ_int,0,eq_c2/2)+2*PI()*(s_0+8*s_r+IF(circ_int,eq_c1/2,0)))/INDEX(lk_legs,9))&lt;(((((((2*IF(circ_int,0,eq_c2/2))+(PI()*(s_0+8*s_r+IF(circ_int,eq_c1/2,0))/2))+2*IF(circ_int,0,eq_c1/2))+(PI()*(s_0+8*s_r+IF(circ_int,eq_c1/2,0))/2))+2*IF(circ_int,0,eq_c2/2))+(PI()*(s_0+8*s_r+IF(circ_int,eq_c1/2,0))/2))+2*IF(circ_int,0,eq_c1/2)),-IF(circ_int,0,eq_c1/2)+(((53+0.5)*(4*IF(circ_int,0,eq_c1/2)+4*IF(circ_int,0,eq_c2/2)+2*PI()*(s_0+8*s_r+IF(circ_int,eq_c1/2,0)))/INDEX(lk_legs,9))-((((((2*IF(circ_int,0,eq_c2/2))+(PI()*(s_0+8*s_r+IF(circ_int,eq_c1/2,0))/2))+2*IF(circ_int,0,eq_c1/2))+(PI()*(s_0+8*s_r+IF(circ_int,eq_c1/2,0))/2))+2*IF(circ_int,0,eq_c2/2))+(PI()*(s_0+8*s_r+IF(circ_int,eq_c1/2,0))/2))),IF(circ_int,0,eq_c1/2)+(s_0+8*s_r+IF(circ_int,eq_c1/2,0))*COS(3*PI()/2+(((53+0.5)*(4*IF(circ_int,0,eq_c1/2)+4*IF(circ_int,0,eq_c2/2)+2*PI()*(s_0+8*s_r+IF(circ_int,eq_c1/2,0)))/INDEX(lk_legs,9))-(((((((2*IF(circ_int,0,eq_c2/2))+(PI()*(s_0+8*s_r+IF(circ_int,eq_c1/2,0))/2))+2*IF(circ_int,0,eq_c1/2))+(PI()*(s_0+8*s_r+IF(circ_int,eq_c1/2,0))/2))+2*IF(circ_int,0,eq_c2/2))+(PI()*(s_0+8*s_r+IF(circ_int,eq_c1/2,0))/2))+2*IF(circ_int,0,eq_c1/2)))/(s_0+8*s_r+IF(circ_int,eq_c1/2,0)))))))))),NA())</f>
        <v/>
      </c>
      <c r="CW56">
        <f>IF(AND(AND(links_on,9&lt;=n_per),INDEX(lk_kind,9)=1,53&lt;INDEX(lk_legs,9)),g_oy+IF(((53+0.5)*(4*IF(circ_int,0,eq_c1/2)+4*IF(circ_int,0,eq_c2/2)+2*PI()*(s_0+8*s_r+IF(circ_int,eq_c1/2,0)))/INDEX(lk_legs,9))&lt;(2*IF(circ_int,0,eq_c2/2)),-IF(circ_int,0,eq_c2/2)+((53+0.5)*(4*IF(circ_int,0,eq_c1/2)+4*IF(circ_int,0,eq_c2/2)+2*PI()*(s_0+8*s_r+IF(circ_int,eq_c1/2,0)))/INDEX(lk_legs,9)),IF(((53+0.5)*(4*IF(circ_int,0,eq_c1/2)+4*IF(circ_int,0,eq_c2/2)+2*PI()*(s_0+8*s_r+IF(circ_int,eq_c1/2,0)))/INDEX(lk_legs,9))&lt;((2*IF(circ_int,0,eq_c2/2))+(PI()*(s_0+8*s_r+IF(circ_int,eq_c1/2,0))/2)),IF(circ_int,0,eq_c2/2)+(s_0+8*s_r+IF(circ_int,eq_c1/2,0))*SIN((((53+0.5)*(4*IF(circ_int,0,eq_c1/2)+4*IF(circ_int,0,eq_c2/2)+2*PI()*(s_0+8*s_r+IF(circ_int,eq_c1/2,0)))/INDEX(lk_legs,9))-(2*IF(circ_int,0,eq_c2/2)))/(s_0+8*s_r+IF(circ_int,eq_c1/2,0))),IF(((53+0.5)*(4*IF(circ_int,0,eq_c1/2)+4*IF(circ_int,0,eq_c2/2)+2*PI()*(s_0+8*s_r+IF(circ_int,eq_c1/2,0)))/INDEX(lk_legs,9))&lt;(((2*IF(circ_int,0,eq_c2/2))+(PI()*(s_0+8*s_r+IF(circ_int,eq_c1/2,0))/2))+2*IF(circ_int,0,eq_c1/2)),IF(circ_int,0,eq_c2/2)+(s_0+8*s_r+IF(circ_int,eq_c1/2,0)),IF(((53+0.5)*(4*IF(circ_int,0,eq_c1/2)+4*IF(circ_int,0,eq_c2/2)+2*PI()*(s_0+8*s_r+IF(circ_int,eq_c1/2,0)))/INDEX(lk_legs,9))&lt;((((2*IF(circ_int,0,eq_c2/2))+(PI()*(s_0+8*s_r+IF(circ_int,eq_c1/2,0))/2))+2*IF(circ_int,0,eq_c1/2))+(PI()*(s_0+8*s_r+IF(circ_int,eq_c1/2,0))/2)),IF(circ_int,0,eq_c2/2)+(s_0+8*s_r+IF(circ_int,eq_c1/2,0))*SIN(PI()/2+(((53+0.5)*(4*IF(circ_int,0,eq_c1/2)+4*IF(circ_int,0,eq_c2/2)+2*PI()*(s_0+8*s_r+IF(circ_int,eq_c1/2,0)))/INDEX(lk_legs,9))-(((2*IF(circ_int,0,eq_c2/2))+(PI()*(s_0+8*s_r+IF(circ_int,eq_c1/2,0))/2))+2*IF(circ_int,0,eq_c1/2)))/(s_0+8*s_r+IF(circ_int,eq_c1/2,0))),IF(((53+0.5)*(4*IF(circ_int,0,eq_c1/2)+4*IF(circ_int,0,eq_c2/2)+2*PI()*(s_0+8*s_r+IF(circ_int,eq_c1/2,0)))/INDEX(lk_legs,9))&lt;(((((2*IF(circ_int,0,eq_c2/2))+(PI()*(s_0+8*s_r+IF(circ_int,eq_c1/2,0))/2))+2*IF(circ_int,0,eq_c1/2))+(PI()*(s_0+8*s_r+IF(circ_int,eq_c1/2,0))/2))+2*IF(circ_int,0,eq_c2/2)),IF(circ_int,0,eq_c2/2)-(((53+0.5)*(4*IF(circ_int,0,eq_c1/2)+4*IF(circ_int,0,eq_c2/2)+2*PI()*(s_0+8*s_r+IF(circ_int,eq_c1/2,0)))/INDEX(lk_legs,9))-((((2*IF(circ_int,0,eq_c2/2))+(PI()*(s_0+8*s_r+IF(circ_int,eq_c1/2,0))/2))+2*IF(circ_int,0,eq_c1/2))+(PI()*(s_0+8*s_r+IF(circ_int,eq_c1/2,0))/2))),IF(((53+0.5)*(4*IF(circ_int,0,eq_c1/2)+4*IF(circ_int,0,eq_c2/2)+2*PI()*(s_0+8*s_r+IF(circ_int,eq_c1/2,0)))/INDEX(lk_legs,9))&lt;((((((2*IF(circ_int,0,eq_c2/2))+(PI()*(s_0+8*s_r+IF(circ_int,eq_c1/2,0))/2))+2*IF(circ_int,0,eq_c1/2))+(PI()*(s_0+8*s_r+IF(circ_int,eq_c1/2,0))/2))+2*IF(circ_int,0,eq_c2/2))+(PI()*(s_0+8*s_r+IF(circ_int,eq_c1/2,0))/2)),-IF(circ_int,0,eq_c2/2)+(s_0+8*s_r+IF(circ_int,eq_c1/2,0))*SIN(PI()+(((53+0.5)*(4*IF(circ_int,0,eq_c1/2)+4*IF(circ_int,0,eq_c2/2)+2*PI()*(s_0+8*s_r+IF(circ_int,eq_c1/2,0)))/INDEX(lk_legs,9))-(((((2*IF(circ_int,0,eq_c2/2))+(PI()*(s_0+8*s_r+IF(circ_int,eq_c1/2,0))/2))+2*IF(circ_int,0,eq_c1/2))+(PI()*(s_0+8*s_r+IF(circ_int,eq_c1/2,0))/2))+2*IF(circ_int,0,eq_c2/2)))/(s_0+8*s_r+IF(circ_int,eq_c1/2,0))),IF(((53+0.5)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(53+0.5)*(4*IF(circ_int,0,eq_c1/2)+4*IF(circ_int,0,eq_c2/2)+2*PI()*(s_0+8*s_r+IF(circ_int,eq_c1/2,0)))/INDEX(lk_legs,9))-(((((((2*IF(circ_int,0,eq_c2/2))+(PI()*(s_0+8*s_r+IF(circ_int,eq_c1/2,0))/2))+2*IF(circ_int,0,eq_c1/2))+(PI()*(s_0+8*s_r+IF(circ_int,eq_c1/2,0))/2))+2*IF(circ_int,0,eq_c2/2))+(PI()*(s_0+8*s_r+IF(circ_int,eq_c1/2,0))/2))+2*IF(circ_int,0,eq_c1/2)))/(s_0+8*s_r+IF(circ_int,eq_c1/2,0)))))))))),NA())</f>
        <v/>
      </c>
      <c r="DB56">
        <f>IF(AND(AND(links_on,10&lt;=n_per),INDEX(lk_kind,10)=1,53&lt;INDEX(lk_legs,10)),g_ox+IF(((53+0.5)*(4*IF(circ_int,0,eq_c1/2)+4*IF(circ_int,0,eq_c2/2)+2*PI()*(s_0+9*s_r+IF(circ_int,eq_c1/2,0)))/INDEX(lk_legs,10))&lt;(2*IF(circ_int,0,eq_c2/2)),IF(circ_int,0,eq_c1/2)+(s_0+9*s_r+IF(circ_int,eq_c1/2,0)),IF(((53+0.5)*(4*IF(circ_int,0,eq_c1/2)+4*IF(circ_int,0,eq_c2/2)+2*PI()*(s_0+9*s_r+IF(circ_int,eq_c1/2,0)))/INDEX(lk_legs,10))&lt;((2*IF(circ_int,0,eq_c2/2))+(PI()*(s_0+9*s_r+IF(circ_int,eq_c1/2,0))/2)),IF(circ_int,0,eq_c1/2)+(s_0+9*s_r+IF(circ_int,eq_c1/2,0))*COS((((53+0.5)*(4*IF(circ_int,0,eq_c1/2)+4*IF(circ_int,0,eq_c2/2)+2*PI()*(s_0+9*s_r+IF(circ_int,eq_c1/2,0)))/INDEX(lk_legs,10))-(2*IF(circ_int,0,eq_c2/2)))/(s_0+9*s_r+IF(circ_int,eq_c1/2,0))),IF(((53+0.5)*(4*IF(circ_int,0,eq_c1/2)+4*IF(circ_int,0,eq_c2/2)+2*PI()*(s_0+9*s_r+IF(circ_int,eq_c1/2,0)))/INDEX(lk_legs,10))&lt;(((2*IF(circ_int,0,eq_c2/2))+(PI()*(s_0+9*s_r+IF(circ_int,eq_c1/2,0))/2))+2*IF(circ_int,0,eq_c1/2)),IF(circ_int,0,eq_c1/2)-(((53+0.5)*(4*IF(circ_int,0,eq_c1/2)+4*IF(circ_int,0,eq_c2/2)+2*PI()*(s_0+9*s_r+IF(circ_int,eq_c1/2,0)))/INDEX(lk_legs,10))-((2*IF(circ_int,0,eq_c2/2))+(PI()*(s_0+9*s_r+IF(circ_int,eq_c1/2,0))/2))),IF(((53+0.5)*(4*IF(circ_int,0,eq_c1/2)+4*IF(circ_int,0,eq_c2/2)+2*PI()*(s_0+9*s_r+IF(circ_int,eq_c1/2,0)))/INDEX(lk_legs,10))&lt;((((2*IF(circ_int,0,eq_c2/2))+(PI()*(s_0+9*s_r+IF(circ_int,eq_c1/2,0))/2))+2*IF(circ_int,0,eq_c1/2))+(PI()*(s_0+9*s_r+IF(circ_int,eq_c1/2,0))/2)),-IF(circ_int,0,eq_c1/2)+(s_0+9*s_r+IF(circ_int,eq_c1/2,0))*COS(PI()/2+(((53+0.5)*(4*IF(circ_int,0,eq_c1/2)+4*IF(circ_int,0,eq_c2/2)+2*PI()*(s_0+9*s_r+IF(circ_int,eq_c1/2,0)))/INDEX(lk_legs,10))-(((2*IF(circ_int,0,eq_c2/2))+(PI()*(s_0+9*s_r+IF(circ_int,eq_c1/2,0))/2))+2*IF(circ_int,0,eq_c1/2)))/(s_0+9*s_r+IF(circ_int,eq_c1/2,0))),IF(((53+0.5)*(4*IF(circ_int,0,eq_c1/2)+4*IF(circ_int,0,eq_c2/2)+2*PI()*(s_0+9*s_r+IF(circ_int,eq_c1/2,0)))/INDEX(lk_legs,10))&lt;(((((2*IF(circ_int,0,eq_c2/2))+(PI()*(s_0+9*s_r+IF(circ_int,eq_c1/2,0))/2))+2*IF(circ_int,0,eq_c1/2))+(PI()*(s_0+9*s_r+IF(circ_int,eq_c1/2,0))/2))+2*IF(circ_int,0,eq_c2/2)),-IF(circ_int,0,eq_c1/2)-(s_0+9*s_r+IF(circ_int,eq_c1/2,0)),IF(((53+0.5)*(4*IF(circ_int,0,eq_c1/2)+4*IF(circ_int,0,eq_c2/2)+2*PI()*(s_0+9*s_r+IF(circ_int,eq_c1/2,0)))/INDEX(lk_legs,10))&lt;((((((2*IF(circ_int,0,eq_c2/2))+(PI()*(s_0+9*s_r+IF(circ_int,eq_c1/2,0))/2))+2*IF(circ_int,0,eq_c1/2))+(PI()*(s_0+9*s_r+IF(circ_int,eq_c1/2,0))/2))+2*IF(circ_int,0,eq_c2/2))+(PI()*(s_0+9*s_r+IF(circ_int,eq_c1/2,0))/2)),-IF(circ_int,0,eq_c1/2)+(s_0+9*s_r+IF(circ_int,eq_c1/2,0))*COS(PI()+(((53+0.5)*(4*IF(circ_int,0,eq_c1/2)+4*IF(circ_int,0,eq_c2/2)+2*PI()*(s_0+9*s_r+IF(circ_int,eq_c1/2,0)))/INDEX(lk_legs,10))-(((((2*IF(circ_int,0,eq_c2/2))+(PI()*(s_0+9*s_r+IF(circ_int,eq_c1/2,0))/2))+2*IF(circ_int,0,eq_c1/2))+(PI()*(s_0+9*s_r+IF(circ_int,eq_c1/2,0))/2))+2*IF(circ_int,0,eq_c2/2)))/(s_0+9*s_r+IF(circ_int,eq_c1/2,0))),IF(((53+0.5)*(4*IF(circ_int,0,eq_c1/2)+4*IF(circ_int,0,eq_c2/2)+2*PI()*(s_0+9*s_r+IF(circ_int,eq_c1/2,0)))/INDEX(lk_legs,10))&lt;(((((((2*IF(circ_int,0,eq_c2/2))+(PI()*(s_0+9*s_r+IF(circ_int,eq_c1/2,0))/2))+2*IF(circ_int,0,eq_c1/2))+(PI()*(s_0+9*s_r+IF(circ_int,eq_c1/2,0))/2))+2*IF(circ_int,0,eq_c2/2))+(PI()*(s_0+9*s_r+IF(circ_int,eq_c1/2,0))/2))+2*IF(circ_int,0,eq_c1/2)),-IF(circ_int,0,eq_c1/2)+(((53+0.5)*(4*IF(circ_int,0,eq_c1/2)+4*IF(circ_int,0,eq_c2/2)+2*PI()*(s_0+9*s_r+IF(circ_int,eq_c1/2,0)))/INDEX(lk_legs,10))-((((((2*IF(circ_int,0,eq_c2/2))+(PI()*(s_0+9*s_r+IF(circ_int,eq_c1/2,0))/2))+2*IF(circ_int,0,eq_c1/2))+(PI()*(s_0+9*s_r+IF(circ_int,eq_c1/2,0))/2))+2*IF(circ_int,0,eq_c2/2))+(PI()*(s_0+9*s_r+IF(circ_int,eq_c1/2,0))/2))),IF(circ_int,0,eq_c1/2)+(s_0+9*s_r+IF(circ_int,eq_c1/2,0))*COS(3*PI()/2+(((53+0.5)*(4*IF(circ_int,0,eq_c1/2)+4*IF(circ_int,0,eq_c2/2)+2*PI()*(s_0+9*s_r+IF(circ_int,eq_c1/2,0)))/INDEX(lk_legs,10))-(((((((2*IF(circ_int,0,eq_c2/2))+(PI()*(s_0+9*s_r+IF(circ_int,eq_c1/2,0))/2))+2*IF(circ_int,0,eq_c1/2))+(PI()*(s_0+9*s_r+IF(circ_int,eq_c1/2,0))/2))+2*IF(circ_int,0,eq_c2/2))+(PI()*(s_0+9*s_r+IF(circ_int,eq_c1/2,0))/2))+2*IF(circ_int,0,eq_c1/2)))/(s_0+9*s_r+IF(circ_int,eq_c1/2,0)))))))))),NA())</f>
        <v/>
      </c>
      <c r="DC56">
        <f>IF(AND(AND(links_on,10&lt;=n_per),INDEX(lk_kind,10)=1,53&lt;INDEX(lk_legs,10)),g_oy+IF(((53+0.5)*(4*IF(circ_int,0,eq_c1/2)+4*IF(circ_int,0,eq_c2/2)+2*PI()*(s_0+9*s_r+IF(circ_int,eq_c1/2,0)))/INDEX(lk_legs,10))&lt;(2*IF(circ_int,0,eq_c2/2)),-IF(circ_int,0,eq_c2/2)+((53+0.5)*(4*IF(circ_int,0,eq_c1/2)+4*IF(circ_int,0,eq_c2/2)+2*PI()*(s_0+9*s_r+IF(circ_int,eq_c1/2,0)))/INDEX(lk_legs,10)),IF(((53+0.5)*(4*IF(circ_int,0,eq_c1/2)+4*IF(circ_int,0,eq_c2/2)+2*PI()*(s_0+9*s_r+IF(circ_int,eq_c1/2,0)))/INDEX(lk_legs,10))&lt;((2*IF(circ_int,0,eq_c2/2))+(PI()*(s_0+9*s_r+IF(circ_int,eq_c1/2,0))/2)),IF(circ_int,0,eq_c2/2)+(s_0+9*s_r+IF(circ_int,eq_c1/2,0))*SIN((((53+0.5)*(4*IF(circ_int,0,eq_c1/2)+4*IF(circ_int,0,eq_c2/2)+2*PI()*(s_0+9*s_r+IF(circ_int,eq_c1/2,0)))/INDEX(lk_legs,10))-(2*IF(circ_int,0,eq_c2/2)))/(s_0+9*s_r+IF(circ_int,eq_c1/2,0))),IF(((53+0.5)*(4*IF(circ_int,0,eq_c1/2)+4*IF(circ_int,0,eq_c2/2)+2*PI()*(s_0+9*s_r+IF(circ_int,eq_c1/2,0)))/INDEX(lk_legs,10))&lt;(((2*IF(circ_int,0,eq_c2/2))+(PI()*(s_0+9*s_r+IF(circ_int,eq_c1/2,0))/2))+2*IF(circ_int,0,eq_c1/2)),IF(circ_int,0,eq_c2/2)+(s_0+9*s_r+IF(circ_int,eq_c1/2,0)),IF(((53+0.5)*(4*IF(circ_int,0,eq_c1/2)+4*IF(circ_int,0,eq_c2/2)+2*PI()*(s_0+9*s_r+IF(circ_int,eq_c1/2,0)))/INDEX(lk_legs,10))&lt;((((2*IF(circ_int,0,eq_c2/2))+(PI()*(s_0+9*s_r+IF(circ_int,eq_c1/2,0))/2))+2*IF(circ_int,0,eq_c1/2))+(PI()*(s_0+9*s_r+IF(circ_int,eq_c1/2,0))/2)),IF(circ_int,0,eq_c2/2)+(s_0+9*s_r+IF(circ_int,eq_c1/2,0))*SIN(PI()/2+(((53+0.5)*(4*IF(circ_int,0,eq_c1/2)+4*IF(circ_int,0,eq_c2/2)+2*PI()*(s_0+9*s_r+IF(circ_int,eq_c1/2,0)))/INDEX(lk_legs,10))-(((2*IF(circ_int,0,eq_c2/2))+(PI()*(s_0+9*s_r+IF(circ_int,eq_c1/2,0))/2))+2*IF(circ_int,0,eq_c1/2)))/(s_0+9*s_r+IF(circ_int,eq_c1/2,0))),IF(((53+0.5)*(4*IF(circ_int,0,eq_c1/2)+4*IF(circ_int,0,eq_c2/2)+2*PI()*(s_0+9*s_r+IF(circ_int,eq_c1/2,0)))/INDEX(lk_legs,10))&lt;(((((2*IF(circ_int,0,eq_c2/2))+(PI()*(s_0+9*s_r+IF(circ_int,eq_c1/2,0))/2))+2*IF(circ_int,0,eq_c1/2))+(PI()*(s_0+9*s_r+IF(circ_int,eq_c1/2,0))/2))+2*IF(circ_int,0,eq_c2/2)),IF(circ_int,0,eq_c2/2)-(((53+0.5)*(4*IF(circ_int,0,eq_c1/2)+4*IF(circ_int,0,eq_c2/2)+2*PI()*(s_0+9*s_r+IF(circ_int,eq_c1/2,0)))/INDEX(lk_legs,10))-((((2*IF(circ_int,0,eq_c2/2))+(PI()*(s_0+9*s_r+IF(circ_int,eq_c1/2,0))/2))+2*IF(circ_int,0,eq_c1/2))+(PI()*(s_0+9*s_r+IF(circ_int,eq_c1/2,0))/2))),IF(((53+0.5)*(4*IF(circ_int,0,eq_c1/2)+4*IF(circ_int,0,eq_c2/2)+2*PI()*(s_0+9*s_r+IF(circ_int,eq_c1/2,0)))/INDEX(lk_legs,10))&lt;((((((2*IF(circ_int,0,eq_c2/2))+(PI()*(s_0+9*s_r+IF(circ_int,eq_c1/2,0))/2))+2*IF(circ_int,0,eq_c1/2))+(PI()*(s_0+9*s_r+IF(circ_int,eq_c1/2,0))/2))+2*IF(circ_int,0,eq_c2/2))+(PI()*(s_0+9*s_r+IF(circ_int,eq_c1/2,0))/2)),-IF(circ_int,0,eq_c2/2)+(s_0+9*s_r+IF(circ_int,eq_c1/2,0))*SIN(PI()+(((53+0.5)*(4*IF(circ_int,0,eq_c1/2)+4*IF(circ_int,0,eq_c2/2)+2*PI()*(s_0+9*s_r+IF(circ_int,eq_c1/2,0)))/INDEX(lk_legs,10))-(((((2*IF(circ_int,0,eq_c2/2))+(PI()*(s_0+9*s_r+IF(circ_int,eq_c1/2,0))/2))+2*IF(circ_int,0,eq_c1/2))+(PI()*(s_0+9*s_r+IF(circ_int,eq_c1/2,0))/2))+2*IF(circ_int,0,eq_c2/2)))/(s_0+9*s_r+IF(circ_int,eq_c1/2,0))),IF(((53+0.5)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(53+0.5)*(4*IF(circ_int,0,eq_c1/2)+4*IF(circ_int,0,eq_c2/2)+2*PI()*(s_0+9*s_r+IF(circ_int,eq_c1/2,0)))/INDEX(lk_legs,10))-(((((((2*IF(circ_int,0,eq_c2/2))+(PI()*(s_0+9*s_r+IF(circ_int,eq_c1/2,0))/2))+2*IF(circ_int,0,eq_c1/2))+(PI()*(s_0+9*s_r+IF(circ_int,eq_c1/2,0))/2))+2*IF(circ_int,0,eq_c2/2))+(PI()*(s_0+9*s_r+IF(circ_int,eq_c1/2,0))/2))+2*IF(circ_int,0,eq_c1/2)))/(s_0+9*s_r+IF(circ_int,eq_c1/2,0)))))))))),NA())</f>
        <v/>
      </c>
      <c r="DH56">
        <f>IF(AND(AND(links_on,11&lt;=n_per),INDEX(lk_kind,11)=1,53&lt;INDEX(lk_legs,11)),g_ox+IF(((53+0.5)*(4*IF(circ_int,0,eq_c1/2)+4*IF(circ_int,0,eq_c2/2)+2*PI()*(s_0+10*s_r+IF(circ_int,eq_c1/2,0)))/INDEX(lk_legs,11))&lt;(2*IF(circ_int,0,eq_c2/2)),IF(circ_int,0,eq_c1/2)+(s_0+10*s_r+IF(circ_int,eq_c1/2,0)),IF(((53+0.5)*(4*IF(circ_int,0,eq_c1/2)+4*IF(circ_int,0,eq_c2/2)+2*PI()*(s_0+10*s_r+IF(circ_int,eq_c1/2,0)))/INDEX(lk_legs,11))&lt;((2*IF(circ_int,0,eq_c2/2))+(PI()*(s_0+10*s_r+IF(circ_int,eq_c1/2,0))/2)),IF(circ_int,0,eq_c1/2)+(s_0+10*s_r+IF(circ_int,eq_c1/2,0))*COS((((53+0.5)*(4*IF(circ_int,0,eq_c1/2)+4*IF(circ_int,0,eq_c2/2)+2*PI()*(s_0+10*s_r+IF(circ_int,eq_c1/2,0)))/INDEX(lk_legs,11))-(2*IF(circ_int,0,eq_c2/2)))/(s_0+10*s_r+IF(circ_int,eq_c1/2,0))),IF(((53+0.5)*(4*IF(circ_int,0,eq_c1/2)+4*IF(circ_int,0,eq_c2/2)+2*PI()*(s_0+10*s_r+IF(circ_int,eq_c1/2,0)))/INDEX(lk_legs,11))&lt;(((2*IF(circ_int,0,eq_c2/2))+(PI()*(s_0+10*s_r+IF(circ_int,eq_c1/2,0))/2))+2*IF(circ_int,0,eq_c1/2)),IF(circ_int,0,eq_c1/2)-(((53+0.5)*(4*IF(circ_int,0,eq_c1/2)+4*IF(circ_int,0,eq_c2/2)+2*PI()*(s_0+10*s_r+IF(circ_int,eq_c1/2,0)))/INDEX(lk_legs,11))-((2*IF(circ_int,0,eq_c2/2))+(PI()*(s_0+10*s_r+IF(circ_int,eq_c1/2,0))/2))),IF(((53+0.5)*(4*IF(circ_int,0,eq_c1/2)+4*IF(circ_int,0,eq_c2/2)+2*PI()*(s_0+10*s_r+IF(circ_int,eq_c1/2,0)))/INDEX(lk_legs,11))&lt;((((2*IF(circ_int,0,eq_c2/2))+(PI()*(s_0+10*s_r+IF(circ_int,eq_c1/2,0))/2))+2*IF(circ_int,0,eq_c1/2))+(PI()*(s_0+10*s_r+IF(circ_int,eq_c1/2,0))/2)),-IF(circ_int,0,eq_c1/2)+(s_0+10*s_r+IF(circ_int,eq_c1/2,0))*COS(PI()/2+(((53+0.5)*(4*IF(circ_int,0,eq_c1/2)+4*IF(circ_int,0,eq_c2/2)+2*PI()*(s_0+10*s_r+IF(circ_int,eq_c1/2,0)))/INDEX(lk_legs,11))-(((2*IF(circ_int,0,eq_c2/2))+(PI()*(s_0+10*s_r+IF(circ_int,eq_c1/2,0))/2))+2*IF(circ_int,0,eq_c1/2)))/(s_0+10*s_r+IF(circ_int,eq_c1/2,0))),IF(((53+0.5)*(4*IF(circ_int,0,eq_c1/2)+4*IF(circ_int,0,eq_c2/2)+2*PI()*(s_0+10*s_r+IF(circ_int,eq_c1/2,0)))/INDEX(lk_legs,11))&lt;(((((2*IF(circ_int,0,eq_c2/2))+(PI()*(s_0+10*s_r+IF(circ_int,eq_c1/2,0))/2))+2*IF(circ_int,0,eq_c1/2))+(PI()*(s_0+10*s_r+IF(circ_int,eq_c1/2,0))/2))+2*IF(circ_int,0,eq_c2/2)),-IF(circ_int,0,eq_c1/2)-(s_0+10*s_r+IF(circ_int,eq_c1/2,0)),IF(((53+0.5)*(4*IF(circ_int,0,eq_c1/2)+4*IF(circ_int,0,eq_c2/2)+2*PI()*(s_0+10*s_r+IF(circ_int,eq_c1/2,0)))/INDEX(lk_legs,11))&lt;((((((2*IF(circ_int,0,eq_c2/2))+(PI()*(s_0+10*s_r+IF(circ_int,eq_c1/2,0))/2))+2*IF(circ_int,0,eq_c1/2))+(PI()*(s_0+10*s_r+IF(circ_int,eq_c1/2,0))/2))+2*IF(circ_int,0,eq_c2/2))+(PI()*(s_0+10*s_r+IF(circ_int,eq_c1/2,0))/2)),-IF(circ_int,0,eq_c1/2)+(s_0+10*s_r+IF(circ_int,eq_c1/2,0))*COS(PI()+(((53+0.5)*(4*IF(circ_int,0,eq_c1/2)+4*IF(circ_int,0,eq_c2/2)+2*PI()*(s_0+10*s_r+IF(circ_int,eq_c1/2,0)))/INDEX(lk_legs,11))-(((((2*IF(circ_int,0,eq_c2/2))+(PI()*(s_0+10*s_r+IF(circ_int,eq_c1/2,0))/2))+2*IF(circ_int,0,eq_c1/2))+(PI()*(s_0+10*s_r+IF(circ_int,eq_c1/2,0))/2))+2*IF(circ_int,0,eq_c2/2)))/(s_0+10*s_r+IF(circ_int,eq_c1/2,0))),IF(((53+0.5)*(4*IF(circ_int,0,eq_c1/2)+4*IF(circ_int,0,eq_c2/2)+2*PI()*(s_0+10*s_r+IF(circ_int,eq_c1/2,0)))/INDEX(lk_legs,11))&lt;(((((((2*IF(circ_int,0,eq_c2/2))+(PI()*(s_0+10*s_r+IF(circ_int,eq_c1/2,0))/2))+2*IF(circ_int,0,eq_c1/2))+(PI()*(s_0+10*s_r+IF(circ_int,eq_c1/2,0))/2))+2*IF(circ_int,0,eq_c2/2))+(PI()*(s_0+10*s_r+IF(circ_int,eq_c1/2,0))/2))+2*IF(circ_int,0,eq_c1/2)),-IF(circ_int,0,eq_c1/2)+(((53+0.5)*(4*IF(circ_int,0,eq_c1/2)+4*IF(circ_int,0,eq_c2/2)+2*PI()*(s_0+10*s_r+IF(circ_int,eq_c1/2,0)))/INDEX(lk_legs,11))-((((((2*IF(circ_int,0,eq_c2/2))+(PI()*(s_0+10*s_r+IF(circ_int,eq_c1/2,0))/2))+2*IF(circ_int,0,eq_c1/2))+(PI()*(s_0+10*s_r+IF(circ_int,eq_c1/2,0))/2))+2*IF(circ_int,0,eq_c2/2))+(PI()*(s_0+10*s_r+IF(circ_int,eq_c1/2,0))/2))),IF(circ_int,0,eq_c1/2)+(s_0+10*s_r+IF(circ_int,eq_c1/2,0))*COS(3*PI()/2+(((53+0.5)*(4*IF(circ_int,0,eq_c1/2)+4*IF(circ_int,0,eq_c2/2)+2*PI()*(s_0+10*s_r+IF(circ_int,eq_c1/2,0)))/INDEX(lk_legs,11))-(((((((2*IF(circ_int,0,eq_c2/2))+(PI()*(s_0+10*s_r+IF(circ_int,eq_c1/2,0))/2))+2*IF(circ_int,0,eq_c1/2))+(PI()*(s_0+10*s_r+IF(circ_int,eq_c1/2,0))/2))+2*IF(circ_int,0,eq_c2/2))+(PI()*(s_0+10*s_r+IF(circ_int,eq_c1/2,0))/2))+2*IF(circ_int,0,eq_c1/2)))/(s_0+10*s_r+IF(circ_int,eq_c1/2,0)))))))))),NA())</f>
        <v/>
      </c>
      <c r="DI56">
        <f>IF(AND(AND(links_on,11&lt;=n_per),INDEX(lk_kind,11)=1,53&lt;INDEX(lk_legs,11)),g_oy+IF(((53+0.5)*(4*IF(circ_int,0,eq_c1/2)+4*IF(circ_int,0,eq_c2/2)+2*PI()*(s_0+10*s_r+IF(circ_int,eq_c1/2,0)))/INDEX(lk_legs,11))&lt;(2*IF(circ_int,0,eq_c2/2)),-IF(circ_int,0,eq_c2/2)+((53+0.5)*(4*IF(circ_int,0,eq_c1/2)+4*IF(circ_int,0,eq_c2/2)+2*PI()*(s_0+10*s_r+IF(circ_int,eq_c1/2,0)))/INDEX(lk_legs,11)),IF(((53+0.5)*(4*IF(circ_int,0,eq_c1/2)+4*IF(circ_int,0,eq_c2/2)+2*PI()*(s_0+10*s_r+IF(circ_int,eq_c1/2,0)))/INDEX(lk_legs,11))&lt;((2*IF(circ_int,0,eq_c2/2))+(PI()*(s_0+10*s_r+IF(circ_int,eq_c1/2,0))/2)),IF(circ_int,0,eq_c2/2)+(s_0+10*s_r+IF(circ_int,eq_c1/2,0))*SIN((((53+0.5)*(4*IF(circ_int,0,eq_c1/2)+4*IF(circ_int,0,eq_c2/2)+2*PI()*(s_0+10*s_r+IF(circ_int,eq_c1/2,0)))/INDEX(lk_legs,11))-(2*IF(circ_int,0,eq_c2/2)))/(s_0+10*s_r+IF(circ_int,eq_c1/2,0))),IF(((53+0.5)*(4*IF(circ_int,0,eq_c1/2)+4*IF(circ_int,0,eq_c2/2)+2*PI()*(s_0+10*s_r+IF(circ_int,eq_c1/2,0)))/INDEX(lk_legs,11))&lt;(((2*IF(circ_int,0,eq_c2/2))+(PI()*(s_0+10*s_r+IF(circ_int,eq_c1/2,0))/2))+2*IF(circ_int,0,eq_c1/2)),IF(circ_int,0,eq_c2/2)+(s_0+10*s_r+IF(circ_int,eq_c1/2,0)),IF(((53+0.5)*(4*IF(circ_int,0,eq_c1/2)+4*IF(circ_int,0,eq_c2/2)+2*PI()*(s_0+10*s_r+IF(circ_int,eq_c1/2,0)))/INDEX(lk_legs,11))&lt;((((2*IF(circ_int,0,eq_c2/2))+(PI()*(s_0+10*s_r+IF(circ_int,eq_c1/2,0))/2))+2*IF(circ_int,0,eq_c1/2))+(PI()*(s_0+10*s_r+IF(circ_int,eq_c1/2,0))/2)),IF(circ_int,0,eq_c2/2)+(s_0+10*s_r+IF(circ_int,eq_c1/2,0))*SIN(PI()/2+(((53+0.5)*(4*IF(circ_int,0,eq_c1/2)+4*IF(circ_int,0,eq_c2/2)+2*PI()*(s_0+10*s_r+IF(circ_int,eq_c1/2,0)))/INDEX(lk_legs,11))-(((2*IF(circ_int,0,eq_c2/2))+(PI()*(s_0+10*s_r+IF(circ_int,eq_c1/2,0))/2))+2*IF(circ_int,0,eq_c1/2)))/(s_0+10*s_r+IF(circ_int,eq_c1/2,0))),IF(((53+0.5)*(4*IF(circ_int,0,eq_c1/2)+4*IF(circ_int,0,eq_c2/2)+2*PI()*(s_0+10*s_r+IF(circ_int,eq_c1/2,0)))/INDEX(lk_legs,11))&lt;(((((2*IF(circ_int,0,eq_c2/2))+(PI()*(s_0+10*s_r+IF(circ_int,eq_c1/2,0))/2))+2*IF(circ_int,0,eq_c1/2))+(PI()*(s_0+10*s_r+IF(circ_int,eq_c1/2,0))/2))+2*IF(circ_int,0,eq_c2/2)),IF(circ_int,0,eq_c2/2)-(((53+0.5)*(4*IF(circ_int,0,eq_c1/2)+4*IF(circ_int,0,eq_c2/2)+2*PI()*(s_0+10*s_r+IF(circ_int,eq_c1/2,0)))/INDEX(lk_legs,11))-((((2*IF(circ_int,0,eq_c2/2))+(PI()*(s_0+10*s_r+IF(circ_int,eq_c1/2,0))/2))+2*IF(circ_int,0,eq_c1/2))+(PI()*(s_0+10*s_r+IF(circ_int,eq_c1/2,0))/2))),IF(((53+0.5)*(4*IF(circ_int,0,eq_c1/2)+4*IF(circ_int,0,eq_c2/2)+2*PI()*(s_0+10*s_r+IF(circ_int,eq_c1/2,0)))/INDEX(lk_legs,11))&lt;((((((2*IF(circ_int,0,eq_c2/2))+(PI()*(s_0+10*s_r+IF(circ_int,eq_c1/2,0))/2))+2*IF(circ_int,0,eq_c1/2))+(PI()*(s_0+10*s_r+IF(circ_int,eq_c1/2,0))/2))+2*IF(circ_int,0,eq_c2/2))+(PI()*(s_0+10*s_r+IF(circ_int,eq_c1/2,0))/2)),-IF(circ_int,0,eq_c2/2)+(s_0+10*s_r+IF(circ_int,eq_c1/2,0))*SIN(PI()+(((53+0.5)*(4*IF(circ_int,0,eq_c1/2)+4*IF(circ_int,0,eq_c2/2)+2*PI()*(s_0+10*s_r+IF(circ_int,eq_c1/2,0)))/INDEX(lk_legs,11))-(((((2*IF(circ_int,0,eq_c2/2))+(PI()*(s_0+10*s_r+IF(circ_int,eq_c1/2,0))/2))+2*IF(circ_int,0,eq_c1/2))+(PI()*(s_0+10*s_r+IF(circ_int,eq_c1/2,0))/2))+2*IF(circ_int,0,eq_c2/2)))/(s_0+10*s_r+IF(circ_int,eq_c1/2,0))),IF(((53+0.5)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(53+0.5)*(4*IF(circ_int,0,eq_c1/2)+4*IF(circ_int,0,eq_c2/2)+2*PI()*(s_0+10*s_r+IF(circ_int,eq_c1/2,0)))/INDEX(lk_legs,11))-(((((((2*IF(circ_int,0,eq_c2/2))+(PI()*(s_0+10*s_r+IF(circ_int,eq_c1/2,0))/2))+2*IF(circ_int,0,eq_c1/2))+(PI()*(s_0+10*s_r+IF(circ_int,eq_c1/2,0))/2))+2*IF(circ_int,0,eq_c2/2))+(PI()*(s_0+10*s_r+IF(circ_int,eq_c1/2,0))/2))+2*IF(circ_int,0,eq_c1/2)))/(s_0+10*s_r+IF(circ_int,eq_c1/2,0)))))))))),NA())</f>
        <v/>
      </c>
      <c r="DN56">
        <f>IF(AND(AND(links_on,12&lt;=n_per),INDEX(lk_kind,12)=1,53&lt;INDEX(lk_legs,12)),g_ox+IF(((53+0.5)*(4*IF(circ_int,0,eq_c1/2)+4*IF(circ_int,0,eq_c2/2)+2*PI()*(s_0+11*s_r+IF(circ_int,eq_c1/2,0)))/INDEX(lk_legs,12))&lt;(2*IF(circ_int,0,eq_c2/2)),IF(circ_int,0,eq_c1/2)+(s_0+11*s_r+IF(circ_int,eq_c1/2,0)),IF(((53+0.5)*(4*IF(circ_int,0,eq_c1/2)+4*IF(circ_int,0,eq_c2/2)+2*PI()*(s_0+11*s_r+IF(circ_int,eq_c1/2,0)))/INDEX(lk_legs,12))&lt;((2*IF(circ_int,0,eq_c2/2))+(PI()*(s_0+11*s_r+IF(circ_int,eq_c1/2,0))/2)),IF(circ_int,0,eq_c1/2)+(s_0+11*s_r+IF(circ_int,eq_c1/2,0))*COS((((53+0.5)*(4*IF(circ_int,0,eq_c1/2)+4*IF(circ_int,0,eq_c2/2)+2*PI()*(s_0+11*s_r+IF(circ_int,eq_c1/2,0)))/INDEX(lk_legs,12))-(2*IF(circ_int,0,eq_c2/2)))/(s_0+11*s_r+IF(circ_int,eq_c1/2,0))),IF(((53+0.5)*(4*IF(circ_int,0,eq_c1/2)+4*IF(circ_int,0,eq_c2/2)+2*PI()*(s_0+11*s_r+IF(circ_int,eq_c1/2,0)))/INDEX(lk_legs,12))&lt;(((2*IF(circ_int,0,eq_c2/2))+(PI()*(s_0+11*s_r+IF(circ_int,eq_c1/2,0))/2))+2*IF(circ_int,0,eq_c1/2)),IF(circ_int,0,eq_c1/2)-(((53+0.5)*(4*IF(circ_int,0,eq_c1/2)+4*IF(circ_int,0,eq_c2/2)+2*PI()*(s_0+11*s_r+IF(circ_int,eq_c1/2,0)))/INDEX(lk_legs,12))-((2*IF(circ_int,0,eq_c2/2))+(PI()*(s_0+11*s_r+IF(circ_int,eq_c1/2,0))/2))),IF(((53+0.5)*(4*IF(circ_int,0,eq_c1/2)+4*IF(circ_int,0,eq_c2/2)+2*PI()*(s_0+11*s_r+IF(circ_int,eq_c1/2,0)))/INDEX(lk_legs,12))&lt;((((2*IF(circ_int,0,eq_c2/2))+(PI()*(s_0+11*s_r+IF(circ_int,eq_c1/2,0))/2))+2*IF(circ_int,0,eq_c1/2))+(PI()*(s_0+11*s_r+IF(circ_int,eq_c1/2,0))/2)),-IF(circ_int,0,eq_c1/2)+(s_0+11*s_r+IF(circ_int,eq_c1/2,0))*COS(PI()/2+(((53+0.5)*(4*IF(circ_int,0,eq_c1/2)+4*IF(circ_int,0,eq_c2/2)+2*PI()*(s_0+11*s_r+IF(circ_int,eq_c1/2,0)))/INDEX(lk_legs,12))-(((2*IF(circ_int,0,eq_c2/2))+(PI()*(s_0+11*s_r+IF(circ_int,eq_c1/2,0))/2))+2*IF(circ_int,0,eq_c1/2)))/(s_0+11*s_r+IF(circ_int,eq_c1/2,0))),IF(((53+0.5)*(4*IF(circ_int,0,eq_c1/2)+4*IF(circ_int,0,eq_c2/2)+2*PI()*(s_0+11*s_r+IF(circ_int,eq_c1/2,0)))/INDEX(lk_legs,12))&lt;(((((2*IF(circ_int,0,eq_c2/2))+(PI()*(s_0+11*s_r+IF(circ_int,eq_c1/2,0))/2))+2*IF(circ_int,0,eq_c1/2))+(PI()*(s_0+11*s_r+IF(circ_int,eq_c1/2,0))/2))+2*IF(circ_int,0,eq_c2/2)),-IF(circ_int,0,eq_c1/2)-(s_0+11*s_r+IF(circ_int,eq_c1/2,0)),IF(((53+0.5)*(4*IF(circ_int,0,eq_c1/2)+4*IF(circ_int,0,eq_c2/2)+2*PI()*(s_0+11*s_r+IF(circ_int,eq_c1/2,0)))/INDEX(lk_legs,12))&lt;((((((2*IF(circ_int,0,eq_c2/2))+(PI()*(s_0+11*s_r+IF(circ_int,eq_c1/2,0))/2))+2*IF(circ_int,0,eq_c1/2))+(PI()*(s_0+11*s_r+IF(circ_int,eq_c1/2,0))/2))+2*IF(circ_int,0,eq_c2/2))+(PI()*(s_0+11*s_r+IF(circ_int,eq_c1/2,0))/2)),-IF(circ_int,0,eq_c1/2)+(s_0+11*s_r+IF(circ_int,eq_c1/2,0))*COS(PI()+(((53+0.5)*(4*IF(circ_int,0,eq_c1/2)+4*IF(circ_int,0,eq_c2/2)+2*PI()*(s_0+11*s_r+IF(circ_int,eq_c1/2,0)))/INDEX(lk_legs,12))-(((((2*IF(circ_int,0,eq_c2/2))+(PI()*(s_0+11*s_r+IF(circ_int,eq_c1/2,0))/2))+2*IF(circ_int,0,eq_c1/2))+(PI()*(s_0+11*s_r+IF(circ_int,eq_c1/2,0))/2))+2*IF(circ_int,0,eq_c2/2)))/(s_0+11*s_r+IF(circ_int,eq_c1/2,0))),IF(((53+0.5)*(4*IF(circ_int,0,eq_c1/2)+4*IF(circ_int,0,eq_c2/2)+2*PI()*(s_0+11*s_r+IF(circ_int,eq_c1/2,0)))/INDEX(lk_legs,12))&lt;(((((((2*IF(circ_int,0,eq_c2/2))+(PI()*(s_0+11*s_r+IF(circ_int,eq_c1/2,0))/2))+2*IF(circ_int,0,eq_c1/2))+(PI()*(s_0+11*s_r+IF(circ_int,eq_c1/2,0))/2))+2*IF(circ_int,0,eq_c2/2))+(PI()*(s_0+11*s_r+IF(circ_int,eq_c1/2,0))/2))+2*IF(circ_int,0,eq_c1/2)),-IF(circ_int,0,eq_c1/2)+(((53+0.5)*(4*IF(circ_int,0,eq_c1/2)+4*IF(circ_int,0,eq_c2/2)+2*PI()*(s_0+11*s_r+IF(circ_int,eq_c1/2,0)))/INDEX(lk_legs,12))-((((((2*IF(circ_int,0,eq_c2/2))+(PI()*(s_0+11*s_r+IF(circ_int,eq_c1/2,0))/2))+2*IF(circ_int,0,eq_c1/2))+(PI()*(s_0+11*s_r+IF(circ_int,eq_c1/2,0))/2))+2*IF(circ_int,0,eq_c2/2))+(PI()*(s_0+11*s_r+IF(circ_int,eq_c1/2,0))/2))),IF(circ_int,0,eq_c1/2)+(s_0+11*s_r+IF(circ_int,eq_c1/2,0))*COS(3*PI()/2+(((53+0.5)*(4*IF(circ_int,0,eq_c1/2)+4*IF(circ_int,0,eq_c2/2)+2*PI()*(s_0+11*s_r+IF(circ_int,eq_c1/2,0)))/INDEX(lk_legs,12))-(((((((2*IF(circ_int,0,eq_c2/2))+(PI()*(s_0+11*s_r+IF(circ_int,eq_c1/2,0))/2))+2*IF(circ_int,0,eq_c1/2))+(PI()*(s_0+11*s_r+IF(circ_int,eq_c1/2,0))/2))+2*IF(circ_int,0,eq_c2/2))+(PI()*(s_0+11*s_r+IF(circ_int,eq_c1/2,0))/2))+2*IF(circ_int,0,eq_c1/2)))/(s_0+11*s_r+IF(circ_int,eq_c1/2,0)))))))))),NA())</f>
        <v/>
      </c>
      <c r="DO56">
        <f>IF(AND(AND(links_on,12&lt;=n_per),INDEX(lk_kind,12)=1,53&lt;INDEX(lk_legs,12)),g_oy+IF(((53+0.5)*(4*IF(circ_int,0,eq_c1/2)+4*IF(circ_int,0,eq_c2/2)+2*PI()*(s_0+11*s_r+IF(circ_int,eq_c1/2,0)))/INDEX(lk_legs,12))&lt;(2*IF(circ_int,0,eq_c2/2)),-IF(circ_int,0,eq_c2/2)+((53+0.5)*(4*IF(circ_int,0,eq_c1/2)+4*IF(circ_int,0,eq_c2/2)+2*PI()*(s_0+11*s_r+IF(circ_int,eq_c1/2,0)))/INDEX(lk_legs,12)),IF(((53+0.5)*(4*IF(circ_int,0,eq_c1/2)+4*IF(circ_int,0,eq_c2/2)+2*PI()*(s_0+11*s_r+IF(circ_int,eq_c1/2,0)))/INDEX(lk_legs,12))&lt;((2*IF(circ_int,0,eq_c2/2))+(PI()*(s_0+11*s_r+IF(circ_int,eq_c1/2,0))/2)),IF(circ_int,0,eq_c2/2)+(s_0+11*s_r+IF(circ_int,eq_c1/2,0))*SIN((((53+0.5)*(4*IF(circ_int,0,eq_c1/2)+4*IF(circ_int,0,eq_c2/2)+2*PI()*(s_0+11*s_r+IF(circ_int,eq_c1/2,0)))/INDEX(lk_legs,12))-(2*IF(circ_int,0,eq_c2/2)))/(s_0+11*s_r+IF(circ_int,eq_c1/2,0))),IF(((53+0.5)*(4*IF(circ_int,0,eq_c1/2)+4*IF(circ_int,0,eq_c2/2)+2*PI()*(s_0+11*s_r+IF(circ_int,eq_c1/2,0)))/INDEX(lk_legs,12))&lt;(((2*IF(circ_int,0,eq_c2/2))+(PI()*(s_0+11*s_r+IF(circ_int,eq_c1/2,0))/2))+2*IF(circ_int,0,eq_c1/2)),IF(circ_int,0,eq_c2/2)+(s_0+11*s_r+IF(circ_int,eq_c1/2,0)),IF(((53+0.5)*(4*IF(circ_int,0,eq_c1/2)+4*IF(circ_int,0,eq_c2/2)+2*PI()*(s_0+11*s_r+IF(circ_int,eq_c1/2,0)))/INDEX(lk_legs,12))&lt;((((2*IF(circ_int,0,eq_c2/2))+(PI()*(s_0+11*s_r+IF(circ_int,eq_c1/2,0))/2))+2*IF(circ_int,0,eq_c1/2))+(PI()*(s_0+11*s_r+IF(circ_int,eq_c1/2,0))/2)),IF(circ_int,0,eq_c2/2)+(s_0+11*s_r+IF(circ_int,eq_c1/2,0))*SIN(PI()/2+(((53+0.5)*(4*IF(circ_int,0,eq_c1/2)+4*IF(circ_int,0,eq_c2/2)+2*PI()*(s_0+11*s_r+IF(circ_int,eq_c1/2,0)))/INDEX(lk_legs,12))-(((2*IF(circ_int,0,eq_c2/2))+(PI()*(s_0+11*s_r+IF(circ_int,eq_c1/2,0))/2))+2*IF(circ_int,0,eq_c1/2)))/(s_0+11*s_r+IF(circ_int,eq_c1/2,0))),IF(((53+0.5)*(4*IF(circ_int,0,eq_c1/2)+4*IF(circ_int,0,eq_c2/2)+2*PI()*(s_0+11*s_r+IF(circ_int,eq_c1/2,0)))/INDEX(lk_legs,12))&lt;(((((2*IF(circ_int,0,eq_c2/2))+(PI()*(s_0+11*s_r+IF(circ_int,eq_c1/2,0))/2))+2*IF(circ_int,0,eq_c1/2))+(PI()*(s_0+11*s_r+IF(circ_int,eq_c1/2,0))/2))+2*IF(circ_int,0,eq_c2/2)),IF(circ_int,0,eq_c2/2)-(((53+0.5)*(4*IF(circ_int,0,eq_c1/2)+4*IF(circ_int,0,eq_c2/2)+2*PI()*(s_0+11*s_r+IF(circ_int,eq_c1/2,0)))/INDEX(lk_legs,12))-((((2*IF(circ_int,0,eq_c2/2))+(PI()*(s_0+11*s_r+IF(circ_int,eq_c1/2,0))/2))+2*IF(circ_int,0,eq_c1/2))+(PI()*(s_0+11*s_r+IF(circ_int,eq_c1/2,0))/2))),IF(((53+0.5)*(4*IF(circ_int,0,eq_c1/2)+4*IF(circ_int,0,eq_c2/2)+2*PI()*(s_0+11*s_r+IF(circ_int,eq_c1/2,0)))/INDEX(lk_legs,12))&lt;((((((2*IF(circ_int,0,eq_c2/2))+(PI()*(s_0+11*s_r+IF(circ_int,eq_c1/2,0))/2))+2*IF(circ_int,0,eq_c1/2))+(PI()*(s_0+11*s_r+IF(circ_int,eq_c1/2,0))/2))+2*IF(circ_int,0,eq_c2/2))+(PI()*(s_0+11*s_r+IF(circ_int,eq_c1/2,0))/2)),-IF(circ_int,0,eq_c2/2)+(s_0+11*s_r+IF(circ_int,eq_c1/2,0))*SIN(PI()+(((53+0.5)*(4*IF(circ_int,0,eq_c1/2)+4*IF(circ_int,0,eq_c2/2)+2*PI()*(s_0+11*s_r+IF(circ_int,eq_c1/2,0)))/INDEX(lk_legs,12))-(((((2*IF(circ_int,0,eq_c2/2))+(PI()*(s_0+11*s_r+IF(circ_int,eq_c1/2,0))/2))+2*IF(circ_int,0,eq_c1/2))+(PI()*(s_0+11*s_r+IF(circ_int,eq_c1/2,0))/2))+2*IF(circ_int,0,eq_c2/2)))/(s_0+11*s_r+IF(circ_int,eq_c1/2,0))),IF(((53+0.5)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(53+0.5)*(4*IF(circ_int,0,eq_c1/2)+4*IF(circ_int,0,eq_c2/2)+2*PI()*(s_0+11*s_r+IF(circ_int,eq_c1/2,0)))/INDEX(lk_legs,12))-(((((((2*IF(circ_int,0,eq_c2/2))+(PI()*(s_0+11*s_r+IF(circ_int,eq_c1/2,0))/2))+2*IF(circ_int,0,eq_c1/2))+(PI()*(s_0+11*s_r+IF(circ_int,eq_c1/2,0))/2))+2*IF(circ_int,0,eq_c2/2))+(PI()*(s_0+11*s_r+IF(circ_int,eq_c1/2,0))/2))+2*IF(circ_int,0,eq_c1/2)))/(s_0+11*s_r+IF(circ_int,eq_c1/2,0)))))))))),NA())</f>
        <v/>
      </c>
    </row>
    <row r="57">
      <c r="AZ57">
        <f>IF(AND(AND(links_on,1&lt;=n_per),INDEX(lk_kind,1)=1,54&lt;INDEX(lk_legs,1)),g_ox+IF(((54+0.5)*(4*IF(circ_int,0,eq_c1/2)+4*IF(circ_int,0,eq_c2/2)+2*PI()*(s_0+0*s_r+IF(circ_int,eq_c1/2,0)))/INDEX(lk_legs,1))&lt;(2*IF(circ_int,0,eq_c2/2)),IF(circ_int,0,eq_c1/2)+(s_0+0*s_r+IF(circ_int,eq_c1/2,0)),IF(((54+0.5)*(4*IF(circ_int,0,eq_c1/2)+4*IF(circ_int,0,eq_c2/2)+2*PI()*(s_0+0*s_r+IF(circ_int,eq_c1/2,0)))/INDEX(lk_legs,1))&lt;((2*IF(circ_int,0,eq_c2/2))+(PI()*(s_0+0*s_r+IF(circ_int,eq_c1/2,0))/2)),IF(circ_int,0,eq_c1/2)+(s_0+0*s_r+IF(circ_int,eq_c1/2,0))*COS((((54+0.5)*(4*IF(circ_int,0,eq_c1/2)+4*IF(circ_int,0,eq_c2/2)+2*PI()*(s_0+0*s_r+IF(circ_int,eq_c1/2,0)))/INDEX(lk_legs,1))-(2*IF(circ_int,0,eq_c2/2)))/(s_0+0*s_r+IF(circ_int,eq_c1/2,0))),IF(((54+0.5)*(4*IF(circ_int,0,eq_c1/2)+4*IF(circ_int,0,eq_c2/2)+2*PI()*(s_0+0*s_r+IF(circ_int,eq_c1/2,0)))/INDEX(lk_legs,1))&lt;(((2*IF(circ_int,0,eq_c2/2))+(PI()*(s_0+0*s_r+IF(circ_int,eq_c1/2,0))/2))+2*IF(circ_int,0,eq_c1/2)),IF(circ_int,0,eq_c1/2)-(((54+0.5)*(4*IF(circ_int,0,eq_c1/2)+4*IF(circ_int,0,eq_c2/2)+2*PI()*(s_0+0*s_r+IF(circ_int,eq_c1/2,0)))/INDEX(lk_legs,1))-((2*IF(circ_int,0,eq_c2/2))+(PI()*(s_0+0*s_r+IF(circ_int,eq_c1/2,0))/2))),IF(((54+0.5)*(4*IF(circ_int,0,eq_c1/2)+4*IF(circ_int,0,eq_c2/2)+2*PI()*(s_0+0*s_r+IF(circ_int,eq_c1/2,0)))/INDEX(lk_legs,1))&lt;((((2*IF(circ_int,0,eq_c2/2))+(PI()*(s_0+0*s_r+IF(circ_int,eq_c1/2,0))/2))+2*IF(circ_int,0,eq_c1/2))+(PI()*(s_0+0*s_r+IF(circ_int,eq_c1/2,0))/2)),-IF(circ_int,0,eq_c1/2)+(s_0+0*s_r+IF(circ_int,eq_c1/2,0))*COS(PI()/2+(((54+0.5)*(4*IF(circ_int,0,eq_c1/2)+4*IF(circ_int,0,eq_c2/2)+2*PI()*(s_0+0*s_r+IF(circ_int,eq_c1/2,0)))/INDEX(lk_legs,1))-(((2*IF(circ_int,0,eq_c2/2))+(PI()*(s_0+0*s_r+IF(circ_int,eq_c1/2,0))/2))+2*IF(circ_int,0,eq_c1/2)))/(s_0+0*s_r+IF(circ_int,eq_c1/2,0))),IF(((54+0.5)*(4*IF(circ_int,0,eq_c1/2)+4*IF(circ_int,0,eq_c2/2)+2*PI()*(s_0+0*s_r+IF(circ_int,eq_c1/2,0)))/INDEX(lk_legs,1))&lt;(((((2*IF(circ_int,0,eq_c2/2))+(PI()*(s_0+0*s_r+IF(circ_int,eq_c1/2,0))/2))+2*IF(circ_int,0,eq_c1/2))+(PI()*(s_0+0*s_r+IF(circ_int,eq_c1/2,0))/2))+2*IF(circ_int,0,eq_c2/2)),-IF(circ_int,0,eq_c1/2)-(s_0+0*s_r+IF(circ_int,eq_c1/2,0)),IF(((54+0.5)*(4*IF(circ_int,0,eq_c1/2)+4*IF(circ_int,0,eq_c2/2)+2*PI()*(s_0+0*s_r+IF(circ_int,eq_c1/2,0)))/INDEX(lk_legs,1))&lt;((((((2*IF(circ_int,0,eq_c2/2))+(PI()*(s_0+0*s_r+IF(circ_int,eq_c1/2,0))/2))+2*IF(circ_int,0,eq_c1/2))+(PI()*(s_0+0*s_r+IF(circ_int,eq_c1/2,0))/2))+2*IF(circ_int,0,eq_c2/2))+(PI()*(s_0+0*s_r+IF(circ_int,eq_c1/2,0))/2)),-IF(circ_int,0,eq_c1/2)+(s_0+0*s_r+IF(circ_int,eq_c1/2,0))*COS(PI()+(((54+0.5)*(4*IF(circ_int,0,eq_c1/2)+4*IF(circ_int,0,eq_c2/2)+2*PI()*(s_0+0*s_r+IF(circ_int,eq_c1/2,0)))/INDEX(lk_legs,1))-(((((2*IF(circ_int,0,eq_c2/2))+(PI()*(s_0+0*s_r+IF(circ_int,eq_c1/2,0))/2))+2*IF(circ_int,0,eq_c1/2))+(PI()*(s_0+0*s_r+IF(circ_int,eq_c1/2,0))/2))+2*IF(circ_int,0,eq_c2/2)))/(s_0+0*s_r+IF(circ_int,eq_c1/2,0))),IF(((54+0.5)*(4*IF(circ_int,0,eq_c1/2)+4*IF(circ_int,0,eq_c2/2)+2*PI()*(s_0+0*s_r+IF(circ_int,eq_c1/2,0)))/INDEX(lk_legs,1))&lt;(((((((2*IF(circ_int,0,eq_c2/2))+(PI()*(s_0+0*s_r+IF(circ_int,eq_c1/2,0))/2))+2*IF(circ_int,0,eq_c1/2))+(PI()*(s_0+0*s_r+IF(circ_int,eq_c1/2,0))/2))+2*IF(circ_int,0,eq_c2/2))+(PI()*(s_0+0*s_r+IF(circ_int,eq_c1/2,0))/2))+2*IF(circ_int,0,eq_c1/2)),-IF(circ_int,0,eq_c1/2)+(((54+0.5)*(4*IF(circ_int,0,eq_c1/2)+4*IF(circ_int,0,eq_c2/2)+2*PI()*(s_0+0*s_r+IF(circ_int,eq_c1/2,0)))/INDEX(lk_legs,1))-((((((2*IF(circ_int,0,eq_c2/2))+(PI()*(s_0+0*s_r+IF(circ_int,eq_c1/2,0))/2))+2*IF(circ_int,0,eq_c1/2))+(PI()*(s_0+0*s_r+IF(circ_int,eq_c1/2,0))/2))+2*IF(circ_int,0,eq_c2/2))+(PI()*(s_0+0*s_r+IF(circ_int,eq_c1/2,0))/2))),IF(circ_int,0,eq_c1/2)+(s_0+0*s_r+IF(circ_int,eq_c1/2,0))*COS(3*PI()/2+(((54+0.5)*(4*IF(circ_int,0,eq_c1/2)+4*IF(circ_int,0,eq_c2/2)+2*PI()*(s_0+0*s_r+IF(circ_int,eq_c1/2,0)))/INDEX(lk_legs,1))-(((((((2*IF(circ_int,0,eq_c2/2))+(PI()*(s_0+0*s_r+IF(circ_int,eq_c1/2,0))/2))+2*IF(circ_int,0,eq_c1/2))+(PI()*(s_0+0*s_r+IF(circ_int,eq_c1/2,0))/2))+2*IF(circ_int,0,eq_c2/2))+(PI()*(s_0+0*s_r+IF(circ_int,eq_c1/2,0))/2))+2*IF(circ_int,0,eq_c1/2)))/(s_0+0*s_r+IF(circ_int,eq_c1/2,0)))))))))),NA())</f>
        <v/>
      </c>
      <c r="BA57">
        <f>IF(AND(AND(links_on,1&lt;=n_per),INDEX(lk_kind,1)=1,54&lt;INDEX(lk_legs,1)),g_oy+IF(((54+0.5)*(4*IF(circ_int,0,eq_c1/2)+4*IF(circ_int,0,eq_c2/2)+2*PI()*(s_0+0*s_r+IF(circ_int,eq_c1/2,0)))/INDEX(lk_legs,1))&lt;(2*IF(circ_int,0,eq_c2/2)),-IF(circ_int,0,eq_c2/2)+((54+0.5)*(4*IF(circ_int,0,eq_c1/2)+4*IF(circ_int,0,eq_c2/2)+2*PI()*(s_0+0*s_r+IF(circ_int,eq_c1/2,0)))/INDEX(lk_legs,1)),IF(((54+0.5)*(4*IF(circ_int,0,eq_c1/2)+4*IF(circ_int,0,eq_c2/2)+2*PI()*(s_0+0*s_r+IF(circ_int,eq_c1/2,0)))/INDEX(lk_legs,1))&lt;((2*IF(circ_int,0,eq_c2/2))+(PI()*(s_0+0*s_r+IF(circ_int,eq_c1/2,0))/2)),IF(circ_int,0,eq_c2/2)+(s_0+0*s_r+IF(circ_int,eq_c1/2,0))*SIN((((54+0.5)*(4*IF(circ_int,0,eq_c1/2)+4*IF(circ_int,0,eq_c2/2)+2*PI()*(s_0+0*s_r+IF(circ_int,eq_c1/2,0)))/INDEX(lk_legs,1))-(2*IF(circ_int,0,eq_c2/2)))/(s_0+0*s_r+IF(circ_int,eq_c1/2,0))),IF(((54+0.5)*(4*IF(circ_int,0,eq_c1/2)+4*IF(circ_int,0,eq_c2/2)+2*PI()*(s_0+0*s_r+IF(circ_int,eq_c1/2,0)))/INDEX(lk_legs,1))&lt;(((2*IF(circ_int,0,eq_c2/2))+(PI()*(s_0+0*s_r+IF(circ_int,eq_c1/2,0))/2))+2*IF(circ_int,0,eq_c1/2)),IF(circ_int,0,eq_c2/2)+(s_0+0*s_r+IF(circ_int,eq_c1/2,0)),IF(((54+0.5)*(4*IF(circ_int,0,eq_c1/2)+4*IF(circ_int,0,eq_c2/2)+2*PI()*(s_0+0*s_r+IF(circ_int,eq_c1/2,0)))/INDEX(lk_legs,1))&lt;((((2*IF(circ_int,0,eq_c2/2))+(PI()*(s_0+0*s_r+IF(circ_int,eq_c1/2,0))/2))+2*IF(circ_int,0,eq_c1/2))+(PI()*(s_0+0*s_r+IF(circ_int,eq_c1/2,0))/2)),IF(circ_int,0,eq_c2/2)+(s_0+0*s_r+IF(circ_int,eq_c1/2,0))*SIN(PI()/2+(((54+0.5)*(4*IF(circ_int,0,eq_c1/2)+4*IF(circ_int,0,eq_c2/2)+2*PI()*(s_0+0*s_r+IF(circ_int,eq_c1/2,0)))/INDEX(lk_legs,1))-(((2*IF(circ_int,0,eq_c2/2))+(PI()*(s_0+0*s_r+IF(circ_int,eq_c1/2,0))/2))+2*IF(circ_int,0,eq_c1/2)))/(s_0+0*s_r+IF(circ_int,eq_c1/2,0))),IF(((54+0.5)*(4*IF(circ_int,0,eq_c1/2)+4*IF(circ_int,0,eq_c2/2)+2*PI()*(s_0+0*s_r+IF(circ_int,eq_c1/2,0)))/INDEX(lk_legs,1))&lt;(((((2*IF(circ_int,0,eq_c2/2))+(PI()*(s_0+0*s_r+IF(circ_int,eq_c1/2,0))/2))+2*IF(circ_int,0,eq_c1/2))+(PI()*(s_0+0*s_r+IF(circ_int,eq_c1/2,0))/2))+2*IF(circ_int,0,eq_c2/2)),IF(circ_int,0,eq_c2/2)-(((54+0.5)*(4*IF(circ_int,0,eq_c1/2)+4*IF(circ_int,0,eq_c2/2)+2*PI()*(s_0+0*s_r+IF(circ_int,eq_c1/2,0)))/INDEX(lk_legs,1))-((((2*IF(circ_int,0,eq_c2/2))+(PI()*(s_0+0*s_r+IF(circ_int,eq_c1/2,0))/2))+2*IF(circ_int,0,eq_c1/2))+(PI()*(s_0+0*s_r+IF(circ_int,eq_c1/2,0))/2))),IF(((54+0.5)*(4*IF(circ_int,0,eq_c1/2)+4*IF(circ_int,0,eq_c2/2)+2*PI()*(s_0+0*s_r+IF(circ_int,eq_c1/2,0)))/INDEX(lk_legs,1))&lt;((((((2*IF(circ_int,0,eq_c2/2))+(PI()*(s_0+0*s_r+IF(circ_int,eq_c1/2,0))/2))+2*IF(circ_int,0,eq_c1/2))+(PI()*(s_0+0*s_r+IF(circ_int,eq_c1/2,0))/2))+2*IF(circ_int,0,eq_c2/2))+(PI()*(s_0+0*s_r+IF(circ_int,eq_c1/2,0))/2)),-IF(circ_int,0,eq_c2/2)+(s_0+0*s_r+IF(circ_int,eq_c1/2,0))*SIN(PI()+(((54+0.5)*(4*IF(circ_int,0,eq_c1/2)+4*IF(circ_int,0,eq_c2/2)+2*PI()*(s_0+0*s_r+IF(circ_int,eq_c1/2,0)))/INDEX(lk_legs,1))-(((((2*IF(circ_int,0,eq_c2/2))+(PI()*(s_0+0*s_r+IF(circ_int,eq_c1/2,0))/2))+2*IF(circ_int,0,eq_c1/2))+(PI()*(s_0+0*s_r+IF(circ_int,eq_c1/2,0))/2))+2*IF(circ_int,0,eq_c2/2)))/(s_0+0*s_r+IF(circ_int,eq_c1/2,0))),IF(((54+0.5)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(54+0.5)*(4*IF(circ_int,0,eq_c1/2)+4*IF(circ_int,0,eq_c2/2)+2*PI()*(s_0+0*s_r+IF(circ_int,eq_c1/2,0)))/INDEX(lk_legs,1))-(((((((2*IF(circ_int,0,eq_c2/2))+(PI()*(s_0+0*s_r+IF(circ_int,eq_c1/2,0))/2))+2*IF(circ_int,0,eq_c1/2))+(PI()*(s_0+0*s_r+IF(circ_int,eq_c1/2,0))/2))+2*IF(circ_int,0,eq_c2/2))+(PI()*(s_0+0*s_r+IF(circ_int,eq_c1/2,0))/2))+2*IF(circ_int,0,eq_c1/2)))/(s_0+0*s_r+IF(circ_int,eq_c1/2,0)))))))))),NA())</f>
        <v/>
      </c>
      <c r="BF57">
        <f>IF(AND(AND(links_on,2&lt;=n_per),INDEX(lk_kind,2)=1,54&lt;INDEX(lk_legs,2)),g_ox+IF(((54+0.5)*(4*IF(circ_int,0,eq_c1/2)+4*IF(circ_int,0,eq_c2/2)+2*PI()*(s_0+1*s_r+IF(circ_int,eq_c1/2,0)))/INDEX(lk_legs,2))&lt;(2*IF(circ_int,0,eq_c2/2)),IF(circ_int,0,eq_c1/2)+(s_0+1*s_r+IF(circ_int,eq_c1/2,0)),IF(((54+0.5)*(4*IF(circ_int,0,eq_c1/2)+4*IF(circ_int,0,eq_c2/2)+2*PI()*(s_0+1*s_r+IF(circ_int,eq_c1/2,0)))/INDEX(lk_legs,2))&lt;((2*IF(circ_int,0,eq_c2/2))+(PI()*(s_0+1*s_r+IF(circ_int,eq_c1/2,0))/2)),IF(circ_int,0,eq_c1/2)+(s_0+1*s_r+IF(circ_int,eq_c1/2,0))*COS((((54+0.5)*(4*IF(circ_int,0,eq_c1/2)+4*IF(circ_int,0,eq_c2/2)+2*PI()*(s_0+1*s_r+IF(circ_int,eq_c1/2,0)))/INDEX(lk_legs,2))-(2*IF(circ_int,0,eq_c2/2)))/(s_0+1*s_r+IF(circ_int,eq_c1/2,0))),IF(((54+0.5)*(4*IF(circ_int,0,eq_c1/2)+4*IF(circ_int,0,eq_c2/2)+2*PI()*(s_0+1*s_r+IF(circ_int,eq_c1/2,0)))/INDEX(lk_legs,2))&lt;(((2*IF(circ_int,0,eq_c2/2))+(PI()*(s_0+1*s_r+IF(circ_int,eq_c1/2,0))/2))+2*IF(circ_int,0,eq_c1/2)),IF(circ_int,0,eq_c1/2)-(((54+0.5)*(4*IF(circ_int,0,eq_c1/2)+4*IF(circ_int,0,eq_c2/2)+2*PI()*(s_0+1*s_r+IF(circ_int,eq_c1/2,0)))/INDEX(lk_legs,2))-((2*IF(circ_int,0,eq_c2/2))+(PI()*(s_0+1*s_r+IF(circ_int,eq_c1/2,0))/2))),IF(((54+0.5)*(4*IF(circ_int,0,eq_c1/2)+4*IF(circ_int,0,eq_c2/2)+2*PI()*(s_0+1*s_r+IF(circ_int,eq_c1/2,0)))/INDEX(lk_legs,2))&lt;((((2*IF(circ_int,0,eq_c2/2))+(PI()*(s_0+1*s_r+IF(circ_int,eq_c1/2,0))/2))+2*IF(circ_int,0,eq_c1/2))+(PI()*(s_0+1*s_r+IF(circ_int,eq_c1/2,0))/2)),-IF(circ_int,0,eq_c1/2)+(s_0+1*s_r+IF(circ_int,eq_c1/2,0))*COS(PI()/2+(((54+0.5)*(4*IF(circ_int,0,eq_c1/2)+4*IF(circ_int,0,eq_c2/2)+2*PI()*(s_0+1*s_r+IF(circ_int,eq_c1/2,0)))/INDEX(lk_legs,2))-(((2*IF(circ_int,0,eq_c2/2))+(PI()*(s_0+1*s_r+IF(circ_int,eq_c1/2,0))/2))+2*IF(circ_int,0,eq_c1/2)))/(s_0+1*s_r+IF(circ_int,eq_c1/2,0))),IF(((54+0.5)*(4*IF(circ_int,0,eq_c1/2)+4*IF(circ_int,0,eq_c2/2)+2*PI()*(s_0+1*s_r+IF(circ_int,eq_c1/2,0)))/INDEX(lk_legs,2))&lt;(((((2*IF(circ_int,0,eq_c2/2))+(PI()*(s_0+1*s_r+IF(circ_int,eq_c1/2,0))/2))+2*IF(circ_int,0,eq_c1/2))+(PI()*(s_0+1*s_r+IF(circ_int,eq_c1/2,0))/2))+2*IF(circ_int,0,eq_c2/2)),-IF(circ_int,0,eq_c1/2)-(s_0+1*s_r+IF(circ_int,eq_c1/2,0)),IF(((54+0.5)*(4*IF(circ_int,0,eq_c1/2)+4*IF(circ_int,0,eq_c2/2)+2*PI()*(s_0+1*s_r+IF(circ_int,eq_c1/2,0)))/INDEX(lk_legs,2))&lt;((((((2*IF(circ_int,0,eq_c2/2))+(PI()*(s_0+1*s_r+IF(circ_int,eq_c1/2,0))/2))+2*IF(circ_int,0,eq_c1/2))+(PI()*(s_0+1*s_r+IF(circ_int,eq_c1/2,0))/2))+2*IF(circ_int,0,eq_c2/2))+(PI()*(s_0+1*s_r+IF(circ_int,eq_c1/2,0))/2)),-IF(circ_int,0,eq_c1/2)+(s_0+1*s_r+IF(circ_int,eq_c1/2,0))*COS(PI()+(((54+0.5)*(4*IF(circ_int,0,eq_c1/2)+4*IF(circ_int,0,eq_c2/2)+2*PI()*(s_0+1*s_r+IF(circ_int,eq_c1/2,0)))/INDEX(lk_legs,2))-(((((2*IF(circ_int,0,eq_c2/2))+(PI()*(s_0+1*s_r+IF(circ_int,eq_c1/2,0))/2))+2*IF(circ_int,0,eq_c1/2))+(PI()*(s_0+1*s_r+IF(circ_int,eq_c1/2,0))/2))+2*IF(circ_int,0,eq_c2/2)))/(s_0+1*s_r+IF(circ_int,eq_c1/2,0))),IF(((54+0.5)*(4*IF(circ_int,0,eq_c1/2)+4*IF(circ_int,0,eq_c2/2)+2*PI()*(s_0+1*s_r+IF(circ_int,eq_c1/2,0)))/INDEX(lk_legs,2))&lt;(((((((2*IF(circ_int,0,eq_c2/2))+(PI()*(s_0+1*s_r+IF(circ_int,eq_c1/2,0))/2))+2*IF(circ_int,0,eq_c1/2))+(PI()*(s_0+1*s_r+IF(circ_int,eq_c1/2,0))/2))+2*IF(circ_int,0,eq_c2/2))+(PI()*(s_0+1*s_r+IF(circ_int,eq_c1/2,0))/2))+2*IF(circ_int,0,eq_c1/2)),-IF(circ_int,0,eq_c1/2)+(((54+0.5)*(4*IF(circ_int,0,eq_c1/2)+4*IF(circ_int,0,eq_c2/2)+2*PI()*(s_0+1*s_r+IF(circ_int,eq_c1/2,0)))/INDEX(lk_legs,2))-((((((2*IF(circ_int,0,eq_c2/2))+(PI()*(s_0+1*s_r+IF(circ_int,eq_c1/2,0))/2))+2*IF(circ_int,0,eq_c1/2))+(PI()*(s_0+1*s_r+IF(circ_int,eq_c1/2,0))/2))+2*IF(circ_int,0,eq_c2/2))+(PI()*(s_0+1*s_r+IF(circ_int,eq_c1/2,0))/2))),IF(circ_int,0,eq_c1/2)+(s_0+1*s_r+IF(circ_int,eq_c1/2,0))*COS(3*PI()/2+(((54+0.5)*(4*IF(circ_int,0,eq_c1/2)+4*IF(circ_int,0,eq_c2/2)+2*PI()*(s_0+1*s_r+IF(circ_int,eq_c1/2,0)))/INDEX(lk_legs,2))-(((((((2*IF(circ_int,0,eq_c2/2))+(PI()*(s_0+1*s_r+IF(circ_int,eq_c1/2,0))/2))+2*IF(circ_int,0,eq_c1/2))+(PI()*(s_0+1*s_r+IF(circ_int,eq_c1/2,0))/2))+2*IF(circ_int,0,eq_c2/2))+(PI()*(s_0+1*s_r+IF(circ_int,eq_c1/2,0))/2))+2*IF(circ_int,0,eq_c1/2)))/(s_0+1*s_r+IF(circ_int,eq_c1/2,0)))))))))),NA())</f>
        <v/>
      </c>
      <c r="BG57">
        <f>IF(AND(AND(links_on,2&lt;=n_per),INDEX(lk_kind,2)=1,54&lt;INDEX(lk_legs,2)),g_oy+IF(((54+0.5)*(4*IF(circ_int,0,eq_c1/2)+4*IF(circ_int,0,eq_c2/2)+2*PI()*(s_0+1*s_r+IF(circ_int,eq_c1/2,0)))/INDEX(lk_legs,2))&lt;(2*IF(circ_int,0,eq_c2/2)),-IF(circ_int,0,eq_c2/2)+((54+0.5)*(4*IF(circ_int,0,eq_c1/2)+4*IF(circ_int,0,eq_c2/2)+2*PI()*(s_0+1*s_r+IF(circ_int,eq_c1/2,0)))/INDEX(lk_legs,2)),IF(((54+0.5)*(4*IF(circ_int,0,eq_c1/2)+4*IF(circ_int,0,eq_c2/2)+2*PI()*(s_0+1*s_r+IF(circ_int,eq_c1/2,0)))/INDEX(lk_legs,2))&lt;((2*IF(circ_int,0,eq_c2/2))+(PI()*(s_0+1*s_r+IF(circ_int,eq_c1/2,0))/2)),IF(circ_int,0,eq_c2/2)+(s_0+1*s_r+IF(circ_int,eq_c1/2,0))*SIN((((54+0.5)*(4*IF(circ_int,0,eq_c1/2)+4*IF(circ_int,0,eq_c2/2)+2*PI()*(s_0+1*s_r+IF(circ_int,eq_c1/2,0)))/INDEX(lk_legs,2))-(2*IF(circ_int,0,eq_c2/2)))/(s_0+1*s_r+IF(circ_int,eq_c1/2,0))),IF(((54+0.5)*(4*IF(circ_int,0,eq_c1/2)+4*IF(circ_int,0,eq_c2/2)+2*PI()*(s_0+1*s_r+IF(circ_int,eq_c1/2,0)))/INDEX(lk_legs,2))&lt;(((2*IF(circ_int,0,eq_c2/2))+(PI()*(s_0+1*s_r+IF(circ_int,eq_c1/2,0))/2))+2*IF(circ_int,0,eq_c1/2)),IF(circ_int,0,eq_c2/2)+(s_0+1*s_r+IF(circ_int,eq_c1/2,0)),IF(((54+0.5)*(4*IF(circ_int,0,eq_c1/2)+4*IF(circ_int,0,eq_c2/2)+2*PI()*(s_0+1*s_r+IF(circ_int,eq_c1/2,0)))/INDEX(lk_legs,2))&lt;((((2*IF(circ_int,0,eq_c2/2))+(PI()*(s_0+1*s_r+IF(circ_int,eq_c1/2,0))/2))+2*IF(circ_int,0,eq_c1/2))+(PI()*(s_0+1*s_r+IF(circ_int,eq_c1/2,0))/2)),IF(circ_int,0,eq_c2/2)+(s_0+1*s_r+IF(circ_int,eq_c1/2,0))*SIN(PI()/2+(((54+0.5)*(4*IF(circ_int,0,eq_c1/2)+4*IF(circ_int,0,eq_c2/2)+2*PI()*(s_0+1*s_r+IF(circ_int,eq_c1/2,0)))/INDEX(lk_legs,2))-(((2*IF(circ_int,0,eq_c2/2))+(PI()*(s_0+1*s_r+IF(circ_int,eq_c1/2,0))/2))+2*IF(circ_int,0,eq_c1/2)))/(s_0+1*s_r+IF(circ_int,eq_c1/2,0))),IF(((54+0.5)*(4*IF(circ_int,0,eq_c1/2)+4*IF(circ_int,0,eq_c2/2)+2*PI()*(s_0+1*s_r+IF(circ_int,eq_c1/2,0)))/INDEX(lk_legs,2))&lt;(((((2*IF(circ_int,0,eq_c2/2))+(PI()*(s_0+1*s_r+IF(circ_int,eq_c1/2,0))/2))+2*IF(circ_int,0,eq_c1/2))+(PI()*(s_0+1*s_r+IF(circ_int,eq_c1/2,0))/2))+2*IF(circ_int,0,eq_c2/2)),IF(circ_int,0,eq_c2/2)-(((54+0.5)*(4*IF(circ_int,0,eq_c1/2)+4*IF(circ_int,0,eq_c2/2)+2*PI()*(s_0+1*s_r+IF(circ_int,eq_c1/2,0)))/INDEX(lk_legs,2))-((((2*IF(circ_int,0,eq_c2/2))+(PI()*(s_0+1*s_r+IF(circ_int,eq_c1/2,0))/2))+2*IF(circ_int,0,eq_c1/2))+(PI()*(s_0+1*s_r+IF(circ_int,eq_c1/2,0))/2))),IF(((54+0.5)*(4*IF(circ_int,0,eq_c1/2)+4*IF(circ_int,0,eq_c2/2)+2*PI()*(s_0+1*s_r+IF(circ_int,eq_c1/2,0)))/INDEX(lk_legs,2))&lt;((((((2*IF(circ_int,0,eq_c2/2))+(PI()*(s_0+1*s_r+IF(circ_int,eq_c1/2,0))/2))+2*IF(circ_int,0,eq_c1/2))+(PI()*(s_0+1*s_r+IF(circ_int,eq_c1/2,0))/2))+2*IF(circ_int,0,eq_c2/2))+(PI()*(s_0+1*s_r+IF(circ_int,eq_c1/2,0))/2)),-IF(circ_int,0,eq_c2/2)+(s_0+1*s_r+IF(circ_int,eq_c1/2,0))*SIN(PI()+(((54+0.5)*(4*IF(circ_int,0,eq_c1/2)+4*IF(circ_int,0,eq_c2/2)+2*PI()*(s_0+1*s_r+IF(circ_int,eq_c1/2,0)))/INDEX(lk_legs,2))-(((((2*IF(circ_int,0,eq_c2/2))+(PI()*(s_0+1*s_r+IF(circ_int,eq_c1/2,0))/2))+2*IF(circ_int,0,eq_c1/2))+(PI()*(s_0+1*s_r+IF(circ_int,eq_c1/2,0))/2))+2*IF(circ_int,0,eq_c2/2)))/(s_0+1*s_r+IF(circ_int,eq_c1/2,0))),IF(((54+0.5)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(54+0.5)*(4*IF(circ_int,0,eq_c1/2)+4*IF(circ_int,0,eq_c2/2)+2*PI()*(s_0+1*s_r+IF(circ_int,eq_c1/2,0)))/INDEX(lk_legs,2))-(((((((2*IF(circ_int,0,eq_c2/2))+(PI()*(s_0+1*s_r+IF(circ_int,eq_c1/2,0))/2))+2*IF(circ_int,0,eq_c1/2))+(PI()*(s_0+1*s_r+IF(circ_int,eq_c1/2,0))/2))+2*IF(circ_int,0,eq_c2/2))+(PI()*(s_0+1*s_r+IF(circ_int,eq_c1/2,0))/2))+2*IF(circ_int,0,eq_c1/2)))/(s_0+1*s_r+IF(circ_int,eq_c1/2,0)))))))))),NA())</f>
        <v/>
      </c>
      <c r="BL57">
        <f>IF(AND(AND(links_on,3&lt;=n_per),INDEX(lk_kind,3)=1,54&lt;INDEX(lk_legs,3)),g_ox+IF(((54+0.5)*(4*IF(circ_int,0,eq_c1/2)+4*IF(circ_int,0,eq_c2/2)+2*PI()*(s_0+2*s_r+IF(circ_int,eq_c1/2,0)))/INDEX(lk_legs,3))&lt;(2*IF(circ_int,0,eq_c2/2)),IF(circ_int,0,eq_c1/2)+(s_0+2*s_r+IF(circ_int,eq_c1/2,0)),IF(((54+0.5)*(4*IF(circ_int,0,eq_c1/2)+4*IF(circ_int,0,eq_c2/2)+2*PI()*(s_0+2*s_r+IF(circ_int,eq_c1/2,0)))/INDEX(lk_legs,3))&lt;((2*IF(circ_int,0,eq_c2/2))+(PI()*(s_0+2*s_r+IF(circ_int,eq_c1/2,0))/2)),IF(circ_int,0,eq_c1/2)+(s_0+2*s_r+IF(circ_int,eq_c1/2,0))*COS((((54+0.5)*(4*IF(circ_int,0,eq_c1/2)+4*IF(circ_int,0,eq_c2/2)+2*PI()*(s_0+2*s_r+IF(circ_int,eq_c1/2,0)))/INDEX(lk_legs,3))-(2*IF(circ_int,0,eq_c2/2)))/(s_0+2*s_r+IF(circ_int,eq_c1/2,0))),IF(((54+0.5)*(4*IF(circ_int,0,eq_c1/2)+4*IF(circ_int,0,eq_c2/2)+2*PI()*(s_0+2*s_r+IF(circ_int,eq_c1/2,0)))/INDEX(lk_legs,3))&lt;(((2*IF(circ_int,0,eq_c2/2))+(PI()*(s_0+2*s_r+IF(circ_int,eq_c1/2,0))/2))+2*IF(circ_int,0,eq_c1/2)),IF(circ_int,0,eq_c1/2)-(((54+0.5)*(4*IF(circ_int,0,eq_c1/2)+4*IF(circ_int,0,eq_c2/2)+2*PI()*(s_0+2*s_r+IF(circ_int,eq_c1/2,0)))/INDEX(lk_legs,3))-((2*IF(circ_int,0,eq_c2/2))+(PI()*(s_0+2*s_r+IF(circ_int,eq_c1/2,0))/2))),IF(((54+0.5)*(4*IF(circ_int,0,eq_c1/2)+4*IF(circ_int,0,eq_c2/2)+2*PI()*(s_0+2*s_r+IF(circ_int,eq_c1/2,0)))/INDEX(lk_legs,3))&lt;((((2*IF(circ_int,0,eq_c2/2))+(PI()*(s_0+2*s_r+IF(circ_int,eq_c1/2,0))/2))+2*IF(circ_int,0,eq_c1/2))+(PI()*(s_0+2*s_r+IF(circ_int,eq_c1/2,0))/2)),-IF(circ_int,0,eq_c1/2)+(s_0+2*s_r+IF(circ_int,eq_c1/2,0))*COS(PI()/2+(((54+0.5)*(4*IF(circ_int,0,eq_c1/2)+4*IF(circ_int,0,eq_c2/2)+2*PI()*(s_0+2*s_r+IF(circ_int,eq_c1/2,0)))/INDEX(lk_legs,3))-(((2*IF(circ_int,0,eq_c2/2))+(PI()*(s_0+2*s_r+IF(circ_int,eq_c1/2,0))/2))+2*IF(circ_int,0,eq_c1/2)))/(s_0+2*s_r+IF(circ_int,eq_c1/2,0))),IF(((54+0.5)*(4*IF(circ_int,0,eq_c1/2)+4*IF(circ_int,0,eq_c2/2)+2*PI()*(s_0+2*s_r+IF(circ_int,eq_c1/2,0)))/INDEX(lk_legs,3))&lt;(((((2*IF(circ_int,0,eq_c2/2))+(PI()*(s_0+2*s_r+IF(circ_int,eq_c1/2,0))/2))+2*IF(circ_int,0,eq_c1/2))+(PI()*(s_0+2*s_r+IF(circ_int,eq_c1/2,0))/2))+2*IF(circ_int,0,eq_c2/2)),-IF(circ_int,0,eq_c1/2)-(s_0+2*s_r+IF(circ_int,eq_c1/2,0)),IF(((54+0.5)*(4*IF(circ_int,0,eq_c1/2)+4*IF(circ_int,0,eq_c2/2)+2*PI()*(s_0+2*s_r+IF(circ_int,eq_c1/2,0)))/INDEX(lk_legs,3))&lt;((((((2*IF(circ_int,0,eq_c2/2))+(PI()*(s_0+2*s_r+IF(circ_int,eq_c1/2,0))/2))+2*IF(circ_int,0,eq_c1/2))+(PI()*(s_0+2*s_r+IF(circ_int,eq_c1/2,0))/2))+2*IF(circ_int,0,eq_c2/2))+(PI()*(s_0+2*s_r+IF(circ_int,eq_c1/2,0))/2)),-IF(circ_int,0,eq_c1/2)+(s_0+2*s_r+IF(circ_int,eq_c1/2,0))*COS(PI()+(((54+0.5)*(4*IF(circ_int,0,eq_c1/2)+4*IF(circ_int,0,eq_c2/2)+2*PI()*(s_0+2*s_r+IF(circ_int,eq_c1/2,0)))/INDEX(lk_legs,3))-(((((2*IF(circ_int,0,eq_c2/2))+(PI()*(s_0+2*s_r+IF(circ_int,eq_c1/2,0))/2))+2*IF(circ_int,0,eq_c1/2))+(PI()*(s_0+2*s_r+IF(circ_int,eq_c1/2,0))/2))+2*IF(circ_int,0,eq_c2/2)))/(s_0+2*s_r+IF(circ_int,eq_c1/2,0))),IF(((54+0.5)*(4*IF(circ_int,0,eq_c1/2)+4*IF(circ_int,0,eq_c2/2)+2*PI()*(s_0+2*s_r+IF(circ_int,eq_c1/2,0)))/INDEX(lk_legs,3))&lt;(((((((2*IF(circ_int,0,eq_c2/2))+(PI()*(s_0+2*s_r+IF(circ_int,eq_c1/2,0))/2))+2*IF(circ_int,0,eq_c1/2))+(PI()*(s_0+2*s_r+IF(circ_int,eq_c1/2,0))/2))+2*IF(circ_int,0,eq_c2/2))+(PI()*(s_0+2*s_r+IF(circ_int,eq_c1/2,0))/2))+2*IF(circ_int,0,eq_c1/2)),-IF(circ_int,0,eq_c1/2)+(((54+0.5)*(4*IF(circ_int,0,eq_c1/2)+4*IF(circ_int,0,eq_c2/2)+2*PI()*(s_0+2*s_r+IF(circ_int,eq_c1/2,0)))/INDEX(lk_legs,3))-((((((2*IF(circ_int,0,eq_c2/2))+(PI()*(s_0+2*s_r+IF(circ_int,eq_c1/2,0))/2))+2*IF(circ_int,0,eq_c1/2))+(PI()*(s_0+2*s_r+IF(circ_int,eq_c1/2,0))/2))+2*IF(circ_int,0,eq_c2/2))+(PI()*(s_0+2*s_r+IF(circ_int,eq_c1/2,0))/2))),IF(circ_int,0,eq_c1/2)+(s_0+2*s_r+IF(circ_int,eq_c1/2,0))*COS(3*PI()/2+(((54+0.5)*(4*IF(circ_int,0,eq_c1/2)+4*IF(circ_int,0,eq_c2/2)+2*PI()*(s_0+2*s_r+IF(circ_int,eq_c1/2,0)))/INDEX(lk_legs,3))-(((((((2*IF(circ_int,0,eq_c2/2))+(PI()*(s_0+2*s_r+IF(circ_int,eq_c1/2,0))/2))+2*IF(circ_int,0,eq_c1/2))+(PI()*(s_0+2*s_r+IF(circ_int,eq_c1/2,0))/2))+2*IF(circ_int,0,eq_c2/2))+(PI()*(s_0+2*s_r+IF(circ_int,eq_c1/2,0))/2))+2*IF(circ_int,0,eq_c1/2)))/(s_0+2*s_r+IF(circ_int,eq_c1/2,0)))))))))),NA())</f>
        <v/>
      </c>
      <c r="BM57">
        <f>IF(AND(AND(links_on,3&lt;=n_per),INDEX(lk_kind,3)=1,54&lt;INDEX(lk_legs,3)),g_oy+IF(((54+0.5)*(4*IF(circ_int,0,eq_c1/2)+4*IF(circ_int,0,eq_c2/2)+2*PI()*(s_0+2*s_r+IF(circ_int,eq_c1/2,0)))/INDEX(lk_legs,3))&lt;(2*IF(circ_int,0,eq_c2/2)),-IF(circ_int,0,eq_c2/2)+((54+0.5)*(4*IF(circ_int,0,eq_c1/2)+4*IF(circ_int,0,eq_c2/2)+2*PI()*(s_0+2*s_r+IF(circ_int,eq_c1/2,0)))/INDEX(lk_legs,3)),IF(((54+0.5)*(4*IF(circ_int,0,eq_c1/2)+4*IF(circ_int,0,eq_c2/2)+2*PI()*(s_0+2*s_r+IF(circ_int,eq_c1/2,0)))/INDEX(lk_legs,3))&lt;((2*IF(circ_int,0,eq_c2/2))+(PI()*(s_0+2*s_r+IF(circ_int,eq_c1/2,0))/2)),IF(circ_int,0,eq_c2/2)+(s_0+2*s_r+IF(circ_int,eq_c1/2,0))*SIN((((54+0.5)*(4*IF(circ_int,0,eq_c1/2)+4*IF(circ_int,0,eq_c2/2)+2*PI()*(s_0+2*s_r+IF(circ_int,eq_c1/2,0)))/INDEX(lk_legs,3))-(2*IF(circ_int,0,eq_c2/2)))/(s_0+2*s_r+IF(circ_int,eq_c1/2,0))),IF(((54+0.5)*(4*IF(circ_int,0,eq_c1/2)+4*IF(circ_int,0,eq_c2/2)+2*PI()*(s_0+2*s_r+IF(circ_int,eq_c1/2,0)))/INDEX(lk_legs,3))&lt;(((2*IF(circ_int,0,eq_c2/2))+(PI()*(s_0+2*s_r+IF(circ_int,eq_c1/2,0))/2))+2*IF(circ_int,0,eq_c1/2)),IF(circ_int,0,eq_c2/2)+(s_0+2*s_r+IF(circ_int,eq_c1/2,0)),IF(((54+0.5)*(4*IF(circ_int,0,eq_c1/2)+4*IF(circ_int,0,eq_c2/2)+2*PI()*(s_0+2*s_r+IF(circ_int,eq_c1/2,0)))/INDEX(lk_legs,3))&lt;((((2*IF(circ_int,0,eq_c2/2))+(PI()*(s_0+2*s_r+IF(circ_int,eq_c1/2,0))/2))+2*IF(circ_int,0,eq_c1/2))+(PI()*(s_0+2*s_r+IF(circ_int,eq_c1/2,0))/2)),IF(circ_int,0,eq_c2/2)+(s_0+2*s_r+IF(circ_int,eq_c1/2,0))*SIN(PI()/2+(((54+0.5)*(4*IF(circ_int,0,eq_c1/2)+4*IF(circ_int,0,eq_c2/2)+2*PI()*(s_0+2*s_r+IF(circ_int,eq_c1/2,0)))/INDEX(lk_legs,3))-(((2*IF(circ_int,0,eq_c2/2))+(PI()*(s_0+2*s_r+IF(circ_int,eq_c1/2,0))/2))+2*IF(circ_int,0,eq_c1/2)))/(s_0+2*s_r+IF(circ_int,eq_c1/2,0))),IF(((54+0.5)*(4*IF(circ_int,0,eq_c1/2)+4*IF(circ_int,0,eq_c2/2)+2*PI()*(s_0+2*s_r+IF(circ_int,eq_c1/2,0)))/INDEX(lk_legs,3))&lt;(((((2*IF(circ_int,0,eq_c2/2))+(PI()*(s_0+2*s_r+IF(circ_int,eq_c1/2,0))/2))+2*IF(circ_int,0,eq_c1/2))+(PI()*(s_0+2*s_r+IF(circ_int,eq_c1/2,0))/2))+2*IF(circ_int,0,eq_c2/2)),IF(circ_int,0,eq_c2/2)-(((54+0.5)*(4*IF(circ_int,0,eq_c1/2)+4*IF(circ_int,0,eq_c2/2)+2*PI()*(s_0+2*s_r+IF(circ_int,eq_c1/2,0)))/INDEX(lk_legs,3))-((((2*IF(circ_int,0,eq_c2/2))+(PI()*(s_0+2*s_r+IF(circ_int,eq_c1/2,0))/2))+2*IF(circ_int,0,eq_c1/2))+(PI()*(s_0+2*s_r+IF(circ_int,eq_c1/2,0))/2))),IF(((54+0.5)*(4*IF(circ_int,0,eq_c1/2)+4*IF(circ_int,0,eq_c2/2)+2*PI()*(s_0+2*s_r+IF(circ_int,eq_c1/2,0)))/INDEX(lk_legs,3))&lt;((((((2*IF(circ_int,0,eq_c2/2))+(PI()*(s_0+2*s_r+IF(circ_int,eq_c1/2,0))/2))+2*IF(circ_int,0,eq_c1/2))+(PI()*(s_0+2*s_r+IF(circ_int,eq_c1/2,0))/2))+2*IF(circ_int,0,eq_c2/2))+(PI()*(s_0+2*s_r+IF(circ_int,eq_c1/2,0))/2)),-IF(circ_int,0,eq_c2/2)+(s_0+2*s_r+IF(circ_int,eq_c1/2,0))*SIN(PI()+(((54+0.5)*(4*IF(circ_int,0,eq_c1/2)+4*IF(circ_int,0,eq_c2/2)+2*PI()*(s_0+2*s_r+IF(circ_int,eq_c1/2,0)))/INDEX(lk_legs,3))-(((((2*IF(circ_int,0,eq_c2/2))+(PI()*(s_0+2*s_r+IF(circ_int,eq_c1/2,0))/2))+2*IF(circ_int,0,eq_c1/2))+(PI()*(s_0+2*s_r+IF(circ_int,eq_c1/2,0))/2))+2*IF(circ_int,0,eq_c2/2)))/(s_0+2*s_r+IF(circ_int,eq_c1/2,0))),IF(((54+0.5)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(54+0.5)*(4*IF(circ_int,0,eq_c1/2)+4*IF(circ_int,0,eq_c2/2)+2*PI()*(s_0+2*s_r+IF(circ_int,eq_c1/2,0)))/INDEX(lk_legs,3))-(((((((2*IF(circ_int,0,eq_c2/2))+(PI()*(s_0+2*s_r+IF(circ_int,eq_c1/2,0))/2))+2*IF(circ_int,0,eq_c1/2))+(PI()*(s_0+2*s_r+IF(circ_int,eq_c1/2,0))/2))+2*IF(circ_int,0,eq_c2/2))+(PI()*(s_0+2*s_r+IF(circ_int,eq_c1/2,0))/2))+2*IF(circ_int,0,eq_c1/2)))/(s_0+2*s_r+IF(circ_int,eq_c1/2,0)))))))))),NA())</f>
        <v/>
      </c>
      <c r="BR57">
        <f>IF(AND(AND(links_on,4&lt;=n_per),INDEX(lk_kind,4)=1,54&lt;INDEX(lk_legs,4)),g_ox+IF(((54+0.5)*(4*IF(circ_int,0,eq_c1/2)+4*IF(circ_int,0,eq_c2/2)+2*PI()*(s_0+3*s_r+IF(circ_int,eq_c1/2,0)))/INDEX(lk_legs,4))&lt;(2*IF(circ_int,0,eq_c2/2)),IF(circ_int,0,eq_c1/2)+(s_0+3*s_r+IF(circ_int,eq_c1/2,0)),IF(((54+0.5)*(4*IF(circ_int,0,eq_c1/2)+4*IF(circ_int,0,eq_c2/2)+2*PI()*(s_0+3*s_r+IF(circ_int,eq_c1/2,0)))/INDEX(lk_legs,4))&lt;((2*IF(circ_int,0,eq_c2/2))+(PI()*(s_0+3*s_r+IF(circ_int,eq_c1/2,0))/2)),IF(circ_int,0,eq_c1/2)+(s_0+3*s_r+IF(circ_int,eq_c1/2,0))*COS((((54+0.5)*(4*IF(circ_int,0,eq_c1/2)+4*IF(circ_int,0,eq_c2/2)+2*PI()*(s_0+3*s_r+IF(circ_int,eq_c1/2,0)))/INDEX(lk_legs,4))-(2*IF(circ_int,0,eq_c2/2)))/(s_0+3*s_r+IF(circ_int,eq_c1/2,0))),IF(((54+0.5)*(4*IF(circ_int,0,eq_c1/2)+4*IF(circ_int,0,eq_c2/2)+2*PI()*(s_0+3*s_r+IF(circ_int,eq_c1/2,0)))/INDEX(lk_legs,4))&lt;(((2*IF(circ_int,0,eq_c2/2))+(PI()*(s_0+3*s_r+IF(circ_int,eq_c1/2,0))/2))+2*IF(circ_int,0,eq_c1/2)),IF(circ_int,0,eq_c1/2)-(((54+0.5)*(4*IF(circ_int,0,eq_c1/2)+4*IF(circ_int,0,eq_c2/2)+2*PI()*(s_0+3*s_r+IF(circ_int,eq_c1/2,0)))/INDEX(lk_legs,4))-((2*IF(circ_int,0,eq_c2/2))+(PI()*(s_0+3*s_r+IF(circ_int,eq_c1/2,0))/2))),IF(((54+0.5)*(4*IF(circ_int,0,eq_c1/2)+4*IF(circ_int,0,eq_c2/2)+2*PI()*(s_0+3*s_r+IF(circ_int,eq_c1/2,0)))/INDEX(lk_legs,4))&lt;((((2*IF(circ_int,0,eq_c2/2))+(PI()*(s_0+3*s_r+IF(circ_int,eq_c1/2,0))/2))+2*IF(circ_int,0,eq_c1/2))+(PI()*(s_0+3*s_r+IF(circ_int,eq_c1/2,0))/2)),-IF(circ_int,0,eq_c1/2)+(s_0+3*s_r+IF(circ_int,eq_c1/2,0))*COS(PI()/2+(((54+0.5)*(4*IF(circ_int,0,eq_c1/2)+4*IF(circ_int,0,eq_c2/2)+2*PI()*(s_0+3*s_r+IF(circ_int,eq_c1/2,0)))/INDEX(lk_legs,4))-(((2*IF(circ_int,0,eq_c2/2))+(PI()*(s_0+3*s_r+IF(circ_int,eq_c1/2,0))/2))+2*IF(circ_int,0,eq_c1/2)))/(s_0+3*s_r+IF(circ_int,eq_c1/2,0))),IF(((54+0.5)*(4*IF(circ_int,0,eq_c1/2)+4*IF(circ_int,0,eq_c2/2)+2*PI()*(s_0+3*s_r+IF(circ_int,eq_c1/2,0)))/INDEX(lk_legs,4))&lt;(((((2*IF(circ_int,0,eq_c2/2))+(PI()*(s_0+3*s_r+IF(circ_int,eq_c1/2,0))/2))+2*IF(circ_int,0,eq_c1/2))+(PI()*(s_0+3*s_r+IF(circ_int,eq_c1/2,0))/2))+2*IF(circ_int,0,eq_c2/2)),-IF(circ_int,0,eq_c1/2)-(s_0+3*s_r+IF(circ_int,eq_c1/2,0)),IF(((54+0.5)*(4*IF(circ_int,0,eq_c1/2)+4*IF(circ_int,0,eq_c2/2)+2*PI()*(s_0+3*s_r+IF(circ_int,eq_c1/2,0)))/INDEX(lk_legs,4))&lt;((((((2*IF(circ_int,0,eq_c2/2))+(PI()*(s_0+3*s_r+IF(circ_int,eq_c1/2,0))/2))+2*IF(circ_int,0,eq_c1/2))+(PI()*(s_0+3*s_r+IF(circ_int,eq_c1/2,0))/2))+2*IF(circ_int,0,eq_c2/2))+(PI()*(s_0+3*s_r+IF(circ_int,eq_c1/2,0))/2)),-IF(circ_int,0,eq_c1/2)+(s_0+3*s_r+IF(circ_int,eq_c1/2,0))*COS(PI()+(((54+0.5)*(4*IF(circ_int,0,eq_c1/2)+4*IF(circ_int,0,eq_c2/2)+2*PI()*(s_0+3*s_r+IF(circ_int,eq_c1/2,0)))/INDEX(lk_legs,4))-(((((2*IF(circ_int,0,eq_c2/2))+(PI()*(s_0+3*s_r+IF(circ_int,eq_c1/2,0))/2))+2*IF(circ_int,0,eq_c1/2))+(PI()*(s_0+3*s_r+IF(circ_int,eq_c1/2,0))/2))+2*IF(circ_int,0,eq_c2/2)))/(s_0+3*s_r+IF(circ_int,eq_c1/2,0))),IF(((54+0.5)*(4*IF(circ_int,0,eq_c1/2)+4*IF(circ_int,0,eq_c2/2)+2*PI()*(s_0+3*s_r+IF(circ_int,eq_c1/2,0)))/INDEX(lk_legs,4))&lt;(((((((2*IF(circ_int,0,eq_c2/2))+(PI()*(s_0+3*s_r+IF(circ_int,eq_c1/2,0))/2))+2*IF(circ_int,0,eq_c1/2))+(PI()*(s_0+3*s_r+IF(circ_int,eq_c1/2,0))/2))+2*IF(circ_int,0,eq_c2/2))+(PI()*(s_0+3*s_r+IF(circ_int,eq_c1/2,0))/2))+2*IF(circ_int,0,eq_c1/2)),-IF(circ_int,0,eq_c1/2)+(((54+0.5)*(4*IF(circ_int,0,eq_c1/2)+4*IF(circ_int,0,eq_c2/2)+2*PI()*(s_0+3*s_r+IF(circ_int,eq_c1/2,0)))/INDEX(lk_legs,4))-((((((2*IF(circ_int,0,eq_c2/2))+(PI()*(s_0+3*s_r+IF(circ_int,eq_c1/2,0))/2))+2*IF(circ_int,0,eq_c1/2))+(PI()*(s_0+3*s_r+IF(circ_int,eq_c1/2,0))/2))+2*IF(circ_int,0,eq_c2/2))+(PI()*(s_0+3*s_r+IF(circ_int,eq_c1/2,0))/2))),IF(circ_int,0,eq_c1/2)+(s_0+3*s_r+IF(circ_int,eq_c1/2,0))*COS(3*PI()/2+(((54+0.5)*(4*IF(circ_int,0,eq_c1/2)+4*IF(circ_int,0,eq_c2/2)+2*PI()*(s_0+3*s_r+IF(circ_int,eq_c1/2,0)))/INDEX(lk_legs,4))-(((((((2*IF(circ_int,0,eq_c2/2))+(PI()*(s_0+3*s_r+IF(circ_int,eq_c1/2,0))/2))+2*IF(circ_int,0,eq_c1/2))+(PI()*(s_0+3*s_r+IF(circ_int,eq_c1/2,0))/2))+2*IF(circ_int,0,eq_c2/2))+(PI()*(s_0+3*s_r+IF(circ_int,eq_c1/2,0))/2))+2*IF(circ_int,0,eq_c1/2)))/(s_0+3*s_r+IF(circ_int,eq_c1/2,0)))))))))),NA())</f>
        <v/>
      </c>
      <c r="BS57">
        <f>IF(AND(AND(links_on,4&lt;=n_per),INDEX(lk_kind,4)=1,54&lt;INDEX(lk_legs,4)),g_oy+IF(((54+0.5)*(4*IF(circ_int,0,eq_c1/2)+4*IF(circ_int,0,eq_c2/2)+2*PI()*(s_0+3*s_r+IF(circ_int,eq_c1/2,0)))/INDEX(lk_legs,4))&lt;(2*IF(circ_int,0,eq_c2/2)),-IF(circ_int,0,eq_c2/2)+((54+0.5)*(4*IF(circ_int,0,eq_c1/2)+4*IF(circ_int,0,eq_c2/2)+2*PI()*(s_0+3*s_r+IF(circ_int,eq_c1/2,0)))/INDEX(lk_legs,4)),IF(((54+0.5)*(4*IF(circ_int,0,eq_c1/2)+4*IF(circ_int,0,eq_c2/2)+2*PI()*(s_0+3*s_r+IF(circ_int,eq_c1/2,0)))/INDEX(lk_legs,4))&lt;((2*IF(circ_int,0,eq_c2/2))+(PI()*(s_0+3*s_r+IF(circ_int,eq_c1/2,0))/2)),IF(circ_int,0,eq_c2/2)+(s_0+3*s_r+IF(circ_int,eq_c1/2,0))*SIN((((54+0.5)*(4*IF(circ_int,0,eq_c1/2)+4*IF(circ_int,0,eq_c2/2)+2*PI()*(s_0+3*s_r+IF(circ_int,eq_c1/2,0)))/INDEX(lk_legs,4))-(2*IF(circ_int,0,eq_c2/2)))/(s_0+3*s_r+IF(circ_int,eq_c1/2,0))),IF(((54+0.5)*(4*IF(circ_int,0,eq_c1/2)+4*IF(circ_int,0,eq_c2/2)+2*PI()*(s_0+3*s_r+IF(circ_int,eq_c1/2,0)))/INDEX(lk_legs,4))&lt;(((2*IF(circ_int,0,eq_c2/2))+(PI()*(s_0+3*s_r+IF(circ_int,eq_c1/2,0))/2))+2*IF(circ_int,0,eq_c1/2)),IF(circ_int,0,eq_c2/2)+(s_0+3*s_r+IF(circ_int,eq_c1/2,0)),IF(((54+0.5)*(4*IF(circ_int,0,eq_c1/2)+4*IF(circ_int,0,eq_c2/2)+2*PI()*(s_0+3*s_r+IF(circ_int,eq_c1/2,0)))/INDEX(lk_legs,4))&lt;((((2*IF(circ_int,0,eq_c2/2))+(PI()*(s_0+3*s_r+IF(circ_int,eq_c1/2,0))/2))+2*IF(circ_int,0,eq_c1/2))+(PI()*(s_0+3*s_r+IF(circ_int,eq_c1/2,0))/2)),IF(circ_int,0,eq_c2/2)+(s_0+3*s_r+IF(circ_int,eq_c1/2,0))*SIN(PI()/2+(((54+0.5)*(4*IF(circ_int,0,eq_c1/2)+4*IF(circ_int,0,eq_c2/2)+2*PI()*(s_0+3*s_r+IF(circ_int,eq_c1/2,0)))/INDEX(lk_legs,4))-(((2*IF(circ_int,0,eq_c2/2))+(PI()*(s_0+3*s_r+IF(circ_int,eq_c1/2,0))/2))+2*IF(circ_int,0,eq_c1/2)))/(s_0+3*s_r+IF(circ_int,eq_c1/2,0))),IF(((54+0.5)*(4*IF(circ_int,0,eq_c1/2)+4*IF(circ_int,0,eq_c2/2)+2*PI()*(s_0+3*s_r+IF(circ_int,eq_c1/2,0)))/INDEX(lk_legs,4))&lt;(((((2*IF(circ_int,0,eq_c2/2))+(PI()*(s_0+3*s_r+IF(circ_int,eq_c1/2,0))/2))+2*IF(circ_int,0,eq_c1/2))+(PI()*(s_0+3*s_r+IF(circ_int,eq_c1/2,0))/2))+2*IF(circ_int,0,eq_c2/2)),IF(circ_int,0,eq_c2/2)-(((54+0.5)*(4*IF(circ_int,0,eq_c1/2)+4*IF(circ_int,0,eq_c2/2)+2*PI()*(s_0+3*s_r+IF(circ_int,eq_c1/2,0)))/INDEX(lk_legs,4))-((((2*IF(circ_int,0,eq_c2/2))+(PI()*(s_0+3*s_r+IF(circ_int,eq_c1/2,0))/2))+2*IF(circ_int,0,eq_c1/2))+(PI()*(s_0+3*s_r+IF(circ_int,eq_c1/2,0))/2))),IF(((54+0.5)*(4*IF(circ_int,0,eq_c1/2)+4*IF(circ_int,0,eq_c2/2)+2*PI()*(s_0+3*s_r+IF(circ_int,eq_c1/2,0)))/INDEX(lk_legs,4))&lt;((((((2*IF(circ_int,0,eq_c2/2))+(PI()*(s_0+3*s_r+IF(circ_int,eq_c1/2,0))/2))+2*IF(circ_int,0,eq_c1/2))+(PI()*(s_0+3*s_r+IF(circ_int,eq_c1/2,0))/2))+2*IF(circ_int,0,eq_c2/2))+(PI()*(s_0+3*s_r+IF(circ_int,eq_c1/2,0))/2)),-IF(circ_int,0,eq_c2/2)+(s_0+3*s_r+IF(circ_int,eq_c1/2,0))*SIN(PI()+(((54+0.5)*(4*IF(circ_int,0,eq_c1/2)+4*IF(circ_int,0,eq_c2/2)+2*PI()*(s_0+3*s_r+IF(circ_int,eq_c1/2,0)))/INDEX(lk_legs,4))-(((((2*IF(circ_int,0,eq_c2/2))+(PI()*(s_0+3*s_r+IF(circ_int,eq_c1/2,0))/2))+2*IF(circ_int,0,eq_c1/2))+(PI()*(s_0+3*s_r+IF(circ_int,eq_c1/2,0))/2))+2*IF(circ_int,0,eq_c2/2)))/(s_0+3*s_r+IF(circ_int,eq_c1/2,0))),IF(((54+0.5)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(54+0.5)*(4*IF(circ_int,0,eq_c1/2)+4*IF(circ_int,0,eq_c2/2)+2*PI()*(s_0+3*s_r+IF(circ_int,eq_c1/2,0)))/INDEX(lk_legs,4))-(((((((2*IF(circ_int,0,eq_c2/2))+(PI()*(s_0+3*s_r+IF(circ_int,eq_c1/2,0))/2))+2*IF(circ_int,0,eq_c1/2))+(PI()*(s_0+3*s_r+IF(circ_int,eq_c1/2,0))/2))+2*IF(circ_int,0,eq_c2/2))+(PI()*(s_0+3*s_r+IF(circ_int,eq_c1/2,0))/2))+2*IF(circ_int,0,eq_c1/2)))/(s_0+3*s_r+IF(circ_int,eq_c1/2,0)))))))))),NA())</f>
        <v/>
      </c>
      <c r="BX57">
        <f>IF(AND(AND(links_on,5&lt;=n_per),INDEX(lk_kind,5)=1,54&lt;INDEX(lk_legs,5)),g_ox+IF(((54+0.5)*(4*IF(circ_int,0,eq_c1/2)+4*IF(circ_int,0,eq_c2/2)+2*PI()*(s_0+4*s_r+IF(circ_int,eq_c1/2,0)))/INDEX(lk_legs,5))&lt;(2*IF(circ_int,0,eq_c2/2)),IF(circ_int,0,eq_c1/2)+(s_0+4*s_r+IF(circ_int,eq_c1/2,0)),IF(((54+0.5)*(4*IF(circ_int,0,eq_c1/2)+4*IF(circ_int,0,eq_c2/2)+2*PI()*(s_0+4*s_r+IF(circ_int,eq_c1/2,0)))/INDEX(lk_legs,5))&lt;((2*IF(circ_int,0,eq_c2/2))+(PI()*(s_0+4*s_r+IF(circ_int,eq_c1/2,0))/2)),IF(circ_int,0,eq_c1/2)+(s_0+4*s_r+IF(circ_int,eq_c1/2,0))*COS((((54+0.5)*(4*IF(circ_int,0,eq_c1/2)+4*IF(circ_int,0,eq_c2/2)+2*PI()*(s_0+4*s_r+IF(circ_int,eq_c1/2,0)))/INDEX(lk_legs,5))-(2*IF(circ_int,0,eq_c2/2)))/(s_0+4*s_r+IF(circ_int,eq_c1/2,0))),IF(((54+0.5)*(4*IF(circ_int,0,eq_c1/2)+4*IF(circ_int,0,eq_c2/2)+2*PI()*(s_0+4*s_r+IF(circ_int,eq_c1/2,0)))/INDEX(lk_legs,5))&lt;(((2*IF(circ_int,0,eq_c2/2))+(PI()*(s_0+4*s_r+IF(circ_int,eq_c1/2,0))/2))+2*IF(circ_int,0,eq_c1/2)),IF(circ_int,0,eq_c1/2)-(((54+0.5)*(4*IF(circ_int,0,eq_c1/2)+4*IF(circ_int,0,eq_c2/2)+2*PI()*(s_0+4*s_r+IF(circ_int,eq_c1/2,0)))/INDEX(lk_legs,5))-((2*IF(circ_int,0,eq_c2/2))+(PI()*(s_0+4*s_r+IF(circ_int,eq_c1/2,0))/2))),IF(((54+0.5)*(4*IF(circ_int,0,eq_c1/2)+4*IF(circ_int,0,eq_c2/2)+2*PI()*(s_0+4*s_r+IF(circ_int,eq_c1/2,0)))/INDEX(lk_legs,5))&lt;((((2*IF(circ_int,0,eq_c2/2))+(PI()*(s_0+4*s_r+IF(circ_int,eq_c1/2,0))/2))+2*IF(circ_int,0,eq_c1/2))+(PI()*(s_0+4*s_r+IF(circ_int,eq_c1/2,0))/2)),-IF(circ_int,0,eq_c1/2)+(s_0+4*s_r+IF(circ_int,eq_c1/2,0))*COS(PI()/2+(((54+0.5)*(4*IF(circ_int,0,eq_c1/2)+4*IF(circ_int,0,eq_c2/2)+2*PI()*(s_0+4*s_r+IF(circ_int,eq_c1/2,0)))/INDEX(lk_legs,5))-(((2*IF(circ_int,0,eq_c2/2))+(PI()*(s_0+4*s_r+IF(circ_int,eq_c1/2,0))/2))+2*IF(circ_int,0,eq_c1/2)))/(s_0+4*s_r+IF(circ_int,eq_c1/2,0))),IF(((54+0.5)*(4*IF(circ_int,0,eq_c1/2)+4*IF(circ_int,0,eq_c2/2)+2*PI()*(s_0+4*s_r+IF(circ_int,eq_c1/2,0)))/INDEX(lk_legs,5))&lt;(((((2*IF(circ_int,0,eq_c2/2))+(PI()*(s_0+4*s_r+IF(circ_int,eq_c1/2,0))/2))+2*IF(circ_int,0,eq_c1/2))+(PI()*(s_0+4*s_r+IF(circ_int,eq_c1/2,0))/2))+2*IF(circ_int,0,eq_c2/2)),-IF(circ_int,0,eq_c1/2)-(s_0+4*s_r+IF(circ_int,eq_c1/2,0)),IF(((54+0.5)*(4*IF(circ_int,0,eq_c1/2)+4*IF(circ_int,0,eq_c2/2)+2*PI()*(s_0+4*s_r+IF(circ_int,eq_c1/2,0)))/INDEX(lk_legs,5))&lt;((((((2*IF(circ_int,0,eq_c2/2))+(PI()*(s_0+4*s_r+IF(circ_int,eq_c1/2,0))/2))+2*IF(circ_int,0,eq_c1/2))+(PI()*(s_0+4*s_r+IF(circ_int,eq_c1/2,0))/2))+2*IF(circ_int,0,eq_c2/2))+(PI()*(s_0+4*s_r+IF(circ_int,eq_c1/2,0))/2)),-IF(circ_int,0,eq_c1/2)+(s_0+4*s_r+IF(circ_int,eq_c1/2,0))*COS(PI()+(((54+0.5)*(4*IF(circ_int,0,eq_c1/2)+4*IF(circ_int,0,eq_c2/2)+2*PI()*(s_0+4*s_r+IF(circ_int,eq_c1/2,0)))/INDEX(lk_legs,5))-(((((2*IF(circ_int,0,eq_c2/2))+(PI()*(s_0+4*s_r+IF(circ_int,eq_c1/2,0))/2))+2*IF(circ_int,0,eq_c1/2))+(PI()*(s_0+4*s_r+IF(circ_int,eq_c1/2,0))/2))+2*IF(circ_int,0,eq_c2/2)))/(s_0+4*s_r+IF(circ_int,eq_c1/2,0))),IF(((54+0.5)*(4*IF(circ_int,0,eq_c1/2)+4*IF(circ_int,0,eq_c2/2)+2*PI()*(s_0+4*s_r+IF(circ_int,eq_c1/2,0)))/INDEX(lk_legs,5))&lt;(((((((2*IF(circ_int,0,eq_c2/2))+(PI()*(s_0+4*s_r+IF(circ_int,eq_c1/2,0))/2))+2*IF(circ_int,0,eq_c1/2))+(PI()*(s_0+4*s_r+IF(circ_int,eq_c1/2,0))/2))+2*IF(circ_int,0,eq_c2/2))+(PI()*(s_0+4*s_r+IF(circ_int,eq_c1/2,0))/2))+2*IF(circ_int,0,eq_c1/2)),-IF(circ_int,0,eq_c1/2)+(((54+0.5)*(4*IF(circ_int,0,eq_c1/2)+4*IF(circ_int,0,eq_c2/2)+2*PI()*(s_0+4*s_r+IF(circ_int,eq_c1/2,0)))/INDEX(lk_legs,5))-((((((2*IF(circ_int,0,eq_c2/2))+(PI()*(s_0+4*s_r+IF(circ_int,eq_c1/2,0))/2))+2*IF(circ_int,0,eq_c1/2))+(PI()*(s_0+4*s_r+IF(circ_int,eq_c1/2,0))/2))+2*IF(circ_int,0,eq_c2/2))+(PI()*(s_0+4*s_r+IF(circ_int,eq_c1/2,0))/2))),IF(circ_int,0,eq_c1/2)+(s_0+4*s_r+IF(circ_int,eq_c1/2,0))*COS(3*PI()/2+(((54+0.5)*(4*IF(circ_int,0,eq_c1/2)+4*IF(circ_int,0,eq_c2/2)+2*PI()*(s_0+4*s_r+IF(circ_int,eq_c1/2,0)))/INDEX(lk_legs,5))-(((((((2*IF(circ_int,0,eq_c2/2))+(PI()*(s_0+4*s_r+IF(circ_int,eq_c1/2,0))/2))+2*IF(circ_int,0,eq_c1/2))+(PI()*(s_0+4*s_r+IF(circ_int,eq_c1/2,0))/2))+2*IF(circ_int,0,eq_c2/2))+(PI()*(s_0+4*s_r+IF(circ_int,eq_c1/2,0))/2))+2*IF(circ_int,0,eq_c1/2)))/(s_0+4*s_r+IF(circ_int,eq_c1/2,0)))))))))),NA())</f>
        <v/>
      </c>
      <c r="BY57">
        <f>IF(AND(AND(links_on,5&lt;=n_per),INDEX(lk_kind,5)=1,54&lt;INDEX(lk_legs,5)),g_oy+IF(((54+0.5)*(4*IF(circ_int,0,eq_c1/2)+4*IF(circ_int,0,eq_c2/2)+2*PI()*(s_0+4*s_r+IF(circ_int,eq_c1/2,0)))/INDEX(lk_legs,5))&lt;(2*IF(circ_int,0,eq_c2/2)),-IF(circ_int,0,eq_c2/2)+((54+0.5)*(4*IF(circ_int,0,eq_c1/2)+4*IF(circ_int,0,eq_c2/2)+2*PI()*(s_0+4*s_r+IF(circ_int,eq_c1/2,0)))/INDEX(lk_legs,5)),IF(((54+0.5)*(4*IF(circ_int,0,eq_c1/2)+4*IF(circ_int,0,eq_c2/2)+2*PI()*(s_0+4*s_r+IF(circ_int,eq_c1/2,0)))/INDEX(lk_legs,5))&lt;((2*IF(circ_int,0,eq_c2/2))+(PI()*(s_0+4*s_r+IF(circ_int,eq_c1/2,0))/2)),IF(circ_int,0,eq_c2/2)+(s_0+4*s_r+IF(circ_int,eq_c1/2,0))*SIN((((54+0.5)*(4*IF(circ_int,0,eq_c1/2)+4*IF(circ_int,0,eq_c2/2)+2*PI()*(s_0+4*s_r+IF(circ_int,eq_c1/2,0)))/INDEX(lk_legs,5))-(2*IF(circ_int,0,eq_c2/2)))/(s_0+4*s_r+IF(circ_int,eq_c1/2,0))),IF(((54+0.5)*(4*IF(circ_int,0,eq_c1/2)+4*IF(circ_int,0,eq_c2/2)+2*PI()*(s_0+4*s_r+IF(circ_int,eq_c1/2,0)))/INDEX(lk_legs,5))&lt;(((2*IF(circ_int,0,eq_c2/2))+(PI()*(s_0+4*s_r+IF(circ_int,eq_c1/2,0))/2))+2*IF(circ_int,0,eq_c1/2)),IF(circ_int,0,eq_c2/2)+(s_0+4*s_r+IF(circ_int,eq_c1/2,0)),IF(((54+0.5)*(4*IF(circ_int,0,eq_c1/2)+4*IF(circ_int,0,eq_c2/2)+2*PI()*(s_0+4*s_r+IF(circ_int,eq_c1/2,0)))/INDEX(lk_legs,5))&lt;((((2*IF(circ_int,0,eq_c2/2))+(PI()*(s_0+4*s_r+IF(circ_int,eq_c1/2,0))/2))+2*IF(circ_int,0,eq_c1/2))+(PI()*(s_0+4*s_r+IF(circ_int,eq_c1/2,0))/2)),IF(circ_int,0,eq_c2/2)+(s_0+4*s_r+IF(circ_int,eq_c1/2,0))*SIN(PI()/2+(((54+0.5)*(4*IF(circ_int,0,eq_c1/2)+4*IF(circ_int,0,eq_c2/2)+2*PI()*(s_0+4*s_r+IF(circ_int,eq_c1/2,0)))/INDEX(lk_legs,5))-(((2*IF(circ_int,0,eq_c2/2))+(PI()*(s_0+4*s_r+IF(circ_int,eq_c1/2,0))/2))+2*IF(circ_int,0,eq_c1/2)))/(s_0+4*s_r+IF(circ_int,eq_c1/2,0))),IF(((54+0.5)*(4*IF(circ_int,0,eq_c1/2)+4*IF(circ_int,0,eq_c2/2)+2*PI()*(s_0+4*s_r+IF(circ_int,eq_c1/2,0)))/INDEX(lk_legs,5))&lt;(((((2*IF(circ_int,0,eq_c2/2))+(PI()*(s_0+4*s_r+IF(circ_int,eq_c1/2,0))/2))+2*IF(circ_int,0,eq_c1/2))+(PI()*(s_0+4*s_r+IF(circ_int,eq_c1/2,0))/2))+2*IF(circ_int,0,eq_c2/2)),IF(circ_int,0,eq_c2/2)-(((54+0.5)*(4*IF(circ_int,0,eq_c1/2)+4*IF(circ_int,0,eq_c2/2)+2*PI()*(s_0+4*s_r+IF(circ_int,eq_c1/2,0)))/INDEX(lk_legs,5))-((((2*IF(circ_int,0,eq_c2/2))+(PI()*(s_0+4*s_r+IF(circ_int,eq_c1/2,0))/2))+2*IF(circ_int,0,eq_c1/2))+(PI()*(s_0+4*s_r+IF(circ_int,eq_c1/2,0))/2))),IF(((54+0.5)*(4*IF(circ_int,0,eq_c1/2)+4*IF(circ_int,0,eq_c2/2)+2*PI()*(s_0+4*s_r+IF(circ_int,eq_c1/2,0)))/INDEX(lk_legs,5))&lt;((((((2*IF(circ_int,0,eq_c2/2))+(PI()*(s_0+4*s_r+IF(circ_int,eq_c1/2,0))/2))+2*IF(circ_int,0,eq_c1/2))+(PI()*(s_0+4*s_r+IF(circ_int,eq_c1/2,0))/2))+2*IF(circ_int,0,eq_c2/2))+(PI()*(s_0+4*s_r+IF(circ_int,eq_c1/2,0))/2)),-IF(circ_int,0,eq_c2/2)+(s_0+4*s_r+IF(circ_int,eq_c1/2,0))*SIN(PI()+(((54+0.5)*(4*IF(circ_int,0,eq_c1/2)+4*IF(circ_int,0,eq_c2/2)+2*PI()*(s_0+4*s_r+IF(circ_int,eq_c1/2,0)))/INDEX(lk_legs,5))-(((((2*IF(circ_int,0,eq_c2/2))+(PI()*(s_0+4*s_r+IF(circ_int,eq_c1/2,0))/2))+2*IF(circ_int,0,eq_c1/2))+(PI()*(s_0+4*s_r+IF(circ_int,eq_c1/2,0))/2))+2*IF(circ_int,0,eq_c2/2)))/(s_0+4*s_r+IF(circ_int,eq_c1/2,0))),IF(((54+0.5)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(54+0.5)*(4*IF(circ_int,0,eq_c1/2)+4*IF(circ_int,0,eq_c2/2)+2*PI()*(s_0+4*s_r+IF(circ_int,eq_c1/2,0)))/INDEX(lk_legs,5))-(((((((2*IF(circ_int,0,eq_c2/2))+(PI()*(s_0+4*s_r+IF(circ_int,eq_c1/2,0))/2))+2*IF(circ_int,0,eq_c1/2))+(PI()*(s_0+4*s_r+IF(circ_int,eq_c1/2,0))/2))+2*IF(circ_int,0,eq_c2/2))+(PI()*(s_0+4*s_r+IF(circ_int,eq_c1/2,0))/2))+2*IF(circ_int,0,eq_c1/2)))/(s_0+4*s_r+IF(circ_int,eq_c1/2,0)))))))))),NA())</f>
        <v/>
      </c>
      <c r="CD57">
        <f>IF(AND(AND(links_on,6&lt;=n_per),INDEX(lk_kind,6)=1,54&lt;INDEX(lk_legs,6)),g_ox+IF(((54+0.5)*(4*IF(circ_int,0,eq_c1/2)+4*IF(circ_int,0,eq_c2/2)+2*PI()*(s_0+5*s_r+IF(circ_int,eq_c1/2,0)))/INDEX(lk_legs,6))&lt;(2*IF(circ_int,0,eq_c2/2)),IF(circ_int,0,eq_c1/2)+(s_0+5*s_r+IF(circ_int,eq_c1/2,0)),IF(((54+0.5)*(4*IF(circ_int,0,eq_c1/2)+4*IF(circ_int,0,eq_c2/2)+2*PI()*(s_0+5*s_r+IF(circ_int,eq_c1/2,0)))/INDEX(lk_legs,6))&lt;((2*IF(circ_int,0,eq_c2/2))+(PI()*(s_0+5*s_r+IF(circ_int,eq_c1/2,0))/2)),IF(circ_int,0,eq_c1/2)+(s_0+5*s_r+IF(circ_int,eq_c1/2,0))*COS((((54+0.5)*(4*IF(circ_int,0,eq_c1/2)+4*IF(circ_int,0,eq_c2/2)+2*PI()*(s_0+5*s_r+IF(circ_int,eq_c1/2,0)))/INDEX(lk_legs,6))-(2*IF(circ_int,0,eq_c2/2)))/(s_0+5*s_r+IF(circ_int,eq_c1/2,0))),IF(((54+0.5)*(4*IF(circ_int,0,eq_c1/2)+4*IF(circ_int,0,eq_c2/2)+2*PI()*(s_0+5*s_r+IF(circ_int,eq_c1/2,0)))/INDEX(lk_legs,6))&lt;(((2*IF(circ_int,0,eq_c2/2))+(PI()*(s_0+5*s_r+IF(circ_int,eq_c1/2,0))/2))+2*IF(circ_int,0,eq_c1/2)),IF(circ_int,0,eq_c1/2)-(((54+0.5)*(4*IF(circ_int,0,eq_c1/2)+4*IF(circ_int,0,eq_c2/2)+2*PI()*(s_0+5*s_r+IF(circ_int,eq_c1/2,0)))/INDEX(lk_legs,6))-((2*IF(circ_int,0,eq_c2/2))+(PI()*(s_0+5*s_r+IF(circ_int,eq_c1/2,0))/2))),IF(((54+0.5)*(4*IF(circ_int,0,eq_c1/2)+4*IF(circ_int,0,eq_c2/2)+2*PI()*(s_0+5*s_r+IF(circ_int,eq_c1/2,0)))/INDEX(lk_legs,6))&lt;((((2*IF(circ_int,0,eq_c2/2))+(PI()*(s_0+5*s_r+IF(circ_int,eq_c1/2,0))/2))+2*IF(circ_int,0,eq_c1/2))+(PI()*(s_0+5*s_r+IF(circ_int,eq_c1/2,0))/2)),-IF(circ_int,0,eq_c1/2)+(s_0+5*s_r+IF(circ_int,eq_c1/2,0))*COS(PI()/2+(((54+0.5)*(4*IF(circ_int,0,eq_c1/2)+4*IF(circ_int,0,eq_c2/2)+2*PI()*(s_0+5*s_r+IF(circ_int,eq_c1/2,0)))/INDEX(lk_legs,6))-(((2*IF(circ_int,0,eq_c2/2))+(PI()*(s_0+5*s_r+IF(circ_int,eq_c1/2,0))/2))+2*IF(circ_int,0,eq_c1/2)))/(s_0+5*s_r+IF(circ_int,eq_c1/2,0))),IF(((54+0.5)*(4*IF(circ_int,0,eq_c1/2)+4*IF(circ_int,0,eq_c2/2)+2*PI()*(s_0+5*s_r+IF(circ_int,eq_c1/2,0)))/INDEX(lk_legs,6))&lt;(((((2*IF(circ_int,0,eq_c2/2))+(PI()*(s_0+5*s_r+IF(circ_int,eq_c1/2,0))/2))+2*IF(circ_int,0,eq_c1/2))+(PI()*(s_0+5*s_r+IF(circ_int,eq_c1/2,0))/2))+2*IF(circ_int,0,eq_c2/2)),-IF(circ_int,0,eq_c1/2)-(s_0+5*s_r+IF(circ_int,eq_c1/2,0)),IF(((54+0.5)*(4*IF(circ_int,0,eq_c1/2)+4*IF(circ_int,0,eq_c2/2)+2*PI()*(s_0+5*s_r+IF(circ_int,eq_c1/2,0)))/INDEX(lk_legs,6))&lt;((((((2*IF(circ_int,0,eq_c2/2))+(PI()*(s_0+5*s_r+IF(circ_int,eq_c1/2,0))/2))+2*IF(circ_int,0,eq_c1/2))+(PI()*(s_0+5*s_r+IF(circ_int,eq_c1/2,0))/2))+2*IF(circ_int,0,eq_c2/2))+(PI()*(s_0+5*s_r+IF(circ_int,eq_c1/2,0))/2)),-IF(circ_int,0,eq_c1/2)+(s_0+5*s_r+IF(circ_int,eq_c1/2,0))*COS(PI()+(((54+0.5)*(4*IF(circ_int,0,eq_c1/2)+4*IF(circ_int,0,eq_c2/2)+2*PI()*(s_0+5*s_r+IF(circ_int,eq_c1/2,0)))/INDEX(lk_legs,6))-(((((2*IF(circ_int,0,eq_c2/2))+(PI()*(s_0+5*s_r+IF(circ_int,eq_c1/2,0))/2))+2*IF(circ_int,0,eq_c1/2))+(PI()*(s_0+5*s_r+IF(circ_int,eq_c1/2,0))/2))+2*IF(circ_int,0,eq_c2/2)))/(s_0+5*s_r+IF(circ_int,eq_c1/2,0))),IF(((54+0.5)*(4*IF(circ_int,0,eq_c1/2)+4*IF(circ_int,0,eq_c2/2)+2*PI()*(s_0+5*s_r+IF(circ_int,eq_c1/2,0)))/INDEX(lk_legs,6))&lt;(((((((2*IF(circ_int,0,eq_c2/2))+(PI()*(s_0+5*s_r+IF(circ_int,eq_c1/2,0))/2))+2*IF(circ_int,0,eq_c1/2))+(PI()*(s_0+5*s_r+IF(circ_int,eq_c1/2,0))/2))+2*IF(circ_int,0,eq_c2/2))+(PI()*(s_0+5*s_r+IF(circ_int,eq_c1/2,0))/2))+2*IF(circ_int,0,eq_c1/2)),-IF(circ_int,0,eq_c1/2)+(((54+0.5)*(4*IF(circ_int,0,eq_c1/2)+4*IF(circ_int,0,eq_c2/2)+2*PI()*(s_0+5*s_r+IF(circ_int,eq_c1/2,0)))/INDEX(lk_legs,6))-((((((2*IF(circ_int,0,eq_c2/2))+(PI()*(s_0+5*s_r+IF(circ_int,eq_c1/2,0))/2))+2*IF(circ_int,0,eq_c1/2))+(PI()*(s_0+5*s_r+IF(circ_int,eq_c1/2,0))/2))+2*IF(circ_int,0,eq_c2/2))+(PI()*(s_0+5*s_r+IF(circ_int,eq_c1/2,0))/2))),IF(circ_int,0,eq_c1/2)+(s_0+5*s_r+IF(circ_int,eq_c1/2,0))*COS(3*PI()/2+(((54+0.5)*(4*IF(circ_int,0,eq_c1/2)+4*IF(circ_int,0,eq_c2/2)+2*PI()*(s_0+5*s_r+IF(circ_int,eq_c1/2,0)))/INDEX(lk_legs,6))-(((((((2*IF(circ_int,0,eq_c2/2))+(PI()*(s_0+5*s_r+IF(circ_int,eq_c1/2,0))/2))+2*IF(circ_int,0,eq_c1/2))+(PI()*(s_0+5*s_r+IF(circ_int,eq_c1/2,0))/2))+2*IF(circ_int,0,eq_c2/2))+(PI()*(s_0+5*s_r+IF(circ_int,eq_c1/2,0))/2))+2*IF(circ_int,0,eq_c1/2)))/(s_0+5*s_r+IF(circ_int,eq_c1/2,0)))))))))),NA())</f>
        <v/>
      </c>
      <c r="CE57">
        <f>IF(AND(AND(links_on,6&lt;=n_per),INDEX(lk_kind,6)=1,54&lt;INDEX(lk_legs,6)),g_oy+IF(((54+0.5)*(4*IF(circ_int,0,eq_c1/2)+4*IF(circ_int,0,eq_c2/2)+2*PI()*(s_0+5*s_r+IF(circ_int,eq_c1/2,0)))/INDEX(lk_legs,6))&lt;(2*IF(circ_int,0,eq_c2/2)),-IF(circ_int,0,eq_c2/2)+((54+0.5)*(4*IF(circ_int,0,eq_c1/2)+4*IF(circ_int,0,eq_c2/2)+2*PI()*(s_0+5*s_r+IF(circ_int,eq_c1/2,0)))/INDEX(lk_legs,6)),IF(((54+0.5)*(4*IF(circ_int,0,eq_c1/2)+4*IF(circ_int,0,eq_c2/2)+2*PI()*(s_0+5*s_r+IF(circ_int,eq_c1/2,0)))/INDEX(lk_legs,6))&lt;((2*IF(circ_int,0,eq_c2/2))+(PI()*(s_0+5*s_r+IF(circ_int,eq_c1/2,0))/2)),IF(circ_int,0,eq_c2/2)+(s_0+5*s_r+IF(circ_int,eq_c1/2,0))*SIN((((54+0.5)*(4*IF(circ_int,0,eq_c1/2)+4*IF(circ_int,0,eq_c2/2)+2*PI()*(s_0+5*s_r+IF(circ_int,eq_c1/2,0)))/INDEX(lk_legs,6))-(2*IF(circ_int,0,eq_c2/2)))/(s_0+5*s_r+IF(circ_int,eq_c1/2,0))),IF(((54+0.5)*(4*IF(circ_int,0,eq_c1/2)+4*IF(circ_int,0,eq_c2/2)+2*PI()*(s_0+5*s_r+IF(circ_int,eq_c1/2,0)))/INDEX(lk_legs,6))&lt;(((2*IF(circ_int,0,eq_c2/2))+(PI()*(s_0+5*s_r+IF(circ_int,eq_c1/2,0))/2))+2*IF(circ_int,0,eq_c1/2)),IF(circ_int,0,eq_c2/2)+(s_0+5*s_r+IF(circ_int,eq_c1/2,0)),IF(((54+0.5)*(4*IF(circ_int,0,eq_c1/2)+4*IF(circ_int,0,eq_c2/2)+2*PI()*(s_0+5*s_r+IF(circ_int,eq_c1/2,0)))/INDEX(lk_legs,6))&lt;((((2*IF(circ_int,0,eq_c2/2))+(PI()*(s_0+5*s_r+IF(circ_int,eq_c1/2,0))/2))+2*IF(circ_int,0,eq_c1/2))+(PI()*(s_0+5*s_r+IF(circ_int,eq_c1/2,0))/2)),IF(circ_int,0,eq_c2/2)+(s_0+5*s_r+IF(circ_int,eq_c1/2,0))*SIN(PI()/2+(((54+0.5)*(4*IF(circ_int,0,eq_c1/2)+4*IF(circ_int,0,eq_c2/2)+2*PI()*(s_0+5*s_r+IF(circ_int,eq_c1/2,0)))/INDEX(lk_legs,6))-(((2*IF(circ_int,0,eq_c2/2))+(PI()*(s_0+5*s_r+IF(circ_int,eq_c1/2,0))/2))+2*IF(circ_int,0,eq_c1/2)))/(s_0+5*s_r+IF(circ_int,eq_c1/2,0))),IF(((54+0.5)*(4*IF(circ_int,0,eq_c1/2)+4*IF(circ_int,0,eq_c2/2)+2*PI()*(s_0+5*s_r+IF(circ_int,eq_c1/2,0)))/INDEX(lk_legs,6))&lt;(((((2*IF(circ_int,0,eq_c2/2))+(PI()*(s_0+5*s_r+IF(circ_int,eq_c1/2,0))/2))+2*IF(circ_int,0,eq_c1/2))+(PI()*(s_0+5*s_r+IF(circ_int,eq_c1/2,0))/2))+2*IF(circ_int,0,eq_c2/2)),IF(circ_int,0,eq_c2/2)-(((54+0.5)*(4*IF(circ_int,0,eq_c1/2)+4*IF(circ_int,0,eq_c2/2)+2*PI()*(s_0+5*s_r+IF(circ_int,eq_c1/2,0)))/INDEX(lk_legs,6))-((((2*IF(circ_int,0,eq_c2/2))+(PI()*(s_0+5*s_r+IF(circ_int,eq_c1/2,0))/2))+2*IF(circ_int,0,eq_c1/2))+(PI()*(s_0+5*s_r+IF(circ_int,eq_c1/2,0))/2))),IF(((54+0.5)*(4*IF(circ_int,0,eq_c1/2)+4*IF(circ_int,0,eq_c2/2)+2*PI()*(s_0+5*s_r+IF(circ_int,eq_c1/2,0)))/INDEX(lk_legs,6))&lt;((((((2*IF(circ_int,0,eq_c2/2))+(PI()*(s_0+5*s_r+IF(circ_int,eq_c1/2,0))/2))+2*IF(circ_int,0,eq_c1/2))+(PI()*(s_0+5*s_r+IF(circ_int,eq_c1/2,0))/2))+2*IF(circ_int,0,eq_c2/2))+(PI()*(s_0+5*s_r+IF(circ_int,eq_c1/2,0))/2)),-IF(circ_int,0,eq_c2/2)+(s_0+5*s_r+IF(circ_int,eq_c1/2,0))*SIN(PI()+(((54+0.5)*(4*IF(circ_int,0,eq_c1/2)+4*IF(circ_int,0,eq_c2/2)+2*PI()*(s_0+5*s_r+IF(circ_int,eq_c1/2,0)))/INDEX(lk_legs,6))-(((((2*IF(circ_int,0,eq_c2/2))+(PI()*(s_0+5*s_r+IF(circ_int,eq_c1/2,0))/2))+2*IF(circ_int,0,eq_c1/2))+(PI()*(s_0+5*s_r+IF(circ_int,eq_c1/2,0))/2))+2*IF(circ_int,0,eq_c2/2)))/(s_0+5*s_r+IF(circ_int,eq_c1/2,0))),IF(((54+0.5)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(54+0.5)*(4*IF(circ_int,0,eq_c1/2)+4*IF(circ_int,0,eq_c2/2)+2*PI()*(s_0+5*s_r+IF(circ_int,eq_c1/2,0)))/INDEX(lk_legs,6))-(((((((2*IF(circ_int,0,eq_c2/2))+(PI()*(s_0+5*s_r+IF(circ_int,eq_c1/2,0))/2))+2*IF(circ_int,0,eq_c1/2))+(PI()*(s_0+5*s_r+IF(circ_int,eq_c1/2,0))/2))+2*IF(circ_int,0,eq_c2/2))+(PI()*(s_0+5*s_r+IF(circ_int,eq_c1/2,0))/2))+2*IF(circ_int,0,eq_c1/2)))/(s_0+5*s_r+IF(circ_int,eq_c1/2,0)))))))))),NA())</f>
        <v/>
      </c>
      <c r="CJ57">
        <f>IF(AND(AND(links_on,7&lt;=n_per),INDEX(lk_kind,7)=1,54&lt;INDEX(lk_legs,7)),g_ox+IF(((54+0.5)*(4*IF(circ_int,0,eq_c1/2)+4*IF(circ_int,0,eq_c2/2)+2*PI()*(s_0+6*s_r+IF(circ_int,eq_c1/2,0)))/INDEX(lk_legs,7))&lt;(2*IF(circ_int,0,eq_c2/2)),IF(circ_int,0,eq_c1/2)+(s_0+6*s_r+IF(circ_int,eq_c1/2,0)),IF(((54+0.5)*(4*IF(circ_int,0,eq_c1/2)+4*IF(circ_int,0,eq_c2/2)+2*PI()*(s_0+6*s_r+IF(circ_int,eq_c1/2,0)))/INDEX(lk_legs,7))&lt;((2*IF(circ_int,0,eq_c2/2))+(PI()*(s_0+6*s_r+IF(circ_int,eq_c1/2,0))/2)),IF(circ_int,0,eq_c1/2)+(s_0+6*s_r+IF(circ_int,eq_c1/2,0))*COS((((54+0.5)*(4*IF(circ_int,0,eq_c1/2)+4*IF(circ_int,0,eq_c2/2)+2*PI()*(s_0+6*s_r+IF(circ_int,eq_c1/2,0)))/INDEX(lk_legs,7))-(2*IF(circ_int,0,eq_c2/2)))/(s_0+6*s_r+IF(circ_int,eq_c1/2,0))),IF(((54+0.5)*(4*IF(circ_int,0,eq_c1/2)+4*IF(circ_int,0,eq_c2/2)+2*PI()*(s_0+6*s_r+IF(circ_int,eq_c1/2,0)))/INDEX(lk_legs,7))&lt;(((2*IF(circ_int,0,eq_c2/2))+(PI()*(s_0+6*s_r+IF(circ_int,eq_c1/2,0))/2))+2*IF(circ_int,0,eq_c1/2)),IF(circ_int,0,eq_c1/2)-(((54+0.5)*(4*IF(circ_int,0,eq_c1/2)+4*IF(circ_int,0,eq_c2/2)+2*PI()*(s_0+6*s_r+IF(circ_int,eq_c1/2,0)))/INDEX(lk_legs,7))-((2*IF(circ_int,0,eq_c2/2))+(PI()*(s_0+6*s_r+IF(circ_int,eq_c1/2,0))/2))),IF(((54+0.5)*(4*IF(circ_int,0,eq_c1/2)+4*IF(circ_int,0,eq_c2/2)+2*PI()*(s_0+6*s_r+IF(circ_int,eq_c1/2,0)))/INDEX(lk_legs,7))&lt;((((2*IF(circ_int,0,eq_c2/2))+(PI()*(s_0+6*s_r+IF(circ_int,eq_c1/2,0))/2))+2*IF(circ_int,0,eq_c1/2))+(PI()*(s_0+6*s_r+IF(circ_int,eq_c1/2,0))/2)),-IF(circ_int,0,eq_c1/2)+(s_0+6*s_r+IF(circ_int,eq_c1/2,0))*COS(PI()/2+(((54+0.5)*(4*IF(circ_int,0,eq_c1/2)+4*IF(circ_int,0,eq_c2/2)+2*PI()*(s_0+6*s_r+IF(circ_int,eq_c1/2,0)))/INDEX(lk_legs,7))-(((2*IF(circ_int,0,eq_c2/2))+(PI()*(s_0+6*s_r+IF(circ_int,eq_c1/2,0))/2))+2*IF(circ_int,0,eq_c1/2)))/(s_0+6*s_r+IF(circ_int,eq_c1/2,0))),IF(((54+0.5)*(4*IF(circ_int,0,eq_c1/2)+4*IF(circ_int,0,eq_c2/2)+2*PI()*(s_0+6*s_r+IF(circ_int,eq_c1/2,0)))/INDEX(lk_legs,7))&lt;(((((2*IF(circ_int,0,eq_c2/2))+(PI()*(s_0+6*s_r+IF(circ_int,eq_c1/2,0))/2))+2*IF(circ_int,0,eq_c1/2))+(PI()*(s_0+6*s_r+IF(circ_int,eq_c1/2,0))/2))+2*IF(circ_int,0,eq_c2/2)),-IF(circ_int,0,eq_c1/2)-(s_0+6*s_r+IF(circ_int,eq_c1/2,0)),IF(((54+0.5)*(4*IF(circ_int,0,eq_c1/2)+4*IF(circ_int,0,eq_c2/2)+2*PI()*(s_0+6*s_r+IF(circ_int,eq_c1/2,0)))/INDEX(lk_legs,7))&lt;((((((2*IF(circ_int,0,eq_c2/2))+(PI()*(s_0+6*s_r+IF(circ_int,eq_c1/2,0))/2))+2*IF(circ_int,0,eq_c1/2))+(PI()*(s_0+6*s_r+IF(circ_int,eq_c1/2,0))/2))+2*IF(circ_int,0,eq_c2/2))+(PI()*(s_0+6*s_r+IF(circ_int,eq_c1/2,0))/2)),-IF(circ_int,0,eq_c1/2)+(s_0+6*s_r+IF(circ_int,eq_c1/2,0))*COS(PI()+(((54+0.5)*(4*IF(circ_int,0,eq_c1/2)+4*IF(circ_int,0,eq_c2/2)+2*PI()*(s_0+6*s_r+IF(circ_int,eq_c1/2,0)))/INDEX(lk_legs,7))-(((((2*IF(circ_int,0,eq_c2/2))+(PI()*(s_0+6*s_r+IF(circ_int,eq_c1/2,0))/2))+2*IF(circ_int,0,eq_c1/2))+(PI()*(s_0+6*s_r+IF(circ_int,eq_c1/2,0))/2))+2*IF(circ_int,0,eq_c2/2)))/(s_0+6*s_r+IF(circ_int,eq_c1/2,0))),IF(((54+0.5)*(4*IF(circ_int,0,eq_c1/2)+4*IF(circ_int,0,eq_c2/2)+2*PI()*(s_0+6*s_r+IF(circ_int,eq_c1/2,0)))/INDEX(lk_legs,7))&lt;(((((((2*IF(circ_int,0,eq_c2/2))+(PI()*(s_0+6*s_r+IF(circ_int,eq_c1/2,0))/2))+2*IF(circ_int,0,eq_c1/2))+(PI()*(s_0+6*s_r+IF(circ_int,eq_c1/2,0))/2))+2*IF(circ_int,0,eq_c2/2))+(PI()*(s_0+6*s_r+IF(circ_int,eq_c1/2,0))/2))+2*IF(circ_int,0,eq_c1/2)),-IF(circ_int,0,eq_c1/2)+(((54+0.5)*(4*IF(circ_int,0,eq_c1/2)+4*IF(circ_int,0,eq_c2/2)+2*PI()*(s_0+6*s_r+IF(circ_int,eq_c1/2,0)))/INDEX(lk_legs,7))-((((((2*IF(circ_int,0,eq_c2/2))+(PI()*(s_0+6*s_r+IF(circ_int,eq_c1/2,0))/2))+2*IF(circ_int,0,eq_c1/2))+(PI()*(s_0+6*s_r+IF(circ_int,eq_c1/2,0))/2))+2*IF(circ_int,0,eq_c2/2))+(PI()*(s_0+6*s_r+IF(circ_int,eq_c1/2,0))/2))),IF(circ_int,0,eq_c1/2)+(s_0+6*s_r+IF(circ_int,eq_c1/2,0))*COS(3*PI()/2+(((54+0.5)*(4*IF(circ_int,0,eq_c1/2)+4*IF(circ_int,0,eq_c2/2)+2*PI()*(s_0+6*s_r+IF(circ_int,eq_c1/2,0)))/INDEX(lk_legs,7))-(((((((2*IF(circ_int,0,eq_c2/2))+(PI()*(s_0+6*s_r+IF(circ_int,eq_c1/2,0))/2))+2*IF(circ_int,0,eq_c1/2))+(PI()*(s_0+6*s_r+IF(circ_int,eq_c1/2,0))/2))+2*IF(circ_int,0,eq_c2/2))+(PI()*(s_0+6*s_r+IF(circ_int,eq_c1/2,0))/2))+2*IF(circ_int,0,eq_c1/2)))/(s_0+6*s_r+IF(circ_int,eq_c1/2,0)))))))))),NA())</f>
        <v/>
      </c>
      <c r="CK57">
        <f>IF(AND(AND(links_on,7&lt;=n_per),INDEX(lk_kind,7)=1,54&lt;INDEX(lk_legs,7)),g_oy+IF(((54+0.5)*(4*IF(circ_int,0,eq_c1/2)+4*IF(circ_int,0,eq_c2/2)+2*PI()*(s_0+6*s_r+IF(circ_int,eq_c1/2,0)))/INDEX(lk_legs,7))&lt;(2*IF(circ_int,0,eq_c2/2)),-IF(circ_int,0,eq_c2/2)+((54+0.5)*(4*IF(circ_int,0,eq_c1/2)+4*IF(circ_int,0,eq_c2/2)+2*PI()*(s_0+6*s_r+IF(circ_int,eq_c1/2,0)))/INDEX(lk_legs,7)),IF(((54+0.5)*(4*IF(circ_int,0,eq_c1/2)+4*IF(circ_int,0,eq_c2/2)+2*PI()*(s_0+6*s_r+IF(circ_int,eq_c1/2,0)))/INDEX(lk_legs,7))&lt;((2*IF(circ_int,0,eq_c2/2))+(PI()*(s_0+6*s_r+IF(circ_int,eq_c1/2,0))/2)),IF(circ_int,0,eq_c2/2)+(s_0+6*s_r+IF(circ_int,eq_c1/2,0))*SIN((((54+0.5)*(4*IF(circ_int,0,eq_c1/2)+4*IF(circ_int,0,eq_c2/2)+2*PI()*(s_0+6*s_r+IF(circ_int,eq_c1/2,0)))/INDEX(lk_legs,7))-(2*IF(circ_int,0,eq_c2/2)))/(s_0+6*s_r+IF(circ_int,eq_c1/2,0))),IF(((54+0.5)*(4*IF(circ_int,0,eq_c1/2)+4*IF(circ_int,0,eq_c2/2)+2*PI()*(s_0+6*s_r+IF(circ_int,eq_c1/2,0)))/INDEX(lk_legs,7))&lt;(((2*IF(circ_int,0,eq_c2/2))+(PI()*(s_0+6*s_r+IF(circ_int,eq_c1/2,0))/2))+2*IF(circ_int,0,eq_c1/2)),IF(circ_int,0,eq_c2/2)+(s_0+6*s_r+IF(circ_int,eq_c1/2,0)),IF(((54+0.5)*(4*IF(circ_int,0,eq_c1/2)+4*IF(circ_int,0,eq_c2/2)+2*PI()*(s_0+6*s_r+IF(circ_int,eq_c1/2,0)))/INDEX(lk_legs,7))&lt;((((2*IF(circ_int,0,eq_c2/2))+(PI()*(s_0+6*s_r+IF(circ_int,eq_c1/2,0))/2))+2*IF(circ_int,0,eq_c1/2))+(PI()*(s_0+6*s_r+IF(circ_int,eq_c1/2,0))/2)),IF(circ_int,0,eq_c2/2)+(s_0+6*s_r+IF(circ_int,eq_c1/2,0))*SIN(PI()/2+(((54+0.5)*(4*IF(circ_int,0,eq_c1/2)+4*IF(circ_int,0,eq_c2/2)+2*PI()*(s_0+6*s_r+IF(circ_int,eq_c1/2,0)))/INDEX(lk_legs,7))-(((2*IF(circ_int,0,eq_c2/2))+(PI()*(s_0+6*s_r+IF(circ_int,eq_c1/2,0))/2))+2*IF(circ_int,0,eq_c1/2)))/(s_0+6*s_r+IF(circ_int,eq_c1/2,0))),IF(((54+0.5)*(4*IF(circ_int,0,eq_c1/2)+4*IF(circ_int,0,eq_c2/2)+2*PI()*(s_0+6*s_r+IF(circ_int,eq_c1/2,0)))/INDEX(lk_legs,7))&lt;(((((2*IF(circ_int,0,eq_c2/2))+(PI()*(s_0+6*s_r+IF(circ_int,eq_c1/2,0))/2))+2*IF(circ_int,0,eq_c1/2))+(PI()*(s_0+6*s_r+IF(circ_int,eq_c1/2,0))/2))+2*IF(circ_int,0,eq_c2/2)),IF(circ_int,0,eq_c2/2)-(((54+0.5)*(4*IF(circ_int,0,eq_c1/2)+4*IF(circ_int,0,eq_c2/2)+2*PI()*(s_0+6*s_r+IF(circ_int,eq_c1/2,0)))/INDEX(lk_legs,7))-((((2*IF(circ_int,0,eq_c2/2))+(PI()*(s_0+6*s_r+IF(circ_int,eq_c1/2,0))/2))+2*IF(circ_int,0,eq_c1/2))+(PI()*(s_0+6*s_r+IF(circ_int,eq_c1/2,0))/2))),IF(((54+0.5)*(4*IF(circ_int,0,eq_c1/2)+4*IF(circ_int,0,eq_c2/2)+2*PI()*(s_0+6*s_r+IF(circ_int,eq_c1/2,0)))/INDEX(lk_legs,7))&lt;((((((2*IF(circ_int,0,eq_c2/2))+(PI()*(s_0+6*s_r+IF(circ_int,eq_c1/2,0))/2))+2*IF(circ_int,0,eq_c1/2))+(PI()*(s_0+6*s_r+IF(circ_int,eq_c1/2,0))/2))+2*IF(circ_int,0,eq_c2/2))+(PI()*(s_0+6*s_r+IF(circ_int,eq_c1/2,0))/2)),-IF(circ_int,0,eq_c2/2)+(s_0+6*s_r+IF(circ_int,eq_c1/2,0))*SIN(PI()+(((54+0.5)*(4*IF(circ_int,0,eq_c1/2)+4*IF(circ_int,0,eq_c2/2)+2*PI()*(s_0+6*s_r+IF(circ_int,eq_c1/2,0)))/INDEX(lk_legs,7))-(((((2*IF(circ_int,0,eq_c2/2))+(PI()*(s_0+6*s_r+IF(circ_int,eq_c1/2,0))/2))+2*IF(circ_int,0,eq_c1/2))+(PI()*(s_0+6*s_r+IF(circ_int,eq_c1/2,0))/2))+2*IF(circ_int,0,eq_c2/2)))/(s_0+6*s_r+IF(circ_int,eq_c1/2,0))),IF(((54+0.5)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(54+0.5)*(4*IF(circ_int,0,eq_c1/2)+4*IF(circ_int,0,eq_c2/2)+2*PI()*(s_0+6*s_r+IF(circ_int,eq_c1/2,0)))/INDEX(lk_legs,7))-(((((((2*IF(circ_int,0,eq_c2/2))+(PI()*(s_0+6*s_r+IF(circ_int,eq_c1/2,0))/2))+2*IF(circ_int,0,eq_c1/2))+(PI()*(s_0+6*s_r+IF(circ_int,eq_c1/2,0))/2))+2*IF(circ_int,0,eq_c2/2))+(PI()*(s_0+6*s_r+IF(circ_int,eq_c1/2,0))/2))+2*IF(circ_int,0,eq_c1/2)))/(s_0+6*s_r+IF(circ_int,eq_c1/2,0)))))))))),NA())</f>
        <v/>
      </c>
      <c r="CP57">
        <f>IF(AND(AND(links_on,8&lt;=n_per),INDEX(lk_kind,8)=1,54&lt;INDEX(lk_legs,8)),g_ox+IF(((54+0.5)*(4*IF(circ_int,0,eq_c1/2)+4*IF(circ_int,0,eq_c2/2)+2*PI()*(s_0+7*s_r+IF(circ_int,eq_c1/2,0)))/INDEX(lk_legs,8))&lt;(2*IF(circ_int,0,eq_c2/2)),IF(circ_int,0,eq_c1/2)+(s_0+7*s_r+IF(circ_int,eq_c1/2,0)),IF(((54+0.5)*(4*IF(circ_int,0,eq_c1/2)+4*IF(circ_int,0,eq_c2/2)+2*PI()*(s_0+7*s_r+IF(circ_int,eq_c1/2,0)))/INDEX(lk_legs,8))&lt;((2*IF(circ_int,0,eq_c2/2))+(PI()*(s_0+7*s_r+IF(circ_int,eq_c1/2,0))/2)),IF(circ_int,0,eq_c1/2)+(s_0+7*s_r+IF(circ_int,eq_c1/2,0))*COS((((54+0.5)*(4*IF(circ_int,0,eq_c1/2)+4*IF(circ_int,0,eq_c2/2)+2*PI()*(s_0+7*s_r+IF(circ_int,eq_c1/2,0)))/INDEX(lk_legs,8))-(2*IF(circ_int,0,eq_c2/2)))/(s_0+7*s_r+IF(circ_int,eq_c1/2,0))),IF(((54+0.5)*(4*IF(circ_int,0,eq_c1/2)+4*IF(circ_int,0,eq_c2/2)+2*PI()*(s_0+7*s_r+IF(circ_int,eq_c1/2,0)))/INDEX(lk_legs,8))&lt;(((2*IF(circ_int,0,eq_c2/2))+(PI()*(s_0+7*s_r+IF(circ_int,eq_c1/2,0))/2))+2*IF(circ_int,0,eq_c1/2)),IF(circ_int,0,eq_c1/2)-(((54+0.5)*(4*IF(circ_int,0,eq_c1/2)+4*IF(circ_int,0,eq_c2/2)+2*PI()*(s_0+7*s_r+IF(circ_int,eq_c1/2,0)))/INDEX(lk_legs,8))-((2*IF(circ_int,0,eq_c2/2))+(PI()*(s_0+7*s_r+IF(circ_int,eq_c1/2,0))/2))),IF(((54+0.5)*(4*IF(circ_int,0,eq_c1/2)+4*IF(circ_int,0,eq_c2/2)+2*PI()*(s_0+7*s_r+IF(circ_int,eq_c1/2,0)))/INDEX(lk_legs,8))&lt;((((2*IF(circ_int,0,eq_c2/2))+(PI()*(s_0+7*s_r+IF(circ_int,eq_c1/2,0))/2))+2*IF(circ_int,0,eq_c1/2))+(PI()*(s_0+7*s_r+IF(circ_int,eq_c1/2,0))/2)),-IF(circ_int,0,eq_c1/2)+(s_0+7*s_r+IF(circ_int,eq_c1/2,0))*COS(PI()/2+(((54+0.5)*(4*IF(circ_int,0,eq_c1/2)+4*IF(circ_int,0,eq_c2/2)+2*PI()*(s_0+7*s_r+IF(circ_int,eq_c1/2,0)))/INDEX(lk_legs,8))-(((2*IF(circ_int,0,eq_c2/2))+(PI()*(s_0+7*s_r+IF(circ_int,eq_c1/2,0))/2))+2*IF(circ_int,0,eq_c1/2)))/(s_0+7*s_r+IF(circ_int,eq_c1/2,0))),IF(((54+0.5)*(4*IF(circ_int,0,eq_c1/2)+4*IF(circ_int,0,eq_c2/2)+2*PI()*(s_0+7*s_r+IF(circ_int,eq_c1/2,0)))/INDEX(lk_legs,8))&lt;(((((2*IF(circ_int,0,eq_c2/2))+(PI()*(s_0+7*s_r+IF(circ_int,eq_c1/2,0))/2))+2*IF(circ_int,0,eq_c1/2))+(PI()*(s_0+7*s_r+IF(circ_int,eq_c1/2,0))/2))+2*IF(circ_int,0,eq_c2/2)),-IF(circ_int,0,eq_c1/2)-(s_0+7*s_r+IF(circ_int,eq_c1/2,0)),IF(((54+0.5)*(4*IF(circ_int,0,eq_c1/2)+4*IF(circ_int,0,eq_c2/2)+2*PI()*(s_0+7*s_r+IF(circ_int,eq_c1/2,0)))/INDEX(lk_legs,8))&lt;((((((2*IF(circ_int,0,eq_c2/2))+(PI()*(s_0+7*s_r+IF(circ_int,eq_c1/2,0))/2))+2*IF(circ_int,0,eq_c1/2))+(PI()*(s_0+7*s_r+IF(circ_int,eq_c1/2,0))/2))+2*IF(circ_int,0,eq_c2/2))+(PI()*(s_0+7*s_r+IF(circ_int,eq_c1/2,0))/2)),-IF(circ_int,0,eq_c1/2)+(s_0+7*s_r+IF(circ_int,eq_c1/2,0))*COS(PI()+(((54+0.5)*(4*IF(circ_int,0,eq_c1/2)+4*IF(circ_int,0,eq_c2/2)+2*PI()*(s_0+7*s_r+IF(circ_int,eq_c1/2,0)))/INDEX(lk_legs,8))-(((((2*IF(circ_int,0,eq_c2/2))+(PI()*(s_0+7*s_r+IF(circ_int,eq_c1/2,0))/2))+2*IF(circ_int,0,eq_c1/2))+(PI()*(s_0+7*s_r+IF(circ_int,eq_c1/2,0))/2))+2*IF(circ_int,0,eq_c2/2)))/(s_0+7*s_r+IF(circ_int,eq_c1/2,0))),IF(((54+0.5)*(4*IF(circ_int,0,eq_c1/2)+4*IF(circ_int,0,eq_c2/2)+2*PI()*(s_0+7*s_r+IF(circ_int,eq_c1/2,0)))/INDEX(lk_legs,8))&lt;(((((((2*IF(circ_int,0,eq_c2/2))+(PI()*(s_0+7*s_r+IF(circ_int,eq_c1/2,0))/2))+2*IF(circ_int,0,eq_c1/2))+(PI()*(s_0+7*s_r+IF(circ_int,eq_c1/2,0))/2))+2*IF(circ_int,0,eq_c2/2))+(PI()*(s_0+7*s_r+IF(circ_int,eq_c1/2,0))/2))+2*IF(circ_int,0,eq_c1/2)),-IF(circ_int,0,eq_c1/2)+(((54+0.5)*(4*IF(circ_int,0,eq_c1/2)+4*IF(circ_int,0,eq_c2/2)+2*PI()*(s_0+7*s_r+IF(circ_int,eq_c1/2,0)))/INDEX(lk_legs,8))-((((((2*IF(circ_int,0,eq_c2/2))+(PI()*(s_0+7*s_r+IF(circ_int,eq_c1/2,0))/2))+2*IF(circ_int,0,eq_c1/2))+(PI()*(s_0+7*s_r+IF(circ_int,eq_c1/2,0))/2))+2*IF(circ_int,0,eq_c2/2))+(PI()*(s_0+7*s_r+IF(circ_int,eq_c1/2,0))/2))),IF(circ_int,0,eq_c1/2)+(s_0+7*s_r+IF(circ_int,eq_c1/2,0))*COS(3*PI()/2+(((54+0.5)*(4*IF(circ_int,0,eq_c1/2)+4*IF(circ_int,0,eq_c2/2)+2*PI()*(s_0+7*s_r+IF(circ_int,eq_c1/2,0)))/INDEX(lk_legs,8))-(((((((2*IF(circ_int,0,eq_c2/2))+(PI()*(s_0+7*s_r+IF(circ_int,eq_c1/2,0))/2))+2*IF(circ_int,0,eq_c1/2))+(PI()*(s_0+7*s_r+IF(circ_int,eq_c1/2,0))/2))+2*IF(circ_int,0,eq_c2/2))+(PI()*(s_0+7*s_r+IF(circ_int,eq_c1/2,0))/2))+2*IF(circ_int,0,eq_c1/2)))/(s_0+7*s_r+IF(circ_int,eq_c1/2,0)))))))))),NA())</f>
        <v/>
      </c>
      <c r="CQ57">
        <f>IF(AND(AND(links_on,8&lt;=n_per),INDEX(lk_kind,8)=1,54&lt;INDEX(lk_legs,8)),g_oy+IF(((54+0.5)*(4*IF(circ_int,0,eq_c1/2)+4*IF(circ_int,0,eq_c2/2)+2*PI()*(s_0+7*s_r+IF(circ_int,eq_c1/2,0)))/INDEX(lk_legs,8))&lt;(2*IF(circ_int,0,eq_c2/2)),-IF(circ_int,0,eq_c2/2)+((54+0.5)*(4*IF(circ_int,0,eq_c1/2)+4*IF(circ_int,0,eq_c2/2)+2*PI()*(s_0+7*s_r+IF(circ_int,eq_c1/2,0)))/INDEX(lk_legs,8)),IF(((54+0.5)*(4*IF(circ_int,0,eq_c1/2)+4*IF(circ_int,0,eq_c2/2)+2*PI()*(s_0+7*s_r+IF(circ_int,eq_c1/2,0)))/INDEX(lk_legs,8))&lt;((2*IF(circ_int,0,eq_c2/2))+(PI()*(s_0+7*s_r+IF(circ_int,eq_c1/2,0))/2)),IF(circ_int,0,eq_c2/2)+(s_0+7*s_r+IF(circ_int,eq_c1/2,0))*SIN((((54+0.5)*(4*IF(circ_int,0,eq_c1/2)+4*IF(circ_int,0,eq_c2/2)+2*PI()*(s_0+7*s_r+IF(circ_int,eq_c1/2,0)))/INDEX(lk_legs,8))-(2*IF(circ_int,0,eq_c2/2)))/(s_0+7*s_r+IF(circ_int,eq_c1/2,0))),IF(((54+0.5)*(4*IF(circ_int,0,eq_c1/2)+4*IF(circ_int,0,eq_c2/2)+2*PI()*(s_0+7*s_r+IF(circ_int,eq_c1/2,0)))/INDEX(lk_legs,8))&lt;(((2*IF(circ_int,0,eq_c2/2))+(PI()*(s_0+7*s_r+IF(circ_int,eq_c1/2,0))/2))+2*IF(circ_int,0,eq_c1/2)),IF(circ_int,0,eq_c2/2)+(s_0+7*s_r+IF(circ_int,eq_c1/2,0)),IF(((54+0.5)*(4*IF(circ_int,0,eq_c1/2)+4*IF(circ_int,0,eq_c2/2)+2*PI()*(s_0+7*s_r+IF(circ_int,eq_c1/2,0)))/INDEX(lk_legs,8))&lt;((((2*IF(circ_int,0,eq_c2/2))+(PI()*(s_0+7*s_r+IF(circ_int,eq_c1/2,0))/2))+2*IF(circ_int,0,eq_c1/2))+(PI()*(s_0+7*s_r+IF(circ_int,eq_c1/2,0))/2)),IF(circ_int,0,eq_c2/2)+(s_0+7*s_r+IF(circ_int,eq_c1/2,0))*SIN(PI()/2+(((54+0.5)*(4*IF(circ_int,0,eq_c1/2)+4*IF(circ_int,0,eq_c2/2)+2*PI()*(s_0+7*s_r+IF(circ_int,eq_c1/2,0)))/INDEX(lk_legs,8))-(((2*IF(circ_int,0,eq_c2/2))+(PI()*(s_0+7*s_r+IF(circ_int,eq_c1/2,0))/2))+2*IF(circ_int,0,eq_c1/2)))/(s_0+7*s_r+IF(circ_int,eq_c1/2,0))),IF(((54+0.5)*(4*IF(circ_int,0,eq_c1/2)+4*IF(circ_int,0,eq_c2/2)+2*PI()*(s_0+7*s_r+IF(circ_int,eq_c1/2,0)))/INDEX(lk_legs,8))&lt;(((((2*IF(circ_int,0,eq_c2/2))+(PI()*(s_0+7*s_r+IF(circ_int,eq_c1/2,0))/2))+2*IF(circ_int,0,eq_c1/2))+(PI()*(s_0+7*s_r+IF(circ_int,eq_c1/2,0))/2))+2*IF(circ_int,0,eq_c2/2)),IF(circ_int,0,eq_c2/2)-(((54+0.5)*(4*IF(circ_int,0,eq_c1/2)+4*IF(circ_int,0,eq_c2/2)+2*PI()*(s_0+7*s_r+IF(circ_int,eq_c1/2,0)))/INDEX(lk_legs,8))-((((2*IF(circ_int,0,eq_c2/2))+(PI()*(s_0+7*s_r+IF(circ_int,eq_c1/2,0))/2))+2*IF(circ_int,0,eq_c1/2))+(PI()*(s_0+7*s_r+IF(circ_int,eq_c1/2,0))/2))),IF(((54+0.5)*(4*IF(circ_int,0,eq_c1/2)+4*IF(circ_int,0,eq_c2/2)+2*PI()*(s_0+7*s_r+IF(circ_int,eq_c1/2,0)))/INDEX(lk_legs,8))&lt;((((((2*IF(circ_int,0,eq_c2/2))+(PI()*(s_0+7*s_r+IF(circ_int,eq_c1/2,0))/2))+2*IF(circ_int,0,eq_c1/2))+(PI()*(s_0+7*s_r+IF(circ_int,eq_c1/2,0))/2))+2*IF(circ_int,0,eq_c2/2))+(PI()*(s_0+7*s_r+IF(circ_int,eq_c1/2,0))/2)),-IF(circ_int,0,eq_c2/2)+(s_0+7*s_r+IF(circ_int,eq_c1/2,0))*SIN(PI()+(((54+0.5)*(4*IF(circ_int,0,eq_c1/2)+4*IF(circ_int,0,eq_c2/2)+2*PI()*(s_0+7*s_r+IF(circ_int,eq_c1/2,0)))/INDEX(lk_legs,8))-(((((2*IF(circ_int,0,eq_c2/2))+(PI()*(s_0+7*s_r+IF(circ_int,eq_c1/2,0))/2))+2*IF(circ_int,0,eq_c1/2))+(PI()*(s_0+7*s_r+IF(circ_int,eq_c1/2,0))/2))+2*IF(circ_int,0,eq_c2/2)))/(s_0+7*s_r+IF(circ_int,eq_c1/2,0))),IF(((54+0.5)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(54+0.5)*(4*IF(circ_int,0,eq_c1/2)+4*IF(circ_int,0,eq_c2/2)+2*PI()*(s_0+7*s_r+IF(circ_int,eq_c1/2,0)))/INDEX(lk_legs,8))-(((((((2*IF(circ_int,0,eq_c2/2))+(PI()*(s_0+7*s_r+IF(circ_int,eq_c1/2,0))/2))+2*IF(circ_int,0,eq_c1/2))+(PI()*(s_0+7*s_r+IF(circ_int,eq_c1/2,0))/2))+2*IF(circ_int,0,eq_c2/2))+(PI()*(s_0+7*s_r+IF(circ_int,eq_c1/2,0))/2))+2*IF(circ_int,0,eq_c1/2)))/(s_0+7*s_r+IF(circ_int,eq_c1/2,0)))))))))),NA())</f>
        <v/>
      </c>
      <c r="CV57">
        <f>IF(AND(AND(links_on,9&lt;=n_per),INDEX(lk_kind,9)=1,54&lt;INDEX(lk_legs,9)),g_ox+IF(((54+0.5)*(4*IF(circ_int,0,eq_c1/2)+4*IF(circ_int,0,eq_c2/2)+2*PI()*(s_0+8*s_r+IF(circ_int,eq_c1/2,0)))/INDEX(lk_legs,9))&lt;(2*IF(circ_int,0,eq_c2/2)),IF(circ_int,0,eq_c1/2)+(s_0+8*s_r+IF(circ_int,eq_c1/2,0)),IF(((54+0.5)*(4*IF(circ_int,0,eq_c1/2)+4*IF(circ_int,0,eq_c2/2)+2*PI()*(s_0+8*s_r+IF(circ_int,eq_c1/2,0)))/INDEX(lk_legs,9))&lt;((2*IF(circ_int,0,eq_c2/2))+(PI()*(s_0+8*s_r+IF(circ_int,eq_c1/2,0))/2)),IF(circ_int,0,eq_c1/2)+(s_0+8*s_r+IF(circ_int,eq_c1/2,0))*COS((((54+0.5)*(4*IF(circ_int,0,eq_c1/2)+4*IF(circ_int,0,eq_c2/2)+2*PI()*(s_0+8*s_r+IF(circ_int,eq_c1/2,0)))/INDEX(lk_legs,9))-(2*IF(circ_int,0,eq_c2/2)))/(s_0+8*s_r+IF(circ_int,eq_c1/2,0))),IF(((54+0.5)*(4*IF(circ_int,0,eq_c1/2)+4*IF(circ_int,0,eq_c2/2)+2*PI()*(s_0+8*s_r+IF(circ_int,eq_c1/2,0)))/INDEX(lk_legs,9))&lt;(((2*IF(circ_int,0,eq_c2/2))+(PI()*(s_0+8*s_r+IF(circ_int,eq_c1/2,0))/2))+2*IF(circ_int,0,eq_c1/2)),IF(circ_int,0,eq_c1/2)-(((54+0.5)*(4*IF(circ_int,0,eq_c1/2)+4*IF(circ_int,0,eq_c2/2)+2*PI()*(s_0+8*s_r+IF(circ_int,eq_c1/2,0)))/INDEX(lk_legs,9))-((2*IF(circ_int,0,eq_c2/2))+(PI()*(s_0+8*s_r+IF(circ_int,eq_c1/2,0))/2))),IF(((54+0.5)*(4*IF(circ_int,0,eq_c1/2)+4*IF(circ_int,0,eq_c2/2)+2*PI()*(s_0+8*s_r+IF(circ_int,eq_c1/2,0)))/INDEX(lk_legs,9))&lt;((((2*IF(circ_int,0,eq_c2/2))+(PI()*(s_0+8*s_r+IF(circ_int,eq_c1/2,0))/2))+2*IF(circ_int,0,eq_c1/2))+(PI()*(s_0+8*s_r+IF(circ_int,eq_c1/2,0))/2)),-IF(circ_int,0,eq_c1/2)+(s_0+8*s_r+IF(circ_int,eq_c1/2,0))*COS(PI()/2+(((54+0.5)*(4*IF(circ_int,0,eq_c1/2)+4*IF(circ_int,0,eq_c2/2)+2*PI()*(s_0+8*s_r+IF(circ_int,eq_c1/2,0)))/INDEX(lk_legs,9))-(((2*IF(circ_int,0,eq_c2/2))+(PI()*(s_0+8*s_r+IF(circ_int,eq_c1/2,0))/2))+2*IF(circ_int,0,eq_c1/2)))/(s_0+8*s_r+IF(circ_int,eq_c1/2,0))),IF(((54+0.5)*(4*IF(circ_int,0,eq_c1/2)+4*IF(circ_int,0,eq_c2/2)+2*PI()*(s_0+8*s_r+IF(circ_int,eq_c1/2,0)))/INDEX(lk_legs,9))&lt;(((((2*IF(circ_int,0,eq_c2/2))+(PI()*(s_0+8*s_r+IF(circ_int,eq_c1/2,0))/2))+2*IF(circ_int,0,eq_c1/2))+(PI()*(s_0+8*s_r+IF(circ_int,eq_c1/2,0))/2))+2*IF(circ_int,0,eq_c2/2)),-IF(circ_int,0,eq_c1/2)-(s_0+8*s_r+IF(circ_int,eq_c1/2,0)),IF(((54+0.5)*(4*IF(circ_int,0,eq_c1/2)+4*IF(circ_int,0,eq_c2/2)+2*PI()*(s_0+8*s_r+IF(circ_int,eq_c1/2,0)))/INDEX(lk_legs,9))&lt;((((((2*IF(circ_int,0,eq_c2/2))+(PI()*(s_0+8*s_r+IF(circ_int,eq_c1/2,0))/2))+2*IF(circ_int,0,eq_c1/2))+(PI()*(s_0+8*s_r+IF(circ_int,eq_c1/2,0))/2))+2*IF(circ_int,0,eq_c2/2))+(PI()*(s_0+8*s_r+IF(circ_int,eq_c1/2,0))/2)),-IF(circ_int,0,eq_c1/2)+(s_0+8*s_r+IF(circ_int,eq_c1/2,0))*COS(PI()+(((54+0.5)*(4*IF(circ_int,0,eq_c1/2)+4*IF(circ_int,0,eq_c2/2)+2*PI()*(s_0+8*s_r+IF(circ_int,eq_c1/2,0)))/INDEX(lk_legs,9))-(((((2*IF(circ_int,0,eq_c2/2))+(PI()*(s_0+8*s_r+IF(circ_int,eq_c1/2,0))/2))+2*IF(circ_int,0,eq_c1/2))+(PI()*(s_0+8*s_r+IF(circ_int,eq_c1/2,0))/2))+2*IF(circ_int,0,eq_c2/2)))/(s_0+8*s_r+IF(circ_int,eq_c1/2,0))),IF(((54+0.5)*(4*IF(circ_int,0,eq_c1/2)+4*IF(circ_int,0,eq_c2/2)+2*PI()*(s_0+8*s_r+IF(circ_int,eq_c1/2,0)))/INDEX(lk_legs,9))&lt;(((((((2*IF(circ_int,0,eq_c2/2))+(PI()*(s_0+8*s_r+IF(circ_int,eq_c1/2,0))/2))+2*IF(circ_int,0,eq_c1/2))+(PI()*(s_0+8*s_r+IF(circ_int,eq_c1/2,0))/2))+2*IF(circ_int,0,eq_c2/2))+(PI()*(s_0+8*s_r+IF(circ_int,eq_c1/2,0))/2))+2*IF(circ_int,0,eq_c1/2)),-IF(circ_int,0,eq_c1/2)+(((54+0.5)*(4*IF(circ_int,0,eq_c1/2)+4*IF(circ_int,0,eq_c2/2)+2*PI()*(s_0+8*s_r+IF(circ_int,eq_c1/2,0)))/INDEX(lk_legs,9))-((((((2*IF(circ_int,0,eq_c2/2))+(PI()*(s_0+8*s_r+IF(circ_int,eq_c1/2,0))/2))+2*IF(circ_int,0,eq_c1/2))+(PI()*(s_0+8*s_r+IF(circ_int,eq_c1/2,0))/2))+2*IF(circ_int,0,eq_c2/2))+(PI()*(s_0+8*s_r+IF(circ_int,eq_c1/2,0))/2))),IF(circ_int,0,eq_c1/2)+(s_0+8*s_r+IF(circ_int,eq_c1/2,0))*COS(3*PI()/2+(((54+0.5)*(4*IF(circ_int,0,eq_c1/2)+4*IF(circ_int,0,eq_c2/2)+2*PI()*(s_0+8*s_r+IF(circ_int,eq_c1/2,0)))/INDEX(lk_legs,9))-(((((((2*IF(circ_int,0,eq_c2/2))+(PI()*(s_0+8*s_r+IF(circ_int,eq_c1/2,0))/2))+2*IF(circ_int,0,eq_c1/2))+(PI()*(s_0+8*s_r+IF(circ_int,eq_c1/2,0))/2))+2*IF(circ_int,0,eq_c2/2))+(PI()*(s_0+8*s_r+IF(circ_int,eq_c1/2,0))/2))+2*IF(circ_int,0,eq_c1/2)))/(s_0+8*s_r+IF(circ_int,eq_c1/2,0)))))))))),NA())</f>
        <v/>
      </c>
      <c r="CW57">
        <f>IF(AND(AND(links_on,9&lt;=n_per),INDEX(lk_kind,9)=1,54&lt;INDEX(lk_legs,9)),g_oy+IF(((54+0.5)*(4*IF(circ_int,0,eq_c1/2)+4*IF(circ_int,0,eq_c2/2)+2*PI()*(s_0+8*s_r+IF(circ_int,eq_c1/2,0)))/INDEX(lk_legs,9))&lt;(2*IF(circ_int,0,eq_c2/2)),-IF(circ_int,0,eq_c2/2)+((54+0.5)*(4*IF(circ_int,0,eq_c1/2)+4*IF(circ_int,0,eq_c2/2)+2*PI()*(s_0+8*s_r+IF(circ_int,eq_c1/2,0)))/INDEX(lk_legs,9)),IF(((54+0.5)*(4*IF(circ_int,0,eq_c1/2)+4*IF(circ_int,0,eq_c2/2)+2*PI()*(s_0+8*s_r+IF(circ_int,eq_c1/2,0)))/INDEX(lk_legs,9))&lt;((2*IF(circ_int,0,eq_c2/2))+(PI()*(s_0+8*s_r+IF(circ_int,eq_c1/2,0))/2)),IF(circ_int,0,eq_c2/2)+(s_0+8*s_r+IF(circ_int,eq_c1/2,0))*SIN((((54+0.5)*(4*IF(circ_int,0,eq_c1/2)+4*IF(circ_int,0,eq_c2/2)+2*PI()*(s_0+8*s_r+IF(circ_int,eq_c1/2,0)))/INDEX(lk_legs,9))-(2*IF(circ_int,0,eq_c2/2)))/(s_0+8*s_r+IF(circ_int,eq_c1/2,0))),IF(((54+0.5)*(4*IF(circ_int,0,eq_c1/2)+4*IF(circ_int,0,eq_c2/2)+2*PI()*(s_0+8*s_r+IF(circ_int,eq_c1/2,0)))/INDEX(lk_legs,9))&lt;(((2*IF(circ_int,0,eq_c2/2))+(PI()*(s_0+8*s_r+IF(circ_int,eq_c1/2,0))/2))+2*IF(circ_int,0,eq_c1/2)),IF(circ_int,0,eq_c2/2)+(s_0+8*s_r+IF(circ_int,eq_c1/2,0)),IF(((54+0.5)*(4*IF(circ_int,0,eq_c1/2)+4*IF(circ_int,0,eq_c2/2)+2*PI()*(s_0+8*s_r+IF(circ_int,eq_c1/2,0)))/INDEX(lk_legs,9))&lt;((((2*IF(circ_int,0,eq_c2/2))+(PI()*(s_0+8*s_r+IF(circ_int,eq_c1/2,0))/2))+2*IF(circ_int,0,eq_c1/2))+(PI()*(s_0+8*s_r+IF(circ_int,eq_c1/2,0))/2)),IF(circ_int,0,eq_c2/2)+(s_0+8*s_r+IF(circ_int,eq_c1/2,0))*SIN(PI()/2+(((54+0.5)*(4*IF(circ_int,0,eq_c1/2)+4*IF(circ_int,0,eq_c2/2)+2*PI()*(s_0+8*s_r+IF(circ_int,eq_c1/2,0)))/INDEX(lk_legs,9))-(((2*IF(circ_int,0,eq_c2/2))+(PI()*(s_0+8*s_r+IF(circ_int,eq_c1/2,0))/2))+2*IF(circ_int,0,eq_c1/2)))/(s_0+8*s_r+IF(circ_int,eq_c1/2,0))),IF(((54+0.5)*(4*IF(circ_int,0,eq_c1/2)+4*IF(circ_int,0,eq_c2/2)+2*PI()*(s_0+8*s_r+IF(circ_int,eq_c1/2,0)))/INDEX(lk_legs,9))&lt;(((((2*IF(circ_int,0,eq_c2/2))+(PI()*(s_0+8*s_r+IF(circ_int,eq_c1/2,0))/2))+2*IF(circ_int,0,eq_c1/2))+(PI()*(s_0+8*s_r+IF(circ_int,eq_c1/2,0))/2))+2*IF(circ_int,0,eq_c2/2)),IF(circ_int,0,eq_c2/2)-(((54+0.5)*(4*IF(circ_int,0,eq_c1/2)+4*IF(circ_int,0,eq_c2/2)+2*PI()*(s_0+8*s_r+IF(circ_int,eq_c1/2,0)))/INDEX(lk_legs,9))-((((2*IF(circ_int,0,eq_c2/2))+(PI()*(s_0+8*s_r+IF(circ_int,eq_c1/2,0))/2))+2*IF(circ_int,0,eq_c1/2))+(PI()*(s_0+8*s_r+IF(circ_int,eq_c1/2,0))/2))),IF(((54+0.5)*(4*IF(circ_int,0,eq_c1/2)+4*IF(circ_int,0,eq_c2/2)+2*PI()*(s_0+8*s_r+IF(circ_int,eq_c1/2,0)))/INDEX(lk_legs,9))&lt;((((((2*IF(circ_int,0,eq_c2/2))+(PI()*(s_0+8*s_r+IF(circ_int,eq_c1/2,0))/2))+2*IF(circ_int,0,eq_c1/2))+(PI()*(s_0+8*s_r+IF(circ_int,eq_c1/2,0))/2))+2*IF(circ_int,0,eq_c2/2))+(PI()*(s_0+8*s_r+IF(circ_int,eq_c1/2,0))/2)),-IF(circ_int,0,eq_c2/2)+(s_0+8*s_r+IF(circ_int,eq_c1/2,0))*SIN(PI()+(((54+0.5)*(4*IF(circ_int,0,eq_c1/2)+4*IF(circ_int,0,eq_c2/2)+2*PI()*(s_0+8*s_r+IF(circ_int,eq_c1/2,0)))/INDEX(lk_legs,9))-(((((2*IF(circ_int,0,eq_c2/2))+(PI()*(s_0+8*s_r+IF(circ_int,eq_c1/2,0))/2))+2*IF(circ_int,0,eq_c1/2))+(PI()*(s_0+8*s_r+IF(circ_int,eq_c1/2,0))/2))+2*IF(circ_int,0,eq_c2/2)))/(s_0+8*s_r+IF(circ_int,eq_c1/2,0))),IF(((54+0.5)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(54+0.5)*(4*IF(circ_int,0,eq_c1/2)+4*IF(circ_int,0,eq_c2/2)+2*PI()*(s_0+8*s_r+IF(circ_int,eq_c1/2,0)))/INDEX(lk_legs,9))-(((((((2*IF(circ_int,0,eq_c2/2))+(PI()*(s_0+8*s_r+IF(circ_int,eq_c1/2,0))/2))+2*IF(circ_int,0,eq_c1/2))+(PI()*(s_0+8*s_r+IF(circ_int,eq_c1/2,0))/2))+2*IF(circ_int,0,eq_c2/2))+(PI()*(s_0+8*s_r+IF(circ_int,eq_c1/2,0))/2))+2*IF(circ_int,0,eq_c1/2)))/(s_0+8*s_r+IF(circ_int,eq_c1/2,0)))))))))),NA())</f>
        <v/>
      </c>
      <c r="DB57">
        <f>IF(AND(AND(links_on,10&lt;=n_per),INDEX(lk_kind,10)=1,54&lt;INDEX(lk_legs,10)),g_ox+IF(((54+0.5)*(4*IF(circ_int,0,eq_c1/2)+4*IF(circ_int,0,eq_c2/2)+2*PI()*(s_0+9*s_r+IF(circ_int,eq_c1/2,0)))/INDEX(lk_legs,10))&lt;(2*IF(circ_int,0,eq_c2/2)),IF(circ_int,0,eq_c1/2)+(s_0+9*s_r+IF(circ_int,eq_c1/2,0)),IF(((54+0.5)*(4*IF(circ_int,0,eq_c1/2)+4*IF(circ_int,0,eq_c2/2)+2*PI()*(s_0+9*s_r+IF(circ_int,eq_c1/2,0)))/INDEX(lk_legs,10))&lt;((2*IF(circ_int,0,eq_c2/2))+(PI()*(s_0+9*s_r+IF(circ_int,eq_c1/2,0))/2)),IF(circ_int,0,eq_c1/2)+(s_0+9*s_r+IF(circ_int,eq_c1/2,0))*COS((((54+0.5)*(4*IF(circ_int,0,eq_c1/2)+4*IF(circ_int,0,eq_c2/2)+2*PI()*(s_0+9*s_r+IF(circ_int,eq_c1/2,0)))/INDEX(lk_legs,10))-(2*IF(circ_int,0,eq_c2/2)))/(s_0+9*s_r+IF(circ_int,eq_c1/2,0))),IF(((54+0.5)*(4*IF(circ_int,0,eq_c1/2)+4*IF(circ_int,0,eq_c2/2)+2*PI()*(s_0+9*s_r+IF(circ_int,eq_c1/2,0)))/INDEX(lk_legs,10))&lt;(((2*IF(circ_int,0,eq_c2/2))+(PI()*(s_0+9*s_r+IF(circ_int,eq_c1/2,0))/2))+2*IF(circ_int,0,eq_c1/2)),IF(circ_int,0,eq_c1/2)-(((54+0.5)*(4*IF(circ_int,0,eq_c1/2)+4*IF(circ_int,0,eq_c2/2)+2*PI()*(s_0+9*s_r+IF(circ_int,eq_c1/2,0)))/INDEX(lk_legs,10))-((2*IF(circ_int,0,eq_c2/2))+(PI()*(s_0+9*s_r+IF(circ_int,eq_c1/2,0))/2))),IF(((54+0.5)*(4*IF(circ_int,0,eq_c1/2)+4*IF(circ_int,0,eq_c2/2)+2*PI()*(s_0+9*s_r+IF(circ_int,eq_c1/2,0)))/INDEX(lk_legs,10))&lt;((((2*IF(circ_int,0,eq_c2/2))+(PI()*(s_0+9*s_r+IF(circ_int,eq_c1/2,0))/2))+2*IF(circ_int,0,eq_c1/2))+(PI()*(s_0+9*s_r+IF(circ_int,eq_c1/2,0))/2)),-IF(circ_int,0,eq_c1/2)+(s_0+9*s_r+IF(circ_int,eq_c1/2,0))*COS(PI()/2+(((54+0.5)*(4*IF(circ_int,0,eq_c1/2)+4*IF(circ_int,0,eq_c2/2)+2*PI()*(s_0+9*s_r+IF(circ_int,eq_c1/2,0)))/INDEX(lk_legs,10))-(((2*IF(circ_int,0,eq_c2/2))+(PI()*(s_0+9*s_r+IF(circ_int,eq_c1/2,0))/2))+2*IF(circ_int,0,eq_c1/2)))/(s_0+9*s_r+IF(circ_int,eq_c1/2,0))),IF(((54+0.5)*(4*IF(circ_int,0,eq_c1/2)+4*IF(circ_int,0,eq_c2/2)+2*PI()*(s_0+9*s_r+IF(circ_int,eq_c1/2,0)))/INDEX(lk_legs,10))&lt;(((((2*IF(circ_int,0,eq_c2/2))+(PI()*(s_0+9*s_r+IF(circ_int,eq_c1/2,0))/2))+2*IF(circ_int,0,eq_c1/2))+(PI()*(s_0+9*s_r+IF(circ_int,eq_c1/2,0))/2))+2*IF(circ_int,0,eq_c2/2)),-IF(circ_int,0,eq_c1/2)-(s_0+9*s_r+IF(circ_int,eq_c1/2,0)),IF(((54+0.5)*(4*IF(circ_int,0,eq_c1/2)+4*IF(circ_int,0,eq_c2/2)+2*PI()*(s_0+9*s_r+IF(circ_int,eq_c1/2,0)))/INDEX(lk_legs,10))&lt;((((((2*IF(circ_int,0,eq_c2/2))+(PI()*(s_0+9*s_r+IF(circ_int,eq_c1/2,0))/2))+2*IF(circ_int,0,eq_c1/2))+(PI()*(s_0+9*s_r+IF(circ_int,eq_c1/2,0))/2))+2*IF(circ_int,0,eq_c2/2))+(PI()*(s_0+9*s_r+IF(circ_int,eq_c1/2,0))/2)),-IF(circ_int,0,eq_c1/2)+(s_0+9*s_r+IF(circ_int,eq_c1/2,0))*COS(PI()+(((54+0.5)*(4*IF(circ_int,0,eq_c1/2)+4*IF(circ_int,0,eq_c2/2)+2*PI()*(s_0+9*s_r+IF(circ_int,eq_c1/2,0)))/INDEX(lk_legs,10))-(((((2*IF(circ_int,0,eq_c2/2))+(PI()*(s_0+9*s_r+IF(circ_int,eq_c1/2,0))/2))+2*IF(circ_int,0,eq_c1/2))+(PI()*(s_0+9*s_r+IF(circ_int,eq_c1/2,0))/2))+2*IF(circ_int,0,eq_c2/2)))/(s_0+9*s_r+IF(circ_int,eq_c1/2,0))),IF(((54+0.5)*(4*IF(circ_int,0,eq_c1/2)+4*IF(circ_int,0,eq_c2/2)+2*PI()*(s_0+9*s_r+IF(circ_int,eq_c1/2,0)))/INDEX(lk_legs,10))&lt;(((((((2*IF(circ_int,0,eq_c2/2))+(PI()*(s_0+9*s_r+IF(circ_int,eq_c1/2,0))/2))+2*IF(circ_int,0,eq_c1/2))+(PI()*(s_0+9*s_r+IF(circ_int,eq_c1/2,0))/2))+2*IF(circ_int,0,eq_c2/2))+(PI()*(s_0+9*s_r+IF(circ_int,eq_c1/2,0))/2))+2*IF(circ_int,0,eq_c1/2)),-IF(circ_int,0,eq_c1/2)+(((54+0.5)*(4*IF(circ_int,0,eq_c1/2)+4*IF(circ_int,0,eq_c2/2)+2*PI()*(s_0+9*s_r+IF(circ_int,eq_c1/2,0)))/INDEX(lk_legs,10))-((((((2*IF(circ_int,0,eq_c2/2))+(PI()*(s_0+9*s_r+IF(circ_int,eq_c1/2,0))/2))+2*IF(circ_int,0,eq_c1/2))+(PI()*(s_0+9*s_r+IF(circ_int,eq_c1/2,0))/2))+2*IF(circ_int,0,eq_c2/2))+(PI()*(s_0+9*s_r+IF(circ_int,eq_c1/2,0))/2))),IF(circ_int,0,eq_c1/2)+(s_0+9*s_r+IF(circ_int,eq_c1/2,0))*COS(3*PI()/2+(((54+0.5)*(4*IF(circ_int,0,eq_c1/2)+4*IF(circ_int,0,eq_c2/2)+2*PI()*(s_0+9*s_r+IF(circ_int,eq_c1/2,0)))/INDEX(lk_legs,10))-(((((((2*IF(circ_int,0,eq_c2/2))+(PI()*(s_0+9*s_r+IF(circ_int,eq_c1/2,0))/2))+2*IF(circ_int,0,eq_c1/2))+(PI()*(s_0+9*s_r+IF(circ_int,eq_c1/2,0))/2))+2*IF(circ_int,0,eq_c2/2))+(PI()*(s_0+9*s_r+IF(circ_int,eq_c1/2,0))/2))+2*IF(circ_int,0,eq_c1/2)))/(s_0+9*s_r+IF(circ_int,eq_c1/2,0)))))))))),NA())</f>
        <v/>
      </c>
      <c r="DC57">
        <f>IF(AND(AND(links_on,10&lt;=n_per),INDEX(lk_kind,10)=1,54&lt;INDEX(lk_legs,10)),g_oy+IF(((54+0.5)*(4*IF(circ_int,0,eq_c1/2)+4*IF(circ_int,0,eq_c2/2)+2*PI()*(s_0+9*s_r+IF(circ_int,eq_c1/2,0)))/INDEX(lk_legs,10))&lt;(2*IF(circ_int,0,eq_c2/2)),-IF(circ_int,0,eq_c2/2)+((54+0.5)*(4*IF(circ_int,0,eq_c1/2)+4*IF(circ_int,0,eq_c2/2)+2*PI()*(s_0+9*s_r+IF(circ_int,eq_c1/2,0)))/INDEX(lk_legs,10)),IF(((54+0.5)*(4*IF(circ_int,0,eq_c1/2)+4*IF(circ_int,0,eq_c2/2)+2*PI()*(s_0+9*s_r+IF(circ_int,eq_c1/2,0)))/INDEX(lk_legs,10))&lt;((2*IF(circ_int,0,eq_c2/2))+(PI()*(s_0+9*s_r+IF(circ_int,eq_c1/2,0))/2)),IF(circ_int,0,eq_c2/2)+(s_0+9*s_r+IF(circ_int,eq_c1/2,0))*SIN((((54+0.5)*(4*IF(circ_int,0,eq_c1/2)+4*IF(circ_int,0,eq_c2/2)+2*PI()*(s_0+9*s_r+IF(circ_int,eq_c1/2,0)))/INDEX(lk_legs,10))-(2*IF(circ_int,0,eq_c2/2)))/(s_0+9*s_r+IF(circ_int,eq_c1/2,0))),IF(((54+0.5)*(4*IF(circ_int,0,eq_c1/2)+4*IF(circ_int,0,eq_c2/2)+2*PI()*(s_0+9*s_r+IF(circ_int,eq_c1/2,0)))/INDEX(lk_legs,10))&lt;(((2*IF(circ_int,0,eq_c2/2))+(PI()*(s_0+9*s_r+IF(circ_int,eq_c1/2,0))/2))+2*IF(circ_int,0,eq_c1/2)),IF(circ_int,0,eq_c2/2)+(s_0+9*s_r+IF(circ_int,eq_c1/2,0)),IF(((54+0.5)*(4*IF(circ_int,0,eq_c1/2)+4*IF(circ_int,0,eq_c2/2)+2*PI()*(s_0+9*s_r+IF(circ_int,eq_c1/2,0)))/INDEX(lk_legs,10))&lt;((((2*IF(circ_int,0,eq_c2/2))+(PI()*(s_0+9*s_r+IF(circ_int,eq_c1/2,0))/2))+2*IF(circ_int,0,eq_c1/2))+(PI()*(s_0+9*s_r+IF(circ_int,eq_c1/2,0))/2)),IF(circ_int,0,eq_c2/2)+(s_0+9*s_r+IF(circ_int,eq_c1/2,0))*SIN(PI()/2+(((54+0.5)*(4*IF(circ_int,0,eq_c1/2)+4*IF(circ_int,0,eq_c2/2)+2*PI()*(s_0+9*s_r+IF(circ_int,eq_c1/2,0)))/INDEX(lk_legs,10))-(((2*IF(circ_int,0,eq_c2/2))+(PI()*(s_0+9*s_r+IF(circ_int,eq_c1/2,0))/2))+2*IF(circ_int,0,eq_c1/2)))/(s_0+9*s_r+IF(circ_int,eq_c1/2,0))),IF(((54+0.5)*(4*IF(circ_int,0,eq_c1/2)+4*IF(circ_int,0,eq_c2/2)+2*PI()*(s_0+9*s_r+IF(circ_int,eq_c1/2,0)))/INDEX(lk_legs,10))&lt;(((((2*IF(circ_int,0,eq_c2/2))+(PI()*(s_0+9*s_r+IF(circ_int,eq_c1/2,0))/2))+2*IF(circ_int,0,eq_c1/2))+(PI()*(s_0+9*s_r+IF(circ_int,eq_c1/2,0))/2))+2*IF(circ_int,0,eq_c2/2)),IF(circ_int,0,eq_c2/2)-(((54+0.5)*(4*IF(circ_int,0,eq_c1/2)+4*IF(circ_int,0,eq_c2/2)+2*PI()*(s_0+9*s_r+IF(circ_int,eq_c1/2,0)))/INDEX(lk_legs,10))-((((2*IF(circ_int,0,eq_c2/2))+(PI()*(s_0+9*s_r+IF(circ_int,eq_c1/2,0))/2))+2*IF(circ_int,0,eq_c1/2))+(PI()*(s_0+9*s_r+IF(circ_int,eq_c1/2,0))/2))),IF(((54+0.5)*(4*IF(circ_int,0,eq_c1/2)+4*IF(circ_int,0,eq_c2/2)+2*PI()*(s_0+9*s_r+IF(circ_int,eq_c1/2,0)))/INDEX(lk_legs,10))&lt;((((((2*IF(circ_int,0,eq_c2/2))+(PI()*(s_0+9*s_r+IF(circ_int,eq_c1/2,0))/2))+2*IF(circ_int,0,eq_c1/2))+(PI()*(s_0+9*s_r+IF(circ_int,eq_c1/2,0))/2))+2*IF(circ_int,0,eq_c2/2))+(PI()*(s_0+9*s_r+IF(circ_int,eq_c1/2,0))/2)),-IF(circ_int,0,eq_c2/2)+(s_0+9*s_r+IF(circ_int,eq_c1/2,0))*SIN(PI()+(((54+0.5)*(4*IF(circ_int,0,eq_c1/2)+4*IF(circ_int,0,eq_c2/2)+2*PI()*(s_0+9*s_r+IF(circ_int,eq_c1/2,0)))/INDEX(lk_legs,10))-(((((2*IF(circ_int,0,eq_c2/2))+(PI()*(s_0+9*s_r+IF(circ_int,eq_c1/2,0))/2))+2*IF(circ_int,0,eq_c1/2))+(PI()*(s_0+9*s_r+IF(circ_int,eq_c1/2,0))/2))+2*IF(circ_int,0,eq_c2/2)))/(s_0+9*s_r+IF(circ_int,eq_c1/2,0))),IF(((54+0.5)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(54+0.5)*(4*IF(circ_int,0,eq_c1/2)+4*IF(circ_int,0,eq_c2/2)+2*PI()*(s_0+9*s_r+IF(circ_int,eq_c1/2,0)))/INDEX(lk_legs,10))-(((((((2*IF(circ_int,0,eq_c2/2))+(PI()*(s_0+9*s_r+IF(circ_int,eq_c1/2,0))/2))+2*IF(circ_int,0,eq_c1/2))+(PI()*(s_0+9*s_r+IF(circ_int,eq_c1/2,0))/2))+2*IF(circ_int,0,eq_c2/2))+(PI()*(s_0+9*s_r+IF(circ_int,eq_c1/2,0))/2))+2*IF(circ_int,0,eq_c1/2)))/(s_0+9*s_r+IF(circ_int,eq_c1/2,0)))))))))),NA())</f>
        <v/>
      </c>
      <c r="DH57">
        <f>IF(AND(AND(links_on,11&lt;=n_per),INDEX(lk_kind,11)=1,54&lt;INDEX(lk_legs,11)),g_ox+IF(((54+0.5)*(4*IF(circ_int,0,eq_c1/2)+4*IF(circ_int,0,eq_c2/2)+2*PI()*(s_0+10*s_r+IF(circ_int,eq_c1/2,0)))/INDEX(lk_legs,11))&lt;(2*IF(circ_int,0,eq_c2/2)),IF(circ_int,0,eq_c1/2)+(s_0+10*s_r+IF(circ_int,eq_c1/2,0)),IF(((54+0.5)*(4*IF(circ_int,0,eq_c1/2)+4*IF(circ_int,0,eq_c2/2)+2*PI()*(s_0+10*s_r+IF(circ_int,eq_c1/2,0)))/INDEX(lk_legs,11))&lt;((2*IF(circ_int,0,eq_c2/2))+(PI()*(s_0+10*s_r+IF(circ_int,eq_c1/2,0))/2)),IF(circ_int,0,eq_c1/2)+(s_0+10*s_r+IF(circ_int,eq_c1/2,0))*COS((((54+0.5)*(4*IF(circ_int,0,eq_c1/2)+4*IF(circ_int,0,eq_c2/2)+2*PI()*(s_0+10*s_r+IF(circ_int,eq_c1/2,0)))/INDEX(lk_legs,11))-(2*IF(circ_int,0,eq_c2/2)))/(s_0+10*s_r+IF(circ_int,eq_c1/2,0))),IF(((54+0.5)*(4*IF(circ_int,0,eq_c1/2)+4*IF(circ_int,0,eq_c2/2)+2*PI()*(s_0+10*s_r+IF(circ_int,eq_c1/2,0)))/INDEX(lk_legs,11))&lt;(((2*IF(circ_int,0,eq_c2/2))+(PI()*(s_0+10*s_r+IF(circ_int,eq_c1/2,0))/2))+2*IF(circ_int,0,eq_c1/2)),IF(circ_int,0,eq_c1/2)-(((54+0.5)*(4*IF(circ_int,0,eq_c1/2)+4*IF(circ_int,0,eq_c2/2)+2*PI()*(s_0+10*s_r+IF(circ_int,eq_c1/2,0)))/INDEX(lk_legs,11))-((2*IF(circ_int,0,eq_c2/2))+(PI()*(s_0+10*s_r+IF(circ_int,eq_c1/2,0))/2))),IF(((54+0.5)*(4*IF(circ_int,0,eq_c1/2)+4*IF(circ_int,0,eq_c2/2)+2*PI()*(s_0+10*s_r+IF(circ_int,eq_c1/2,0)))/INDEX(lk_legs,11))&lt;((((2*IF(circ_int,0,eq_c2/2))+(PI()*(s_0+10*s_r+IF(circ_int,eq_c1/2,0))/2))+2*IF(circ_int,0,eq_c1/2))+(PI()*(s_0+10*s_r+IF(circ_int,eq_c1/2,0))/2)),-IF(circ_int,0,eq_c1/2)+(s_0+10*s_r+IF(circ_int,eq_c1/2,0))*COS(PI()/2+(((54+0.5)*(4*IF(circ_int,0,eq_c1/2)+4*IF(circ_int,0,eq_c2/2)+2*PI()*(s_0+10*s_r+IF(circ_int,eq_c1/2,0)))/INDEX(lk_legs,11))-(((2*IF(circ_int,0,eq_c2/2))+(PI()*(s_0+10*s_r+IF(circ_int,eq_c1/2,0))/2))+2*IF(circ_int,0,eq_c1/2)))/(s_0+10*s_r+IF(circ_int,eq_c1/2,0))),IF(((54+0.5)*(4*IF(circ_int,0,eq_c1/2)+4*IF(circ_int,0,eq_c2/2)+2*PI()*(s_0+10*s_r+IF(circ_int,eq_c1/2,0)))/INDEX(lk_legs,11))&lt;(((((2*IF(circ_int,0,eq_c2/2))+(PI()*(s_0+10*s_r+IF(circ_int,eq_c1/2,0))/2))+2*IF(circ_int,0,eq_c1/2))+(PI()*(s_0+10*s_r+IF(circ_int,eq_c1/2,0))/2))+2*IF(circ_int,0,eq_c2/2)),-IF(circ_int,0,eq_c1/2)-(s_0+10*s_r+IF(circ_int,eq_c1/2,0)),IF(((54+0.5)*(4*IF(circ_int,0,eq_c1/2)+4*IF(circ_int,0,eq_c2/2)+2*PI()*(s_0+10*s_r+IF(circ_int,eq_c1/2,0)))/INDEX(lk_legs,11))&lt;((((((2*IF(circ_int,0,eq_c2/2))+(PI()*(s_0+10*s_r+IF(circ_int,eq_c1/2,0))/2))+2*IF(circ_int,0,eq_c1/2))+(PI()*(s_0+10*s_r+IF(circ_int,eq_c1/2,0))/2))+2*IF(circ_int,0,eq_c2/2))+(PI()*(s_0+10*s_r+IF(circ_int,eq_c1/2,0))/2)),-IF(circ_int,0,eq_c1/2)+(s_0+10*s_r+IF(circ_int,eq_c1/2,0))*COS(PI()+(((54+0.5)*(4*IF(circ_int,0,eq_c1/2)+4*IF(circ_int,0,eq_c2/2)+2*PI()*(s_0+10*s_r+IF(circ_int,eq_c1/2,0)))/INDEX(lk_legs,11))-(((((2*IF(circ_int,0,eq_c2/2))+(PI()*(s_0+10*s_r+IF(circ_int,eq_c1/2,0))/2))+2*IF(circ_int,0,eq_c1/2))+(PI()*(s_0+10*s_r+IF(circ_int,eq_c1/2,0))/2))+2*IF(circ_int,0,eq_c2/2)))/(s_0+10*s_r+IF(circ_int,eq_c1/2,0))),IF(((54+0.5)*(4*IF(circ_int,0,eq_c1/2)+4*IF(circ_int,0,eq_c2/2)+2*PI()*(s_0+10*s_r+IF(circ_int,eq_c1/2,0)))/INDEX(lk_legs,11))&lt;(((((((2*IF(circ_int,0,eq_c2/2))+(PI()*(s_0+10*s_r+IF(circ_int,eq_c1/2,0))/2))+2*IF(circ_int,0,eq_c1/2))+(PI()*(s_0+10*s_r+IF(circ_int,eq_c1/2,0))/2))+2*IF(circ_int,0,eq_c2/2))+(PI()*(s_0+10*s_r+IF(circ_int,eq_c1/2,0))/2))+2*IF(circ_int,0,eq_c1/2)),-IF(circ_int,0,eq_c1/2)+(((54+0.5)*(4*IF(circ_int,0,eq_c1/2)+4*IF(circ_int,0,eq_c2/2)+2*PI()*(s_0+10*s_r+IF(circ_int,eq_c1/2,0)))/INDEX(lk_legs,11))-((((((2*IF(circ_int,0,eq_c2/2))+(PI()*(s_0+10*s_r+IF(circ_int,eq_c1/2,0))/2))+2*IF(circ_int,0,eq_c1/2))+(PI()*(s_0+10*s_r+IF(circ_int,eq_c1/2,0))/2))+2*IF(circ_int,0,eq_c2/2))+(PI()*(s_0+10*s_r+IF(circ_int,eq_c1/2,0))/2))),IF(circ_int,0,eq_c1/2)+(s_0+10*s_r+IF(circ_int,eq_c1/2,0))*COS(3*PI()/2+(((54+0.5)*(4*IF(circ_int,0,eq_c1/2)+4*IF(circ_int,0,eq_c2/2)+2*PI()*(s_0+10*s_r+IF(circ_int,eq_c1/2,0)))/INDEX(lk_legs,11))-(((((((2*IF(circ_int,0,eq_c2/2))+(PI()*(s_0+10*s_r+IF(circ_int,eq_c1/2,0))/2))+2*IF(circ_int,0,eq_c1/2))+(PI()*(s_0+10*s_r+IF(circ_int,eq_c1/2,0))/2))+2*IF(circ_int,0,eq_c2/2))+(PI()*(s_0+10*s_r+IF(circ_int,eq_c1/2,0))/2))+2*IF(circ_int,0,eq_c1/2)))/(s_0+10*s_r+IF(circ_int,eq_c1/2,0)))))))))),NA())</f>
        <v/>
      </c>
      <c r="DI57">
        <f>IF(AND(AND(links_on,11&lt;=n_per),INDEX(lk_kind,11)=1,54&lt;INDEX(lk_legs,11)),g_oy+IF(((54+0.5)*(4*IF(circ_int,0,eq_c1/2)+4*IF(circ_int,0,eq_c2/2)+2*PI()*(s_0+10*s_r+IF(circ_int,eq_c1/2,0)))/INDEX(lk_legs,11))&lt;(2*IF(circ_int,0,eq_c2/2)),-IF(circ_int,0,eq_c2/2)+((54+0.5)*(4*IF(circ_int,0,eq_c1/2)+4*IF(circ_int,0,eq_c2/2)+2*PI()*(s_0+10*s_r+IF(circ_int,eq_c1/2,0)))/INDEX(lk_legs,11)),IF(((54+0.5)*(4*IF(circ_int,0,eq_c1/2)+4*IF(circ_int,0,eq_c2/2)+2*PI()*(s_0+10*s_r+IF(circ_int,eq_c1/2,0)))/INDEX(lk_legs,11))&lt;((2*IF(circ_int,0,eq_c2/2))+(PI()*(s_0+10*s_r+IF(circ_int,eq_c1/2,0))/2)),IF(circ_int,0,eq_c2/2)+(s_0+10*s_r+IF(circ_int,eq_c1/2,0))*SIN((((54+0.5)*(4*IF(circ_int,0,eq_c1/2)+4*IF(circ_int,0,eq_c2/2)+2*PI()*(s_0+10*s_r+IF(circ_int,eq_c1/2,0)))/INDEX(lk_legs,11))-(2*IF(circ_int,0,eq_c2/2)))/(s_0+10*s_r+IF(circ_int,eq_c1/2,0))),IF(((54+0.5)*(4*IF(circ_int,0,eq_c1/2)+4*IF(circ_int,0,eq_c2/2)+2*PI()*(s_0+10*s_r+IF(circ_int,eq_c1/2,0)))/INDEX(lk_legs,11))&lt;(((2*IF(circ_int,0,eq_c2/2))+(PI()*(s_0+10*s_r+IF(circ_int,eq_c1/2,0))/2))+2*IF(circ_int,0,eq_c1/2)),IF(circ_int,0,eq_c2/2)+(s_0+10*s_r+IF(circ_int,eq_c1/2,0)),IF(((54+0.5)*(4*IF(circ_int,0,eq_c1/2)+4*IF(circ_int,0,eq_c2/2)+2*PI()*(s_0+10*s_r+IF(circ_int,eq_c1/2,0)))/INDEX(lk_legs,11))&lt;((((2*IF(circ_int,0,eq_c2/2))+(PI()*(s_0+10*s_r+IF(circ_int,eq_c1/2,0))/2))+2*IF(circ_int,0,eq_c1/2))+(PI()*(s_0+10*s_r+IF(circ_int,eq_c1/2,0))/2)),IF(circ_int,0,eq_c2/2)+(s_0+10*s_r+IF(circ_int,eq_c1/2,0))*SIN(PI()/2+(((54+0.5)*(4*IF(circ_int,0,eq_c1/2)+4*IF(circ_int,0,eq_c2/2)+2*PI()*(s_0+10*s_r+IF(circ_int,eq_c1/2,0)))/INDEX(lk_legs,11))-(((2*IF(circ_int,0,eq_c2/2))+(PI()*(s_0+10*s_r+IF(circ_int,eq_c1/2,0))/2))+2*IF(circ_int,0,eq_c1/2)))/(s_0+10*s_r+IF(circ_int,eq_c1/2,0))),IF(((54+0.5)*(4*IF(circ_int,0,eq_c1/2)+4*IF(circ_int,0,eq_c2/2)+2*PI()*(s_0+10*s_r+IF(circ_int,eq_c1/2,0)))/INDEX(lk_legs,11))&lt;(((((2*IF(circ_int,0,eq_c2/2))+(PI()*(s_0+10*s_r+IF(circ_int,eq_c1/2,0))/2))+2*IF(circ_int,0,eq_c1/2))+(PI()*(s_0+10*s_r+IF(circ_int,eq_c1/2,0))/2))+2*IF(circ_int,0,eq_c2/2)),IF(circ_int,0,eq_c2/2)-(((54+0.5)*(4*IF(circ_int,0,eq_c1/2)+4*IF(circ_int,0,eq_c2/2)+2*PI()*(s_0+10*s_r+IF(circ_int,eq_c1/2,0)))/INDEX(lk_legs,11))-((((2*IF(circ_int,0,eq_c2/2))+(PI()*(s_0+10*s_r+IF(circ_int,eq_c1/2,0))/2))+2*IF(circ_int,0,eq_c1/2))+(PI()*(s_0+10*s_r+IF(circ_int,eq_c1/2,0))/2))),IF(((54+0.5)*(4*IF(circ_int,0,eq_c1/2)+4*IF(circ_int,0,eq_c2/2)+2*PI()*(s_0+10*s_r+IF(circ_int,eq_c1/2,0)))/INDEX(lk_legs,11))&lt;((((((2*IF(circ_int,0,eq_c2/2))+(PI()*(s_0+10*s_r+IF(circ_int,eq_c1/2,0))/2))+2*IF(circ_int,0,eq_c1/2))+(PI()*(s_0+10*s_r+IF(circ_int,eq_c1/2,0))/2))+2*IF(circ_int,0,eq_c2/2))+(PI()*(s_0+10*s_r+IF(circ_int,eq_c1/2,0))/2)),-IF(circ_int,0,eq_c2/2)+(s_0+10*s_r+IF(circ_int,eq_c1/2,0))*SIN(PI()+(((54+0.5)*(4*IF(circ_int,0,eq_c1/2)+4*IF(circ_int,0,eq_c2/2)+2*PI()*(s_0+10*s_r+IF(circ_int,eq_c1/2,0)))/INDEX(lk_legs,11))-(((((2*IF(circ_int,0,eq_c2/2))+(PI()*(s_0+10*s_r+IF(circ_int,eq_c1/2,0))/2))+2*IF(circ_int,0,eq_c1/2))+(PI()*(s_0+10*s_r+IF(circ_int,eq_c1/2,0))/2))+2*IF(circ_int,0,eq_c2/2)))/(s_0+10*s_r+IF(circ_int,eq_c1/2,0))),IF(((54+0.5)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(54+0.5)*(4*IF(circ_int,0,eq_c1/2)+4*IF(circ_int,0,eq_c2/2)+2*PI()*(s_0+10*s_r+IF(circ_int,eq_c1/2,0)))/INDEX(lk_legs,11))-(((((((2*IF(circ_int,0,eq_c2/2))+(PI()*(s_0+10*s_r+IF(circ_int,eq_c1/2,0))/2))+2*IF(circ_int,0,eq_c1/2))+(PI()*(s_0+10*s_r+IF(circ_int,eq_c1/2,0))/2))+2*IF(circ_int,0,eq_c2/2))+(PI()*(s_0+10*s_r+IF(circ_int,eq_c1/2,0))/2))+2*IF(circ_int,0,eq_c1/2)))/(s_0+10*s_r+IF(circ_int,eq_c1/2,0)))))))))),NA())</f>
        <v/>
      </c>
      <c r="DN57">
        <f>IF(AND(AND(links_on,12&lt;=n_per),INDEX(lk_kind,12)=1,54&lt;INDEX(lk_legs,12)),g_ox+IF(((54+0.5)*(4*IF(circ_int,0,eq_c1/2)+4*IF(circ_int,0,eq_c2/2)+2*PI()*(s_0+11*s_r+IF(circ_int,eq_c1/2,0)))/INDEX(lk_legs,12))&lt;(2*IF(circ_int,0,eq_c2/2)),IF(circ_int,0,eq_c1/2)+(s_0+11*s_r+IF(circ_int,eq_c1/2,0)),IF(((54+0.5)*(4*IF(circ_int,0,eq_c1/2)+4*IF(circ_int,0,eq_c2/2)+2*PI()*(s_0+11*s_r+IF(circ_int,eq_c1/2,0)))/INDEX(lk_legs,12))&lt;((2*IF(circ_int,0,eq_c2/2))+(PI()*(s_0+11*s_r+IF(circ_int,eq_c1/2,0))/2)),IF(circ_int,0,eq_c1/2)+(s_0+11*s_r+IF(circ_int,eq_c1/2,0))*COS((((54+0.5)*(4*IF(circ_int,0,eq_c1/2)+4*IF(circ_int,0,eq_c2/2)+2*PI()*(s_0+11*s_r+IF(circ_int,eq_c1/2,0)))/INDEX(lk_legs,12))-(2*IF(circ_int,0,eq_c2/2)))/(s_0+11*s_r+IF(circ_int,eq_c1/2,0))),IF(((54+0.5)*(4*IF(circ_int,0,eq_c1/2)+4*IF(circ_int,0,eq_c2/2)+2*PI()*(s_0+11*s_r+IF(circ_int,eq_c1/2,0)))/INDEX(lk_legs,12))&lt;(((2*IF(circ_int,0,eq_c2/2))+(PI()*(s_0+11*s_r+IF(circ_int,eq_c1/2,0))/2))+2*IF(circ_int,0,eq_c1/2)),IF(circ_int,0,eq_c1/2)-(((54+0.5)*(4*IF(circ_int,0,eq_c1/2)+4*IF(circ_int,0,eq_c2/2)+2*PI()*(s_0+11*s_r+IF(circ_int,eq_c1/2,0)))/INDEX(lk_legs,12))-((2*IF(circ_int,0,eq_c2/2))+(PI()*(s_0+11*s_r+IF(circ_int,eq_c1/2,0))/2))),IF(((54+0.5)*(4*IF(circ_int,0,eq_c1/2)+4*IF(circ_int,0,eq_c2/2)+2*PI()*(s_0+11*s_r+IF(circ_int,eq_c1/2,0)))/INDEX(lk_legs,12))&lt;((((2*IF(circ_int,0,eq_c2/2))+(PI()*(s_0+11*s_r+IF(circ_int,eq_c1/2,0))/2))+2*IF(circ_int,0,eq_c1/2))+(PI()*(s_0+11*s_r+IF(circ_int,eq_c1/2,0))/2)),-IF(circ_int,0,eq_c1/2)+(s_0+11*s_r+IF(circ_int,eq_c1/2,0))*COS(PI()/2+(((54+0.5)*(4*IF(circ_int,0,eq_c1/2)+4*IF(circ_int,0,eq_c2/2)+2*PI()*(s_0+11*s_r+IF(circ_int,eq_c1/2,0)))/INDEX(lk_legs,12))-(((2*IF(circ_int,0,eq_c2/2))+(PI()*(s_0+11*s_r+IF(circ_int,eq_c1/2,0))/2))+2*IF(circ_int,0,eq_c1/2)))/(s_0+11*s_r+IF(circ_int,eq_c1/2,0))),IF(((54+0.5)*(4*IF(circ_int,0,eq_c1/2)+4*IF(circ_int,0,eq_c2/2)+2*PI()*(s_0+11*s_r+IF(circ_int,eq_c1/2,0)))/INDEX(lk_legs,12))&lt;(((((2*IF(circ_int,0,eq_c2/2))+(PI()*(s_0+11*s_r+IF(circ_int,eq_c1/2,0))/2))+2*IF(circ_int,0,eq_c1/2))+(PI()*(s_0+11*s_r+IF(circ_int,eq_c1/2,0))/2))+2*IF(circ_int,0,eq_c2/2)),-IF(circ_int,0,eq_c1/2)-(s_0+11*s_r+IF(circ_int,eq_c1/2,0)),IF(((54+0.5)*(4*IF(circ_int,0,eq_c1/2)+4*IF(circ_int,0,eq_c2/2)+2*PI()*(s_0+11*s_r+IF(circ_int,eq_c1/2,0)))/INDEX(lk_legs,12))&lt;((((((2*IF(circ_int,0,eq_c2/2))+(PI()*(s_0+11*s_r+IF(circ_int,eq_c1/2,0))/2))+2*IF(circ_int,0,eq_c1/2))+(PI()*(s_0+11*s_r+IF(circ_int,eq_c1/2,0))/2))+2*IF(circ_int,0,eq_c2/2))+(PI()*(s_0+11*s_r+IF(circ_int,eq_c1/2,0))/2)),-IF(circ_int,0,eq_c1/2)+(s_0+11*s_r+IF(circ_int,eq_c1/2,0))*COS(PI()+(((54+0.5)*(4*IF(circ_int,0,eq_c1/2)+4*IF(circ_int,0,eq_c2/2)+2*PI()*(s_0+11*s_r+IF(circ_int,eq_c1/2,0)))/INDEX(lk_legs,12))-(((((2*IF(circ_int,0,eq_c2/2))+(PI()*(s_0+11*s_r+IF(circ_int,eq_c1/2,0))/2))+2*IF(circ_int,0,eq_c1/2))+(PI()*(s_0+11*s_r+IF(circ_int,eq_c1/2,0))/2))+2*IF(circ_int,0,eq_c2/2)))/(s_0+11*s_r+IF(circ_int,eq_c1/2,0))),IF(((54+0.5)*(4*IF(circ_int,0,eq_c1/2)+4*IF(circ_int,0,eq_c2/2)+2*PI()*(s_0+11*s_r+IF(circ_int,eq_c1/2,0)))/INDEX(lk_legs,12))&lt;(((((((2*IF(circ_int,0,eq_c2/2))+(PI()*(s_0+11*s_r+IF(circ_int,eq_c1/2,0))/2))+2*IF(circ_int,0,eq_c1/2))+(PI()*(s_0+11*s_r+IF(circ_int,eq_c1/2,0))/2))+2*IF(circ_int,0,eq_c2/2))+(PI()*(s_0+11*s_r+IF(circ_int,eq_c1/2,0))/2))+2*IF(circ_int,0,eq_c1/2)),-IF(circ_int,0,eq_c1/2)+(((54+0.5)*(4*IF(circ_int,0,eq_c1/2)+4*IF(circ_int,0,eq_c2/2)+2*PI()*(s_0+11*s_r+IF(circ_int,eq_c1/2,0)))/INDEX(lk_legs,12))-((((((2*IF(circ_int,0,eq_c2/2))+(PI()*(s_0+11*s_r+IF(circ_int,eq_c1/2,0))/2))+2*IF(circ_int,0,eq_c1/2))+(PI()*(s_0+11*s_r+IF(circ_int,eq_c1/2,0))/2))+2*IF(circ_int,0,eq_c2/2))+(PI()*(s_0+11*s_r+IF(circ_int,eq_c1/2,0))/2))),IF(circ_int,0,eq_c1/2)+(s_0+11*s_r+IF(circ_int,eq_c1/2,0))*COS(3*PI()/2+(((54+0.5)*(4*IF(circ_int,0,eq_c1/2)+4*IF(circ_int,0,eq_c2/2)+2*PI()*(s_0+11*s_r+IF(circ_int,eq_c1/2,0)))/INDEX(lk_legs,12))-(((((((2*IF(circ_int,0,eq_c2/2))+(PI()*(s_0+11*s_r+IF(circ_int,eq_c1/2,0))/2))+2*IF(circ_int,0,eq_c1/2))+(PI()*(s_0+11*s_r+IF(circ_int,eq_c1/2,0))/2))+2*IF(circ_int,0,eq_c2/2))+(PI()*(s_0+11*s_r+IF(circ_int,eq_c1/2,0))/2))+2*IF(circ_int,0,eq_c1/2)))/(s_0+11*s_r+IF(circ_int,eq_c1/2,0)))))))))),NA())</f>
        <v/>
      </c>
      <c r="DO57">
        <f>IF(AND(AND(links_on,12&lt;=n_per),INDEX(lk_kind,12)=1,54&lt;INDEX(lk_legs,12)),g_oy+IF(((54+0.5)*(4*IF(circ_int,0,eq_c1/2)+4*IF(circ_int,0,eq_c2/2)+2*PI()*(s_0+11*s_r+IF(circ_int,eq_c1/2,0)))/INDEX(lk_legs,12))&lt;(2*IF(circ_int,0,eq_c2/2)),-IF(circ_int,0,eq_c2/2)+((54+0.5)*(4*IF(circ_int,0,eq_c1/2)+4*IF(circ_int,0,eq_c2/2)+2*PI()*(s_0+11*s_r+IF(circ_int,eq_c1/2,0)))/INDEX(lk_legs,12)),IF(((54+0.5)*(4*IF(circ_int,0,eq_c1/2)+4*IF(circ_int,0,eq_c2/2)+2*PI()*(s_0+11*s_r+IF(circ_int,eq_c1/2,0)))/INDEX(lk_legs,12))&lt;((2*IF(circ_int,0,eq_c2/2))+(PI()*(s_0+11*s_r+IF(circ_int,eq_c1/2,0))/2)),IF(circ_int,0,eq_c2/2)+(s_0+11*s_r+IF(circ_int,eq_c1/2,0))*SIN((((54+0.5)*(4*IF(circ_int,0,eq_c1/2)+4*IF(circ_int,0,eq_c2/2)+2*PI()*(s_0+11*s_r+IF(circ_int,eq_c1/2,0)))/INDEX(lk_legs,12))-(2*IF(circ_int,0,eq_c2/2)))/(s_0+11*s_r+IF(circ_int,eq_c1/2,0))),IF(((54+0.5)*(4*IF(circ_int,0,eq_c1/2)+4*IF(circ_int,0,eq_c2/2)+2*PI()*(s_0+11*s_r+IF(circ_int,eq_c1/2,0)))/INDEX(lk_legs,12))&lt;(((2*IF(circ_int,0,eq_c2/2))+(PI()*(s_0+11*s_r+IF(circ_int,eq_c1/2,0))/2))+2*IF(circ_int,0,eq_c1/2)),IF(circ_int,0,eq_c2/2)+(s_0+11*s_r+IF(circ_int,eq_c1/2,0)),IF(((54+0.5)*(4*IF(circ_int,0,eq_c1/2)+4*IF(circ_int,0,eq_c2/2)+2*PI()*(s_0+11*s_r+IF(circ_int,eq_c1/2,0)))/INDEX(lk_legs,12))&lt;((((2*IF(circ_int,0,eq_c2/2))+(PI()*(s_0+11*s_r+IF(circ_int,eq_c1/2,0))/2))+2*IF(circ_int,0,eq_c1/2))+(PI()*(s_0+11*s_r+IF(circ_int,eq_c1/2,0))/2)),IF(circ_int,0,eq_c2/2)+(s_0+11*s_r+IF(circ_int,eq_c1/2,0))*SIN(PI()/2+(((54+0.5)*(4*IF(circ_int,0,eq_c1/2)+4*IF(circ_int,0,eq_c2/2)+2*PI()*(s_0+11*s_r+IF(circ_int,eq_c1/2,0)))/INDEX(lk_legs,12))-(((2*IF(circ_int,0,eq_c2/2))+(PI()*(s_0+11*s_r+IF(circ_int,eq_c1/2,0))/2))+2*IF(circ_int,0,eq_c1/2)))/(s_0+11*s_r+IF(circ_int,eq_c1/2,0))),IF(((54+0.5)*(4*IF(circ_int,0,eq_c1/2)+4*IF(circ_int,0,eq_c2/2)+2*PI()*(s_0+11*s_r+IF(circ_int,eq_c1/2,0)))/INDEX(lk_legs,12))&lt;(((((2*IF(circ_int,0,eq_c2/2))+(PI()*(s_0+11*s_r+IF(circ_int,eq_c1/2,0))/2))+2*IF(circ_int,0,eq_c1/2))+(PI()*(s_0+11*s_r+IF(circ_int,eq_c1/2,0))/2))+2*IF(circ_int,0,eq_c2/2)),IF(circ_int,0,eq_c2/2)-(((54+0.5)*(4*IF(circ_int,0,eq_c1/2)+4*IF(circ_int,0,eq_c2/2)+2*PI()*(s_0+11*s_r+IF(circ_int,eq_c1/2,0)))/INDEX(lk_legs,12))-((((2*IF(circ_int,0,eq_c2/2))+(PI()*(s_0+11*s_r+IF(circ_int,eq_c1/2,0))/2))+2*IF(circ_int,0,eq_c1/2))+(PI()*(s_0+11*s_r+IF(circ_int,eq_c1/2,0))/2))),IF(((54+0.5)*(4*IF(circ_int,0,eq_c1/2)+4*IF(circ_int,0,eq_c2/2)+2*PI()*(s_0+11*s_r+IF(circ_int,eq_c1/2,0)))/INDEX(lk_legs,12))&lt;((((((2*IF(circ_int,0,eq_c2/2))+(PI()*(s_0+11*s_r+IF(circ_int,eq_c1/2,0))/2))+2*IF(circ_int,0,eq_c1/2))+(PI()*(s_0+11*s_r+IF(circ_int,eq_c1/2,0))/2))+2*IF(circ_int,0,eq_c2/2))+(PI()*(s_0+11*s_r+IF(circ_int,eq_c1/2,0))/2)),-IF(circ_int,0,eq_c2/2)+(s_0+11*s_r+IF(circ_int,eq_c1/2,0))*SIN(PI()+(((54+0.5)*(4*IF(circ_int,0,eq_c1/2)+4*IF(circ_int,0,eq_c2/2)+2*PI()*(s_0+11*s_r+IF(circ_int,eq_c1/2,0)))/INDEX(lk_legs,12))-(((((2*IF(circ_int,0,eq_c2/2))+(PI()*(s_0+11*s_r+IF(circ_int,eq_c1/2,0))/2))+2*IF(circ_int,0,eq_c1/2))+(PI()*(s_0+11*s_r+IF(circ_int,eq_c1/2,0))/2))+2*IF(circ_int,0,eq_c2/2)))/(s_0+11*s_r+IF(circ_int,eq_c1/2,0))),IF(((54+0.5)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(54+0.5)*(4*IF(circ_int,0,eq_c1/2)+4*IF(circ_int,0,eq_c2/2)+2*PI()*(s_0+11*s_r+IF(circ_int,eq_c1/2,0)))/INDEX(lk_legs,12))-(((((((2*IF(circ_int,0,eq_c2/2))+(PI()*(s_0+11*s_r+IF(circ_int,eq_c1/2,0))/2))+2*IF(circ_int,0,eq_c1/2))+(PI()*(s_0+11*s_r+IF(circ_int,eq_c1/2,0))/2))+2*IF(circ_int,0,eq_c2/2))+(PI()*(s_0+11*s_r+IF(circ_int,eq_c1/2,0))/2))+2*IF(circ_int,0,eq_c1/2)))/(s_0+11*s_r+IF(circ_int,eq_c1/2,0)))))))))),NA())</f>
        <v/>
      </c>
    </row>
    <row r="58">
      <c r="AZ58">
        <f>IF(AND(AND(links_on,1&lt;=n_per),INDEX(lk_kind,1)=1,55&lt;INDEX(lk_legs,1)),g_ox+IF(((55+0.5)*(4*IF(circ_int,0,eq_c1/2)+4*IF(circ_int,0,eq_c2/2)+2*PI()*(s_0+0*s_r+IF(circ_int,eq_c1/2,0)))/INDEX(lk_legs,1))&lt;(2*IF(circ_int,0,eq_c2/2)),IF(circ_int,0,eq_c1/2)+(s_0+0*s_r+IF(circ_int,eq_c1/2,0)),IF(((55+0.5)*(4*IF(circ_int,0,eq_c1/2)+4*IF(circ_int,0,eq_c2/2)+2*PI()*(s_0+0*s_r+IF(circ_int,eq_c1/2,0)))/INDEX(lk_legs,1))&lt;((2*IF(circ_int,0,eq_c2/2))+(PI()*(s_0+0*s_r+IF(circ_int,eq_c1/2,0))/2)),IF(circ_int,0,eq_c1/2)+(s_0+0*s_r+IF(circ_int,eq_c1/2,0))*COS((((55+0.5)*(4*IF(circ_int,0,eq_c1/2)+4*IF(circ_int,0,eq_c2/2)+2*PI()*(s_0+0*s_r+IF(circ_int,eq_c1/2,0)))/INDEX(lk_legs,1))-(2*IF(circ_int,0,eq_c2/2)))/(s_0+0*s_r+IF(circ_int,eq_c1/2,0))),IF(((55+0.5)*(4*IF(circ_int,0,eq_c1/2)+4*IF(circ_int,0,eq_c2/2)+2*PI()*(s_0+0*s_r+IF(circ_int,eq_c1/2,0)))/INDEX(lk_legs,1))&lt;(((2*IF(circ_int,0,eq_c2/2))+(PI()*(s_0+0*s_r+IF(circ_int,eq_c1/2,0))/2))+2*IF(circ_int,0,eq_c1/2)),IF(circ_int,0,eq_c1/2)-(((55+0.5)*(4*IF(circ_int,0,eq_c1/2)+4*IF(circ_int,0,eq_c2/2)+2*PI()*(s_0+0*s_r+IF(circ_int,eq_c1/2,0)))/INDEX(lk_legs,1))-((2*IF(circ_int,0,eq_c2/2))+(PI()*(s_0+0*s_r+IF(circ_int,eq_c1/2,0))/2))),IF(((55+0.5)*(4*IF(circ_int,0,eq_c1/2)+4*IF(circ_int,0,eq_c2/2)+2*PI()*(s_0+0*s_r+IF(circ_int,eq_c1/2,0)))/INDEX(lk_legs,1))&lt;((((2*IF(circ_int,0,eq_c2/2))+(PI()*(s_0+0*s_r+IF(circ_int,eq_c1/2,0))/2))+2*IF(circ_int,0,eq_c1/2))+(PI()*(s_0+0*s_r+IF(circ_int,eq_c1/2,0))/2)),-IF(circ_int,0,eq_c1/2)+(s_0+0*s_r+IF(circ_int,eq_c1/2,0))*COS(PI()/2+(((55+0.5)*(4*IF(circ_int,0,eq_c1/2)+4*IF(circ_int,0,eq_c2/2)+2*PI()*(s_0+0*s_r+IF(circ_int,eq_c1/2,0)))/INDEX(lk_legs,1))-(((2*IF(circ_int,0,eq_c2/2))+(PI()*(s_0+0*s_r+IF(circ_int,eq_c1/2,0))/2))+2*IF(circ_int,0,eq_c1/2)))/(s_0+0*s_r+IF(circ_int,eq_c1/2,0))),IF(((55+0.5)*(4*IF(circ_int,0,eq_c1/2)+4*IF(circ_int,0,eq_c2/2)+2*PI()*(s_0+0*s_r+IF(circ_int,eq_c1/2,0)))/INDEX(lk_legs,1))&lt;(((((2*IF(circ_int,0,eq_c2/2))+(PI()*(s_0+0*s_r+IF(circ_int,eq_c1/2,0))/2))+2*IF(circ_int,0,eq_c1/2))+(PI()*(s_0+0*s_r+IF(circ_int,eq_c1/2,0))/2))+2*IF(circ_int,0,eq_c2/2)),-IF(circ_int,0,eq_c1/2)-(s_0+0*s_r+IF(circ_int,eq_c1/2,0)),IF(((55+0.5)*(4*IF(circ_int,0,eq_c1/2)+4*IF(circ_int,0,eq_c2/2)+2*PI()*(s_0+0*s_r+IF(circ_int,eq_c1/2,0)))/INDEX(lk_legs,1))&lt;((((((2*IF(circ_int,0,eq_c2/2))+(PI()*(s_0+0*s_r+IF(circ_int,eq_c1/2,0))/2))+2*IF(circ_int,0,eq_c1/2))+(PI()*(s_0+0*s_r+IF(circ_int,eq_c1/2,0))/2))+2*IF(circ_int,0,eq_c2/2))+(PI()*(s_0+0*s_r+IF(circ_int,eq_c1/2,0))/2)),-IF(circ_int,0,eq_c1/2)+(s_0+0*s_r+IF(circ_int,eq_c1/2,0))*COS(PI()+(((55+0.5)*(4*IF(circ_int,0,eq_c1/2)+4*IF(circ_int,0,eq_c2/2)+2*PI()*(s_0+0*s_r+IF(circ_int,eq_c1/2,0)))/INDEX(lk_legs,1))-(((((2*IF(circ_int,0,eq_c2/2))+(PI()*(s_0+0*s_r+IF(circ_int,eq_c1/2,0))/2))+2*IF(circ_int,0,eq_c1/2))+(PI()*(s_0+0*s_r+IF(circ_int,eq_c1/2,0))/2))+2*IF(circ_int,0,eq_c2/2)))/(s_0+0*s_r+IF(circ_int,eq_c1/2,0))),IF(((55+0.5)*(4*IF(circ_int,0,eq_c1/2)+4*IF(circ_int,0,eq_c2/2)+2*PI()*(s_0+0*s_r+IF(circ_int,eq_c1/2,0)))/INDEX(lk_legs,1))&lt;(((((((2*IF(circ_int,0,eq_c2/2))+(PI()*(s_0+0*s_r+IF(circ_int,eq_c1/2,0))/2))+2*IF(circ_int,0,eq_c1/2))+(PI()*(s_0+0*s_r+IF(circ_int,eq_c1/2,0))/2))+2*IF(circ_int,0,eq_c2/2))+(PI()*(s_0+0*s_r+IF(circ_int,eq_c1/2,0))/2))+2*IF(circ_int,0,eq_c1/2)),-IF(circ_int,0,eq_c1/2)+(((55+0.5)*(4*IF(circ_int,0,eq_c1/2)+4*IF(circ_int,0,eq_c2/2)+2*PI()*(s_0+0*s_r+IF(circ_int,eq_c1/2,0)))/INDEX(lk_legs,1))-((((((2*IF(circ_int,0,eq_c2/2))+(PI()*(s_0+0*s_r+IF(circ_int,eq_c1/2,0))/2))+2*IF(circ_int,0,eq_c1/2))+(PI()*(s_0+0*s_r+IF(circ_int,eq_c1/2,0))/2))+2*IF(circ_int,0,eq_c2/2))+(PI()*(s_0+0*s_r+IF(circ_int,eq_c1/2,0))/2))),IF(circ_int,0,eq_c1/2)+(s_0+0*s_r+IF(circ_int,eq_c1/2,0))*COS(3*PI()/2+(((55+0.5)*(4*IF(circ_int,0,eq_c1/2)+4*IF(circ_int,0,eq_c2/2)+2*PI()*(s_0+0*s_r+IF(circ_int,eq_c1/2,0)))/INDEX(lk_legs,1))-(((((((2*IF(circ_int,0,eq_c2/2))+(PI()*(s_0+0*s_r+IF(circ_int,eq_c1/2,0))/2))+2*IF(circ_int,0,eq_c1/2))+(PI()*(s_0+0*s_r+IF(circ_int,eq_c1/2,0))/2))+2*IF(circ_int,0,eq_c2/2))+(PI()*(s_0+0*s_r+IF(circ_int,eq_c1/2,0))/2))+2*IF(circ_int,0,eq_c1/2)))/(s_0+0*s_r+IF(circ_int,eq_c1/2,0)))))))))),NA())</f>
        <v/>
      </c>
      <c r="BA58">
        <f>IF(AND(AND(links_on,1&lt;=n_per),INDEX(lk_kind,1)=1,55&lt;INDEX(lk_legs,1)),g_oy+IF(((55+0.5)*(4*IF(circ_int,0,eq_c1/2)+4*IF(circ_int,0,eq_c2/2)+2*PI()*(s_0+0*s_r+IF(circ_int,eq_c1/2,0)))/INDEX(lk_legs,1))&lt;(2*IF(circ_int,0,eq_c2/2)),-IF(circ_int,0,eq_c2/2)+((55+0.5)*(4*IF(circ_int,0,eq_c1/2)+4*IF(circ_int,0,eq_c2/2)+2*PI()*(s_0+0*s_r+IF(circ_int,eq_c1/2,0)))/INDEX(lk_legs,1)),IF(((55+0.5)*(4*IF(circ_int,0,eq_c1/2)+4*IF(circ_int,0,eq_c2/2)+2*PI()*(s_0+0*s_r+IF(circ_int,eq_c1/2,0)))/INDEX(lk_legs,1))&lt;((2*IF(circ_int,0,eq_c2/2))+(PI()*(s_0+0*s_r+IF(circ_int,eq_c1/2,0))/2)),IF(circ_int,0,eq_c2/2)+(s_0+0*s_r+IF(circ_int,eq_c1/2,0))*SIN((((55+0.5)*(4*IF(circ_int,0,eq_c1/2)+4*IF(circ_int,0,eq_c2/2)+2*PI()*(s_0+0*s_r+IF(circ_int,eq_c1/2,0)))/INDEX(lk_legs,1))-(2*IF(circ_int,0,eq_c2/2)))/(s_0+0*s_r+IF(circ_int,eq_c1/2,0))),IF(((55+0.5)*(4*IF(circ_int,0,eq_c1/2)+4*IF(circ_int,0,eq_c2/2)+2*PI()*(s_0+0*s_r+IF(circ_int,eq_c1/2,0)))/INDEX(lk_legs,1))&lt;(((2*IF(circ_int,0,eq_c2/2))+(PI()*(s_0+0*s_r+IF(circ_int,eq_c1/2,0))/2))+2*IF(circ_int,0,eq_c1/2)),IF(circ_int,0,eq_c2/2)+(s_0+0*s_r+IF(circ_int,eq_c1/2,0)),IF(((55+0.5)*(4*IF(circ_int,0,eq_c1/2)+4*IF(circ_int,0,eq_c2/2)+2*PI()*(s_0+0*s_r+IF(circ_int,eq_c1/2,0)))/INDEX(lk_legs,1))&lt;((((2*IF(circ_int,0,eq_c2/2))+(PI()*(s_0+0*s_r+IF(circ_int,eq_c1/2,0))/2))+2*IF(circ_int,0,eq_c1/2))+(PI()*(s_0+0*s_r+IF(circ_int,eq_c1/2,0))/2)),IF(circ_int,0,eq_c2/2)+(s_0+0*s_r+IF(circ_int,eq_c1/2,0))*SIN(PI()/2+(((55+0.5)*(4*IF(circ_int,0,eq_c1/2)+4*IF(circ_int,0,eq_c2/2)+2*PI()*(s_0+0*s_r+IF(circ_int,eq_c1/2,0)))/INDEX(lk_legs,1))-(((2*IF(circ_int,0,eq_c2/2))+(PI()*(s_0+0*s_r+IF(circ_int,eq_c1/2,0))/2))+2*IF(circ_int,0,eq_c1/2)))/(s_0+0*s_r+IF(circ_int,eq_c1/2,0))),IF(((55+0.5)*(4*IF(circ_int,0,eq_c1/2)+4*IF(circ_int,0,eq_c2/2)+2*PI()*(s_0+0*s_r+IF(circ_int,eq_c1/2,0)))/INDEX(lk_legs,1))&lt;(((((2*IF(circ_int,0,eq_c2/2))+(PI()*(s_0+0*s_r+IF(circ_int,eq_c1/2,0))/2))+2*IF(circ_int,0,eq_c1/2))+(PI()*(s_0+0*s_r+IF(circ_int,eq_c1/2,0))/2))+2*IF(circ_int,0,eq_c2/2)),IF(circ_int,0,eq_c2/2)-(((55+0.5)*(4*IF(circ_int,0,eq_c1/2)+4*IF(circ_int,0,eq_c2/2)+2*PI()*(s_0+0*s_r+IF(circ_int,eq_c1/2,0)))/INDEX(lk_legs,1))-((((2*IF(circ_int,0,eq_c2/2))+(PI()*(s_0+0*s_r+IF(circ_int,eq_c1/2,0))/2))+2*IF(circ_int,0,eq_c1/2))+(PI()*(s_0+0*s_r+IF(circ_int,eq_c1/2,0))/2))),IF(((55+0.5)*(4*IF(circ_int,0,eq_c1/2)+4*IF(circ_int,0,eq_c2/2)+2*PI()*(s_0+0*s_r+IF(circ_int,eq_c1/2,0)))/INDEX(lk_legs,1))&lt;((((((2*IF(circ_int,0,eq_c2/2))+(PI()*(s_0+0*s_r+IF(circ_int,eq_c1/2,0))/2))+2*IF(circ_int,0,eq_c1/2))+(PI()*(s_0+0*s_r+IF(circ_int,eq_c1/2,0))/2))+2*IF(circ_int,0,eq_c2/2))+(PI()*(s_0+0*s_r+IF(circ_int,eq_c1/2,0))/2)),-IF(circ_int,0,eq_c2/2)+(s_0+0*s_r+IF(circ_int,eq_c1/2,0))*SIN(PI()+(((55+0.5)*(4*IF(circ_int,0,eq_c1/2)+4*IF(circ_int,0,eq_c2/2)+2*PI()*(s_0+0*s_r+IF(circ_int,eq_c1/2,0)))/INDEX(lk_legs,1))-(((((2*IF(circ_int,0,eq_c2/2))+(PI()*(s_0+0*s_r+IF(circ_int,eq_c1/2,0))/2))+2*IF(circ_int,0,eq_c1/2))+(PI()*(s_0+0*s_r+IF(circ_int,eq_c1/2,0))/2))+2*IF(circ_int,0,eq_c2/2)))/(s_0+0*s_r+IF(circ_int,eq_c1/2,0))),IF(((55+0.5)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(55+0.5)*(4*IF(circ_int,0,eq_c1/2)+4*IF(circ_int,0,eq_c2/2)+2*PI()*(s_0+0*s_r+IF(circ_int,eq_c1/2,0)))/INDEX(lk_legs,1))-(((((((2*IF(circ_int,0,eq_c2/2))+(PI()*(s_0+0*s_r+IF(circ_int,eq_c1/2,0))/2))+2*IF(circ_int,0,eq_c1/2))+(PI()*(s_0+0*s_r+IF(circ_int,eq_c1/2,0))/2))+2*IF(circ_int,0,eq_c2/2))+(PI()*(s_0+0*s_r+IF(circ_int,eq_c1/2,0))/2))+2*IF(circ_int,0,eq_c1/2)))/(s_0+0*s_r+IF(circ_int,eq_c1/2,0)))))))))),NA())</f>
        <v/>
      </c>
      <c r="BF58">
        <f>IF(AND(AND(links_on,2&lt;=n_per),INDEX(lk_kind,2)=1,55&lt;INDEX(lk_legs,2)),g_ox+IF(((55+0.5)*(4*IF(circ_int,0,eq_c1/2)+4*IF(circ_int,0,eq_c2/2)+2*PI()*(s_0+1*s_r+IF(circ_int,eq_c1/2,0)))/INDEX(lk_legs,2))&lt;(2*IF(circ_int,0,eq_c2/2)),IF(circ_int,0,eq_c1/2)+(s_0+1*s_r+IF(circ_int,eq_c1/2,0)),IF(((55+0.5)*(4*IF(circ_int,0,eq_c1/2)+4*IF(circ_int,0,eq_c2/2)+2*PI()*(s_0+1*s_r+IF(circ_int,eq_c1/2,0)))/INDEX(lk_legs,2))&lt;((2*IF(circ_int,0,eq_c2/2))+(PI()*(s_0+1*s_r+IF(circ_int,eq_c1/2,0))/2)),IF(circ_int,0,eq_c1/2)+(s_0+1*s_r+IF(circ_int,eq_c1/2,0))*COS((((55+0.5)*(4*IF(circ_int,0,eq_c1/2)+4*IF(circ_int,0,eq_c2/2)+2*PI()*(s_0+1*s_r+IF(circ_int,eq_c1/2,0)))/INDEX(lk_legs,2))-(2*IF(circ_int,0,eq_c2/2)))/(s_0+1*s_r+IF(circ_int,eq_c1/2,0))),IF(((55+0.5)*(4*IF(circ_int,0,eq_c1/2)+4*IF(circ_int,0,eq_c2/2)+2*PI()*(s_0+1*s_r+IF(circ_int,eq_c1/2,0)))/INDEX(lk_legs,2))&lt;(((2*IF(circ_int,0,eq_c2/2))+(PI()*(s_0+1*s_r+IF(circ_int,eq_c1/2,0))/2))+2*IF(circ_int,0,eq_c1/2)),IF(circ_int,0,eq_c1/2)-(((55+0.5)*(4*IF(circ_int,0,eq_c1/2)+4*IF(circ_int,0,eq_c2/2)+2*PI()*(s_0+1*s_r+IF(circ_int,eq_c1/2,0)))/INDEX(lk_legs,2))-((2*IF(circ_int,0,eq_c2/2))+(PI()*(s_0+1*s_r+IF(circ_int,eq_c1/2,0))/2))),IF(((55+0.5)*(4*IF(circ_int,0,eq_c1/2)+4*IF(circ_int,0,eq_c2/2)+2*PI()*(s_0+1*s_r+IF(circ_int,eq_c1/2,0)))/INDEX(lk_legs,2))&lt;((((2*IF(circ_int,0,eq_c2/2))+(PI()*(s_0+1*s_r+IF(circ_int,eq_c1/2,0))/2))+2*IF(circ_int,0,eq_c1/2))+(PI()*(s_0+1*s_r+IF(circ_int,eq_c1/2,0))/2)),-IF(circ_int,0,eq_c1/2)+(s_0+1*s_r+IF(circ_int,eq_c1/2,0))*COS(PI()/2+(((55+0.5)*(4*IF(circ_int,0,eq_c1/2)+4*IF(circ_int,0,eq_c2/2)+2*PI()*(s_0+1*s_r+IF(circ_int,eq_c1/2,0)))/INDEX(lk_legs,2))-(((2*IF(circ_int,0,eq_c2/2))+(PI()*(s_0+1*s_r+IF(circ_int,eq_c1/2,0))/2))+2*IF(circ_int,0,eq_c1/2)))/(s_0+1*s_r+IF(circ_int,eq_c1/2,0))),IF(((55+0.5)*(4*IF(circ_int,0,eq_c1/2)+4*IF(circ_int,0,eq_c2/2)+2*PI()*(s_0+1*s_r+IF(circ_int,eq_c1/2,0)))/INDEX(lk_legs,2))&lt;(((((2*IF(circ_int,0,eq_c2/2))+(PI()*(s_0+1*s_r+IF(circ_int,eq_c1/2,0))/2))+2*IF(circ_int,0,eq_c1/2))+(PI()*(s_0+1*s_r+IF(circ_int,eq_c1/2,0))/2))+2*IF(circ_int,0,eq_c2/2)),-IF(circ_int,0,eq_c1/2)-(s_0+1*s_r+IF(circ_int,eq_c1/2,0)),IF(((55+0.5)*(4*IF(circ_int,0,eq_c1/2)+4*IF(circ_int,0,eq_c2/2)+2*PI()*(s_0+1*s_r+IF(circ_int,eq_c1/2,0)))/INDEX(lk_legs,2))&lt;((((((2*IF(circ_int,0,eq_c2/2))+(PI()*(s_0+1*s_r+IF(circ_int,eq_c1/2,0))/2))+2*IF(circ_int,0,eq_c1/2))+(PI()*(s_0+1*s_r+IF(circ_int,eq_c1/2,0))/2))+2*IF(circ_int,0,eq_c2/2))+(PI()*(s_0+1*s_r+IF(circ_int,eq_c1/2,0))/2)),-IF(circ_int,0,eq_c1/2)+(s_0+1*s_r+IF(circ_int,eq_c1/2,0))*COS(PI()+(((55+0.5)*(4*IF(circ_int,0,eq_c1/2)+4*IF(circ_int,0,eq_c2/2)+2*PI()*(s_0+1*s_r+IF(circ_int,eq_c1/2,0)))/INDEX(lk_legs,2))-(((((2*IF(circ_int,0,eq_c2/2))+(PI()*(s_0+1*s_r+IF(circ_int,eq_c1/2,0))/2))+2*IF(circ_int,0,eq_c1/2))+(PI()*(s_0+1*s_r+IF(circ_int,eq_c1/2,0))/2))+2*IF(circ_int,0,eq_c2/2)))/(s_0+1*s_r+IF(circ_int,eq_c1/2,0))),IF(((55+0.5)*(4*IF(circ_int,0,eq_c1/2)+4*IF(circ_int,0,eq_c2/2)+2*PI()*(s_0+1*s_r+IF(circ_int,eq_c1/2,0)))/INDEX(lk_legs,2))&lt;(((((((2*IF(circ_int,0,eq_c2/2))+(PI()*(s_0+1*s_r+IF(circ_int,eq_c1/2,0))/2))+2*IF(circ_int,0,eq_c1/2))+(PI()*(s_0+1*s_r+IF(circ_int,eq_c1/2,0))/2))+2*IF(circ_int,0,eq_c2/2))+(PI()*(s_0+1*s_r+IF(circ_int,eq_c1/2,0))/2))+2*IF(circ_int,0,eq_c1/2)),-IF(circ_int,0,eq_c1/2)+(((55+0.5)*(4*IF(circ_int,0,eq_c1/2)+4*IF(circ_int,0,eq_c2/2)+2*PI()*(s_0+1*s_r+IF(circ_int,eq_c1/2,0)))/INDEX(lk_legs,2))-((((((2*IF(circ_int,0,eq_c2/2))+(PI()*(s_0+1*s_r+IF(circ_int,eq_c1/2,0))/2))+2*IF(circ_int,0,eq_c1/2))+(PI()*(s_0+1*s_r+IF(circ_int,eq_c1/2,0))/2))+2*IF(circ_int,0,eq_c2/2))+(PI()*(s_0+1*s_r+IF(circ_int,eq_c1/2,0))/2))),IF(circ_int,0,eq_c1/2)+(s_0+1*s_r+IF(circ_int,eq_c1/2,0))*COS(3*PI()/2+(((55+0.5)*(4*IF(circ_int,0,eq_c1/2)+4*IF(circ_int,0,eq_c2/2)+2*PI()*(s_0+1*s_r+IF(circ_int,eq_c1/2,0)))/INDEX(lk_legs,2))-(((((((2*IF(circ_int,0,eq_c2/2))+(PI()*(s_0+1*s_r+IF(circ_int,eq_c1/2,0))/2))+2*IF(circ_int,0,eq_c1/2))+(PI()*(s_0+1*s_r+IF(circ_int,eq_c1/2,0))/2))+2*IF(circ_int,0,eq_c2/2))+(PI()*(s_0+1*s_r+IF(circ_int,eq_c1/2,0))/2))+2*IF(circ_int,0,eq_c1/2)))/(s_0+1*s_r+IF(circ_int,eq_c1/2,0)))))))))),NA())</f>
        <v/>
      </c>
      <c r="BG58">
        <f>IF(AND(AND(links_on,2&lt;=n_per),INDEX(lk_kind,2)=1,55&lt;INDEX(lk_legs,2)),g_oy+IF(((55+0.5)*(4*IF(circ_int,0,eq_c1/2)+4*IF(circ_int,0,eq_c2/2)+2*PI()*(s_0+1*s_r+IF(circ_int,eq_c1/2,0)))/INDEX(lk_legs,2))&lt;(2*IF(circ_int,0,eq_c2/2)),-IF(circ_int,0,eq_c2/2)+((55+0.5)*(4*IF(circ_int,0,eq_c1/2)+4*IF(circ_int,0,eq_c2/2)+2*PI()*(s_0+1*s_r+IF(circ_int,eq_c1/2,0)))/INDEX(lk_legs,2)),IF(((55+0.5)*(4*IF(circ_int,0,eq_c1/2)+4*IF(circ_int,0,eq_c2/2)+2*PI()*(s_0+1*s_r+IF(circ_int,eq_c1/2,0)))/INDEX(lk_legs,2))&lt;((2*IF(circ_int,0,eq_c2/2))+(PI()*(s_0+1*s_r+IF(circ_int,eq_c1/2,0))/2)),IF(circ_int,0,eq_c2/2)+(s_0+1*s_r+IF(circ_int,eq_c1/2,0))*SIN((((55+0.5)*(4*IF(circ_int,0,eq_c1/2)+4*IF(circ_int,0,eq_c2/2)+2*PI()*(s_0+1*s_r+IF(circ_int,eq_c1/2,0)))/INDEX(lk_legs,2))-(2*IF(circ_int,0,eq_c2/2)))/(s_0+1*s_r+IF(circ_int,eq_c1/2,0))),IF(((55+0.5)*(4*IF(circ_int,0,eq_c1/2)+4*IF(circ_int,0,eq_c2/2)+2*PI()*(s_0+1*s_r+IF(circ_int,eq_c1/2,0)))/INDEX(lk_legs,2))&lt;(((2*IF(circ_int,0,eq_c2/2))+(PI()*(s_0+1*s_r+IF(circ_int,eq_c1/2,0))/2))+2*IF(circ_int,0,eq_c1/2)),IF(circ_int,0,eq_c2/2)+(s_0+1*s_r+IF(circ_int,eq_c1/2,0)),IF(((55+0.5)*(4*IF(circ_int,0,eq_c1/2)+4*IF(circ_int,0,eq_c2/2)+2*PI()*(s_0+1*s_r+IF(circ_int,eq_c1/2,0)))/INDEX(lk_legs,2))&lt;((((2*IF(circ_int,0,eq_c2/2))+(PI()*(s_0+1*s_r+IF(circ_int,eq_c1/2,0))/2))+2*IF(circ_int,0,eq_c1/2))+(PI()*(s_0+1*s_r+IF(circ_int,eq_c1/2,0))/2)),IF(circ_int,0,eq_c2/2)+(s_0+1*s_r+IF(circ_int,eq_c1/2,0))*SIN(PI()/2+(((55+0.5)*(4*IF(circ_int,0,eq_c1/2)+4*IF(circ_int,0,eq_c2/2)+2*PI()*(s_0+1*s_r+IF(circ_int,eq_c1/2,0)))/INDEX(lk_legs,2))-(((2*IF(circ_int,0,eq_c2/2))+(PI()*(s_0+1*s_r+IF(circ_int,eq_c1/2,0))/2))+2*IF(circ_int,0,eq_c1/2)))/(s_0+1*s_r+IF(circ_int,eq_c1/2,0))),IF(((55+0.5)*(4*IF(circ_int,0,eq_c1/2)+4*IF(circ_int,0,eq_c2/2)+2*PI()*(s_0+1*s_r+IF(circ_int,eq_c1/2,0)))/INDEX(lk_legs,2))&lt;(((((2*IF(circ_int,0,eq_c2/2))+(PI()*(s_0+1*s_r+IF(circ_int,eq_c1/2,0))/2))+2*IF(circ_int,0,eq_c1/2))+(PI()*(s_0+1*s_r+IF(circ_int,eq_c1/2,0))/2))+2*IF(circ_int,0,eq_c2/2)),IF(circ_int,0,eq_c2/2)-(((55+0.5)*(4*IF(circ_int,0,eq_c1/2)+4*IF(circ_int,0,eq_c2/2)+2*PI()*(s_0+1*s_r+IF(circ_int,eq_c1/2,0)))/INDEX(lk_legs,2))-((((2*IF(circ_int,0,eq_c2/2))+(PI()*(s_0+1*s_r+IF(circ_int,eq_c1/2,0))/2))+2*IF(circ_int,0,eq_c1/2))+(PI()*(s_0+1*s_r+IF(circ_int,eq_c1/2,0))/2))),IF(((55+0.5)*(4*IF(circ_int,0,eq_c1/2)+4*IF(circ_int,0,eq_c2/2)+2*PI()*(s_0+1*s_r+IF(circ_int,eq_c1/2,0)))/INDEX(lk_legs,2))&lt;((((((2*IF(circ_int,0,eq_c2/2))+(PI()*(s_0+1*s_r+IF(circ_int,eq_c1/2,0))/2))+2*IF(circ_int,0,eq_c1/2))+(PI()*(s_0+1*s_r+IF(circ_int,eq_c1/2,0))/2))+2*IF(circ_int,0,eq_c2/2))+(PI()*(s_0+1*s_r+IF(circ_int,eq_c1/2,0))/2)),-IF(circ_int,0,eq_c2/2)+(s_0+1*s_r+IF(circ_int,eq_c1/2,0))*SIN(PI()+(((55+0.5)*(4*IF(circ_int,0,eq_c1/2)+4*IF(circ_int,0,eq_c2/2)+2*PI()*(s_0+1*s_r+IF(circ_int,eq_c1/2,0)))/INDEX(lk_legs,2))-(((((2*IF(circ_int,0,eq_c2/2))+(PI()*(s_0+1*s_r+IF(circ_int,eq_c1/2,0))/2))+2*IF(circ_int,0,eq_c1/2))+(PI()*(s_0+1*s_r+IF(circ_int,eq_c1/2,0))/2))+2*IF(circ_int,0,eq_c2/2)))/(s_0+1*s_r+IF(circ_int,eq_c1/2,0))),IF(((55+0.5)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(55+0.5)*(4*IF(circ_int,0,eq_c1/2)+4*IF(circ_int,0,eq_c2/2)+2*PI()*(s_0+1*s_r+IF(circ_int,eq_c1/2,0)))/INDEX(lk_legs,2))-(((((((2*IF(circ_int,0,eq_c2/2))+(PI()*(s_0+1*s_r+IF(circ_int,eq_c1/2,0))/2))+2*IF(circ_int,0,eq_c1/2))+(PI()*(s_0+1*s_r+IF(circ_int,eq_c1/2,0))/2))+2*IF(circ_int,0,eq_c2/2))+(PI()*(s_0+1*s_r+IF(circ_int,eq_c1/2,0))/2))+2*IF(circ_int,0,eq_c1/2)))/(s_0+1*s_r+IF(circ_int,eq_c1/2,0)))))))))),NA())</f>
        <v/>
      </c>
      <c r="BL58">
        <f>IF(AND(AND(links_on,3&lt;=n_per),INDEX(lk_kind,3)=1,55&lt;INDEX(lk_legs,3)),g_ox+IF(((55+0.5)*(4*IF(circ_int,0,eq_c1/2)+4*IF(circ_int,0,eq_c2/2)+2*PI()*(s_0+2*s_r+IF(circ_int,eq_c1/2,0)))/INDEX(lk_legs,3))&lt;(2*IF(circ_int,0,eq_c2/2)),IF(circ_int,0,eq_c1/2)+(s_0+2*s_r+IF(circ_int,eq_c1/2,0)),IF(((55+0.5)*(4*IF(circ_int,0,eq_c1/2)+4*IF(circ_int,0,eq_c2/2)+2*PI()*(s_0+2*s_r+IF(circ_int,eq_c1/2,0)))/INDEX(lk_legs,3))&lt;((2*IF(circ_int,0,eq_c2/2))+(PI()*(s_0+2*s_r+IF(circ_int,eq_c1/2,0))/2)),IF(circ_int,0,eq_c1/2)+(s_0+2*s_r+IF(circ_int,eq_c1/2,0))*COS((((55+0.5)*(4*IF(circ_int,0,eq_c1/2)+4*IF(circ_int,0,eq_c2/2)+2*PI()*(s_0+2*s_r+IF(circ_int,eq_c1/2,0)))/INDEX(lk_legs,3))-(2*IF(circ_int,0,eq_c2/2)))/(s_0+2*s_r+IF(circ_int,eq_c1/2,0))),IF(((55+0.5)*(4*IF(circ_int,0,eq_c1/2)+4*IF(circ_int,0,eq_c2/2)+2*PI()*(s_0+2*s_r+IF(circ_int,eq_c1/2,0)))/INDEX(lk_legs,3))&lt;(((2*IF(circ_int,0,eq_c2/2))+(PI()*(s_0+2*s_r+IF(circ_int,eq_c1/2,0))/2))+2*IF(circ_int,0,eq_c1/2)),IF(circ_int,0,eq_c1/2)-(((55+0.5)*(4*IF(circ_int,0,eq_c1/2)+4*IF(circ_int,0,eq_c2/2)+2*PI()*(s_0+2*s_r+IF(circ_int,eq_c1/2,0)))/INDEX(lk_legs,3))-((2*IF(circ_int,0,eq_c2/2))+(PI()*(s_0+2*s_r+IF(circ_int,eq_c1/2,0))/2))),IF(((55+0.5)*(4*IF(circ_int,0,eq_c1/2)+4*IF(circ_int,0,eq_c2/2)+2*PI()*(s_0+2*s_r+IF(circ_int,eq_c1/2,0)))/INDEX(lk_legs,3))&lt;((((2*IF(circ_int,0,eq_c2/2))+(PI()*(s_0+2*s_r+IF(circ_int,eq_c1/2,0))/2))+2*IF(circ_int,0,eq_c1/2))+(PI()*(s_0+2*s_r+IF(circ_int,eq_c1/2,0))/2)),-IF(circ_int,0,eq_c1/2)+(s_0+2*s_r+IF(circ_int,eq_c1/2,0))*COS(PI()/2+(((55+0.5)*(4*IF(circ_int,0,eq_c1/2)+4*IF(circ_int,0,eq_c2/2)+2*PI()*(s_0+2*s_r+IF(circ_int,eq_c1/2,0)))/INDEX(lk_legs,3))-(((2*IF(circ_int,0,eq_c2/2))+(PI()*(s_0+2*s_r+IF(circ_int,eq_c1/2,0))/2))+2*IF(circ_int,0,eq_c1/2)))/(s_0+2*s_r+IF(circ_int,eq_c1/2,0))),IF(((55+0.5)*(4*IF(circ_int,0,eq_c1/2)+4*IF(circ_int,0,eq_c2/2)+2*PI()*(s_0+2*s_r+IF(circ_int,eq_c1/2,0)))/INDEX(lk_legs,3))&lt;(((((2*IF(circ_int,0,eq_c2/2))+(PI()*(s_0+2*s_r+IF(circ_int,eq_c1/2,0))/2))+2*IF(circ_int,0,eq_c1/2))+(PI()*(s_0+2*s_r+IF(circ_int,eq_c1/2,0))/2))+2*IF(circ_int,0,eq_c2/2)),-IF(circ_int,0,eq_c1/2)-(s_0+2*s_r+IF(circ_int,eq_c1/2,0)),IF(((55+0.5)*(4*IF(circ_int,0,eq_c1/2)+4*IF(circ_int,0,eq_c2/2)+2*PI()*(s_0+2*s_r+IF(circ_int,eq_c1/2,0)))/INDEX(lk_legs,3))&lt;((((((2*IF(circ_int,0,eq_c2/2))+(PI()*(s_0+2*s_r+IF(circ_int,eq_c1/2,0))/2))+2*IF(circ_int,0,eq_c1/2))+(PI()*(s_0+2*s_r+IF(circ_int,eq_c1/2,0))/2))+2*IF(circ_int,0,eq_c2/2))+(PI()*(s_0+2*s_r+IF(circ_int,eq_c1/2,0))/2)),-IF(circ_int,0,eq_c1/2)+(s_0+2*s_r+IF(circ_int,eq_c1/2,0))*COS(PI()+(((55+0.5)*(4*IF(circ_int,0,eq_c1/2)+4*IF(circ_int,0,eq_c2/2)+2*PI()*(s_0+2*s_r+IF(circ_int,eq_c1/2,0)))/INDEX(lk_legs,3))-(((((2*IF(circ_int,0,eq_c2/2))+(PI()*(s_0+2*s_r+IF(circ_int,eq_c1/2,0))/2))+2*IF(circ_int,0,eq_c1/2))+(PI()*(s_0+2*s_r+IF(circ_int,eq_c1/2,0))/2))+2*IF(circ_int,0,eq_c2/2)))/(s_0+2*s_r+IF(circ_int,eq_c1/2,0))),IF(((55+0.5)*(4*IF(circ_int,0,eq_c1/2)+4*IF(circ_int,0,eq_c2/2)+2*PI()*(s_0+2*s_r+IF(circ_int,eq_c1/2,0)))/INDEX(lk_legs,3))&lt;(((((((2*IF(circ_int,0,eq_c2/2))+(PI()*(s_0+2*s_r+IF(circ_int,eq_c1/2,0))/2))+2*IF(circ_int,0,eq_c1/2))+(PI()*(s_0+2*s_r+IF(circ_int,eq_c1/2,0))/2))+2*IF(circ_int,0,eq_c2/2))+(PI()*(s_0+2*s_r+IF(circ_int,eq_c1/2,0))/2))+2*IF(circ_int,0,eq_c1/2)),-IF(circ_int,0,eq_c1/2)+(((55+0.5)*(4*IF(circ_int,0,eq_c1/2)+4*IF(circ_int,0,eq_c2/2)+2*PI()*(s_0+2*s_r+IF(circ_int,eq_c1/2,0)))/INDEX(lk_legs,3))-((((((2*IF(circ_int,0,eq_c2/2))+(PI()*(s_0+2*s_r+IF(circ_int,eq_c1/2,0))/2))+2*IF(circ_int,0,eq_c1/2))+(PI()*(s_0+2*s_r+IF(circ_int,eq_c1/2,0))/2))+2*IF(circ_int,0,eq_c2/2))+(PI()*(s_0+2*s_r+IF(circ_int,eq_c1/2,0))/2))),IF(circ_int,0,eq_c1/2)+(s_0+2*s_r+IF(circ_int,eq_c1/2,0))*COS(3*PI()/2+(((55+0.5)*(4*IF(circ_int,0,eq_c1/2)+4*IF(circ_int,0,eq_c2/2)+2*PI()*(s_0+2*s_r+IF(circ_int,eq_c1/2,0)))/INDEX(lk_legs,3))-(((((((2*IF(circ_int,0,eq_c2/2))+(PI()*(s_0+2*s_r+IF(circ_int,eq_c1/2,0))/2))+2*IF(circ_int,0,eq_c1/2))+(PI()*(s_0+2*s_r+IF(circ_int,eq_c1/2,0))/2))+2*IF(circ_int,0,eq_c2/2))+(PI()*(s_0+2*s_r+IF(circ_int,eq_c1/2,0))/2))+2*IF(circ_int,0,eq_c1/2)))/(s_0+2*s_r+IF(circ_int,eq_c1/2,0)))))))))),NA())</f>
        <v/>
      </c>
      <c r="BM58">
        <f>IF(AND(AND(links_on,3&lt;=n_per),INDEX(lk_kind,3)=1,55&lt;INDEX(lk_legs,3)),g_oy+IF(((55+0.5)*(4*IF(circ_int,0,eq_c1/2)+4*IF(circ_int,0,eq_c2/2)+2*PI()*(s_0+2*s_r+IF(circ_int,eq_c1/2,0)))/INDEX(lk_legs,3))&lt;(2*IF(circ_int,0,eq_c2/2)),-IF(circ_int,0,eq_c2/2)+((55+0.5)*(4*IF(circ_int,0,eq_c1/2)+4*IF(circ_int,0,eq_c2/2)+2*PI()*(s_0+2*s_r+IF(circ_int,eq_c1/2,0)))/INDEX(lk_legs,3)),IF(((55+0.5)*(4*IF(circ_int,0,eq_c1/2)+4*IF(circ_int,0,eq_c2/2)+2*PI()*(s_0+2*s_r+IF(circ_int,eq_c1/2,0)))/INDEX(lk_legs,3))&lt;((2*IF(circ_int,0,eq_c2/2))+(PI()*(s_0+2*s_r+IF(circ_int,eq_c1/2,0))/2)),IF(circ_int,0,eq_c2/2)+(s_0+2*s_r+IF(circ_int,eq_c1/2,0))*SIN((((55+0.5)*(4*IF(circ_int,0,eq_c1/2)+4*IF(circ_int,0,eq_c2/2)+2*PI()*(s_0+2*s_r+IF(circ_int,eq_c1/2,0)))/INDEX(lk_legs,3))-(2*IF(circ_int,0,eq_c2/2)))/(s_0+2*s_r+IF(circ_int,eq_c1/2,0))),IF(((55+0.5)*(4*IF(circ_int,0,eq_c1/2)+4*IF(circ_int,0,eq_c2/2)+2*PI()*(s_0+2*s_r+IF(circ_int,eq_c1/2,0)))/INDEX(lk_legs,3))&lt;(((2*IF(circ_int,0,eq_c2/2))+(PI()*(s_0+2*s_r+IF(circ_int,eq_c1/2,0))/2))+2*IF(circ_int,0,eq_c1/2)),IF(circ_int,0,eq_c2/2)+(s_0+2*s_r+IF(circ_int,eq_c1/2,0)),IF(((55+0.5)*(4*IF(circ_int,0,eq_c1/2)+4*IF(circ_int,0,eq_c2/2)+2*PI()*(s_0+2*s_r+IF(circ_int,eq_c1/2,0)))/INDEX(lk_legs,3))&lt;((((2*IF(circ_int,0,eq_c2/2))+(PI()*(s_0+2*s_r+IF(circ_int,eq_c1/2,0))/2))+2*IF(circ_int,0,eq_c1/2))+(PI()*(s_0+2*s_r+IF(circ_int,eq_c1/2,0))/2)),IF(circ_int,0,eq_c2/2)+(s_0+2*s_r+IF(circ_int,eq_c1/2,0))*SIN(PI()/2+(((55+0.5)*(4*IF(circ_int,0,eq_c1/2)+4*IF(circ_int,0,eq_c2/2)+2*PI()*(s_0+2*s_r+IF(circ_int,eq_c1/2,0)))/INDEX(lk_legs,3))-(((2*IF(circ_int,0,eq_c2/2))+(PI()*(s_0+2*s_r+IF(circ_int,eq_c1/2,0))/2))+2*IF(circ_int,0,eq_c1/2)))/(s_0+2*s_r+IF(circ_int,eq_c1/2,0))),IF(((55+0.5)*(4*IF(circ_int,0,eq_c1/2)+4*IF(circ_int,0,eq_c2/2)+2*PI()*(s_0+2*s_r+IF(circ_int,eq_c1/2,0)))/INDEX(lk_legs,3))&lt;(((((2*IF(circ_int,0,eq_c2/2))+(PI()*(s_0+2*s_r+IF(circ_int,eq_c1/2,0))/2))+2*IF(circ_int,0,eq_c1/2))+(PI()*(s_0+2*s_r+IF(circ_int,eq_c1/2,0))/2))+2*IF(circ_int,0,eq_c2/2)),IF(circ_int,0,eq_c2/2)-(((55+0.5)*(4*IF(circ_int,0,eq_c1/2)+4*IF(circ_int,0,eq_c2/2)+2*PI()*(s_0+2*s_r+IF(circ_int,eq_c1/2,0)))/INDEX(lk_legs,3))-((((2*IF(circ_int,0,eq_c2/2))+(PI()*(s_0+2*s_r+IF(circ_int,eq_c1/2,0))/2))+2*IF(circ_int,0,eq_c1/2))+(PI()*(s_0+2*s_r+IF(circ_int,eq_c1/2,0))/2))),IF(((55+0.5)*(4*IF(circ_int,0,eq_c1/2)+4*IF(circ_int,0,eq_c2/2)+2*PI()*(s_0+2*s_r+IF(circ_int,eq_c1/2,0)))/INDEX(lk_legs,3))&lt;((((((2*IF(circ_int,0,eq_c2/2))+(PI()*(s_0+2*s_r+IF(circ_int,eq_c1/2,0))/2))+2*IF(circ_int,0,eq_c1/2))+(PI()*(s_0+2*s_r+IF(circ_int,eq_c1/2,0))/2))+2*IF(circ_int,0,eq_c2/2))+(PI()*(s_0+2*s_r+IF(circ_int,eq_c1/2,0))/2)),-IF(circ_int,0,eq_c2/2)+(s_0+2*s_r+IF(circ_int,eq_c1/2,0))*SIN(PI()+(((55+0.5)*(4*IF(circ_int,0,eq_c1/2)+4*IF(circ_int,0,eq_c2/2)+2*PI()*(s_0+2*s_r+IF(circ_int,eq_c1/2,0)))/INDEX(lk_legs,3))-(((((2*IF(circ_int,0,eq_c2/2))+(PI()*(s_0+2*s_r+IF(circ_int,eq_c1/2,0))/2))+2*IF(circ_int,0,eq_c1/2))+(PI()*(s_0+2*s_r+IF(circ_int,eq_c1/2,0))/2))+2*IF(circ_int,0,eq_c2/2)))/(s_0+2*s_r+IF(circ_int,eq_c1/2,0))),IF(((55+0.5)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(55+0.5)*(4*IF(circ_int,0,eq_c1/2)+4*IF(circ_int,0,eq_c2/2)+2*PI()*(s_0+2*s_r+IF(circ_int,eq_c1/2,0)))/INDEX(lk_legs,3))-(((((((2*IF(circ_int,0,eq_c2/2))+(PI()*(s_0+2*s_r+IF(circ_int,eq_c1/2,0))/2))+2*IF(circ_int,0,eq_c1/2))+(PI()*(s_0+2*s_r+IF(circ_int,eq_c1/2,0))/2))+2*IF(circ_int,0,eq_c2/2))+(PI()*(s_0+2*s_r+IF(circ_int,eq_c1/2,0))/2))+2*IF(circ_int,0,eq_c1/2)))/(s_0+2*s_r+IF(circ_int,eq_c1/2,0)))))))))),NA())</f>
        <v/>
      </c>
      <c r="BR58">
        <f>IF(AND(AND(links_on,4&lt;=n_per),INDEX(lk_kind,4)=1,55&lt;INDEX(lk_legs,4)),g_ox+IF(((55+0.5)*(4*IF(circ_int,0,eq_c1/2)+4*IF(circ_int,0,eq_c2/2)+2*PI()*(s_0+3*s_r+IF(circ_int,eq_c1/2,0)))/INDEX(lk_legs,4))&lt;(2*IF(circ_int,0,eq_c2/2)),IF(circ_int,0,eq_c1/2)+(s_0+3*s_r+IF(circ_int,eq_c1/2,0)),IF(((55+0.5)*(4*IF(circ_int,0,eq_c1/2)+4*IF(circ_int,0,eq_c2/2)+2*PI()*(s_0+3*s_r+IF(circ_int,eq_c1/2,0)))/INDEX(lk_legs,4))&lt;((2*IF(circ_int,0,eq_c2/2))+(PI()*(s_0+3*s_r+IF(circ_int,eq_c1/2,0))/2)),IF(circ_int,0,eq_c1/2)+(s_0+3*s_r+IF(circ_int,eq_c1/2,0))*COS((((55+0.5)*(4*IF(circ_int,0,eq_c1/2)+4*IF(circ_int,0,eq_c2/2)+2*PI()*(s_0+3*s_r+IF(circ_int,eq_c1/2,0)))/INDEX(lk_legs,4))-(2*IF(circ_int,0,eq_c2/2)))/(s_0+3*s_r+IF(circ_int,eq_c1/2,0))),IF(((55+0.5)*(4*IF(circ_int,0,eq_c1/2)+4*IF(circ_int,0,eq_c2/2)+2*PI()*(s_0+3*s_r+IF(circ_int,eq_c1/2,0)))/INDEX(lk_legs,4))&lt;(((2*IF(circ_int,0,eq_c2/2))+(PI()*(s_0+3*s_r+IF(circ_int,eq_c1/2,0))/2))+2*IF(circ_int,0,eq_c1/2)),IF(circ_int,0,eq_c1/2)-(((55+0.5)*(4*IF(circ_int,0,eq_c1/2)+4*IF(circ_int,0,eq_c2/2)+2*PI()*(s_0+3*s_r+IF(circ_int,eq_c1/2,0)))/INDEX(lk_legs,4))-((2*IF(circ_int,0,eq_c2/2))+(PI()*(s_0+3*s_r+IF(circ_int,eq_c1/2,0))/2))),IF(((55+0.5)*(4*IF(circ_int,0,eq_c1/2)+4*IF(circ_int,0,eq_c2/2)+2*PI()*(s_0+3*s_r+IF(circ_int,eq_c1/2,0)))/INDEX(lk_legs,4))&lt;((((2*IF(circ_int,0,eq_c2/2))+(PI()*(s_0+3*s_r+IF(circ_int,eq_c1/2,0))/2))+2*IF(circ_int,0,eq_c1/2))+(PI()*(s_0+3*s_r+IF(circ_int,eq_c1/2,0))/2)),-IF(circ_int,0,eq_c1/2)+(s_0+3*s_r+IF(circ_int,eq_c1/2,0))*COS(PI()/2+(((55+0.5)*(4*IF(circ_int,0,eq_c1/2)+4*IF(circ_int,0,eq_c2/2)+2*PI()*(s_0+3*s_r+IF(circ_int,eq_c1/2,0)))/INDEX(lk_legs,4))-(((2*IF(circ_int,0,eq_c2/2))+(PI()*(s_0+3*s_r+IF(circ_int,eq_c1/2,0))/2))+2*IF(circ_int,0,eq_c1/2)))/(s_0+3*s_r+IF(circ_int,eq_c1/2,0))),IF(((55+0.5)*(4*IF(circ_int,0,eq_c1/2)+4*IF(circ_int,0,eq_c2/2)+2*PI()*(s_0+3*s_r+IF(circ_int,eq_c1/2,0)))/INDEX(lk_legs,4))&lt;(((((2*IF(circ_int,0,eq_c2/2))+(PI()*(s_0+3*s_r+IF(circ_int,eq_c1/2,0))/2))+2*IF(circ_int,0,eq_c1/2))+(PI()*(s_0+3*s_r+IF(circ_int,eq_c1/2,0))/2))+2*IF(circ_int,0,eq_c2/2)),-IF(circ_int,0,eq_c1/2)-(s_0+3*s_r+IF(circ_int,eq_c1/2,0)),IF(((55+0.5)*(4*IF(circ_int,0,eq_c1/2)+4*IF(circ_int,0,eq_c2/2)+2*PI()*(s_0+3*s_r+IF(circ_int,eq_c1/2,0)))/INDEX(lk_legs,4))&lt;((((((2*IF(circ_int,0,eq_c2/2))+(PI()*(s_0+3*s_r+IF(circ_int,eq_c1/2,0))/2))+2*IF(circ_int,0,eq_c1/2))+(PI()*(s_0+3*s_r+IF(circ_int,eq_c1/2,0))/2))+2*IF(circ_int,0,eq_c2/2))+(PI()*(s_0+3*s_r+IF(circ_int,eq_c1/2,0))/2)),-IF(circ_int,0,eq_c1/2)+(s_0+3*s_r+IF(circ_int,eq_c1/2,0))*COS(PI()+(((55+0.5)*(4*IF(circ_int,0,eq_c1/2)+4*IF(circ_int,0,eq_c2/2)+2*PI()*(s_0+3*s_r+IF(circ_int,eq_c1/2,0)))/INDEX(lk_legs,4))-(((((2*IF(circ_int,0,eq_c2/2))+(PI()*(s_0+3*s_r+IF(circ_int,eq_c1/2,0))/2))+2*IF(circ_int,0,eq_c1/2))+(PI()*(s_0+3*s_r+IF(circ_int,eq_c1/2,0))/2))+2*IF(circ_int,0,eq_c2/2)))/(s_0+3*s_r+IF(circ_int,eq_c1/2,0))),IF(((55+0.5)*(4*IF(circ_int,0,eq_c1/2)+4*IF(circ_int,0,eq_c2/2)+2*PI()*(s_0+3*s_r+IF(circ_int,eq_c1/2,0)))/INDEX(lk_legs,4))&lt;(((((((2*IF(circ_int,0,eq_c2/2))+(PI()*(s_0+3*s_r+IF(circ_int,eq_c1/2,0))/2))+2*IF(circ_int,0,eq_c1/2))+(PI()*(s_0+3*s_r+IF(circ_int,eq_c1/2,0))/2))+2*IF(circ_int,0,eq_c2/2))+(PI()*(s_0+3*s_r+IF(circ_int,eq_c1/2,0))/2))+2*IF(circ_int,0,eq_c1/2)),-IF(circ_int,0,eq_c1/2)+(((55+0.5)*(4*IF(circ_int,0,eq_c1/2)+4*IF(circ_int,0,eq_c2/2)+2*PI()*(s_0+3*s_r+IF(circ_int,eq_c1/2,0)))/INDEX(lk_legs,4))-((((((2*IF(circ_int,0,eq_c2/2))+(PI()*(s_0+3*s_r+IF(circ_int,eq_c1/2,0))/2))+2*IF(circ_int,0,eq_c1/2))+(PI()*(s_0+3*s_r+IF(circ_int,eq_c1/2,0))/2))+2*IF(circ_int,0,eq_c2/2))+(PI()*(s_0+3*s_r+IF(circ_int,eq_c1/2,0))/2))),IF(circ_int,0,eq_c1/2)+(s_0+3*s_r+IF(circ_int,eq_c1/2,0))*COS(3*PI()/2+(((55+0.5)*(4*IF(circ_int,0,eq_c1/2)+4*IF(circ_int,0,eq_c2/2)+2*PI()*(s_0+3*s_r+IF(circ_int,eq_c1/2,0)))/INDEX(lk_legs,4))-(((((((2*IF(circ_int,0,eq_c2/2))+(PI()*(s_0+3*s_r+IF(circ_int,eq_c1/2,0))/2))+2*IF(circ_int,0,eq_c1/2))+(PI()*(s_0+3*s_r+IF(circ_int,eq_c1/2,0))/2))+2*IF(circ_int,0,eq_c2/2))+(PI()*(s_0+3*s_r+IF(circ_int,eq_c1/2,0))/2))+2*IF(circ_int,0,eq_c1/2)))/(s_0+3*s_r+IF(circ_int,eq_c1/2,0)))))))))),NA())</f>
        <v/>
      </c>
      <c r="BS58">
        <f>IF(AND(AND(links_on,4&lt;=n_per),INDEX(lk_kind,4)=1,55&lt;INDEX(lk_legs,4)),g_oy+IF(((55+0.5)*(4*IF(circ_int,0,eq_c1/2)+4*IF(circ_int,0,eq_c2/2)+2*PI()*(s_0+3*s_r+IF(circ_int,eq_c1/2,0)))/INDEX(lk_legs,4))&lt;(2*IF(circ_int,0,eq_c2/2)),-IF(circ_int,0,eq_c2/2)+((55+0.5)*(4*IF(circ_int,0,eq_c1/2)+4*IF(circ_int,0,eq_c2/2)+2*PI()*(s_0+3*s_r+IF(circ_int,eq_c1/2,0)))/INDEX(lk_legs,4)),IF(((55+0.5)*(4*IF(circ_int,0,eq_c1/2)+4*IF(circ_int,0,eq_c2/2)+2*PI()*(s_0+3*s_r+IF(circ_int,eq_c1/2,0)))/INDEX(lk_legs,4))&lt;((2*IF(circ_int,0,eq_c2/2))+(PI()*(s_0+3*s_r+IF(circ_int,eq_c1/2,0))/2)),IF(circ_int,0,eq_c2/2)+(s_0+3*s_r+IF(circ_int,eq_c1/2,0))*SIN((((55+0.5)*(4*IF(circ_int,0,eq_c1/2)+4*IF(circ_int,0,eq_c2/2)+2*PI()*(s_0+3*s_r+IF(circ_int,eq_c1/2,0)))/INDEX(lk_legs,4))-(2*IF(circ_int,0,eq_c2/2)))/(s_0+3*s_r+IF(circ_int,eq_c1/2,0))),IF(((55+0.5)*(4*IF(circ_int,0,eq_c1/2)+4*IF(circ_int,0,eq_c2/2)+2*PI()*(s_0+3*s_r+IF(circ_int,eq_c1/2,0)))/INDEX(lk_legs,4))&lt;(((2*IF(circ_int,0,eq_c2/2))+(PI()*(s_0+3*s_r+IF(circ_int,eq_c1/2,0))/2))+2*IF(circ_int,0,eq_c1/2)),IF(circ_int,0,eq_c2/2)+(s_0+3*s_r+IF(circ_int,eq_c1/2,0)),IF(((55+0.5)*(4*IF(circ_int,0,eq_c1/2)+4*IF(circ_int,0,eq_c2/2)+2*PI()*(s_0+3*s_r+IF(circ_int,eq_c1/2,0)))/INDEX(lk_legs,4))&lt;((((2*IF(circ_int,0,eq_c2/2))+(PI()*(s_0+3*s_r+IF(circ_int,eq_c1/2,0))/2))+2*IF(circ_int,0,eq_c1/2))+(PI()*(s_0+3*s_r+IF(circ_int,eq_c1/2,0))/2)),IF(circ_int,0,eq_c2/2)+(s_0+3*s_r+IF(circ_int,eq_c1/2,0))*SIN(PI()/2+(((55+0.5)*(4*IF(circ_int,0,eq_c1/2)+4*IF(circ_int,0,eq_c2/2)+2*PI()*(s_0+3*s_r+IF(circ_int,eq_c1/2,0)))/INDEX(lk_legs,4))-(((2*IF(circ_int,0,eq_c2/2))+(PI()*(s_0+3*s_r+IF(circ_int,eq_c1/2,0))/2))+2*IF(circ_int,0,eq_c1/2)))/(s_0+3*s_r+IF(circ_int,eq_c1/2,0))),IF(((55+0.5)*(4*IF(circ_int,0,eq_c1/2)+4*IF(circ_int,0,eq_c2/2)+2*PI()*(s_0+3*s_r+IF(circ_int,eq_c1/2,0)))/INDEX(lk_legs,4))&lt;(((((2*IF(circ_int,0,eq_c2/2))+(PI()*(s_0+3*s_r+IF(circ_int,eq_c1/2,0))/2))+2*IF(circ_int,0,eq_c1/2))+(PI()*(s_0+3*s_r+IF(circ_int,eq_c1/2,0))/2))+2*IF(circ_int,0,eq_c2/2)),IF(circ_int,0,eq_c2/2)-(((55+0.5)*(4*IF(circ_int,0,eq_c1/2)+4*IF(circ_int,0,eq_c2/2)+2*PI()*(s_0+3*s_r+IF(circ_int,eq_c1/2,0)))/INDEX(lk_legs,4))-((((2*IF(circ_int,0,eq_c2/2))+(PI()*(s_0+3*s_r+IF(circ_int,eq_c1/2,0))/2))+2*IF(circ_int,0,eq_c1/2))+(PI()*(s_0+3*s_r+IF(circ_int,eq_c1/2,0))/2))),IF(((55+0.5)*(4*IF(circ_int,0,eq_c1/2)+4*IF(circ_int,0,eq_c2/2)+2*PI()*(s_0+3*s_r+IF(circ_int,eq_c1/2,0)))/INDEX(lk_legs,4))&lt;((((((2*IF(circ_int,0,eq_c2/2))+(PI()*(s_0+3*s_r+IF(circ_int,eq_c1/2,0))/2))+2*IF(circ_int,0,eq_c1/2))+(PI()*(s_0+3*s_r+IF(circ_int,eq_c1/2,0))/2))+2*IF(circ_int,0,eq_c2/2))+(PI()*(s_0+3*s_r+IF(circ_int,eq_c1/2,0))/2)),-IF(circ_int,0,eq_c2/2)+(s_0+3*s_r+IF(circ_int,eq_c1/2,0))*SIN(PI()+(((55+0.5)*(4*IF(circ_int,0,eq_c1/2)+4*IF(circ_int,0,eq_c2/2)+2*PI()*(s_0+3*s_r+IF(circ_int,eq_c1/2,0)))/INDEX(lk_legs,4))-(((((2*IF(circ_int,0,eq_c2/2))+(PI()*(s_0+3*s_r+IF(circ_int,eq_c1/2,0))/2))+2*IF(circ_int,0,eq_c1/2))+(PI()*(s_0+3*s_r+IF(circ_int,eq_c1/2,0))/2))+2*IF(circ_int,0,eq_c2/2)))/(s_0+3*s_r+IF(circ_int,eq_c1/2,0))),IF(((55+0.5)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(55+0.5)*(4*IF(circ_int,0,eq_c1/2)+4*IF(circ_int,0,eq_c2/2)+2*PI()*(s_0+3*s_r+IF(circ_int,eq_c1/2,0)))/INDEX(lk_legs,4))-(((((((2*IF(circ_int,0,eq_c2/2))+(PI()*(s_0+3*s_r+IF(circ_int,eq_c1/2,0))/2))+2*IF(circ_int,0,eq_c1/2))+(PI()*(s_0+3*s_r+IF(circ_int,eq_c1/2,0))/2))+2*IF(circ_int,0,eq_c2/2))+(PI()*(s_0+3*s_r+IF(circ_int,eq_c1/2,0))/2))+2*IF(circ_int,0,eq_c1/2)))/(s_0+3*s_r+IF(circ_int,eq_c1/2,0)))))))))),NA())</f>
        <v/>
      </c>
      <c r="BX58">
        <f>IF(AND(AND(links_on,5&lt;=n_per),INDEX(lk_kind,5)=1,55&lt;INDEX(lk_legs,5)),g_ox+IF(((55+0.5)*(4*IF(circ_int,0,eq_c1/2)+4*IF(circ_int,0,eq_c2/2)+2*PI()*(s_0+4*s_r+IF(circ_int,eq_c1/2,0)))/INDEX(lk_legs,5))&lt;(2*IF(circ_int,0,eq_c2/2)),IF(circ_int,0,eq_c1/2)+(s_0+4*s_r+IF(circ_int,eq_c1/2,0)),IF(((55+0.5)*(4*IF(circ_int,0,eq_c1/2)+4*IF(circ_int,0,eq_c2/2)+2*PI()*(s_0+4*s_r+IF(circ_int,eq_c1/2,0)))/INDEX(lk_legs,5))&lt;((2*IF(circ_int,0,eq_c2/2))+(PI()*(s_0+4*s_r+IF(circ_int,eq_c1/2,0))/2)),IF(circ_int,0,eq_c1/2)+(s_0+4*s_r+IF(circ_int,eq_c1/2,0))*COS((((55+0.5)*(4*IF(circ_int,0,eq_c1/2)+4*IF(circ_int,0,eq_c2/2)+2*PI()*(s_0+4*s_r+IF(circ_int,eq_c1/2,0)))/INDEX(lk_legs,5))-(2*IF(circ_int,0,eq_c2/2)))/(s_0+4*s_r+IF(circ_int,eq_c1/2,0))),IF(((55+0.5)*(4*IF(circ_int,0,eq_c1/2)+4*IF(circ_int,0,eq_c2/2)+2*PI()*(s_0+4*s_r+IF(circ_int,eq_c1/2,0)))/INDEX(lk_legs,5))&lt;(((2*IF(circ_int,0,eq_c2/2))+(PI()*(s_0+4*s_r+IF(circ_int,eq_c1/2,0))/2))+2*IF(circ_int,0,eq_c1/2)),IF(circ_int,0,eq_c1/2)-(((55+0.5)*(4*IF(circ_int,0,eq_c1/2)+4*IF(circ_int,0,eq_c2/2)+2*PI()*(s_0+4*s_r+IF(circ_int,eq_c1/2,0)))/INDEX(lk_legs,5))-((2*IF(circ_int,0,eq_c2/2))+(PI()*(s_0+4*s_r+IF(circ_int,eq_c1/2,0))/2))),IF(((55+0.5)*(4*IF(circ_int,0,eq_c1/2)+4*IF(circ_int,0,eq_c2/2)+2*PI()*(s_0+4*s_r+IF(circ_int,eq_c1/2,0)))/INDEX(lk_legs,5))&lt;((((2*IF(circ_int,0,eq_c2/2))+(PI()*(s_0+4*s_r+IF(circ_int,eq_c1/2,0))/2))+2*IF(circ_int,0,eq_c1/2))+(PI()*(s_0+4*s_r+IF(circ_int,eq_c1/2,0))/2)),-IF(circ_int,0,eq_c1/2)+(s_0+4*s_r+IF(circ_int,eq_c1/2,0))*COS(PI()/2+(((55+0.5)*(4*IF(circ_int,0,eq_c1/2)+4*IF(circ_int,0,eq_c2/2)+2*PI()*(s_0+4*s_r+IF(circ_int,eq_c1/2,0)))/INDEX(lk_legs,5))-(((2*IF(circ_int,0,eq_c2/2))+(PI()*(s_0+4*s_r+IF(circ_int,eq_c1/2,0))/2))+2*IF(circ_int,0,eq_c1/2)))/(s_0+4*s_r+IF(circ_int,eq_c1/2,0))),IF(((55+0.5)*(4*IF(circ_int,0,eq_c1/2)+4*IF(circ_int,0,eq_c2/2)+2*PI()*(s_0+4*s_r+IF(circ_int,eq_c1/2,0)))/INDEX(lk_legs,5))&lt;(((((2*IF(circ_int,0,eq_c2/2))+(PI()*(s_0+4*s_r+IF(circ_int,eq_c1/2,0))/2))+2*IF(circ_int,0,eq_c1/2))+(PI()*(s_0+4*s_r+IF(circ_int,eq_c1/2,0))/2))+2*IF(circ_int,0,eq_c2/2)),-IF(circ_int,0,eq_c1/2)-(s_0+4*s_r+IF(circ_int,eq_c1/2,0)),IF(((55+0.5)*(4*IF(circ_int,0,eq_c1/2)+4*IF(circ_int,0,eq_c2/2)+2*PI()*(s_0+4*s_r+IF(circ_int,eq_c1/2,0)))/INDEX(lk_legs,5))&lt;((((((2*IF(circ_int,0,eq_c2/2))+(PI()*(s_0+4*s_r+IF(circ_int,eq_c1/2,0))/2))+2*IF(circ_int,0,eq_c1/2))+(PI()*(s_0+4*s_r+IF(circ_int,eq_c1/2,0))/2))+2*IF(circ_int,0,eq_c2/2))+(PI()*(s_0+4*s_r+IF(circ_int,eq_c1/2,0))/2)),-IF(circ_int,0,eq_c1/2)+(s_0+4*s_r+IF(circ_int,eq_c1/2,0))*COS(PI()+(((55+0.5)*(4*IF(circ_int,0,eq_c1/2)+4*IF(circ_int,0,eq_c2/2)+2*PI()*(s_0+4*s_r+IF(circ_int,eq_c1/2,0)))/INDEX(lk_legs,5))-(((((2*IF(circ_int,0,eq_c2/2))+(PI()*(s_0+4*s_r+IF(circ_int,eq_c1/2,0))/2))+2*IF(circ_int,0,eq_c1/2))+(PI()*(s_0+4*s_r+IF(circ_int,eq_c1/2,0))/2))+2*IF(circ_int,0,eq_c2/2)))/(s_0+4*s_r+IF(circ_int,eq_c1/2,0))),IF(((55+0.5)*(4*IF(circ_int,0,eq_c1/2)+4*IF(circ_int,0,eq_c2/2)+2*PI()*(s_0+4*s_r+IF(circ_int,eq_c1/2,0)))/INDEX(lk_legs,5))&lt;(((((((2*IF(circ_int,0,eq_c2/2))+(PI()*(s_0+4*s_r+IF(circ_int,eq_c1/2,0))/2))+2*IF(circ_int,0,eq_c1/2))+(PI()*(s_0+4*s_r+IF(circ_int,eq_c1/2,0))/2))+2*IF(circ_int,0,eq_c2/2))+(PI()*(s_0+4*s_r+IF(circ_int,eq_c1/2,0))/2))+2*IF(circ_int,0,eq_c1/2)),-IF(circ_int,0,eq_c1/2)+(((55+0.5)*(4*IF(circ_int,0,eq_c1/2)+4*IF(circ_int,0,eq_c2/2)+2*PI()*(s_0+4*s_r+IF(circ_int,eq_c1/2,0)))/INDEX(lk_legs,5))-((((((2*IF(circ_int,0,eq_c2/2))+(PI()*(s_0+4*s_r+IF(circ_int,eq_c1/2,0))/2))+2*IF(circ_int,0,eq_c1/2))+(PI()*(s_0+4*s_r+IF(circ_int,eq_c1/2,0))/2))+2*IF(circ_int,0,eq_c2/2))+(PI()*(s_0+4*s_r+IF(circ_int,eq_c1/2,0))/2))),IF(circ_int,0,eq_c1/2)+(s_0+4*s_r+IF(circ_int,eq_c1/2,0))*COS(3*PI()/2+(((55+0.5)*(4*IF(circ_int,0,eq_c1/2)+4*IF(circ_int,0,eq_c2/2)+2*PI()*(s_0+4*s_r+IF(circ_int,eq_c1/2,0)))/INDEX(lk_legs,5))-(((((((2*IF(circ_int,0,eq_c2/2))+(PI()*(s_0+4*s_r+IF(circ_int,eq_c1/2,0))/2))+2*IF(circ_int,0,eq_c1/2))+(PI()*(s_0+4*s_r+IF(circ_int,eq_c1/2,0))/2))+2*IF(circ_int,0,eq_c2/2))+(PI()*(s_0+4*s_r+IF(circ_int,eq_c1/2,0))/2))+2*IF(circ_int,0,eq_c1/2)))/(s_0+4*s_r+IF(circ_int,eq_c1/2,0)))))))))),NA())</f>
        <v/>
      </c>
      <c r="BY58">
        <f>IF(AND(AND(links_on,5&lt;=n_per),INDEX(lk_kind,5)=1,55&lt;INDEX(lk_legs,5)),g_oy+IF(((55+0.5)*(4*IF(circ_int,0,eq_c1/2)+4*IF(circ_int,0,eq_c2/2)+2*PI()*(s_0+4*s_r+IF(circ_int,eq_c1/2,0)))/INDEX(lk_legs,5))&lt;(2*IF(circ_int,0,eq_c2/2)),-IF(circ_int,0,eq_c2/2)+((55+0.5)*(4*IF(circ_int,0,eq_c1/2)+4*IF(circ_int,0,eq_c2/2)+2*PI()*(s_0+4*s_r+IF(circ_int,eq_c1/2,0)))/INDEX(lk_legs,5)),IF(((55+0.5)*(4*IF(circ_int,0,eq_c1/2)+4*IF(circ_int,0,eq_c2/2)+2*PI()*(s_0+4*s_r+IF(circ_int,eq_c1/2,0)))/INDEX(lk_legs,5))&lt;((2*IF(circ_int,0,eq_c2/2))+(PI()*(s_0+4*s_r+IF(circ_int,eq_c1/2,0))/2)),IF(circ_int,0,eq_c2/2)+(s_0+4*s_r+IF(circ_int,eq_c1/2,0))*SIN((((55+0.5)*(4*IF(circ_int,0,eq_c1/2)+4*IF(circ_int,0,eq_c2/2)+2*PI()*(s_0+4*s_r+IF(circ_int,eq_c1/2,0)))/INDEX(lk_legs,5))-(2*IF(circ_int,0,eq_c2/2)))/(s_0+4*s_r+IF(circ_int,eq_c1/2,0))),IF(((55+0.5)*(4*IF(circ_int,0,eq_c1/2)+4*IF(circ_int,0,eq_c2/2)+2*PI()*(s_0+4*s_r+IF(circ_int,eq_c1/2,0)))/INDEX(lk_legs,5))&lt;(((2*IF(circ_int,0,eq_c2/2))+(PI()*(s_0+4*s_r+IF(circ_int,eq_c1/2,0))/2))+2*IF(circ_int,0,eq_c1/2)),IF(circ_int,0,eq_c2/2)+(s_0+4*s_r+IF(circ_int,eq_c1/2,0)),IF(((55+0.5)*(4*IF(circ_int,0,eq_c1/2)+4*IF(circ_int,0,eq_c2/2)+2*PI()*(s_0+4*s_r+IF(circ_int,eq_c1/2,0)))/INDEX(lk_legs,5))&lt;((((2*IF(circ_int,0,eq_c2/2))+(PI()*(s_0+4*s_r+IF(circ_int,eq_c1/2,0))/2))+2*IF(circ_int,0,eq_c1/2))+(PI()*(s_0+4*s_r+IF(circ_int,eq_c1/2,0))/2)),IF(circ_int,0,eq_c2/2)+(s_0+4*s_r+IF(circ_int,eq_c1/2,0))*SIN(PI()/2+(((55+0.5)*(4*IF(circ_int,0,eq_c1/2)+4*IF(circ_int,0,eq_c2/2)+2*PI()*(s_0+4*s_r+IF(circ_int,eq_c1/2,0)))/INDEX(lk_legs,5))-(((2*IF(circ_int,0,eq_c2/2))+(PI()*(s_0+4*s_r+IF(circ_int,eq_c1/2,0))/2))+2*IF(circ_int,0,eq_c1/2)))/(s_0+4*s_r+IF(circ_int,eq_c1/2,0))),IF(((55+0.5)*(4*IF(circ_int,0,eq_c1/2)+4*IF(circ_int,0,eq_c2/2)+2*PI()*(s_0+4*s_r+IF(circ_int,eq_c1/2,0)))/INDEX(lk_legs,5))&lt;(((((2*IF(circ_int,0,eq_c2/2))+(PI()*(s_0+4*s_r+IF(circ_int,eq_c1/2,0))/2))+2*IF(circ_int,0,eq_c1/2))+(PI()*(s_0+4*s_r+IF(circ_int,eq_c1/2,0))/2))+2*IF(circ_int,0,eq_c2/2)),IF(circ_int,0,eq_c2/2)-(((55+0.5)*(4*IF(circ_int,0,eq_c1/2)+4*IF(circ_int,0,eq_c2/2)+2*PI()*(s_0+4*s_r+IF(circ_int,eq_c1/2,0)))/INDEX(lk_legs,5))-((((2*IF(circ_int,0,eq_c2/2))+(PI()*(s_0+4*s_r+IF(circ_int,eq_c1/2,0))/2))+2*IF(circ_int,0,eq_c1/2))+(PI()*(s_0+4*s_r+IF(circ_int,eq_c1/2,0))/2))),IF(((55+0.5)*(4*IF(circ_int,0,eq_c1/2)+4*IF(circ_int,0,eq_c2/2)+2*PI()*(s_0+4*s_r+IF(circ_int,eq_c1/2,0)))/INDEX(lk_legs,5))&lt;((((((2*IF(circ_int,0,eq_c2/2))+(PI()*(s_0+4*s_r+IF(circ_int,eq_c1/2,0))/2))+2*IF(circ_int,0,eq_c1/2))+(PI()*(s_0+4*s_r+IF(circ_int,eq_c1/2,0))/2))+2*IF(circ_int,0,eq_c2/2))+(PI()*(s_0+4*s_r+IF(circ_int,eq_c1/2,0))/2)),-IF(circ_int,0,eq_c2/2)+(s_0+4*s_r+IF(circ_int,eq_c1/2,0))*SIN(PI()+(((55+0.5)*(4*IF(circ_int,0,eq_c1/2)+4*IF(circ_int,0,eq_c2/2)+2*PI()*(s_0+4*s_r+IF(circ_int,eq_c1/2,0)))/INDEX(lk_legs,5))-(((((2*IF(circ_int,0,eq_c2/2))+(PI()*(s_0+4*s_r+IF(circ_int,eq_c1/2,0))/2))+2*IF(circ_int,0,eq_c1/2))+(PI()*(s_0+4*s_r+IF(circ_int,eq_c1/2,0))/2))+2*IF(circ_int,0,eq_c2/2)))/(s_0+4*s_r+IF(circ_int,eq_c1/2,0))),IF(((55+0.5)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(55+0.5)*(4*IF(circ_int,0,eq_c1/2)+4*IF(circ_int,0,eq_c2/2)+2*PI()*(s_0+4*s_r+IF(circ_int,eq_c1/2,0)))/INDEX(lk_legs,5))-(((((((2*IF(circ_int,0,eq_c2/2))+(PI()*(s_0+4*s_r+IF(circ_int,eq_c1/2,0))/2))+2*IF(circ_int,0,eq_c1/2))+(PI()*(s_0+4*s_r+IF(circ_int,eq_c1/2,0))/2))+2*IF(circ_int,0,eq_c2/2))+(PI()*(s_0+4*s_r+IF(circ_int,eq_c1/2,0))/2))+2*IF(circ_int,0,eq_c1/2)))/(s_0+4*s_r+IF(circ_int,eq_c1/2,0)))))))))),NA())</f>
        <v/>
      </c>
      <c r="CD58">
        <f>IF(AND(AND(links_on,6&lt;=n_per),INDEX(lk_kind,6)=1,55&lt;INDEX(lk_legs,6)),g_ox+IF(((55+0.5)*(4*IF(circ_int,0,eq_c1/2)+4*IF(circ_int,0,eq_c2/2)+2*PI()*(s_0+5*s_r+IF(circ_int,eq_c1/2,0)))/INDEX(lk_legs,6))&lt;(2*IF(circ_int,0,eq_c2/2)),IF(circ_int,0,eq_c1/2)+(s_0+5*s_r+IF(circ_int,eq_c1/2,0)),IF(((55+0.5)*(4*IF(circ_int,0,eq_c1/2)+4*IF(circ_int,0,eq_c2/2)+2*PI()*(s_0+5*s_r+IF(circ_int,eq_c1/2,0)))/INDEX(lk_legs,6))&lt;((2*IF(circ_int,0,eq_c2/2))+(PI()*(s_0+5*s_r+IF(circ_int,eq_c1/2,0))/2)),IF(circ_int,0,eq_c1/2)+(s_0+5*s_r+IF(circ_int,eq_c1/2,0))*COS((((55+0.5)*(4*IF(circ_int,0,eq_c1/2)+4*IF(circ_int,0,eq_c2/2)+2*PI()*(s_0+5*s_r+IF(circ_int,eq_c1/2,0)))/INDEX(lk_legs,6))-(2*IF(circ_int,0,eq_c2/2)))/(s_0+5*s_r+IF(circ_int,eq_c1/2,0))),IF(((55+0.5)*(4*IF(circ_int,0,eq_c1/2)+4*IF(circ_int,0,eq_c2/2)+2*PI()*(s_0+5*s_r+IF(circ_int,eq_c1/2,0)))/INDEX(lk_legs,6))&lt;(((2*IF(circ_int,0,eq_c2/2))+(PI()*(s_0+5*s_r+IF(circ_int,eq_c1/2,0))/2))+2*IF(circ_int,0,eq_c1/2)),IF(circ_int,0,eq_c1/2)-(((55+0.5)*(4*IF(circ_int,0,eq_c1/2)+4*IF(circ_int,0,eq_c2/2)+2*PI()*(s_0+5*s_r+IF(circ_int,eq_c1/2,0)))/INDEX(lk_legs,6))-((2*IF(circ_int,0,eq_c2/2))+(PI()*(s_0+5*s_r+IF(circ_int,eq_c1/2,0))/2))),IF(((55+0.5)*(4*IF(circ_int,0,eq_c1/2)+4*IF(circ_int,0,eq_c2/2)+2*PI()*(s_0+5*s_r+IF(circ_int,eq_c1/2,0)))/INDEX(lk_legs,6))&lt;((((2*IF(circ_int,0,eq_c2/2))+(PI()*(s_0+5*s_r+IF(circ_int,eq_c1/2,0))/2))+2*IF(circ_int,0,eq_c1/2))+(PI()*(s_0+5*s_r+IF(circ_int,eq_c1/2,0))/2)),-IF(circ_int,0,eq_c1/2)+(s_0+5*s_r+IF(circ_int,eq_c1/2,0))*COS(PI()/2+(((55+0.5)*(4*IF(circ_int,0,eq_c1/2)+4*IF(circ_int,0,eq_c2/2)+2*PI()*(s_0+5*s_r+IF(circ_int,eq_c1/2,0)))/INDEX(lk_legs,6))-(((2*IF(circ_int,0,eq_c2/2))+(PI()*(s_0+5*s_r+IF(circ_int,eq_c1/2,0))/2))+2*IF(circ_int,0,eq_c1/2)))/(s_0+5*s_r+IF(circ_int,eq_c1/2,0))),IF(((55+0.5)*(4*IF(circ_int,0,eq_c1/2)+4*IF(circ_int,0,eq_c2/2)+2*PI()*(s_0+5*s_r+IF(circ_int,eq_c1/2,0)))/INDEX(lk_legs,6))&lt;(((((2*IF(circ_int,0,eq_c2/2))+(PI()*(s_0+5*s_r+IF(circ_int,eq_c1/2,0))/2))+2*IF(circ_int,0,eq_c1/2))+(PI()*(s_0+5*s_r+IF(circ_int,eq_c1/2,0))/2))+2*IF(circ_int,0,eq_c2/2)),-IF(circ_int,0,eq_c1/2)-(s_0+5*s_r+IF(circ_int,eq_c1/2,0)),IF(((55+0.5)*(4*IF(circ_int,0,eq_c1/2)+4*IF(circ_int,0,eq_c2/2)+2*PI()*(s_0+5*s_r+IF(circ_int,eq_c1/2,0)))/INDEX(lk_legs,6))&lt;((((((2*IF(circ_int,0,eq_c2/2))+(PI()*(s_0+5*s_r+IF(circ_int,eq_c1/2,0))/2))+2*IF(circ_int,0,eq_c1/2))+(PI()*(s_0+5*s_r+IF(circ_int,eq_c1/2,0))/2))+2*IF(circ_int,0,eq_c2/2))+(PI()*(s_0+5*s_r+IF(circ_int,eq_c1/2,0))/2)),-IF(circ_int,0,eq_c1/2)+(s_0+5*s_r+IF(circ_int,eq_c1/2,0))*COS(PI()+(((55+0.5)*(4*IF(circ_int,0,eq_c1/2)+4*IF(circ_int,0,eq_c2/2)+2*PI()*(s_0+5*s_r+IF(circ_int,eq_c1/2,0)))/INDEX(lk_legs,6))-(((((2*IF(circ_int,0,eq_c2/2))+(PI()*(s_0+5*s_r+IF(circ_int,eq_c1/2,0))/2))+2*IF(circ_int,0,eq_c1/2))+(PI()*(s_0+5*s_r+IF(circ_int,eq_c1/2,0))/2))+2*IF(circ_int,0,eq_c2/2)))/(s_0+5*s_r+IF(circ_int,eq_c1/2,0))),IF(((55+0.5)*(4*IF(circ_int,0,eq_c1/2)+4*IF(circ_int,0,eq_c2/2)+2*PI()*(s_0+5*s_r+IF(circ_int,eq_c1/2,0)))/INDEX(lk_legs,6))&lt;(((((((2*IF(circ_int,0,eq_c2/2))+(PI()*(s_0+5*s_r+IF(circ_int,eq_c1/2,0))/2))+2*IF(circ_int,0,eq_c1/2))+(PI()*(s_0+5*s_r+IF(circ_int,eq_c1/2,0))/2))+2*IF(circ_int,0,eq_c2/2))+(PI()*(s_0+5*s_r+IF(circ_int,eq_c1/2,0))/2))+2*IF(circ_int,0,eq_c1/2)),-IF(circ_int,0,eq_c1/2)+(((55+0.5)*(4*IF(circ_int,0,eq_c1/2)+4*IF(circ_int,0,eq_c2/2)+2*PI()*(s_0+5*s_r+IF(circ_int,eq_c1/2,0)))/INDEX(lk_legs,6))-((((((2*IF(circ_int,0,eq_c2/2))+(PI()*(s_0+5*s_r+IF(circ_int,eq_c1/2,0))/2))+2*IF(circ_int,0,eq_c1/2))+(PI()*(s_0+5*s_r+IF(circ_int,eq_c1/2,0))/2))+2*IF(circ_int,0,eq_c2/2))+(PI()*(s_0+5*s_r+IF(circ_int,eq_c1/2,0))/2))),IF(circ_int,0,eq_c1/2)+(s_0+5*s_r+IF(circ_int,eq_c1/2,0))*COS(3*PI()/2+(((55+0.5)*(4*IF(circ_int,0,eq_c1/2)+4*IF(circ_int,0,eq_c2/2)+2*PI()*(s_0+5*s_r+IF(circ_int,eq_c1/2,0)))/INDEX(lk_legs,6))-(((((((2*IF(circ_int,0,eq_c2/2))+(PI()*(s_0+5*s_r+IF(circ_int,eq_c1/2,0))/2))+2*IF(circ_int,0,eq_c1/2))+(PI()*(s_0+5*s_r+IF(circ_int,eq_c1/2,0))/2))+2*IF(circ_int,0,eq_c2/2))+(PI()*(s_0+5*s_r+IF(circ_int,eq_c1/2,0))/2))+2*IF(circ_int,0,eq_c1/2)))/(s_0+5*s_r+IF(circ_int,eq_c1/2,0)))))))))),NA())</f>
        <v/>
      </c>
      <c r="CE58">
        <f>IF(AND(AND(links_on,6&lt;=n_per),INDEX(lk_kind,6)=1,55&lt;INDEX(lk_legs,6)),g_oy+IF(((55+0.5)*(4*IF(circ_int,0,eq_c1/2)+4*IF(circ_int,0,eq_c2/2)+2*PI()*(s_0+5*s_r+IF(circ_int,eq_c1/2,0)))/INDEX(lk_legs,6))&lt;(2*IF(circ_int,0,eq_c2/2)),-IF(circ_int,0,eq_c2/2)+((55+0.5)*(4*IF(circ_int,0,eq_c1/2)+4*IF(circ_int,0,eq_c2/2)+2*PI()*(s_0+5*s_r+IF(circ_int,eq_c1/2,0)))/INDEX(lk_legs,6)),IF(((55+0.5)*(4*IF(circ_int,0,eq_c1/2)+4*IF(circ_int,0,eq_c2/2)+2*PI()*(s_0+5*s_r+IF(circ_int,eq_c1/2,0)))/INDEX(lk_legs,6))&lt;((2*IF(circ_int,0,eq_c2/2))+(PI()*(s_0+5*s_r+IF(circ_int,eq_c1/2,0))/2)),IF(circ_int,0,eq_c2/2)+(s_0+5*s_r+IF(circ_int,eq_c1/2,0))*SIN((((55+0.5)*(4*IF(circ_int,0,eq_c1/2)+4*IF(circ_int,0,eq_c2/2)+2*PI()*(s_0+5*s_r+IF(circ_int,eq_c1/2,0)))/INDEX(lk_legs,6))-(2*IF(circ_int,0,eq_c2/2)))/(s_0+5*s_r+IF(circ_int,eq_c1/2,0))),IF(((55+0.5)*(4*IF(circ_int,0,eq_c1/2)+4*IF(circ_int,0,eq_c2/2)+2*PI()*(s_0+5*s_r+IF(circ_int,eq_c1/2,0)))/INDEX(lk_legs,6))&lt;(((2*IF(circ_int,0,eq_c2/2))+(PI()*(s_0+5*s_r+IF(circ_int,eq_c1/2,0))/2))+2*IF(circ_int,0,eq_c1/2)),IF(circ_int,0,eq_c2/2)+(s_0+5*s_r+IF(circ_int,eq_c1/2,0)),IF(((55+0.5)*(4*IF(circ_int,0,eq_c1/2)+4*IF(circ_int,0,eq_c2/2)+2*PI()*(s_0+5*s_r+IF(circ_int,eq_c1/2,0)))/INDEX(lk_legs,6))&lt;((((2*IF(circ_int,0,eq_c2/2))+(PI()*(s_0+5*s_r+IF(circ_int,eq_c1/2,0))/2))+2*IF(circ_int,0,eq_c1/2))+(PI()*(s_0+5*s_r+IF(circ_int,eq_c1/2,0))/2)),IF(circ_int,0,eq_c2/2)+(s_0+5*s_r+IF(circ_int,eq_c1/2,0))*SIN(PI()/2+(((55+0.5)*(4*IF(circ_int,0,eq_c1/2)+4*IF(circ_int,0,eq_c2/2)+2*PI()*(s_0+5*s_r+IF(circ_int,eq_c1/2,0)))/INDEX(lk_legs,6))-(((2*IF(circ_int,0,eq_c2/2))+(PI()*(s_0+5*s_r+IF(circ_int,eq_c1/2,0))/2))+2*IF(circ_int,0,eq_c1/2)))/(s_0+5*s_r+IF(circ_int,eq_c1/2,0))),IF(((55+0.5)*(4*IF(circ_int,0,eq_c1/2)+4*IF(circ_int,0,eq_c2/2)+2*PI()*(s_0+5*s_r+IF(circ_int,eq_c1/2,0)))/INDEX(lk_legs,6))&lt;(((((2*IF(circ_int,0,eq_c2/2))+(PI()*(s_0+5*s_r+IF(circ_int,eq_c1/2,0))/2))+2*IF(circ_int,0,eq_c1/2))+(PI()*(s_0+5*s_r+IF(circ_int,eq_c1/2,0))/2))+2*IF(circ_int,0,eq_c2/2)),IF(circ_int,0,eq_c2/2)-(((55+0.5)*(4*IF(circ_int,0,eq_c1/2)+4*IF(circ_int,0,eq_c2/2)+2*PI()*(s_0+5*s_r+IF(circ_int,eq_c1/2,0)))/INDEX(lk_legs,6))-((((2*IF(circ_int,0,eq_c2/2))+(PI()*(s_0+5*s_r+IF(circ_int,eq_c1/2,0))/2))+2*IF(circ_int,0,eq_c1/2))+(PI()*(s_0+5*s_r+IF(circ_int,eq_c1/2,0))/2))),IF(((55+0.5)*(4*IF(circ_int,0,eq_c1/2)+4*IF(circ_int,0,eq_c2/2)+2*PI()*(s_0+5*s_r+IF(circ_int,eq_c1/2,0)))/INDEX(lk_legs,6))&lt;((((((2*IF(circ_int,0,eq_c2/2))+(PI()*(s_0+5*s_r+IF(circ_int,eq_c1/2,0))/2))+2*IF(circ_int,0,eq_c1/2))+(PI()*(s_0+5*s_r+IF(circ_int,eq_c1/2,0))/2))+2*IF(circ_int,0,eq_c2/2))+(PI()*(s_0+5*s_r+IF(circ_int,eq_c1/2,0))/2)),-IF(circ_int,0,eq_c2/2)+(s_0+5*s_r+IF(circ_int,eq_c1/2,0))*SIN(PI()+(((55+0.5)*(4*IF(circ_int,0,eq_c1/2)+4*IF(circ_int,0,eq_c2/2)+2*PI()*(s_0+5*s_r+IF(circ_int,eq_c1/2,0)))/INDEX(lk_legs,6))-(((((2*IF(circ_int,0,eq_c2/2))+(PI()*(s_0+5*s_r+IF(circ_int,eq_c1/2,0))/2))+2*IF(circ_int,0,eq_c1/2))+(PI()*(s_0+5*s_r+IF(circ_int,eq_c1/2,0))/2))+2*IF(circ_int,0,eq_c2/2)))/(s_0+5*s_r+IF(circ_int,eq_c1/2,0))),IF(((55+0.5)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(55+0.5)*(4*IF(circ_int,0,eq_c1/2)+4*IF(circ_int,0,eq_c2/2)+2*PI()*(s_0+5*s_r+IF(circ_int,eq_c1/2,0)))/INDEX(lk_legs,6))-(((((((2*IF(circ_int,0,eq_c2/2))+(PI()*(s_0+5*s_r+IF(circ_int,eq_c1/2,0))/2))+2*IF(circ_int,0,eq_c1/2))+(PI()*(s_0+5*s_r+IF(circ_int,eq_c1/2,0))/2))+2*IF(circ_int,0,eq_c2/2))+(PI()*(s_0+5*s_r+IF(circ_int,eq_c1/2,0))/2))+2*IF(circ_int,0,eq_c1/2)))/(s_0+5*s_r+IF(circ_int,eq_c1/2,0)))))))))),NA())</f>
        <v/>
      </c>
      <c r="CJ58">
        <f>IF(AND(AND(links_on,7&lt;=n_per),INDEX(lk_kind,7)=1,55&lt;INDEX(lk_legs,7)),g_ox+IF(((55+0.5)*(4*IF(circ_int,0,eq_c1/2)+4*IF(circ_int,0,eq_c2/2)+2*PI()*(s_0+6*s_r+IF(circ_int,eq_c1/2,0)))/INDEX(lk_legs,7))&lt;(2*IF(circ_int,0,eq_c2/2)),IF(circ_int,0,eq_c1/2)+(s_0+6*s_r+IF(circ_int,eq_c1/2,0)),IF(((55+0.5)*(4*IF(circ_int,0,eq_c1/2)+4*IF(circ_int,0,eq_c2/2)+2*PI()*(s_0+6*s_r+IF(circ_int,eq_c1/2,0)))/INDEX(lk_legs,7))&lt;((2*IF(circ_int,0,eq_c2/2))+(PI()*(s_0+6*s_r+IF(circ_int,eq_c1/2,0))/2)),IF(circ_int,0,eq_c1/2)+(s_0+6*s_r+IF(circ_int,eq_c1/2,0))*COS((((55+0.5)*(4*IF(circ_int,0,eq_c1/2)+4*IF(circ_int,0,eq_c2/2)+2*PI()*(s_0+6*s_r+IF(circ_int,eq_c1/2,0)))/INDEX(lk_legs,7))-(2*IF(circ_int,0,eq_c2/2)))/(s_0+6*s_r+IF(circ_int,eq_c1/2,0))),IF(((55+0.5)*(4*IF(circ_int,0,eq_c1/2)+4*IF(circ_int,0,eq_c2/2)+2*PI()*(s_0+6*s_r+IF(circ_int,eq_c1/2,0)))/INDEX(lk_legs,7))&lt;(((2*IF(circ_int,0,eq_c2/2))+(PI()*(s_0+6*s_r+IF(circ_int,eq_c1/2,0))/2))+2*IF(circ_int,0,eq_c1/2)),IF(circ_int,0,eq_c1/2)-(((55+0.5)*(4*IF(circ_int,0,eq_c1/2)+4*IF(circ_int,0,eq_c2/2)+2*PI()*(s_0+6*s_r+IF(circ_int,eq_c1/2,0)))/INDEX(lk_legs,7))-((2*IF(circ_int,0,eq_c2/2))+(PI()*(s_0+6*s_r+IF(circ_int,eq_c1/2,0))/2))),IF(((55+0.5)*(4*IF(circ_int,0,eq_c1/2)+4*IF(circ_int,0,eq_c2/2)+2*PI()*(s_0+6*s_r+IF(circ_int,eq_c1/2,0)))/INDEX(lk_legs,7))&lt;((((2*IF(circ_int,0,eq_c2/2))+(PI()*(s_0+6*s_r+IF(circ_int,eq_c1/2,0))/2))+2*IF(circ_int,0,eq_c1/2))+(PI()*(s_0+6*s_r+IF(circ_int,eq_c1/2,0))/2)),-IF(circ_int,0,eq_c1/2)+(s_0+6*s_r+IF(circ_int,eq_c1/2,0))*COS(PI()/2+(((55+0.5)*(4*IF(circ_int,0,eq_c1/2)+4*IF(circ_int,0,eq_c2/2)+2*PI()*(s_0+6*s_r+IF(circ_int,eq_c1/2,0)))/INDEX(lk_legs,7))-(((2*IF(circ_int,0,eq_c2/2))+(PI()*(s_0+6*s_r+IF(circ_int,eq_c1/2,0))/2))+2*IF(circ_int,0,eq_c1/2)))/(s_0+6*s_r+IF(circ_int,eq_c1/2,0))),IF(((55+0.5)*(4*IF(circ_int,0,eq_c1/2)+4*IF(circ_int,0,eq_c2/2)+2*PI()*(s_0+6*s_r+IF(circ_int,eq_c1/2,0)))/INDEX(lk_legs,7))&lt;(((((2*IF(circ_int,0,eq_c2/2))+(PI()*(s_0+6*s_r+IF(circ_int,eq_c1/2,0))/2))+2*IF(circ_int,0,eq_c1/2))+(PI()*(s_0+6*s_r+IF(circ_int,eq_c1/2,0))/2))+2*IF(circ_int,0,eq_c2/2)),-IF(circ_int,0,eq_c1/2)-(s_0+6*s_r+IF(circ_int,eq_c1/2,0)),IF(((55+0.5)*(4*IF(circ_int,0,eq_c1/2)+4*IF(circ_int,0,eq_c2/2)+2*PI()*(s_0+6*s_r+IF(circ_int,eq_c1/2,0)))/INDEX(lk_legs,7))&lt;((((((2*IF(circ_int,0,eq_c2/2))+(PI()*(s_0+6*s_r+IF(circ_int,eq_c1/2,0))/2))+2*IF(circ_int,0,eq_c1/2))+(PI()*(s_0+6*s_r+IF(circ_int,eq_c1/2,0))/2))+2*IF(circ_int,0,eq_c2/2))+(PI()*(s_0+6*s_r+IF(circ_int,eq_c1/2,0))/2)),-IF(circ_int,0,eq_c1/2)+(s_0+6*s_r+IF(circ_int,eq_c1/2,0))*COS(PI()+(((55+0.5)*(4*IF(circ_int,0,eq_c1/2)+4*IF(circ_int,0,eq_c2/2)+2*PI()*(s_0+6*s_r+IF(circ_int,eq_c1/2,0)))/INDEX(lk_legs,7))-(((((2*IF(circ_int,0,eq_c2/2))+(PI()*(s_0+6*s_r+IF(circ_int,eq_c1/2,0))/2))+2*IF(circ_int,0,eq_c1/2))+(PI()*(s_0+6*s_r+IF(circ_int,eq_c1/2,0))/2))+2*IF(circ_int,0,eq_c2/2)))/(s_0+6*s_r+IF(circ_int,eq_c1/2,0))),IF(((55+0.5)*(4*IF(circ_int,0,eq_c1/2)+4*IF(circ_int,0,eq_c2/2)+2*PI()*(s_0+6*s_r+IF(circ_int,eq_c1/2,0)))/INDEX(lk_legs,7))&lt;(((((((2*IF(circ_int,0,eq_c2/2))+(PI()*(s_0+6*s_r+IF(circ_int,eq_c1/2,0))/2))+2*IF(circ_int,0,eq_c1/2))+(PI()*(s_0+6*s_r+IF(circ_int,eq_c1/2,0))/2))+2*IF(circ_int,0,eq_c2/2))+(PI()*(s_0+6*s_r+IF(circ_int,eq_c1/2,0))/2))+2*IF(circ_int,0,eq_c1/2)),-IF(circ_int,0,eq_c1/2)+(((55+0.5)*(4*IF(circ_int,0,eq_c1/2)+4*IF(circ_int,0,eq_c2/2)+2*PI()*(s_0+6*s_r+IF(circ_int,eq_c1/2,0)))/INDEX(lk_legs,7))-((((((2*IF(circ_int,0,eq_c2/2))+(PI()*(s_0+6*s_r+IF(circ_int,eq_c1/2,0))/2))+2*IF(circ_int,0,eq_c1/2))+(PI()*(s_0+6*s_r+IF(circ_int,eq_c1/2,0))/2))+2*IF(circ_int,0,eq_c2/2))+(PI()*(s_0+6*s_r+IF(circ_int,eq_c1/2,0))/2))),IF(circ_int,0,eq_c1/2)+(s_0+6*s_r+IF(circ_int,eq_c1/2,0))*COS(3*PI()/2+(((55+0.5)*(4*IF(circ_int,0,eq_c1/2)+4*IF(circ_int,0,eq_c2/2)+2*PI()*(s_0+6*s_r+IF(circ_int,eq_c1/2,0)))/INDEX(lk_legs,7))-(((((((2*IF(circ_int,0,eq_c2/2))+(PI()*(s_0+6*s_r+IF(circ_int,eq_c1/2,0))/2))+2*IF(circ_int,0,eq_c1/2))+(PI()*(s_0+6*s_r+IF(circ_int,eq_c1/2,0))/2))+2*IF(circ_int,0,eq_c2/2))+(PI()*(s_0+6*s_r+IF(circ_int,eq_c1/2,0))/2))+2*IF(circ_int,0,eq_c1/2)))/(s_0+6*s_r+IF(circ_int,eq_c1/2,0)))))))))),NA())</f>
        <v/>
      </c>
      <c r="CK58">
        <f>IF(AND(AND(links_on,7&lt;=n_per),INDEX(lk_kind,7)=1,55&lt;INDEX(lk_legs,7)),g_oy+IF(((55+0.5)*(4*IF(circ_int,0,eq_c1/2)+4*IF(circ_int,0,eq_c2/2)+2*PI()*(s_0+6*s_r+IF(circ_int,eq_c1/2,0)))/INDEX(lk_legs,7))&lt;(2*IF(circ_int,0,eq_c2/2)),-IF(circ_int,0,eq_c2/2)+((55+0.5)*(4*IF(circ_int,0,eq_c1/2)+4*IF(circ_int,0,eq_c2/2)+2*PI()*(s_0+6*s_r+IF(circ_int,eq_c1/2,0)))/INDEX(lk_legs,7)),IF(((55+0.5)*(4*IF(circ_int,0,eq_c1/2)+4*IF(circ_int,0,eq_c2/2)+2*PI()*(s_0+6*s_r+IF(circ_int,eq_c1/2,0)))/INDEX(lk_legs,7))&lt;((2*IF(circ_int,0,eq_c2/2))+(PI()*(s_0+6*s_r+IF(circ_int,eq_c1/2,0))/2)),IF(circ_int,0,eq_c2/2)+(s_0+6*s_r+IF(circ_int,eq_c1/2,0))*SIN((((55+0.5)*(4*IF(circ_int,0,eq_c1/2)+4*IF(circ_int,0,eq_c2/2)+2*PI()*(s_0+6*s_r+IF(circ_int,eq_c1/2,0)))/INDEX(lk_legs,7))-(2*IF(circ_int,0,eq_c2/2)))/(s_0+6*s_r+IF(circ_int,eq_c1/2,0))),IF(((55+0.5)*(4*IF(circ_int,0,eq_c1/2)+4*IF(circ_int,0,eq_c2/2)+2*PI()*(s_0+6*s_r+IF(circ_int,eq_c1/2,0)))/INDEX(lk_legs,7))&lt;(((2*IF(circ_int,0,eq_c2/2))+(PI()*(s_0+6*s_r+IF(circ_int,eq_c1/2,0))/2))+2*IF(circ_int,0,eq_c1/2)),IF(circ_int,0,eq_c2/2)+(s_0+6*s_r+IF(circ_int,eq_c1/2,0)),IF(((55+0.5)*(4*IF(circ_int,0,eq_c1/2)+4*IF(circ_int,0,eq_c2/2)+2*PI()*(s_0+6*s_r+IF(circ_int,eq_c1/2,0)))/INDEX(lk_legs,7))&lt;((((2*IF(circ_int,0,eq_c2/2))+(PI()*(s_0+6*s_r+IF(circ_int,eq_c1/2,0))/2))+2*IF(circ_int,0,eq_c1/2))+(PI()*(s_0+6*s_r+IF(circ_int,eq_c1/2,0))/2)),IF(circ_int,0,eq_c2/2)+(s_0+6*s_r+IF(circ_int,eq_c1/2,0))*SIN(PI()/2+(((55+0.5)*(4*IF(circ_int,0,eq_c1/2)+4*IF(circ_int,0,eq_c2/2)+2*PI()*(s_0+6*s_r+IF(circ_int,eq_c1/2,0)))/INDEX(lk_legs,7))-(((2*IF(circ_int,0,eq_c2/2))+(PI()*(s_0+6*s_r+IF(circ_int,eq_c1/2,0))/2))+2*IF(circ_int,0,eq_c1/2)))/(s_0+6*s_r+IF(circ_int,eq_c1/2,0))),IF(((55+0.5)*(4*IF(circ_int,0,eq_c1/2)+4*IF(circ_int,0,eq_c2/2)+2*PI()*(s_0+6*s_r+IF(circ_int,eq_c1/2,0)))/INDEX(lk_legs,7))&lt;(((((2*IF(circ_int,0,eq_c2/2))+(PI()*(s_0+6*s_r+IF(circ_int,eq_c1/2,0))/2))+2*IF(circ_int,0,eq_c1/2))+(PI()*(s_0+6*s_r+IF(circ_int,eq_c1/2,0))/2))+2*IF(circ_int,0,eq_c2/2)),IF(circ_int,0,eq_c2/2)-(((55+0.5)*(4*IF(circ_int,0,eq_c1/2)+4*IF(circ_int,0,eq_c2/2)+2*PI()*(s_0+6*s_r+IF(circ_int,eq_c1/2,0)))/INDEX(lk_legs,7))-((((2*IF(circ_int,0,eq_c2/2))+(PI()*(s_0+6*s_r+IF(circ_int,eq_c1/2,0))/2))+2*IF(circ_int,0,eq_c1/2))+(PI()*(s_0+6*s_r+IF(circ_int,eq_c1/2,0))/2))),IF(((55+0.5)*(4*IF(circ_int,0,eq_c1/2)+4*IF(circ_int,0,eq_c2/2)+2*PI()*(s_0+6*s_r+IF(circ_int,eq_c1/2,0)))/INDEX(lk_legs,7))&lt;((((((2*IF(circ_int,0,eq_c2/2))+(PI()*(s_0+6*s_r+IF(circ_int,eq_c1/2,0))/2))+2*IF(circ_int,0,eq_c1/2))+(PI()*(s_0+6*s_r+IF(circ_int,eq_c1/2,0))/2))+2*IF(circ_int,0,eq_c2/2))+(PI()*(s_0+6*s_r+IF(circ_int,eq_c1/2,0))/2)),-IF(circ_int,0,eq_c2/2)+(s_0+6*s_r+IF(circ_int,eq_c1/2,0))*SIN(PI()+(((55+0.5)*(4*IF(circ_int,0,eq_c1/2)+4*IF(circ_int,0,eq_c2/2)+2*PI()*(s_0+6*s_r+IF(circ_int,eq_c1/2,0)))/INDEX(lk_legs,7))-(((((2*IF(circ_int,0,eq_c2/2))+(PI()*(s_0+6*s_r+IF(circ_int,eq_c1/2,0))/2))+2*IF(circ_int,0,eq_c1/2))+(PI()*(s_0+6*s_r+IF(circ_int,eq_c1/2,0))/2))+2*IF(circ_int,0,eq_c2/2)))/(s_0+6*s_r+IF(circ_int,eq_c1/2,0))),IF(((55+0.5)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(55+0.5)*(4*IF(circ_int,0,eq_c1/2)+4*IF(circ_int,0,eq_c2/2)+2*PI()*(s_0+6*s_r+IF(circ_int,eq_c1/2,0)))/INDEX(lk_legs,7))-(((((((2*IF(circ_int,0,eq_c2/2))+(PI()*(s_0+6*s_r+IF(circ_int,eq_c1/2,0))/2))+2*IF(circ_int,0,eq_c1/2))+(PI()*(s_0+6*s_r+IF(circ_int,eq_c1/2,0))/2))+2*IF(circ_int,0,eq_c2/2))+(PI()*(s_0+6*s_r+IF(circ_int,eq_c1/2,0))/2))+2*IF(circ_int,0,eq_c1/2)))/(s_0+6*s_r+IF(circ_int,eq_c1/2,0)))))))))),NA())</f>
        <v/>
      </c>
      <c r="CP58">
        <f>IF(AND(AND(links_on,8&lt;=n_per),INDEX(lk_kind,8)=1,55&lt;INDEX(lk_legs,8)),g_ox+IF(((55+0.5)*(4*IF(circ_int,0,eq_c1/2)+4*IF(circ_int,0,eq_c2/2)+2*PI()*(s_0+7*s_r+IF(circ_int,eq_c1/2,0)))/INDEX(lk_legs,8))&lt;(2*IF(circ_int,0,eq_c2/2)),IF(circ_int,0,eq_c1/2)+(s_0+7*s_r+IF(circ_int,eq_c1/2,0)),IF(((55+0.5)*(4*IF(circ_int,0,eq_c1/2)+4*IF(circ_int,0,eq_c2/2)+2*PI()*(s_0+7*s_r+IF(circ_int,eq_c1/2,0)))/INDEX(lk_legs,8))&lt;((2*IF(circ_int,0,eq_c2/2))+(PI()*(s_0+7*s_r+IF(circ_int,eq_c1/2,0))/2)),IF(circ_int,0,eq_c1/2)+(s_0+7*s_r+IF(circ_int,eq_c1/2,0))*COS((((55+0.5)*(4*IF(circ_int,0,eq_c1/2)+4*IF(circ_int,0,eq_c2/2)+2*PI()*(s_0+7*s_r+IF(circ_int,eq_c1/2,0)))/INDEX(lk_legs,8))-(2*IF(circ_int,0,eq_c2/2)))/(s_0+7*s_r+IF(circ_int,eq_c1/2,0))),IF(((55+0.5)*(4*IF(circ_int,0,eq_c1/2)+4*IF(circ_int,0,eq_c2/2)+2*PI()*(s_0+7*s_r+IF(circ_int,eq_c1/2,0)))/INDEX(lk_legs,8))&lt;(((2*IF(circ_int,0,eq_c2/2))+(PI()*(s_0+7*s_r+IF(circ_int,eq_c1/2,0))/2))+2*IF(circ_int,0,eq_c1/2)),IF(circ_int,0,eq_c1/2)-(((55+0.5)*(4*IF(circ_int,0,eq_c1/2)+4*IF(circ_int,0,eq_c2/2)+2*PI()*(s_0+7*s_r+IF(circ_int,eq_c1/2,0)))/INDEX(lk_legs,8))-((2*IF(circ_int,0,eq_c2/2))+(PI()*(s_0+7*s_r+IF(circ_int,eq_c1/2,0))/2))),IF(((55+0.5)*(4*IF(circ_int,0,eq_c1/2)+4*IF(circ_int,0,eq_c2/2)+2*PI()*(s_0+7*s_r+IF(circ_int,eq_c1/2,0)))/INDEX(lk_legs,8))&lt;((((2*IF(circ_int,0,eq_c2/2))+(PI()*(s_0+7*s_r+IF(circ_int,eq_c1/2,0))/2))+2*IF(circ_int,0,eq_c1/2))+(PI()*(s_0+7*s_r+IF(circ_int,eq_c1/2,0))/2)),-IF(circ_int,0,eq_c1/2)+(s_0+7*s_r+IF(circ_int,eq_c1/2,0))*COS(PI()/2+(((55+0.5)*(4*IF(circ_int,0,eq_c1/2)+4*IF(circ_int,0,eq_c2/2)+2*PI()*(s_0+7*s_r+IF(circ_int,eq_c1/2,0)))/INDEX(lk_legs,8))-(((2*IF(circ_int,0,eq_c2/2))+(PI()*(s_0+7*s_r+IF(circ_int,eq_c1/2,0))/2))+2*IF(circ_int,0,eq_c1/2)))/(s_0+7*s_r+IF(circ_int,eq_c1/2,0))),IF(((55+0.5)*(4*IF(circ_int,0,eq_c1/2)+4*IF(circ_int,0,eq_c2/2)+2*PI()*(s_0+7*s_r+IF(circ_int,eq_c1/2,0)))/INDEX(lk_legs,8))&lt;(((((2*IF(circ_int,0,eq_c2/2))+(PI()*(s_0+7*s_r+IF(circ_int,eq_c1/2,0))/2))+2*IF(circ_int,0,eq_c1/2))+(PI()*(s_0+7*s_r+IF(circ_int,eq_c1/2,0))/2))+2*IF(circ_int,0,eq_c2/2)),-IF(circ_int,0,eq_c1/2)-(s_0+7*s_r+IF(circ_int,eq_c1/2,0)),IF(((55+0.5)*(4*IF(circ_int,0,eq_c1/2)+4*IF(circ_int,0,eq_c2/2)+2*PI()*(s_0+7*s_r+IF(circ_int,eq_c1/2,0)))/INDEX(lk_legs,8))&lt;((((((2*IF(circ_int,0,eq_c2/2))+(PI()*(s_0+7*s_r+IF(circ_int,eq_c1/2,0))/2))+2*IF(circ_int,0,eq_c1/2))+(PI()*(s_0+7*s_r+IF(circ_int,eq_c1/2,0))/2))+2*IF(circ_int,0,eq_c2/2))+(PI()*(s_0+7*s_r+IF(circ_int,eq_c1/2,0))/2)),-IF(circ_int,0,eq_c1/2)+(s_0+7*s_r+IF(circ_int,eq_c1/2,0))*COS(PI()+(((55+0.5)*(4*IF(circ_int,0,eq_c1/2)+4*IF(circ_int,0,eq_c2/2)+2*PI()*(s_0+7*s_r+IF(circ_int,eq_c1/2,0)))/INDEX(lk_legs,8))-(((((2*IF(circ_int,0,eq_c2/2))+(PI()*(s_0+7*s_r+IF(circ_int,eq_c1/2,0))/2))+2*IF(circ_int,0,eq_c1/2))+(PI()*(s_0+7*s_r+IF(circ_int,eq_c1/2,0))/2))+2*IF(circ_int,0,eq_c2/2)))/(s_0+7*s_r+IF(circ_int,eq_c1/2,0))),IF(((55+0.5)*(4*IF(circ_int,0,eq_c1/2)+4*IF(circ_int,0,eq_c2/2)+2*PI()*(s_0+7*s_r+IF(circ_int,eq_c1/2,0)))/INDEX(lk_legs,8))&lt;(((((((2*IF(circ_int,0,eq_c2/2))+(PI()*(s_0+7*s_r+IF(circ_int,eq_c1/2,0))/2))+2*IF(circ_int,0,eq_c1/2))+(PI()*(s_0+7*s_r+IF(circ_int,eq_c1/2,0))/2))+2*IF(circ_int,0,eq_c2/2))+(PI()*(s_0+7*s_r+IF(circ_int,eq_c1/2,0))/2))+2*IF(circ_int,0,eq_c1/2)),-IF(circ_int,0,eq_c1/2)+(((55+0.5)*(4*IF(circ_int,0,eq_c1/2)+4*IF(circ_int,0,eq_c2/2)+2*PI()*(s_0+7*s_r+IF(circ_int,eq_c1/2,0)))/INDEX(lk_legs,8))-((((((2*IF(circ_int,0,eq_c2/2))+(PI()*(s_0+7*s_r+IF(circ_int,eq_c1/2,0))/2))+2*IF(circ_int,0,eq_c1/2))+(PI()*(s_0+7*s_r+IF(circ_int,eq_c1/2,0))/2))+2*IF(circ_int,0,eq_c2/2))+(PI()*(s_0+7*s_r+IF(circ_int,eq_c1/2,0))/2))),IF(circ_int,0,eq_c1/2)+(s_0+7*s_r+IF(circ_int,eq_c1/2,0))*COS(3*PI()/2+(((55+0.5)*(4*IF(circ_int,0,eq_c1/2)+4*IF(circ_int,0,eq_c2/2)+2*PI()*(s_0+7*s_r+IF(circ_int,eq_c1/2,0)))/INDEX(lk_legs,8))-(((((((2*IF(circ_int,0,eq_c2/2))+(PI()*(s_0+7*s_r+IF(circ_int,eq_c1/2,0))/2))+2*IF(circ_int,0,eq_c1/2))+(PI()*(s_0+7*s_r+IF(circ_int,eq_c1/2,0))/2))+2*IF(circ_int,0,eq_c2/2))+(PI()*(s_0+7*s_r+IF(circ_int,eq_c1/2,0))/2))+2*IF(circ_int,0,eq_c1/2)))/(s_0+7*s_r+IF(circ_int,eq_c1/2,0)))))))))),NA())</f>
        <v/>
      </c>
      <c r="CQ58">
        <f>IF(AND(AND(links_on,8&lt;=n_per),INDEX(lk_kind,8)=1,55&lt;INDEX(lk_legs,8)),g_oy+IF(((55+0.5)*(4*IF(circ_int,0,eq_c1/2)+4*IF(circ_int,0,eq_c2/2)+2*PI()*(s_0+7*s_r+IF(circ_int,eq_c1/2,0)))/INDEX(lk_legs,8))&lt;(2*IF(circ_int,0,eq_c2/2)),-IF(circ_int,0,eq_c2/2)+((55+0.5)*(4*IF(circ_int,0,eq_c1/2)+4*IF(circ_int,0,eq_c2/2)+2*PI()*(s_0+7*s_r+IF(circ_int,eq_c1/2,0)))/INDEX(lk_legs,8)),IF(((55+0.5)*(4*IF(circ_int,0,eq_c1/2)+4*IF(circ_int,0,eq_c2/2)+2*PI()*(s_0+7*s_r+IF(circ_int,eq_c1/2,0)))/INDEX(lk_legs,8))&lt;((2*IF(circ_int,0,eq_c2/2))+(PI()*(s_0+7*s_r+IF(circ_int,eq_c1/2,0))/2)),IF(circ_int,0,eq_c2/2)+(s_0+7*s_r+IF(circ_int,eq_c1/2,0))*SIN((((55+0.5)*(4*IF(circ_int,0,eq_c1/2)+4*IF(circ_int,0,eq_c2/2)+2*PI()*(s_0+7*s_r+IF(circ_int,eq_c1/2,0)))/INDEX(lk_legs,8))-(2*IF(circ_int,0,eq_c2/2)))/(s_0+7*s_r+IF(circ_int,eq_c1/2,0))),IF(((55+0.5)*(4*IF(circ_int,0,eq_c1/2)+4*IF(circ_int,0,eq_c2/2)+2*PI()*(s_0+7*s_r+IF(circ_int,eq_c1/2,0)))/INDEX(lk_legs,8))&lt;(((2*IF(circ_int,0,eq_c2/2))+(PI()*(s_0+7*s_r+IF(circ_int,eq_c1/2,0))/2))+2*IF(circ_int,0,eq_c1/2)),IF(circ_int,0,eq_c2/2)+(s_0+7*s_r+IF(circ_int,eq_c1/2,0)),IF(((55+0.5)*(4*IF(circ_int,0,eq_c1/2)+4*IF(circ_int,0,eq_c2/2)+2*PI()*(s_0+7*s_r+IF(circ_int,eq_c1/2,0)))/INDEX(lk_legs,8))&lt;((((2*IF(circ_int,0,eq_c2/2))+(PI()*(s_0+7*s_r+IF(circ_int,eq_c1/2,0))/2))+2*IF(circ_int,0,eq_c1/2))+(PI()*(s_0+7*s_r+IF(circ_int,eq_c1/2,0))/2)),IF(circ_int,0,eq_c2/2)+(s_0+7*s_r+IF(circ_int,eq_c1/2,0))*SIN(PI()/2+(((55+0.5)*(4*IF(circ_int,0,eq_c1/2)+4*IF(circ_int,0,eq_c2/2)+2*PI()*(s_0+7*s_r+IF(circ_int,eq_c1/2,0)))/INDEX(lk_legs,8))-(((2*IF(circ_int,0,eq_c2/2))+(PI()*(s_0+7*s_r+IF(circ_int,eq_c1/2,0))/2))+2*IF(circ_int,0,eq_c1/2)))/(s_0+7*s_r+IF(circ_int,eq_c1/2,0))),IF(((55+0.5)*(4*IF(circ_int,0,eq_c1/2)+4*IF(circ_int,0,eq_c2/2)+2*PI()*(s_0+7*s_r+IF(circ_int,eq_c1/2,0)))/INDEX(lk_legs,8))&lt;(((((2*IF(circ_int,0,eq_c2/2))+(PI()*(s_0+7*s_r+IF(circ_int,eq_c1/2,0))/2))+2*IF(circ_int,0,eq_c1/2))+(PI()*(s_0+7*s_r+IF(circ_int,eq_c1/2,0))/2))+2*IF(circ_int,0,eq_c2/2)),IF(circ_int,0,eq_c2/2)-(((55+0.5)*(4*IF(circ_int,0,eq_c1/2)+4*IF(circ_int,0,eq_c2/2)+2*PI()*(s_0+7*s_r+IF(circ_int,eq_c1/2,0)))/INDEX(lk_legs,8))-((((2*IF(circ_int,0,eq_c2/2))+(PI()*(s_0+7*s_r+IF(circ_int,eq_c1/2,0))/2))+2*IF(circ_int,0,eq_c1/2))+(PI()*(s_0+7*s_r+IF(circ_int,eq_c1/2,0))/2))),IF(((55+0.5)*(4*IF(circ_int,0,eq_c1/2)+4*IF(circ_int,0,eq_c2/2)+2*PI()*(s_0+7*s_r+IF(circ_int,eq_c1/2,0)))/INDEX(lk_legs,8))&lt;((((((2*IF(circ_int,0,eq_c2/2))+(PI()*(s_0+7*s_r+IF(circ_int,eq_c1/2,0))/2))+2*IF(circ_int,0,eq_c1/2))+(PI()*(s_0+7*s_r+IF(circ_int,eq_c1/2,0))/2))+2*IF(circ_int,0,eq_c2/2))+(PI()*(s_0+7*s_r+IF(circ_int,eq_c1/2,0))/2)),-IF(circ_int,0,eq_c2/2)+(s_0+7*s_r+IF(circ_int,eq_c1/2,0))*SIN(PI()+(((55+0.5)*(4*IF(circ_int,0,eq_c1/2)+4*IF(circ_int,0,eq_c2/2)+2*PI()*(s_0+7*s_r+IF(circ_int,eq_c1/2,0)))/INDEX(lk_legs,8))-(((((2*IF(circ_int,0,eq_c2/2))+(PI()*(s_0+7*s_r+IF(circ_int,eq_c1/2,0))/2))+2*IF(circ_int,0,eq_c1/2))+(PI()*(s_0+7*s_r+IF(circ_int,eq_c1/2,0))/2))+2*IF(circ_int,0,eq_c2/2)))/(s_0+7*s_r+IF(circ_int,eq_c1/2,0))),IF(((55+0.5)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(55+0.5)*(4*IF(circ_int,0,eq_c1/2)+4*IF(circ_int,0,eq_c2/2)+2*PI()*(s_0+7*s_r+IF(circ_int,eq_c1/2,0)))/INDEX(lk_legs,8))-(((((((2*IF(circ_int,0,eq_c2/2))+(PI()*(s_0+7*s_r+IF(circ_int,eq_c1/2,0))/2))+2*IF(circ_int,0,eq_c1/2))+(PI()*(s_0+7*s_r+IF(circ_int,eq_c1/2,0))/2))+2*IF(circ_int,0,eq_c2/2))+(PI()*(s_0+7*s_r+IF(circ_int,eq_c1/2,0))/2))+2*IF(circ_int,0,eq_c1/2)))/(s_0+7*s_r+IF(circ_int,eq_c1/2,0)))))))))),NA())</f>
        <v/>
      </c>
      <c r="CV58">
        <f>IF(AND(AND(links_on,9&lt;=n_per),INDEX(lk_kind,9)=1,55&lt;INDEX(lk_legs,9)),g_ox+IF(((55+0.5)*(4*IF(circ_int,0,eq_c1/2)+4*IF(circ_int,0,eq_c2/2)+2*PI()*(s_0+8*s_r+IF(circ_int,eq_c1/2,0)))/INDEX(lk_legs,9))&lt;(2*IF(circ_int,0,eq_c2/2)),IF(circ_int,0,eq_c1/2)+(s_0+8*s_r+IF(circ_int,eq_c1/2,0)),IF(((55+0.5)*(4*IF(circ_int,0,eq_c1/2)+4*IF(circ_int,0,eq_c2/2)+2*PI()*(s_0+8*s_r+IF(circ_int,eq_c1/2,0)))/INDEX(lk_legs,9))&lt;((2*IF(circ_int,0,eq_c2/2))+(PI()*(s_0+8*s_r+IF(circ_int,eq_c1/2,0))/2)),IF(circ_int,0,eq_c1/2)+(s_0+8*s_r+IF(circ_int,eq_c1/2,0))*COS((((55+0.5)*(4*IF(circ_int,0,eq_c1/2)+4*IF(circ_int,0,eq_c2/2)+2*PI()*(s_0+8*s_r+IF(circ_int,eq_c1/2,0)))/INDEX(lk_legs,9))-(2*IF(circ_int,0,eq_c2/2)))/(s_0+8*s_r+IF(circ_int,eq_c1/2,0))),IF(((55+0.5)*(4*IF(circ_int,0,eq_c1/2)+4*IF(circ_int,0,eq_c2/2)+2*PI()*(s_0+8*s_r+IF(circ_int,eq_c1/2,0)))/INDEX(lk_legs,9))&lt;(((2*IF(circ_int,0,eq_c2/2))+(PI()*(s_0+8*s_r+IF(circ_int,eq_c1/2,0))/2))+2*IF(circ_int,0,eq_c1/2)),IF(circ_int,0,eq_c1/2)-(((55+0.5)*(4*IF(circ_int,0,eq_c1/2)+4*IF(circ_int,0,eq_c2/2)+2*PI()*(s_0+8*s_r+IF(circ_int,eq_c1/2,0)))/INDEX(lk_legs,9))-((2*IF(circ_int,0,eq_c2/2))+(PI()*(s_0+8*s_r+IF(circ_int,eq_c1/2,0))/2))),IF(((55+0.5)*(4*IF(circ_int,0,eq_c1/2)+4*IF(circ_int,0,eq_c2/2)+2*PI()*(s_0+8*s_r+IF(circ_int,eq_c1/2,0)))/INDEX(lk_legs,9))&lt;((((2*IF(circ_int,0,eq_c2/2))+(PI()*(s_0+8*s_r+IF(circ_int,eq_c1/2,0))/2))+2*IF(circ_int,0,eq_c1/2))+(PI()*(s_0+8*s_r+IF(circ_int,eq_c1/2,0))/2)),-IF(circ_int,0,eq_c1/2)+(s_0+8*s_r+IF(circ_int,eq_c1/2,0))*COS(PI()/2+(((55+0.5)*(4*IF(circ_int,0,eq_c1/2)+4*IF(circ_int,0,eq_c2/2)+2*PI()*(s_0+8*s_r+IF(circ_int,eq_c1/2,0)))/INDEX(lk_legs,9))-(((2*IF(circ_int,0,eq_c2/2))+(PI()*(s_0+8*s_r+IF(circ_int,eq_c1/2,0))/2))+2*IF(circ_int,0,eq_c1/2)))/(s_0+8*s_r+IF(circ_int,eq_c1/2,0))),IF(((55+0.5)*(4*IF(circ_int,0,eq_c1/2)+4*IF(circ_int,0,eq_c2/2)+2*PI()*(s_0+8*s_r+IF(circ_int,eq_c1/2,0)))/INDEX(lk_legs,9))&lt;(((((2*IF(circ_int,0,eq_c2/2))+(PI()*(s_0+8*s_r+IF(circ_int,eq_c1/2,0))/2))+2*IF(circ_int,0,eq_c1/2))+(PI()*(s_0+8*s_r+IF(circ_int,eq_c1/2,0))/2))+2*IF(circ_int,0,eq_c2/2)),-IF(circ_int,0,eq_c1/2)-(s_0+8*s_r+IF(circ_int,eq_c1/2,0)),IF(((55+0.5)*(4*IF(circ_int,0,eq_c1/2)+4*IF(circ_int,0,eq_c2/2)+2*PI()*(s_0+8*s_r+IF(circ_int,eq_c1/2,0)))/INDEX(lk_legs,9))&lt;((((((2*IF(circ_int,0,eq_c2/2))+(PI()*(s_0+8*s_r+IF(circ_int,eq_c1/2,0))/2))+2*IF(circ_int,0,eq_c1/2))+(PI()*(s_0+8*s_r+IF(circ_int,eq_c1/2,0))/2))+2*IF(circ_int,0,eq_c2/2))+(PI()*(s_0+8*s_r+IF(circ_int,eq_c1/2,0))/2)),-IF(circ_int,0,eq_c1/2)+(s_0+8*s_r+IF(circ_int,eq_c1/2,0))*COS(PI()+(((55+0.5)*(4*IF(circ_int,0,eq_c1/2)+4*IF(circ_int,0,eq_c2/2)+2*PI()*(s_0+8*s_r+IF(circ_int,eq_c1/2,0)))/INDEX(lk_legs,9))-(((((2*IF(circ_int,0,eq_c2/2))+(PI()*(s_0+8*s_r+IF(circ_int,eq_c1/2,0))/2))+2*IF(circ_int,0,eq_c1/2))+(PI()*(s_0+8*s_r+IF(circ_int,eq_c1/2,0))/2))+2*IF(circ_int,0,eq_c2/2)))/(s_0+8*s_r+IF(circ_int,eq_c1/2,0))),IF(((55+0.5)*(4*IF(circ_int,0,eq_c1/2)+4*IF(circ_int,0,eq_c2/2)+2*PI()*(s_0+8*s_r+IF(circ_int,eq_c1/2,0)))/INDEX(lk_legs,9))&lt;(((((((2*IF(circ_int,0,eq_c2/2))+(PI()*(s_0+8*s_r+IF(circ_int,eq_c1/2,0))/2))+2*IF(circ_int,0,eq_c1/2))+(PI()*(s_0+8*s_r+IF(circ_int,eq_c1/2,0))/2))+2*IF(circ_int,0,eq_c2/2))+(PI()*(s_0+8*s_r+IF(circ_int,eq_c1/2,0))/2))+2*IF(circ_int,0,eq_c1/2)),-IF(circ_int,0,eq_c1/2)+(((55+0.5)*(4*IF(circ_int,0,eq_c1/2)+4*IF(circ_int,0,eq_c2/2)+2*PI()*(s_0+8*s_r+IF(circ_int,eq_c1/2,0)))/INDEX(lk_legs,9))-((((((2*IF(circ_int,0,eq_c2/2))+(PI()*(s_0+8*s_r+IF(circ_int,eq_c1/2,0))/2))+2*IF(circ_int,0,eq_c1/2))+(PI()*(s_0+8*s_r+IF(circ_int,eq_c1/2,0))/2))+2*IF(circ_int,0,eq_c2/2))+(PI()*(s_0+8*s_r+IF(circ_int,eq_c1/2,0))/2))),IF(circ_int,0,eq_c1/2)+(s_0+8*s_r+IF(circ_int,eq_c1/2,0))*COS(3*PI()/2+(((55+0.5)*(4*IF(circ_int,0,eq_c1/2)+4*IF(circ_int,0,eq_c2/2)+2*PI()*(s_0+8*s_r+IF(circ_int,eq_c1/2,0)))/INDEX(lk_legs,9))-(((((((2*IF(circ_int,0,eq_c2/2))+(PI()*(s_0+8*s_r+IF(circ_int,eq_c1/2,0))/2))+2*IF(circ_int,0,eq_c1/2))+(PI()*(s_0+8*s_r+IF(circ_int,eq_c1/2,0))/2))+2*IF(circ_int,0,eq_c2/2))+(PI()*(s_0+8*s_r+IF(circ_int,eq_c1/2,0))/2))+2*IF(circ_int,0,eq_c1/2)))/(s_0+8*s_r+IF(circ_int,eq_c1/2,0)))))))))),NA())</f>
        <v/>
      </c>
      <c r="CW58">
        <f>IF(AND(AND(links_on,9&lt;=n_per),INDEX(lk_kind,9)=1,55&lt;INDEX(lk_legs,9)),g_oy+IF(((55+0.5)*(4*IF(circ_int,0,eq_c1/2)+4*IF(circ_int,0,eq_c2/2)+2*PI()*(s_0+8*s_r+IF(circ_int,eq_c1/2,0)))/INDEX(lk_legs,9))&lt;(2*IF(circ_int,0,eq_c2/2)),-IF(circ_int,0,eq_c2/2)+((55+0.5)*(4*IF(circ_int,0,eq_c1/2)+4*IF(circ_int,0,eq_c2/2)+2*PI()*(s_0+8*s_r+IF(circ_int,eq_c1/2,0)))/INDEX(lk_legs,9)),IF(((55+0.5)*(4*IF(circ_int,0,eq_c1/2)+4*IF(circ_int,0,eq_c2/2)+2*PI()*(s_0+8*s_r+IF(circ_int,eq_c1/2,0)))/INDEX(lk_legs,9))&lt;((2*IF(circ_int,0,eq_c2/2))+(PI()*(s_0+8*s_r+IF(circ_int,eq_c1/2,0))/2)),IF(circ_int,0,eq_c2/2)+(s_0+8*s_r+IF(circ_int,eq_c1/2,0))*SIN((((55+0.5)*(4*IF(circ_int,0,eq_c1/2)+4*IF(circ_int,0,eq_c2/2)+2*PI()*(s_0+8*s_r+IF(circ_int,eq_c1/2,0)))/INDEX(lk_legs,9))-(2*IF(circ_int,0,eq_c2/2)))/(s_0+8*s_r+IF(circ_int,eq_c1/2,0))),IF(((55+0.5)*(4*IF(circ_int,0,eq_c1/2)+4*IF(circ_int,0,eq_c2/2)+2*PI()*(s_0+8*s_r+IF(circ_int,eq_c1/2,0)))/INDEX(lk_legs,9))&lt;(((2*IF(circ_int,0,eq_c2/2))+(PI()*(s_0+8*s_r+IF(circ_int,eq_c1/2,0))/2))+2*IF(circ_int,0,eq_c1/2)),IF(circ_int,0,eq_c2/2)+(s_0+8*s_r+IF(circ_int,eq_c1/2,0)),IF(((55+0.5)*(4*IF(circ_int,0,eq_c1/2)+4*IF(circ_int,0,eq_c2/2)+2*PI()*(s_0+8*s_r+IF(circ_int,eq_c1/2,0)))/INDEX(lk_legs,9))&lt;((((2*IF(circ_int,0,eq_c2/2))+(PI()*(s_0+8*s_r+IF(circ_int,eq_c1/2,0))/2))+2*IF(circ_int,0,eq_c1/2))+(PI()*(s_0+8*s_r+IF(circ_int,eq_c1/2,0))/2)),IF(circ_int,0,eq_c2/2)+(s_0+8*s_r+IF(circ_int,eq_c1/2,0))*SIN(PI()/2+(((55+0.5)*(4*IF(circ_int,0,eq_c1/2)+4*IF(circ_int,0,eq_c2/2)+2*PI()*(s_0+8*s_r+IF(circ_int,eq_c1/2,0)))/INDEX(lk_legs,9))-(((2*IF(circ_int,0,eq_c2/2))+(PI()*(s_0+8*s_r+IF(circ_int,eq_c1/2,0))/2))+2*IF(circ_int,0,eq_c1/2)))/(s_0+8*s_r+IF(circ_int,eq_c1/2,0))),IF(((55+0.5)*(4*IF(circ_int,0,eq_c1/2)+4*IF(circ_int,0,eq_c2/2)+2*PI()*(s_0+8*s_r+IF(circ_int,eq_c1/2,0)))/INDEX(lk_legs,9))&lt;(((((2*IF(circ_int,0,eq_c2/2))+(PI()*(s_0+8*s_r+IF(circ_int,eq_c1/2,0))/2))+2*IF(circ_int,0,eq_c1/2))+(PI()*(s_0+8*s_r+IF(circ_int,eq_c1/2,0))/2))+2*IF(circ_int,0,eq_c2/2)),IF(circ_int,0,eq_c2/2)-(((55+0.5)*(4*IF(circ_int,0,eq_c1/2)+4*IF(circ_int,0,eq_c2/2)+2*PI()*(s_0+8*s_r+IF(circ_int,eq_c1/2,0)))/INDEX(lk_legs,9))-((((2*IF(circ_int,0,eq_c2/2))+(PI()*(s_0+8*s_r+IF(circ_int,eq_c1/2,0))/2))+2*IF(circ_int,0,eq_c1/2))+(PI()*(s_0+8*s_r+IF(circ_int,eq_c1/2,0))/2))),IF(((55+0.5)*(4*IF(circ_int,0,eq_c1/2)+4*IF(circ_int,0,eq_c2/2)+2*PI()*(s_0+8*s_r+IF(circ_int,eq_c1/2,0)))/INDEX(lk_legs,9))&lt;((((((2*IF(circ_int,0,eq_c2/2))+(PI()*(s_0+8*s_r+IF(circ_int,eq_c1/2,0))/2))+2*IF(circ_int,0,eq_c1/2))+(PI()*(s_0+8*s_r+IF(circ_int,eq_c1/2,0))/2))+2*IF(circ_int,0,eq_c2/2))+(PI()*(s_0+8*s_r+IF(circ_int,eq_c1/2,0))/2)),-IF(circ_int,0,eq_c2/2)+(s_0+8*s_r+IF(circ_int,eq_c1/2,0))*SIN(PI()+(((55+0.5)*(4*IF(circ_int,0,eq_c1/2)+4*IF(circ_int,0,eq_c2/2)+2*PI()*(s_0+8*s_r+IF(circ_int,eq_c1/2,0)))/INDEX(lk_legs,9))-(((((2*IF(circ_int,0,eq_c2/2))+(PI()*(s_0+8*s_r+IF(circ_int,eq_c1/2,0))/2))+2*IF(circ_int,0,eq_c1/2))+(PI()*(s_0+8*s_r+IF(circ_int,eq_c1/2,0))/2))+2*IF(circ_int,0,eq_c2/2)))/(s_0+8*s_r+IF(circ_int,eq_c1/2,0))),IF(((55+0.5)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(55+0.5)*(4*IF(circ_int,0,eq_c1/2)+4*IF(circ_int,0,eq_c2/2)+2*PI()*(s_0+8*s_r+IF(circ_int,eq_c1/2,0)))/INDEX(lk_legs,9))-(((((((2*IF(circ_int,0,eq_c2/2))+(PI()*(s_0+8*s_r+IF(circ_int,eq_c1/2,0))/2))+2*IF(circ_int,0,eq_c1/2))+(PI()*(s_0+8*s_r+IF(circ_int,eq_c1/2,0))/2))+2*IF(circ_int,0,eq_c2/2))+(PI()*(s_0+8*s_r+IF(circ_int,eq_c1/2,0))/2))+2*IF(circ_int,0,eq_c1/2)))/(s_0+8*s_r+IF(circ_int,eq_c1/2,0)))))))))),NA())</f>
        <v/>
      </c>
      <c r="DB58">
        <f>IF(AND(AND(links_on,10&lt;=n_per),INDEX(lk_kind,10)=1,55&lt;INDEX(lk_legs,10)),g_ox+IF(((55+0.5)*(4*IF(circ_int,0,eq_c1/2)+4*IF(circ_int,0,eq_c2/2)+2*PI()*(s_0+9*s_r+IF(circ_int,eq_c1/2,0)))/INDEX(lk_legs,10))&lt;(2*IF(circ_int,0,eq_c2/2)),IF(circ_int,0,eq_c1/2)+(s_0+9*s_r+IF(circ_int,eq_c1/2,0)),IF(((55+0.5)*(4*IF(circ_int,0,eq_c1/2)+4*IF(circ_int,0,eq_c2/2)+2*PI()*(s_0+9*s_r+IF(circ_int,eq_c1/2,0)))/INDEX(lk_legs,10))&lt;((2*IF(circ_int,0,eq_c2/2))+(PI()*(s_0+9*s_r+IF(circ_int,eq_c1/2,0))/2)),IF(circ_int,0,eq_c1/2)+(s_0+9*s_r+IF(circ_int,eq_c1/2,0))*COS((((55+0.5)*(4*IF(circ_int,0,eq_c1/2)+4*IF(circ_int,0,eq_c2/2)+2*PI()*(s_0+9*s_r+IF(circ_int,eq_c1/2,0)))/INDEX(lk_legs,10))-(2*IF(circ_int,0,eq_c2/2)))/(s_0+9*s_r+IF(circ_int,eq_c1/2,0))),IF(((55+0.5)*(4*IF(circ_int,0,eq_c1/2)+4*IF(circ_int,0,eq_c2/2)+2*PI()*(s_0+9*s_r+IF(circ_int,eq_c1/2,0)))/INDEX(lk_legs,10))&lt;(((2*IF(circ_int,0,eq_c2/2))+(PI()*(s_0+9*s_r+IF(circ_int,eq_c1/2,0))/2))+2*IF(circ_int,0,eq_c1/2)),IF(circ_int,0,eq_c1/2)-(((55+0.5)*(4*IF(circ_int,0,eq_c1/2)+4*IF(circ_int,0,eq_c2/2)+2*PI()*(s_0+9*s_r+IF(circ_int,eq_c1/2,0)))/INDEX(lk_legs,10))-((2*IF(circ_int,0,eq_c2/2))+(PI()*(s_0+9*s_r+IF(circ_int,eq_c1/2,0))/2))),IF(((55+0.5)*(4*IF(circ_int,0,eq_c1/2)+4*IF(circ_int,0,eq_c2/2)+2*PI()*(s_0+9*s_r+IF(circ_int,eq_c1/2,0)))/INDEX(lk_legs,10))&lt;((((2*IF(circ_int,0,eq_c2/2))+(PI()*(s_0+9*s_r+IF(circ_int,eq_c1/2,0))/2))+2*IF(circ_int,0,eq_c1/2))+(PI()*(s_0+9*s_r+IF(circ_int,eq_c1/2,0))/2)),-IF(circ_int,0,eq_c1/2)+(s_0+9*s_r+IF(circ_int,eq_c1/2,0))*COS(PI()/2+(((55+0.5)*(4*IF(circ_int,0,eq_c1/2)+4*IF(circ_int,0,eq_c2/2)+2*PI()*(s_0+9*s_r+IF(circ_int,eq_c1/2,0)))/INDEX(lk_legs,10))-(((2*IF(circ_int,0,eq_c2/2))+(PI()*(s_0+9*s_r+IF(circ_int,eq_c1/2,0))/2))+2*IF(circ_int,0,eq_c1/2)))/(s_0+9*s_r+IF(circ_int,eq_c1/2,0))),IF(((55+0.5)*(4*IF(circ_int,0,eq_c1/2)+4*IF(circ_int,0,eq_c2/2)+2*PI()*(s_0+9*s_r+IF(circ_int,eq_c1/2,0)))/INDEX(lk_legs,10))&lt;(((((2*IF(circ_int,0,eq_c2/2))+(PI()*(s_0+9*s_r+IF(circ_int,eq_c1/2,0))/2))+2*IF(circ_int,0,eq_c1/2))+(PI()*(s_0+9*s_r+IF(circ_int,eq_c1/2,0))/2))+2*IF(circ_int,0,eq_c2/2)),-IF(circ_int,0,eq_c1/2)-(s_0+9*s_r+IF(circ_int,eq_c1/2,0)),IF(((55+0.5)*(4*IF(circ_int,0,eq_c1/2)+4*IF(circ_int,0,eq_c2/2)+2*PI()*(s_0+9*s_r+IF(circ_int,eq_c1/2,0)))/INDEX(lk_legs,10))&lt;((((((2*IF(circ_int,0,eq_c2/2))+(PI()*(s_0+9*s_r+IF(circ_int,eq_c1/2,0))/2))+2*IF(circ_int,0,eq_c1/2))+(PI()*(s_0+9*s_r+IF(circ_int,eq_c1/2,0))/2))+2*IF(circ_int,0,eq_c2/2))+(PI()*(s_0+9*s_r+IF(circ_int,eq_c1/2,0))/2)),-IF(circ_int,0,eq_c1/2)+(s_0+9*s_r+IF(circ_int,eq_c1/2,0))*COS(PI()+(((55+0.5)*(4*IF(circ_int,0,eq_c1/2)+4*IF(circ_int,0,eq_c2/2)+2*PI()*(s_0+9*s_r+IF(circ_int,eq_c1/2,0)))/INDEX(lk_legs,10))-(((((2*IF(circ_int,0,eq_c2/2))+(PI()*(s_0+9*s_r+IF(circ_int,eq_c1/2,0))/2))+2*IF(circ_int,0,eq_c1/2))+(PI()*(s_0+9*s_r+IF(circ_int,eq_c1/2,0))/2))+2*IF(circ_int,0,eq_c2/2)))/(s_0+9*s_r+IF(circ_int,eq_c1/2,0))),IF(((55+0.5)*(4*IF(circ_int,0,eq_c1/2)+4*IF(circ_int,0,eq_c2/2)+2*PI()*(s_0+9*s_r+IF(circ_int,eq_c1/2,0)))/INDEX(lk_legs,10))&lt;(((((((2*IF(circ_int,0,eq_c2/2))+(PI()*(s_0+9*s_r+IF(circ_int,eq_c1/2,0))/2))+2*IF(circ_int,0,eq_c1/2))+(PI()*(s_0+9*s_r+IF(circ_int,eq_c1/2,0))/2))+2*IF(circ_int,0,eq_c2/2))+(PI()*(s_0+9*s_r+IF(circ_int,eq_c1/2,0))/2))+2*IF(circ_int,0,eq_c1/2)),-IF(circ_int,0,eq_c1/2)+(((55+0.5)*(4*IF(circ_int,0,eq_c1/2)+4*IF(circ_int,0,eq_c2/2)+2*PI()*(s_0+9*s_r+IF(circ_int,eq_c1/2,0)))/INDEX(lk_legs,10))-((((((2*IF(circ_int,0,eq_c2/2))+(PI()*(s_0+9*s_r+IF(circ_int,eq_c1/2,0))/2))+2*IF(circ_int,0,eq_c1/2))+(PI()*(s_0+9*s_r+IF(circ_int,eq_c1/2,0))/2))+2*IF(circ_int,0,eq_c2/2))+(PI()*(s_0+9*s_r+IF(circ_int,eq_c1/2,0))/2))),IF(circ_int,0,eq_c1/2)+(s_0+9*s_r+IF(circ_int,eq_c1/2,0))*COS(3*PI()/2+(((55+0.5)*(4*IF(circ_int,0,eq_c1/2)+4*IF(circ_int,0,eq_c2/2)+2*PI()*(s_0+9*s_r+IF(circ_int,eq_c1/2,0)))/INDEX(lk_legs,10))-(((((((2*IF(circ_int,0,eq_c2/2))+(PI()*(s_0+9*s_r+IF(circ_int,eq_c1/2,0))/2))+2*IF(circ_int,0,eq_c1/2))+(PI()*(s_0+9*s_r+IF(circ_int,eq_c1/2,0))/2))+2*IF(circ_int,0,eq_c2/2))+(PI()*(s_0+9*s_r+IF(circ_int,eq_c1/2,0))/2))+2*IF(circ_int,0,eq_c1/2)))/(s_0+9*s_r+IF(circ_int,eq_c1/2,0)))))))))),NA())</f>
        <v/>
      </c>
      <c r="DC58">
        <f>IF(AND(AND(links_on,10&lt;=n_per),INDEX(lk_kind,10)=1,55&lt;INDEX(lk_legs,10)),g_oy+IF(((55+0.5)*(4*IF(circ_int,0,eq_c1/2)+4*IF(circ_int,0,eq_c2/2)+2*PI()*(s_0+9*s_r+IF(circ_int,eq_c1/2,0)))/INDEX(lk_legs,10))&lt;(2*IF(circ_int,0,eq_c2/2)),-IF(circ_int,0,eq_c2/2)+((55+0.5)*(4*IF(circ_int,0,eq_c1/2)+4*IF(circ_int,0,eq_c2/2)+2*PI()*(s_0+9*s_r+IF(circ_int,eq_c1/2,0)))/INDEX(lk_legs,10)),IF(((55+0.5)*(4*IF(circ_int,0,eq_c1/2)+4*IF(circ_int,0,eq_c2/2)+2*PI()*(s_0+9*s_r+IF(circ_int,eq_c1/2,0)))/INDEX(lk_legs,10))&lt;((2*IF(circ_int,0,eq_c2/2))+(PI()*(s_0+9*s_r+IF(circ_int,eq_c1/2,0))/2)),IF(circ_int,0,eq_c2/2)+(s_0+9*s_r+IF(circ_int,eq_c1/2,0))*SIN((((55+0.5)*(4*IF(circ_int,0,eq_c1/2)+4*IF(circ_int,0,eq_c2/2)+2*PI()*(s_0+9*s_r+IF(circ_int,eq_c1/2,0)))/INDEX(lk_legs,10))-(2*IF(circ_int,0,eq_c2/2)))/(s_0+9*s_r+IF(circ_int,eq_c1/2,0))),IF(((55+0.5)*(4*IF(circ_int,0,eq_c1/2)+4*IF(circ_int,0,eq_c2/2)+2*PI()*(s_0+9*s_r+IF(circ_int,eq_c1/2,0)))/INDEX(lk_legs,10))&lt;(((2*IF(circ_int,0,eq_c2/2))+(PI()*(s_0+9*s_r+IF(circ_int,eq_c1/2,0))/2))+2*IF(circ_int,0,eq_c1/2)),IF(circ_int,0,eq_c2/2)+(s_0+9*s_r+IF(circ_int,eq_c1/2,0)),IF(((55+0.5)*(4*IF(circ_int,0,eq_c1/2)+4*IF(circ_int,0,eq_c2/2)+2*PI()*(s_0+9*s_r+IF(circ_int,eq_c1/2,0)))/INDEX(lk_legs,10))&lt;((((2*IF(circ_int,0,eq_c2/2))+(PI()*(s_0+9*s_r+IF(circ_int,eq_c1/2,0))/2))+2*IF(circ_int,0,eq_c1/2))+(PI()*(s_0+9*s_r+IF(circ_int,eq_c1/2,0))/2)),IF(circ_int,0,eq_c2/2)+(s_0+9*s_r+IF(circ_int,eq_c1/2,0))*SIN(PI()/2+(((55+0.5)*(4*IF(circ_int,0,eq_c1/2)+4*IF(circ_int,0,eq_c2/2)+2*PI()*(s_0+9*s_r+IF(circ_int,eq_c1/2,0)))/INDEX(lk_legs,10))-(((2*IF(circ_int,0,eq_c2/2))+(PI()*(s_0+9*s_r+IF(circ_int,eq_c1/2,0))/2))+2*IF(circ_int,0,eq_c1/2)))/(s_0+9*s_r+IF(circ_int,eq_c1/2,0))),IF(((55+0.5)*(4*IF(circ_int,0,eq_c1/2)+4*IF(circ_int,0,eq_c2/2)+2*PI()*(s_0+9*s_r+IF(circ_int,eq_c1/2,0)))/INDEX(lk_legs,10))&lt;(((((2*IF(circ_int,0,eq_c2/2))+(PI()*(s_0+9*s_r+IF(circ_int,eq_c1/2,0))/2))+2*IF(circ_int,0,eq_c1/2))+(PI()*(s_0+9*s_r+IF(circ_int,eq_c1/2,0))/2))+2*IF(circ_int,0,eq_c2/2)),IF(circ_int,0,eq_c2/2)-(((55+0.5)*(4*IF(circ_int,0,eq_c1/2)+4*IF(circ_int,0,eq_c2/2)+2*PI()*(s_0+9*s_r+IF(circ_int,eq_c1/2,0)))/INDEX(lk_legs,10))-((((2*IF(circ_int,0,eq_c2/2))+(PI()*(s_0+9*s_r+IF(circ_int,eq_c1/2,0))/2))+2*IF(circ_int,0,eq_c1/2))+(PI()*(s_0+9*s_r+IF(circ_int,eq_c1/2,0))/2))),IF(((55+0.5)*(4*IF(circ_int,0,eq_c1/2)+4*IF(circ_int,0,eq_c2/2)+2*PI()*(s_0+9*s_r+IF(circ_int,eq_c1/2,0)))/INDEX(lk_legs,10))&lt;((((((2*IF(circ_int,0,eq_c2/2))+(PI()*(s_0+9*s_r+IF(circ_int,eq_c1/2,0))/2))+2*IF(circ_int,0,eq_c1/2))+(PI()*(s_0+9*s_r+IF(circ_int,eq_c1/2,0))/2))+2*IF(circ_int,0,eq_c2/2))+(PI()*(s_0+9*s_r+IF(circ_int,eq_c1/2,0))/2)),-IF(circ_int,0,eq_c2/2)+(s_0+9*s_r+IF(circ_int,eq_c1/2,0))*SIN(PI()+(((55+0.5)*(4*IF(circ_int,0,eq_c1/2)+4*IF(circ_int,0,eq_c2/2)+2*PI()*(s_0+9*s_r+IF(circ_int,eq_c1/2,0)))/INDEX(lk_legs,10))-(((((2*IF(circ_int,0,eq_c2/2))+(PI()*(s_0+9*s_r+IF(circ_int,eq_c1/2,0))/2))+2*IF(circ_int,0,eq_c1/2))+(PI()*(s_0+9*s_r+IF(circ_int,eq_c1/2,0))/2))+2*IF(circ_int,0,eq_c2/2)))/(s_0+9*s_r+IF(circ_int,eq_c1/2,0))),IF(((55+0.5)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(55+0.5)*(4*IF(circ_int,0,eq_c1/2)+4*IF(circ_int,0,eq_c2/2)+2*PI()*(s_0+9*s_r+IF(circ_int,eq_c1/2,0)))/INDEX(lk_legs,10))-(((((((2*IF(circ_int,0,eq_c2/2))+(PI()*(s_0+9*s_r+IF(circ_int,eq_c1/2,0))/2))+2*IF(circ_int,0,eq_c1/2))+(PI()*(s_0+9*s_r+IF(circ_int,eq_c1/2,0))/2))+2*IF(circ_int,0,eq_c2/2))+(PI()*(s_0+9*s_r+IF(circ_int,eq_c1/2,0))/2))+2*IF(circ_int,0,eq_c1/2)))/(s_0+9*s_r+IF(circ_int,eq_c1/2,0)))))))))),NA())</f>
        <v/>
      </c>
      <c r="DH58">
        <f>IF(AND(AND(links_on,11&lt;=n_per),INDEX(lk_kind,11)=1,55&lt;INDEX(lk_legs,11)),g_ox+IF(((55+0.5)*(4*IF(circ_int,0,eq_c1/2)+4*IF(circ_int,0,eq_c2/2)+2*PI()*(s_0+10*s_r+IF(circ_int,eq_c1/2,0)))/INDEX(lk_legs,11))&lt;(2*IF(circ_int,0,eq_c2/2)),IF(circ_int,0,eq_c1/2)+(s_0+10*s_r+IF(circ_int,eq_c1/2,0)),IF(((55+0.5)*(4*IF(circ_int,0,eq_c1/2)+4*IF(circ_int,0,eq_c2/2)+2*PI()*(s_0+10*s_r+IF(circ_int,eq_c1/2,0)))/INDEX(lk_legs,11))&lt;((2*IF(circ_int,0,eq_c2/2))+(PI()*(s_0+10*s_r+IF(circ_int,eq_c1/2,0))/2)),IF(circ_int,0,eq_c1/2)+(s_0+10*s_r+IF(circ_int,eq_c1/2,0))*COS((((55+0.5)*(4*IF(circ_int,0,eq_c1/2)+4*IF(circ_int,0,eq_c2/2)+2*PI()*(s_0+10*s_r+IF(circ_int,eq_c1/2,0)))/INDEX(lk_legs,11))-(2*IF(circ_int,0,eq_c2/2)))/(s_0+10*s_r+IF(circ_int,eq_c1/2,0))),IF(((55+0.5)*(4*IF(circ_int,0,eq_c1/2)+4*IF(circ_int,0,eq_c2/2)+2*PI()*(s_0+10*s_r+IF(circ_int,eq_c1/2,0)))/INDEX(lk_legs,11))&lt;(((2*IF(circ_int,0,eq_c2/2))+(PI()*(s_0+10*s_r+IF(circ_int,eq_c1/2,0))/2))+2*IF(circ_int,0,eq_c1/2)),IF(circ_int,0,eq_c1/2)-(((55+0.5)*(4*IF(circ_int,0,eq_c1/2)+4*IF(circ_int,0,eq_c2/2)+2*PI()*(s_0+10*s_r+IF(circ_int,eq_c1/2,0)))/INDEX(lk_legs,11))-((2*IF(circ_int,0,eq_c2/2))+(PI()*(s_0+10*s_r+IF(circ_int,eq_c1/2,0))/2))),IF(((55+0.5)*(4*IF(circ_int,0,eq_c1/2)+4*IF(circ_int,0,eq_c2/2)+2*PI()*(s_0+10*s_r+IF(circ_int,eq_c1/2,0)))/INDEX(lk_legs,11))&lt;((((2*IF(circ_int,0,eq_c2/2))+(PI()*(s_0+10*s_r+IF(circ_int,eq_c1/2,0))/2))+2*IF(circ_int,0,eq_c1/2))+(PI()*(s_0+10*s_r+IF(circ_int,eq_c1/2,0))/2)),-IF(circ_int,0,eq_c1/2)+(s_0+10*s_r+IF(circ_int,eq_c1/2,0))*COS(PI()/2+(((55+0.5)*(4*IF(circ_int,0,eq_c1/2)+4*IF(circ_int,0,eq_c2/2)+2*PI()*(s_0+10*s_r+IF(circ_int,eq_c1/2,0)))/INDEX(lk_legs,11))-(((2*IF(circ_int,0,eq_c2/2))+(PI()*(s_0+10*s_r+IF(circ_int,eq_c1/2,0))/2))+2*IF(circ_int,0,eq_c1/2)))/(s_0+10*s_r+IF(circ_int,eq_c1/2,0))),IF(((55+0.5)*(4*IF(circ_int,0,eq_c1/2)+4*IF(circ_int,0,eq_c2/2)+2*PI()*(s_0+10*s_r+IF(circ_int,eq_c1/2,0)))/INDEX(lk_legs,11))&lt;(((((2*IF(circ_int,0,eq_c2/2))+(PI()*(s_0+10*s_r+IF(circ_int,eq_c1/2,0))/2))+2*IF(circ_int,0,eq_c1/2))+(PI()*(s_0+10*s_r+IF(circ_int,eq_c1/2,0))/2))+2*IF(circ_int,0,eq_c2/2)),-IF(circ_int,0,eq_c1/2)-(s_0+10*s_r+IF(circ_int,eq_c1/2,0)),IF(((55+0.5)*(4*IF(circ_int,0,eq_c1/2)+4*IF(circ_int,0,eq_c2/2)+2*PI()*(s_0+10*s_r+IF(circ_int,eq_c1/2,0)))/INDEX(lk_legs,11))&lt;((((((2*IF(circ_int,0,eq_c2/2))+(PI()*(s_0+10*s_r+IF(circ_int,eq_c1/2,0))/2))+2*IF(circ_int,0,eq_c1/2))+(PI()*(s_0+10*s_r+IF(circ_int,eq_c1/2,0))/2))+2*IF(circ_int,0,eq_c2/2))+(PI()*(s_0+10*s_r+IF(circ_int,eq_c1/2,0))/2)),-IF(circ_int,0,eq_c1/2)+(s_0+10*s_r+IF(circ_int,eq_c1/2,0))*COS(PI()+(((55+0.5)*(4*IF(circ_int,0,eq_c1/2)+4*IF(circ_int,0,eq_c2/2)+2*PI()*(s_0+10*s_r+IF(circ_int,eq_c1/2,0)))/INDEX(lk_legs,11))-(((((2*IF(circ_int,0,eq_c2/2))+(PI()*(s_0+10*s_r+IF(circ_int,eq_c1/2,0))/2))+2*IF(circ_int,0,eq_c1/2))+(PI()*(s_0+10*s_r+IF(circ_int,eq_c1/2,0))/2))+2*IF(circ_int,0,eq_c2/2)))/(s_0+10*s_r+IF(circ_int,eq_c1/2,0))),IF(((55+0.5)*(4*IF(circ_int,0,eq_c1/2)+4*IF(circ_int,0,eq_c2/2)+2*PI()*(s_0+10*s_r+IF(circ_int,eq_c1/2,0)))/INDEX(lk_legs,11))&lt;(((((((2*IF(circ_int,0,eq_c2/2))+(PI()*(s_0+10*s_r+IF(circ_int,eq_c1/2,0))/2))+2*IF(circ_int,0,eq_c1/2))+(PI()*(s_0+10*s_r+IF(circ_int,eq_c1/2,0))/2))+2*IF(circ_int,0,eq_c2/2))+(PI()*(s_0+10*s_r+IF(circ_int,eq_c1/2,0))/2))+2*IF(circ_int,0,eq_c1/2)),-IF(circ_int,0,eq_c1/2)+(((55+0.5)*(4*IF(circ_int,0,eq_c1/2)+4*IF(circ_int,0,eq_c2/2)+2*PI()*(s_0+10*s_r+IF(circ_int,eq_c1/2,0)))/INDEX(lk_legs,11))-((((((2*IF(circ_int,0,eq_c2/2))+(PI()*(s_0+10*s_r+IF(circ_int,eq_c1/2,0))/2))+2*IF(circ_int,0,eq_c1/2))+(PI()*(s_0+10*s_r+IF(circ_int,eq_c1/2,0))/2))+2*IF(circ_int,0,eq_c2/2))+(PI()*(s_0+10*s_r+IF(circ_int,eq_c1/2,0))/2))),IF(circ_int,0,eq_c1/2)+(s_0+10*s_r+IF(circ_int,eq_c1/2,0))*COS(3*PI()/2+(((55+0.5)*(4*IF(circ_int,0,eq_c1/2)+4*IF(circ_int,0,eq_c2/2)+2*PI()*(s_0+10*s_r+IF(circ_int,eq_c1/2,0)))/INDEX(lk_legs,11))-(((((((2*IF(circ_int,0,eq_c2/2))+(PI()*(s_0+10*s_r+IF(circ_int,eq_c1/2,0))/2))+2*IF(circ_int,0,eq_c1/2))+(PI()*(s_0+10*s_r+IF(circ_int,eq_c1/2,0))/2))+2*IF(circ_int,0,eq_c2/2))+(PI()*(s_0+10*s_r+IF(circ_int,eq_c1/2,0))/2))+2*IF(circ_int,0,eq_c1/2)))/(s_0+10*s_r+IF(circ_int,eq_c1/2,0)))))))))),NA())</f>
        <v/>
      </c>
      <c r="DI58">
        <f>IF(AND(AND(links_on,11&lt;=n_per),INDEX(lk_kind,11)=1,55&lt;INDEX(lk_legs,11)),g_oy+IF(((55+0.5)*(4*IF(circ_int,0,eq_c1/2)+4*IF(circ_int,0,eq_c2/2)+2*PI()*(s_0+10*s_r+IF(circ_int,eq_c1/2,0)))/INDEX(lk_legs,11))&lt;(2*IF(circ_int,0,eq_c2/2)),-IF(circ_int,0,eq_c2/2)+((55+0.5)*(4*IF(circ_int,0,eq_c1/2)+4*IF(circ_int,0,eq_c2/2)+2*PI()*(s_0+10*s_r+IF(circ_int,eq_c1/2,0)))/INDEX(lk_legs,11)),IF(((55+0.5)*(4*IF(circ_int,0,eq_c1/2)+4*IF(circ_int,0,eq_c2/2)+2*PI()*(s_0+10*s_r+IF(circ_int,eq_c1/2,0)))/INDEX(lk_legs,11))&lt;((2*IF(circ_int,0,eq_c2/2))+(PI()*(s_0+10*s_r+IF(circ_int,eq_c1/2,0))/2)),IF(circ_int,0,eq_c2/2)+(s_0+10*s_r+IF(circ_int,eq_c1/2,0))*SIN((((55+0.5)*(4*IF(circ_int,0,eq_c1/2)+4*IF(circ_int,0,eq_c2/2)+2*PI()*(s_0+10*s_r+IF(circ_int,eq_c1/2,0)))/INDEX(lk_legs,11))-(2*IF(circ_int,0,eq_c2/2)))/(s_0+10*s_r+IF(circ_int,eq_c1/2,0))),IF(((55+0.5)*(4*IF(circ_int,0,eq_c1/2)+4*IF(circ_int,0,eq_c2/2)+2*PI()*(s_0+10*s_r+IF(circ_int,eq_c1/2,0)))/INDEX(lk_legs,11))&lt;(((2*IF(circ_int,0,eq_c2/2))+(PI()*(s_0+10*s_r+IF(circ_int,eq_c1/2,0))/2))+2*IF(circ_int,0,eq_c1/2)),IF(circ_int,0,eq_c2/2)+(s_0+10*s_r+IF(circ_int,eq_c1/2,0)),IF(((55+0.5)*(4*IF(circ_int,0,eq_c1/2)+4*IF(circ_int,0,eq_c2/2)+2*PI()*(s_0+10*s_r+IF(circ_int,eq_c1/2,0)))/INDEX(lk_legs,11))&lt;((((2*IF(circ_int,0,eq_c2/2))+(PI()*(s_0+10*s_r+IF(circ_int,eq_c1/2,0))/2))+2*IF(circ_int,0,eq_c1/2))+(PI()*(s_0+10*s_r+IF(circ_int,eq_c1/2,0))/2)),IF(circ_int,0,eq_c2/2)+(s_0+10*s_r+IF(circ_int,eq_c1/2,0))*SIN(PI()/2+(((55+0.5)*(4*IF(circ_int,0,eq_c1/2)+4*IF(circ_int,0,eq_c2/2)+2*PI()*(s_0+10*s_r+IF(circ_int,eq_c1/2,0)))/INDEX(lk_legs,11))-(((2*IF(circ_int,0,eq_c2/2))+(PI()*(s_0+10*s_r+IF(circ_int,eq_c1/2,0))/2))+2*IF(circ_int,0,eq_c1/2)))/(s_0+10*s_r+IF(circ_int,eq_c1/2,0))),IF(((55+0.5)*(4*IF(circ_int,0,eq_c1/2)+4*IF(circ_int,0,eq_c2/2)+2*PI()*(s_0+10*s_r+IF(circ_int,eq_c1/2,0)))/INDEX(lk_legs,11))&lt;(((((2*IF(circ_int,0,eq_c2/2))+(PI()*(s_0+10*s_r+IF(circ_int,eq_c1/2,0))/2))+2*IF(circ_int,0,eq_c1/2))+(PI()*(s_0+10*s_r+IF(circ_int,eq_c1/2,0))/2))+2*IF(circ_int,0,eq_c2/2)),IF(circ_int,0,eq_c2/2)-(((55+0.5)*(4*IF(circ_int,0,eq_c1/2)+4*IF(circ_int,0,eq_c2/2)+2*PI()*(s_0+10*s_r+IF(circ_int,eq_c1/2,0)))/INDEX(lk_legs,11))-((((2*IF(circ_int,0,eq_c2/2))+(PI()*(s_0+10*s_r+IF(circ_int,eq_c1/2,0))/2))+2*IF(circ_int,0,eq_c1/2))+(PI()*(s_0+10*s_r+IF(circ_int,eq_c1/2,0))/2))),IF(((55+0.5)*(4*IF(circ_int,0,eq_c1/2)+4*IF(circ_int,0,eq_c2/2)+2*PI()*(s_0+10*s_r+IF(circ_int,eq_c1/2,0)))/INDEX(lk_legs,11))&lt;((((((2*IF(circ_int,0,eq_c2/2))+(PI()*(s_0+10*s_r+IF(circ_int,eq_c1/2,0))/2))+2*IF(circ_int,0,eq_c1/2))+(PI()*(s_0+10*s_r+IF(circ_int,eq_c1/2,0))/2))+2*IF(circ_int,0,eq_c2/2))+(PI()*(s_0+10*s_r+IF(circ_int,eq_c1/2,0))/2)),-IF(circ_int,0,eq_c2/2)+(s_0+10*s_r+IF(circ_int,eq_c1/2,0))*SIN(PI()+(((55+0.5)*(4*IF(circ_int,0,eq_c1/2)+4*IF(circ_int,0,eq_c2/2)+2*PI()*(s_0+10*s_r+IF(circ_int,eq_c1/2,0)))/INDEX(lk_legs,11))-(((((2*IF(circ_int,0,eq_c2/2))+(PI()*(s_0+10*s_r+IF(circ_int,eq_c1/2,0))/2))+2*IF(circ_int,0,eq_c1/2))+(PI()*(s_0+10*s_r+IF(circ_int,eq_c1/2,0))/2))+2*IF(circ_int,0,eq_c2/2)))/(s_0+10*s_r+IF(circ_int,eq_c1/2,0))),IF(((55+0.5)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(55+0.5)*(4*IF(circ_int,0,eq_c1/2)+4*IF(circ_int,0,eq_c2/2)+2*PI()*(s_0+10*s_r+IF(circ_int,eq_c1/2,0)))/INDEX(lk_legs,11))-(((((((2*IF(circ_int,0,eq_c2/2))+(PI()*(s_0+10*s_r+IF(circ_int,eq_c1/2,0))/2))+2*IF(circ_int,0,eq_c1/2))+(PI()*(s_0+10*s_r+IF(circ_int,eq_c1/2,0))/2))+2*IF(circ_int,0,eq_c2/2))+(PI()*(s_0+10*s_r+IF(circ_int,eq_c1/2,0))/2))+2*IF(circ_int,0,eq_c1/2)))/(s_0+10*s_r+IF(circ_int,eq_c1/2,0)))))))))),NA())</f>
        <v/>
      </c>
      <c r="DN58">
        <f>IF(AND(AND(links_on,12&lt;=n_per),INDEX(lk_kind,12)=1,55&lt;INDEX(lk_legs,12)),g_ox+IF(((55+0.5)*(4*IF(circ_int,0,eq_c1/2)+4*IF(circ_int,0,eq_c2/2)+2*PI()*(s_0+11*s_r+IF(circ_int,eq_c1/2,0)))/INDEX(lk_legs,12))&lt;(2*IF(circ_int,0,eq_c2/2)),IF(circ_int,0,eq_c1/2)+(s_0+11*s_r+IF(circ_int,eq_c1/2,0)),IF(((55+0.5)*(4*IF(circ_int,0,eq_c1/2)+4*IF(circ_int,0,eq_c2/2)+2*PI()*(s_0+11*s_r+IF(circ_int,eq_c1/2,0)))/INDEX(lk_legs,12))&lt;((2*IF(circ_int,0,eq_c2/2))+(PI()*(s_0+11*s_r+IF(circ_int,eq_c1/2,0))/2)),IF(circ_int,0,eq_c1/2)+(s_0+11*s_r+IF(circ_int,eq_c1/2,0))*COS((((55+0.5)*(4*IF(circ_int,0,eq_c1/2)+4*IF(circ_int,0,eq_c2/2)+2*PI()*(s_0+11*s_r+IF(circ_int,eq_c1/2,0)))/INDEX(lk_legs,12))-(2*IF(circ_int,0,eq_c2/2)))/(s_0+11*s_r+IF(circ_int,eq_c1/2,0))),IF(((55+0.5)*(4*IF(circ_int,0,eq_c1/2)+4*IF(circ_int,0,eq_c2/2)+2*PI()*(s_0+11*s_r+IF(circ_int,eq_c1/2,0)))/INDEX(lk_legs,12))&lt;(((2*IF(circ_int,0,eq_c2/2))+(PI()*(s_0+11*s_r+IF(circ_int,eq_c1/2,0))/2))+2*IF(circ_int,0,eq_c1/2)),IF(circ_int,0,eq_c1/2)-(((55+0.5)*(4*IF(circ_int,0,eq_c1/2)+4*IF(circ_int,0,eq_c2/2)+2*PI()*(s_0+11*s_r+IF(circ_int,eq_c1/2,0)))/INDEX(lk_legs,12))-((2*IF(circ_int,0,eq_c2/2))+(PI()*(s_0+11*s_r+IF(circ_int,eq_c1/2,0))/2))),IF(((55+0.5)*(4*IF(circ_int,0,eq_c1/2)+4*IF(circ_int,0,eq_c2/2)+2*PI()*(s_0+11*s_r+IF(circ_int,eq_c1/2,0)))/INDEX(lk_legs,12))&lt;((((2*IF(circ_int,0,eq_c2/2))+(PI()*(s_0+11*s_r+IF(circ_int,eq_c1/2,0))/2))+2*IF(circ_int,0,eq_c1/2))+(PI()*(s_0+11*s_r+IF(circ_int,eq_c1/2,0))/2)),-IF(circ_int,0,eq_c1/2)+(s_0+11*s_r+IF(circ_int,eq_c1/2,0))*COS(PI()/2+(((55+0.5)*(4*IF(circ_int,0,eq_c1/2)+4*IF(circ_int,0,eq_c2/2)+2*PI()*(s_0+11*s_r+IF(circ_int,eq_c1/2,0)))/INDEX(lk_legs,12))-(((2*IF(circ_int,0,eq_c2/2))+(PI()*(s_0+11*s_r+IF(circ_int,eq_c1/2,0))/2))+2*IF(circ_int,0,eq_c1/2)))/(s_0+11*s_r+IF(circ_int,eq_c1/2,0))),IF(((55+0.5)*(4*IF(circ_int,0,eq_c1/2)+4*IF(circ_int,0,eq_c2/2)+2*PI()*(s_0+11*s_r+IF(circ_int,eq_c1/2,0)))/INDEX(lk_legs,12))&lt;(((((2*IF(circ_int,0,eq_c2/2))+(PI()*(s_0+11*s_r+IF(circ_int,eq_c1/2,0))/2))+2*IF(circ_int,0,eq_c1/2))+(PI()*(s_0+11*s_r+IF(circ_int,eq_c1/2,0))/2))+2*IF(circ_int,0,eq_c2/2)),-IF(circ_int,0,eq_c1/2)-(s_0+11*s_r+IF(circ_int,eq_c1/2,0)),IF(((55+0.5)*(4*IF(circ_int,0,eq_c1/2)+4*IF(circ_int,0,eq_c2/2)+2*PI()*(s_0+11*s_r+IF(circ_int,eq_c1/2,0)))/INDEX(lk_legs,12))&lt;((((((2*IF(circ_int,0,eq_c2/2))+(PI()*(s_0+11*s_r+IF(circ_int,eq_c1/2,0))/2))+2*IF(circ_int,0,eq_c1/2))+(PI()*(s_0+11*s_r+IF(circ_int,eq_c1/2,0))/2))+2*IF(circ_int,0,eq_c2/2))+(PI()*(s_0+11*s_r+IF(circ_int,eq_c1/2,0))/2)),-IF(circ_int,0,eq_c1/2)+(s_0+11*s_r+IF(circ_int,eq_c1/2,0))*COS(PI()+(((55+0.5)*(4*IF(circ_int,0,eq_c1/2)+4*IF(circ_int,0,eq_c2/2)+2*PI()*(s_0+11*s_r+IF(circ_int,eq_c1/2,0)))/INDEX(lk_legs,12))-(((((2*IF(circ_int,0,eq_c2/2))+(PI()*(s_0+11*s_r+IF(circ_int,eq_c1/2,0))/2))+2*IF(circ_int,0,eq_c1/2))+(PI()*(s_0+11*s_r+IF(circ_int,eq_c1/2,0))/2))+2*IF(circ_int,0,eq_c2/2)))/(s_0+11*s_r+IF(circ_int,eq_c1/2,0))),IF(((55+0.5)*(4*IF(circ_int,0,eq_c1/2)+4*IF(circ_int,0,eq_c2/2)+2*PI()*(s_0+11*s_r+IF(circ_int,eq_c1/2,0)))/INDEX(lk_legs,12))&lt;(((((((2*IF(circ_int,0,eq_c2/2))+(PI()*(s_0+11*s_r+IF(circ_int,eq_c1/2,0))/2))+2*IF(circ_int,0,eq_c1/2))+(PI()*(s_0+11*s_r+IF(circ_int,eq_c1/2,0))/2))+2*IF(circ_int,0,eq_c2/2))+(PI()*(s_0+11*s_r+IF(circ_int,eq_c1/2,0))/2))+2*IF(circ_int,0,eq_c1/2)),-IF(circ_int,0,eq_c1/2)+(((55+0.5)*(4*IF(circ_int,0,eq_c1/2)+4*IF(circ_int,0,eq_c2/2)+2*PI()*(s_0+11*s_r+IF(circ_int,eq_c1/2,0)))/INDEX(lk_legs,12))-((((((2*IF(circ_int,0,eq_c2/2))+(PI()*(s_0+11*s_r+IF(circ_int,eq_c1/2,0))/2))+2*IF(circ_int,0,eq_c1/2))+(PI()*(s_0+11*s_r+IF(circ_int,eq_c1/2,0))/2))+2*IF(circ_int,0,eq_c2/2))+(PI()*(s_0+11*s_r+IF(circ_int,eq_c1/2,0))/2))),IF(circ_int,0,eq_c1/2)+(s_0+11*s_r+IF(circ_int,eq_c1/2,0))*COS(3*PI()/2+(((55+0.5)*(4*IF(circ_int,0,eq_c1/2)+4*IF(circ_int,0,eq_c2/2)+2*PI()*(s_0+11*s_r+IF(circ_int,eq_c1/2,0)))/INDEX(lk_legs,12))-(((((((2*IF(circ_int,0,eq_c2/2))+(PI()*(s_0+11*s_r+IF(circ_int,eq_c1/2,0))/2))+2*IF(circ_int,0,eq_c1/2))+(PI()*(s_0+11*s_r+IF(circ_int,eq_c1/2,0))/2))+2*IF(circ_int,0,eq_c2/2))+(PI()*(s_0+11*s_r+IF(circ_int,eq_c1/2,0))/2))+2*IF(circ_int,0,eq_c1/2)))/(s_0+11*s_r+IF(circ_int,eq_c1/2,0)))))))))),NA())</f>
        <v/>
      </c>
      <c r="DO58">
        <f>IF(AND(AND(links_on,12&lt;=n_per),INDEX(lk_kind,12)=1,55&lt;INDEX(lk_legs,12)),g_oy+IF(((55+0.5)*(4*IF(circ_int,0,eq_c1/2)+4*IF(circ_int,0,eq_c2/2)+2*PI()*(s_0+11*s_r+IF(circ_int,eq_c1/2,0)))/INDEX(lk_legs,12))&lt;(2*IF(circ_int,0,eq_c2/2)),-IF(circ_int,0,eq_c2/2)+((55+0.5)*(4*IF(circ_int,0,eq_c1/2)+4*IF(circ_int,0,eq_c2/2)+2*PI()*(s_0+11*s_r+IF(circ_int,eq_c1/2,0)))/INDEX(lk_legs,12)),IF(((55+0.5)*(4*IF(circ_int,0,eq_c1/2)+4*IF(circ_int,0,eq_c2/2)+2*PI()*(s_0+11*s_r+IF(circ_int,eq_c1/2,0)))/INDEX(lk_legs,12))&lt;((2*IF(circ_int,0,eq_c2/2))+(PI()*(s_0+11*s_r+IF(circ_int,eq_c1/2,0))/2)),IF(circ_int,0,eq_c2/2)+(s_0+11*s_r+IF(circ_int,eq_c1/2,0))*SIN((((55+0.5)*(4*IF(circ_int,0,eq_c1/2)+4*IF(circ_int,0,eq_c2/2)+2*PI()*(s_0+11*s_r+IF(circ_int,eq_c1/2,0)))/INDEX(lk_legs,12))-(2*IF(circ_int,0,eq_c2/2)))/(s_0+11*s_r+IF(circ_int,eq_c1/2,0))),IF(((55+0.5)*(4*IF(circ_int,0,eq_c1/2)+4*IF(circ_int,0,eq_c2/2)+2*PI()*(s_0+11*s_r+IF(circ_int,eq_c1/2,0)))/INDEX(lk_legs,12))&lt;(((2*IF(circ_int,0,eq_c2/2))+(PI()*(s_0+11*s_r+IF(circ_int,eq_c1/2,0))/2))+2*IF(circ_int,0,eq_c1/2)),IF(circ_int,0,eq_c2/2)+(s_0+11*s_r+IF(circ_int,eq_c1/2,0)),IF(((55+0.5)*(4*IF(circ_int,0,eq_c1/2)+4*IF(circ_int,0,eq_c2/2)+2*PI()*(s_0+11*s_r+IF(circ_int,eq_c1/2,0)))/INDEX(lk_legs,12))&lt;((((2*IF(circ_int,0,eq_c2/2))+(PI()*(s_0+11*s_r+IF(circ_int,eq_c1/2,0))/2))+2*IF(circ_int,0,eq_c1/2))+(PI()*(s_0+11*s_r+IF(circ_int,eq_c1/2,0))/2)),IF(circ_int,0,eq_c2/2)+(s_0+11*s_r+IF(circ_int,eq_c1/2,0))*SIN(PI()/2+(((55+0.5)*(4*IF(circ_int,0,eq_c1/2)+4*IF(circ_int,0,eq_c2/2)+2*PI()*(s_0+11*s_r+IF(circ_int,eq_c1/2,0)))/INDEX(lk_legs,12))-(((2*IF(circ_int,0,eq_c2/2))+(PI()*(s_0+11*s_r+IF(circ_int,eq_c1/2,0))/2))+2*IF(circ_int,0,eq_c1/2)))/(s_0+11*s_r+IF(circ_int,eq_c1/2,0))),IF(((55+0.5)*(4*IF(circ_int,0,eq_c1/2)+4*IF(circ_int,0,eq_c2/2)+2*PI()*(s_0+11*s_r+IF(circ_int,eq_c1/2,0)))/INDEX(lk_legs,12))&lt;(((((2*IF(circ_int,0,eq_c2/2))+(PI()*(s_0+11*s_r+IF(circ_int,eq_c1/2,0))/2))+2*IF(circ_int,0,eq_c1/2))+(PI()*(s_0+11*s_r+IF(circ_int,eq_c1/2,0))/2))+2*IF(circ_int,0,eq_c2/2)),IF(circ_int,0,eq_c2/2)-(((55+0.5)*(4*IF(circ_int,0,eq_c1/2)+4*IF(circ_int,0,eq_c2/2)+2*PI()*(s_0+11*s_r+IF(circ_int,eq_c1/2,0)))/INDEX(lk_legs,12))-((((2*IF(circ_int,0,eq_c2/2))+(PI()*(s_0+11*s_r+IF(circ_int,eq_c1/2,0))/2))+2*IF(circ_int,0,eq_c1/2))+(PI()*(s_0+11*s_r+IF(circ_int,eq_c1/2,0))/2))),IF(((55+0.5)*(4*IF(circ_int,0,eq_c1/2)+4*IF(circ_int,0,eq_c2/2)+2*PI()*(s_0+11*s_r+IF(circ_int,eq_c1/2,0)))/INDEX(lk_legs,12))&lt;((((((2*IF(circ_int,0,eq_c2/2))+(PI()*(s_0+11*s_r+IF(circ_int,eq_c1/2,0))/2))+2*IF(circ_int,0,eq_c1/2))+(PI()*(s_0+11*s_r+IF(circ_int,eq_c1/2,0))/2))+2*IF(circ_int,0,eq_c2/2))+(PI()*(s_0+11*s_r+IF(circ_int,eq_c1/2,0))/2)),-IF(circ_int,0,eq_c2/2)+(s_0+11*s_r+IF(circ_int,eq_c1/2,0))*SIN(PI()+(((55+0.5)*(4*IF(circ_int,0,eq_c1/2)+4*IF(circ_int,0,eq_c2/2)+2*PI()*(s_0+11*s_r+IF(circ_int,eq_c1/2,0)))/INDEX(lk_legs,12))-(((((2*IF(circ_int,0,eq_c2/2))+(PI()*(s_0+11*s_r+IF(circ_int,eq_c1/2,0))/2))+2*IF(circ_int,0,eq_c1/2))+(PI()*(s_0+11*s_r+IF(circ_int,eq_c1/2,0))/2))+2*IF(circ_int,0,eq_c2/2)))/(s_0+11*s_r+IF(circ_int,eq_c1/2,0))),IF(((55+0.5)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(55+0.5)*(4*IF(circ_int,0,eq_c1/2)+4*IF(circ_int,0,eq_c2/2)+2*PI()*(s_0+11*s_r+IF(circ_int,eq_c1/2,0)))/INDEX(lk_legs,12))-(((((((2*IF(circ_int,0,eq_c2/2))+(PI()*(s_0+11*s_r+IF(circ_int,eq_c1/2,0))/2))+2*IF(circ_int,0,eq_c1/2))+(PI()*(s_0+11*s_r+IF(circ_int,eq_c1/2,0))/2))+2*IF(circ_int,0,eq_c2/2))+(PI()*(s_0+11*s_r+IF(circ_int,eq_c1/2,0))/2))+2*IF(circ_int,0,eq_c1/2)))/(s_0+11*s_r+IF(circ_int,eq_c1/2,0)))))))))),NA())</f>
        <v/>
      </c>
    </row>
    <row r="59">
      <c r="AZ59">
        <f>IF(AND(AND(links_on,1&lt;=n_per),INDEX(lk_kind,1)=1,56&lt;INDEX(lk_legs,1)),g_ox+IF(((56+0.5)*(4*IF(circ_int,0,eq_c1/2)+4*IF(circ_int,0,eq_c2/2)+2*PI()*(s_0+0*s_r+IF(circ_int,eq_c1/2,0)))/INDEX(lk_legs,1))&lt;(2*IF(circ_int,0,eq_c2/2)),IF(circ_int,0,eq_c1/2)+(s_0+0*s_r+IF(circ_int,eq_c1/2,0)),IF(((56+0.5)*(4*IF(circ_int,0,eq_c1/2)+4*IF(circ_int,0,eq_c2/2)+2*PI()*(s_0+0*s_r+IF(circ_int,eq_c1/2,0)))/INDEX(lk_legs,1))&lt;((2*IF(circ_int,0,eq_c2/2))+(PI()*(s_0+0*s_r+IF(circ_int,eq_c1/2,0))/2)),IF(circ_int,0,eq_c1/2)+(s_0+0*s_r+IF(circ_int,eq_c1/2,0))*COS((((56+0.5)*(4*IF(circ_int,0,eq_c1/2)+4*IF(circ_int,0,eq_c2/2)+2*PI()*(s_0+0*s_r+IF(circ_int,eq_c1/2,0)))/INDEX(lk_legs,1))-(2*IF(circ_int,0,eq_c2/2)))/(s_0+0*s_r+IF(circ_int,eq_c1/2,0))),IF(((56+0.5)*(4*IF(circ_int,0,eq_c1/2)+4*IF(circ_int,0,eq_c2/2)+2*PI()*(s_0+0*s_r+IF(circ_int,eq_c1/2,0)))/INDEX(lk_legs,1))&lt;(((2*IF(circ_int,0,eq_c2/2))+(PI()*(s_0+0*s_r+IF(circ_int,eq_c1/2,0))/2))+2*IF(circ_int,0,eq_c1/2)),IF(circ_int,0,eq_c1/2)-(((56+0.5)*(4*IF(circ_int,0,eq_c1/2)+4*IF(circ_int,0,eq_c2/2)+2*PI()*(s_0+0*s_r+IF(circ_int,eq_c1/2,0)))/INDEX(lk_legs,1))-((2*IF(circ_int,0,eq_c2/2))+(PI()*(s_0+0*s_r+IF(circ_int,eq_c1/2,0))/2))),IF(((56+0.5)*(4*IF(circ_int,0,eq_c1/2)+4*IF(circ_int,0,eq_c2/2)+2*PI()*(s_0+0*s_r+IF(circ_int,eq_c1/2,0)))/INDEX(lk_legs,1))&lt;((((2*IF(circ_int,0,eq_c2/2))+(PI()*(s_0+0*s_r+IF(circ_int,eq_c1/2,0))/2))+2*IF(circ_int,0,eq_c1/2))+(PI()*(s_0+0*s_r+IF(circ_int,eq_c1/2,0))/2)),-IF(circ_int,0,eq_c1/2)+(s_0+0*s_r+IF(circ_int,eq_c1/2,0))*COS(PI()/2+(((56+0.5)*(4*IF(circ_int,0,eq_c1/2)+4*IF(circ_int,0,eq_c2/2)+2*PI()*(s_0+0*s_r+IF(circ_int,eq_c1/2,0)))/INDEX(lk_legs,1))-(((2*IF(circ_int,0,eq_c2/2))+(PI()*(s_0+0*s_r+IF(circ_int,eq_c1/2,0))/2))+2*IF(circ_int,0,eq_c1/2)))/(s_0+0*s_r+IF(circ_int,eq_c1/2,0))),IF(((56+0.5)*(4*IF(circ_int,0,eq_c1/2)+4*IF(circ_int,0,eq_c2/2)+2*PI()*(s_0+0*s_r+IF(circ_int,eq_c1/2,0)))/INDEX(lk_legs,1))&lt;(((((2*IF(circ_int,0,eq_c2/2))+(PI()*(s_0+0*s_r+IF(circ_int,eq_c1/2,0))/2))+2*IF(circ_int,0,eq_c1/2))+(PI()*(s_0+0*s_r+IF(circ_int,eq_c1/2,0))/2))+2*IF(circ_int,0,eq_c2/2)),-IF(circ_int,0,eq_c1/2)-(s_0+0*s_r+IF(circ_int,eq_c1/2,0)),IF(((56+0.5)*(4*IF(circ_int,0,eq_c1/2)+4*IF(circ_int,0,eq_c2/2)+2*PI()*(s_0+0*s_r+IF(circ_int,eq_c1/2,0)))/INDEX(lk_legs,1))&lt;((((((2*IF(circ_int,0,eq_c2/2))+(PI()*(s_0+0*s_r+IF(circ_int,eq_c1/2,0))/2))+2*IF(circ_int,0,eq_c1/2))+(PI()*(s_0+0*s_r+IF(circ_int,eq_c1/2,0))/2))+2*IF(circ_int,0,eq_c2/2))+(PI()*(s_0+0*s_r+IF(circ_int,eq_c1/2,0))/2)),-IF(circ_int,0,eq_c1/2)+(s_0+0*s_r+IF(circ_int,eq_c1/2,0))*COS(PI()+(((56+0.5)*(4*IF(circ_int,0,eq_c1/2)+4*IF(circ_int,0,eq_c2/2)+2*PI()*(s_0+0*s_r+IF(circ_int,eq_c1/2,0)))/INDEX(lk_legs,1))-(((((2*IF(circ_int,0,eq_c2/2))+(PI()*(s_0+0*s_r+IF(circ_int,eq_c1/2,0))/2))+2*IF(circ_int,0,eq_c1/2))+(PI()*(s_0+0*s_r+IF(circ_int,eq_c1/2,0))/2))+2*IF(circ_int,0,eq_c2/2)))/(s_0+0*s_r+IF(circ_int,eq_c1/2,0))),IF(((56+0.5)*(4*IF(circ_int,0,eq_c1/2)+4*IF(circ_int,0,eq_c2/2)+2*PI()*(s_0+0*s_r+IF(circ_int,eq_c1/2,0)))/INDEX(lk_legs,1))&lt;(((((((2*IF(circ_int,0,eq_c2/2))+(PI()*(s_0+0*s_r+IF(circ_int,eq_c1/2,0))/2))+2*IF(circ_int,0,eq_c1/2))+(PI()*(s_0+0*s_r+IF(circ_int,eq_c1/2,0))/2))+2*IF(circ_int,0,eq_c2/2))+(PI()*(s_0+0*s_r+IF(circ_int,eq_c1/2,0))/2))+2*IF(circ_int,0,eq_c1/2)),-IF(circ_int,0,eq_c1/2)+(((56+0.5)*(4*IF(circ_int,0,eq_c1/2)+4*IF(circ_int,0,eq_c2/2)+2*PI()*(s_0+0*s_r+IF(circ_int,eq_c1/2,0)))/INDEX(lk_legs,1))-((((((2*IF(circ_int,0,eq_c2/2))+(PI()*(s_0+0*s_r+IF(circ_int,eq_c1/2,0))/2))+2*IF(circ_int,0,eq_c1/2))+(PI()*(s_0+0*s_r+IF(circ_int,eq_c1/2,0))/2))+2*IF(circ_int,0,eq_c2/2))+(PI()*(s_0+0*s_r+IF(circ_int,eq_c1/2,0))/2))),IF(circ_int,0,eq_c1/2)+(s_0+0*s_r+IF(circ_int,eq_c1/2,0))*COS(3*PI()/2+(((56+0.5)*(4*IF(circ_int,0,eq_c1/2)+4*IF(circ_int,0,eq_c2/2)+2*PI()*(s_0+0*s_r+IF(circ_int,eq_c1/2,0)))/INDEX(lk_legs,1))-(((((((2*IF(circ_int,0,eq_c2/2))+(PI()*(s_0+0*s_r+IF(circ_int,eq_c1/2,0))/2))+2*IF(circ_int,0,eq_c1/2))+(PI()*(s_0+0*s_r+IF(circ_int,eq_c1/2,0))/2))+2*IF(circ_int,0,eq_c2/2))+(PI()*(s_0+0*s_r+IF(circ_int,eq_c1/2,0))/2))+2*IF(circ_int,0,eq_c1/2)))/(s_0+0*s_r+IF(circ_int,eq_c1/2,0)))))))))),NA())</f>
        <v/>
      </c>
      <c r="BA59">
        <f>IF(AND(AND(links_on,1&lt;=n_per),INDEX(lk_kind,1)=1,56&lt;INDEX(lk_legs,1)),g_oy+IF(((56+0.5)*(4*IF(circ_int,0,eq_c1/2)+4*IF(circ_int,0,eq_c2/2)+2*PI()*(s_0+0*s_r+IF(circ_int,eq_c1/2,0)))/INDEX(lk_legs,1))&lt;(2*IF(circ_int,0,eq_c2/2)),-IF(circ_int,0,eq_c2/2)+((56+0.5)*(4*IF(circ_int,0,eq_c1/2)+4*IF(circ_int,0,eq_c2/2)+2*PI()*(s_0+0*s_r+IF(circ_int,eq_c1/2,0)))/INDEX(lk_legs,1)),IF(((56+0.5)*(4*IF(circ_int,0,eq_c1/2)+4*IF(circ_int,0,eq_c2/2)+2*PI()*(s_0+0*s_r+IF(circ_int,eq_c1/2,0)))/INDEX(lk_legs,1))&lt;((2*IF(circ_int,0,eq_c2/2))+(PI()*(s_0+0*s_r+IF(circ_int,eq_c1/2,0))/2)),IF(circ_int,0,eq_c2/2)+(s_0+0*s_r+IF(circ_int,eq_c1/2,0))*SIN((((56+0.5)*(4*IF(circ_int,0,eq_c1/2)+4*IF(circ_int,0,eq_c2/2)+2*PI()*(s_0+0*s_r+IF(circ_int,eq_c1/2,0)))/INDEX(lk_legs,1))-(2*IF(circ_int,0,eq_c2/2)))/(s_0+0*s_r+IF(circ_int,eq_c1/2,0))),IF(((56+0.5)*(4*IF(circ_int,0,eq_c1/2)+4*IF(circ_int,0,eq_c2/2)+2*PI()*(s_0+0*s_r+IF(circ_int,eq_c1/2,0)))/INDEX(lk_legs,1))&lt;(((2*IF(circ_int,0,eq_c2/2))+(PI()*(s_0+0*s_r+IF(circ_int,eq_c1/2,0))/2))+2*IF(circ_int,0,eq_c1/2)),IF(circ_int,0,eq_c2/2)+(s_0+0*s_r+IF(circ_int,eq_c1/2,0)),IF(((56+0.5)*(4*IF(circ_int,0,eq_c1/2)+4*IF(circ_int,0,eq_c2/2)+2*PI()*(s_0+0*s_r+IF(circ_int,eq_c1/2,0)))/INDEX(lk_legs,1))&lt;((((2*IF(circ_int,0,eq_c2/2))+(PI()*(s_0+0*s_r+IF(circ_int,eq_c1/2,0))/2))+2*IF(circ_int,0,eq_c1/2))+(PI()*(s_0+0*s_r+IF(circ_int,eq_c1/2,0))/2)),IF(circ_int,0,eq_c2/2)+(s_0+0*s_r+IF(circ_int,eq_c1/2,0))*SIN(PI()/2+(((56+0.5)*(4*IF(circ_int,0,eq_c1/2)+4*IF(circ_int,0,eq_c2/2)+2*PI()*(s_0+0*s_r+IF(circ_int,eq_c1/2,0)))/INDEX(lk_legs,1))-(((2*IF(circ_int,0,eq_c2/2))+(PI()*(s_0+0*s_r+IF(circ_int,eq_c1/2,0))/2))+2*IF(circ_int,0,eq_c1/2)))/(s_0+0*s_r+IF(circ_int,eq_c1/2,0))),IF(((56+0.5)*(4*IF(circ_int,0,eq_c1/2)+4*IF(circ_int,0,eq_c2/2)+2*PI()*(s_0+0*s_r+IF(circ_int,eq_c1/2,0)))/INDEX(lk_legs,1))&lt;(((((2*IF(circ_int,0,eq_c2/2))+(PI()*(s_0+0*s_r+IF(circ_int,eq_c1/2,0))/2))+2*IF(circ_int,0,eq_c1/2))+(PI()*(s_0+0*s_r+IF(circ_int,eq_c1/2,0))/2))+2*IF(circ_int,0,eq_c2/2)),IF(circ_int,0,eq_c2/2)-(((56+0.5)*(4*IF(circ_int,0,eq_c1/2)+4*IF(circ_int,0,eq_c2/2)+2*PI()*(s_0+0*s_r+IF(circ_int,eq_c1/2,0)))/INDEX(lk_legs,1))-((((2*IF(circ_int,0,eq_c2/2))+(PI()*(s_0+0*s_r+IF(circ_int,eq_c1/2,0))/2))+2*IF(circ_int,0,eq_c1/2))+(PI()*(s_0+0*s_r+IF(circ_int,eq_c1/2,0))/2))),IF(((56+0.5)*(4*IF(circ_int,0,eq_c1/2)+4*IF(circ_int,0,eq_c2/2)+2*PI()*(s_0+0*s_r+IF(circ_int,eq_c1/2,0)))/INDEX(lk_legs,1))&lt;((((((2*IF(circ_int,0,eq_c2/2))+(PI()*(s_0+0*s_r+IF(circ_int,eq_c1/2,0))/2))+2*IF(circ_int,0,eq_c1/2))+(PI()*(s_0+0*s_r+IF(circ_int,eq_c1/2,0))/2))+2*IF(circ_int,0,eq_c2/2))+(PI()*(s_0+0*s_r+IF(circ_int,eq_c1/2,0))/2)),-IF(circ_int,0,eq_c2/2)+(s_0+0*s_r+IF(circ_int,eq_c1/2,0))*SIN(PI()+(((56+0.5)*(4*IF(circ_int,0,eq_c1/2)+4*IF(circ_int,0,eq_c2/2)+2*PI()*(s_0+0*s_r+IF(circ_int,eq_c1/2,0)))/INDEX(lk_legs,1))-(((((2*IF(circ_int,0,eq_c2/2))+(PI()*(s_0+0*s_r+IF(circ_int,eq_c1/2,0))/2))+2*IF(circ_int,0,eq_c1/2))+(PI()*(s_0+0*s_r+IF(circ_int,eq_c1/2,0))/2))+2*IF(circ_int,0,eq_c2/2)))/(s_0+0*s_r+IF(circ_int,eq_c1/2,0))),IF(((56+0.5)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(56+0.5)*(4*IF(circ_int,0,eq_c1/2)+4*IF(circ_int,0,eq_c2/2)+2*PI()*(s_0+0*s_r+IF(circ_int,eq_c1/2,0)))/INDEX(lk_legs,1))-(((((((2*IF(circ_int,0,eq_c2/2))+(PI()*(s_0+0*s_r+IF(circ_int,eq_c1/2,0))/2))+2*IF(circ_int,0,eq_c1/2))+(PI()*(s_0+0*s_r+IF(circ_int,eq_c1/2,0))/2))+2*IF(circ_int,0,eq_c2/2))+(PI()*(s_0+0*s_r+IF(circ_int,eq_c1/2,0))/2))+2*IF(circ_int,0,eq_c1/2)))/(s_0+0*s_r+IF(circ_int,eq_c1/2,0)))))))))),NA())</f>
        <v/>
      </c>
      <c r="BF59">
        <f>IF(AND(AND(links_on,2&lt;=n_per),INDEX(lk_kind,2)=1,56&lt;INDEX(lk_legs,2)),g_ox+IF(((56+0.5)*(4*IF(circ_int,0,eq_c1/2)+4*IF(circ_int,0,eq_c2/2)+2*PI()*(s_0+1*s_r+IF(circ_int,eq_c1/2,0)))/INDEX(lk_legs,2))&lt;(2*IF(circ_int,0,eq_c2/2)),IF(circ_int,0,eq_c1/2)+(s_0+1*s_r+IF(circ_int,eq_c1/2,0)),IF(((56+0.5)*(4*IF(circ_int,0,eq_c1/2)+4*IF(circ_int,0,eq_c2/2)+2*PI()*(s_0+1*s_r+IF(circ_int,eq_c1/2,0)))/INDEX(lk_legs,2))&lt;((2*IF(circ_int,0,eq_c2/2))+(PI()*(s_0+1*s_r+IF(circ_int,eq_c1/2,0))/2)),IF(circ_int,0,eq_c1/2)+(s_0+1*s_r+IF(circ_int,eq_c1/2,0))*COS((((56+0.5)*(4*IF(circ_int,0,eq_c1/2)+4*IF(circ_int,0,eq_c2/2)+2*PI()*(s_0+1*s_r+IF(circ_int,eq_c1/2,0)))/INDEX(lk_legs,2))-(2*IF(circ_int,0,eq_c2/2)))/(s_0+1*s_r+IF(circ_int,eq_c1/2,0))),IF(((56+0.5)*(4*IF(circ_int,0,eq_c1/2)+4*IF(circ_int,0,eq_c2/2)+2*PI()*(s_0+1*s_r+IF(circ_int,eq_c1/2,0)))/INDEX(lk_legs,2))&lt;(((2*IF(circ_int,0,eq_c2/2))+(PI()*(s_0+1*s_r+IF(circ_int,eq_c1/2,0))/2))+2*IF(circ_int,0,eq_c1/2)),IF(circ_int,0,eq_c1/2)-(((56+0.5)*(4*IF(circ_int,0,eq_c1/2)+4*IF(circ_int,0,eq_c2/2)+2*PI()*(s_0+1*s_r+IF(circ_int,eq_c1/2,0)))/INDEX(lk_legs,2))-((2*IF(circ_int,0,eq_c2/2))+(PI()*(s_0+1*s_r+IF(circ_int,eq_c1/2,0))/2))),IF(((56+0.5)*(4*IF(circ_int,0,eq_c1/2)+4*IF(circ_int,0,eq_c2/2)+2*PI()*(s_0+1*s_r+IF(circ_int,eq_c1/2,0)))/INDEX(lk_legs,2))&lt;((((2*IF(circ_int,0,eq_c2/2))+(PI()*(s_0+1*s_r+IF(circ_int,eq_c1/2,0))/2))+2*IF(circ_int,0,eq_c1/2))+(PI()*(s_0+1*s_r+IF(circ_int,eq_c1/2,0))/2)),-IF(circ_int,0,eq_c1/2)+(s_0+1*s_r+IF(circ_int,eq_c1/2,0))*COS(PI()/2+(((56+0.5)*(4*IF(circ_int,0,eq_c1/2)+4*IF(circ_int,0,eq_c2/2)+2*PI()*(s_0+1*s_r+IF(circ_int,eq_c1/2,0)))/INDEX(lk_legs,2))-(((2*IF(circ_int,0,eq_c2/2))+(PI()*(s_0+1*s_r+IF(circ_int,eq_c1/2,0))/2))+2*IF(circ_int,0,eq_c1/2)))/(s_0+1*s_r+IF(circ_int,eq_c1/2,0))),IF(((56+0.5)*(4*IF(circ_int,0,eq_c1/2)+4*IF(circ_int,0,eq_c2/2)+2*PI()*(s_0+1*s_r+IF(circ_int,eq_c1/2,0)))/INDEX(lk_legs,2))&lt;(((((2*IF(circ_int,0,eq_c2/2))+(PI()*(s_0+1*s_r+IF(circ_int,eq_c1/2,0))/2))+2*IF(circ_int,0,eq_c1/2))+(PI()*(s_0+1*s_r+IF(circ_int,eq_c1/2,0))/2))+2*IF(circ_int,0,eq_c2/2)),-IF(circ_int,0,eq_c1/2)-(s_0+1*s_r+IF(circ_int,eq_c1/2,0)),IF(((56+0.5)*(4*IF(circ_int,0,eq_c1/2)+4*IF(circ_int,0,eq_c2/2)+2*PI()*(s_0+1*s_r+IF(circ_int,eq_c1/2,0)))/INDEX(lk_legs,2))&lt;((((((2*IF(circ_int,0,eq_c2/2))+(PI()*(s_0+1*s_r+IF(circ_int,eq_c1/2,0))/2))+2*IF(circ_int,0,eq_c1/2))+(PI()*(s_0+1*s_r+IF(circ_int,eq_c1/2,0))/2))+2*IF(circ_int,0,eq_c2/2))+(PI()*(s_0+1*s_r+IF(circ_int,eq_c1/2,0))/2)),-IF(circ_int,0,eq_c1/2)+(s_0+1*s_r+IF(circ_int,eq_c1/2,0))*COS(PI()+(((56+0.5)*(4*IF(circ_int,0,eq_c1/2)+4*IF(circ_int,0,eq_c2/2)+2*PI()*(s_0+1*s_r+IF(circ_int,eq_c1/2,0)))/INDEX(lk_legs,2))-(((((2*IF(circ_int,0,eq_c2/2))+(PI()*(s_0+1*s_r+IF(circ_int,eq_c1/2,0))/2))+2*IF(circ_int,0,eq_c1/2))+(PI()*(s_0+1*s_r+IF(circ_int,eq_c1/2,0))/2))+2*IF(circ_int,0,eq_c2/2)))/(s_0+1*s_r+IF(circ_int,eq_c1/2,0))),IF(((56+0.5)*(4*IF(circ_int,0,eq_c1/2)+4*IF(circ_int,0,eq_c2/2)+2*PI()*(s_0+1*s_r+IF(circ_int,eq_c1/2,0)))/INDEX(lk_legs,2))&lt;(((((((2*IF(circ_int,0,eq_c2/2))+(PI()*(s_0+1*s_r+IF(circ_int,eq_c1/2,0))/2))+2*IF(circ_int,0,eq_c1/2))+(PI()*(s_0+1*s_r+IF(circ_int,eq_c1/2,0))/2))+2*IF(circ_int,0,eq_c2/2))+(PI()*(s_0+1*s_r+IF(circ_int,eq_c1/2,0))/2))+2*IF(circ_int,0,eq_c1/2)),-IF(circ_int,0,eq_c1/2)+(((56+0.5)*(4*IF(circ_int,0,eq_c1/2)+4*IF(circ_int,0,eq_c2/2)+2*PI()*(s_0+1*s_r+IF(circ_int,eq_c1/2,0)))/INDEX(lk_legs,2))-((((((2*IF(circ_int,0,eq_c2/2))+(PI()*(s_0+1*s_r+IF(circ_int,eq_c1/2,0))/2))+2*IF(circ_int,0,eq_c1/2))+(PI()*(s_0+1*s_r+IF(circ_int,eq_c1/2,0))/2))+2*IF(circ_int,0,eq_c2/2))+(PI()*(s_0+1*s_r+IF(circ_int,eq_c1/2,0))/2))),IF(circ_int,0,eq_c1/2)+(s_0+1*s_r+IF(circ_int,eq_c1/2,0))*COS(3*PI()/2+(((56+0.5)*(4*IF(circ_int,0,eq_c1/2)+4*IF(circ_int,0,eq_c2/2)+2*PI()*(s_0+1*s_r+IF(circ_int,eq_c1/2,0)))/INDEX(lk_legs,2))-(((((((2*IF(circ_int,0,eq_c2/2))+(PI()*(s_0+1*s_r+IF(circ_int,eq_c1/2,0))/2))+2*IF(circ_int,0,eq_c1/2))+(PI()*(s_0+1*s_r+IF(circ_int,eq_c1/2,0))/2))+2*IF(circ_int,0,eq_c2/2))+(PI()*(s_0+1*s_r+IF(circ_int,eq_c1/2,0))/2))+2*IF(circ_int,0,eq_c1/2)))/(s_0+1*s_r+IF(circ_int,eq_c1/2,0)))))))))),NA())</f>
        <v/>
      </c>
      <c r="BG59">
        <f>IF(AND(AND(links_on,2&lt;=n_per),INDEX(lk_kind,2)=1,56&lt;INDEX(lk_legs,2)),g_oy+IF(((56+0.5)*(4*IF(circ_int,0,eq_c1/2)+4*IF(circ_int,0,eq_c2/2)+2*PI()*(s_0+1*s_r+IF(circ_int,eq_c1/2,0)))/INDEX(lk_legs,2))&lt;(2*IF(circ_int,0,eq_c2/2)),-IF(circ_int,0,eq_c2/2)+((56+0.5)*(4*IF(circ_int,0,eq_c1/2)+4*IF(circ_int,0,eq_c2/2)+2*PI()*(s_0+1*s_r+IF(circ_int,eq_c1/2,0)))/INDEX(lk_legs,2)),IF(((56+0.5)*(4*IF(circ_int,0,eq_c1/2)+4*IF(circ_int,0,eq_c2/2)+2*PI()*(s_0+1*s_r+IF(circ_int,eq_c1/2,0)))/INDEX(lk_legs,2))&lt;((2*IF(circ_int,0,eq_c2/2))+(PI()*(s_0+1*s_r+IF(circ_int,eq_c1/2,0))/2)),IF(circ_int,0,eq_c2/2)+(s_0+1*s_r+IF(circ_int,eq_c1/2,0))*SIN((((56+0.5)*(4*IF(circ_int,0,eq_c1/2)+4*IF(circ_int,0,eq_c2/2)+2*PI()*(s_0+1*s_r+IF(circ_int,eq_c1/2,0)))/INDEX(lk_legs,2))-(2*IF(circ_int,0,eq_c2/2)))/(s_0+1*s_r+IF(circ_int,eq_c1/2,0))),IF(((56+0.5)*(4*IF(circ_int,0,eq_c1/2)+4*IF(circ_int,0,eq_c2/2)+2*PI()*(s_0+1*s_r+IF(circ_int,eq_c1/2,0)))/INDEX(lk_legs,2))&lt;(((2*IF(circ_int,0,eq_c2/2))+(PI()*(s_0+1*s_r+IF(circ_int,eq_c1/2,0))/2))+2*IF(circ_int,0,eq_c1/2)),IF(circ_int,0,eq_c2/2)+(s_0+1*s_r+IF(circ_int,eq_c1/2,0)),IF(((56+0.5)*(4*IF(circ_int,0,eq_c1/2)+4*IF(circ_int,0,eq_c2/2)+2*PI()*(s_0+1*s_r+IF(circ_int,eq_c1/2,0)))/INDEX(lk_legs,2))&lt;((((2*IF(circ_int,0,eq_c2/2))+(PI()*(s_0+1*s_r+IF(circ_int,eq_c1/2,0))/2))+2*IF(circ_int,0,eq_c1/2))+(PI()*(s_0+1*s_r+IF(circ_int,eq_c1/2,0))/2)),IF(circ_int,0,eq_c2/2)+(s_0+1*s_r+IF(circ_int,eq_c1/2,0))*SIN(PI()/2+(((56+0.5)*(4*IF(circ_int,0,eq_c1/2)+4*IF(circ_int,0,eq_c2/2)+2*PI()*(s_0+1*s_r+IF(circ_int,eq_c1/2,0)))/INDEX(lk_legs,2))-(((2*IF(circ_int,0,eq_c2/2))+(PI()*(s_0+1*s_r+IF(circ_int,eq_c1/2,0))/2))+2*IF(circ_int,0,eq_c1/2)))/(s_0+1*s_r+IF(circ_int,eq_c1/2,0))),IF(((56+0.5)*(4*IF(circ_int,0,eq_c1/2)+4*IF(circ_int,0,eq_c2/2)+2*PI()*(s_0+1*s_r+IF(circ_int,eq_c1/2,0)))/INDEX(lk_legs,2))&lt;(((((2*IF(circ_int,0,eq_c2/2))+(PI()*(s_0+1*s_r+IF(circ_int,eq_c1/2,0))/2))+2*IF(circ_int,0,eq_c1/2))+(PI()*(s_0+1*s_r+IF(circ_int,eq_c1/2,0))/2))+2*IF(circ_int,0,eq_c2/2)),IF(circ_int,0,eq_c2/2)-(((56+0.5)*(4*IF(circ_int,0,eq_c1/2)+4*IF(circ_int,0,eq_c2/2)+2*PI()*(s_0+1*s_r+IF(circ_int,eq_c1/2,0)))/INDEX(lk_legs,2))-((((2*IF(circ_int,0,eq_c2/2))+(PI()*(s_0+1*s_r+IF(circ_int,eq_c1/2,0))/2))+2*IF(circ_int,0,eq_c1/2))+(PI()*(s_0+1*s_r+IF(circ_int,eq_c1/2,0))/2))),IF(((56+0.5)*(4*IF(circ_int,0,eq_c1/2)+4*IF(circ_int,0,eq_c2/2)+2*PI()*(s_0+1*s_r+IF(circ_int,eq_c1/2,0)))/INDEX(lk_legs,2))&lt;((((((2*IF(circ_int,0,eq_c2/2))+(PI()*(s_0+1*s_r+IF(circ_int,eq_c1/2,0))/2))+2*IF(circ_int,0,eq_c1/2))+(PI()*(s_0+1*s_r+IF(circ_int,eq_c1/2,0))/2))+2*IF(circ_int,0,eq_c2/2))+(PI()*(s_0+1*s_r+IF(circ_int,eq_c1/2,0))/2)),-IF(circ_int,0,eq_c2/2)+(s_0+1*s_r+IF(circ_int,eq_c1/2,0))*SIN(PI()+(((56+0.5)*(4*IF(circ_int,0,eq_c1/2)+4*IF(circ_int,0,eq_c2/2)+2*PI()*(s_0+1*s_r+IF(circ_int,eq_c1/2,0)))/INDEX(lk_legs,2))-(((((2*IF(circ_int,0,eq_c2/2))+(PI()*(s_0+1*s_r+IF(circ_int,eq_c1/2,0))/2))+2*IF(circ_int,0,eq_c1/2))+(PI()*(s_0+1*s_r+IF(circ_int,eq_c1/2,0))/2))+2*IF(circ_int,0,eq_c2/2)))/(s_0+1*s_r+IF(circ_int,eq_c1/2,0))),IF(((56+0.5)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(56+0.5)*(4*IF(circ_int,0,eq_c1/2)+4*IF(circ_int,0,eq_c2/2)+2*PI()*(s_0+1*s_r+IF(circ_int,eq_c1/2,0)))/INDEX(lk_legs,2))-(((((((2*IF(circ_int,0,eq_c2/2))+(PI()*(s_0+1*s_r+IF(circ_int,eq_c1/2,0))/2))+2*IF(circ_int,0,eq_c1/2))+(PI()*(s_0+1*s_r+IF(circ_int,eq_c1/2,0))/2))+2*IF(circ_int,0,eq_c2/2))+(PI()*(s_0+1*s_r+IF(circ_int,eq_c1/2,0))/2))+2*IF(circ_int,0,eq_c1/2)))/(s_0+1*s_r+IF(circ_int,eq_c1/2,0)))))))))),NA())</f>
        <v/>
      </c>
      <c r="BL59">
        <f>IF(AND(AND(links_on,3&lt;=n_per),INDEX(lk_kind,3)=1,56&lt;INDEX(lk_legs,3)),g_ox+IF(((56+0.5)*(4*IF(circ_int,0,eq_c1/2)+4*IF(circ_int,0,eq_c2/2)+2*PI()*(s_0+2*s_r+IF(circ_int,eq_c1/2,0)))/INDEX(lk_legs,3))&lt;(2*IF(circ_int,0,eq_c2/2)),IF(circ_int,0,eq_c1/2)+(s_0+2*s_r+IF(circ_int,eq_c1/2,0)),IF(((56+0.5)*(4*IF(circ_int,0,eq_c1/2)+4*IF(circ_int,0,eq_c2/2)+2*PI()*(s_0+2*s_r+IF(circ_int,eq_c1/2,0)))/INDEX(lk_legs,3))&lt;((2*IF(circ_int,0,eq_c2/2))+(PI()*(s_0+2*s_r+IF(circ_int,eq_c1/2,0))/2)),IF(circ_int,0,eq_c1/2)+(s_0+2*s_r+IF(circ_int,eq_c1/2,0))*COS((((56+0.5)*(4*IF(circ_int,0,eq_c1/2)+4*IF(circ_int,0,eq_c2/2)+2*PI()*(s_0+2*s_r+IF(circ_int,eq_c1/2,0)))/INDEX(lk_legs,3))-(2*IF(circ_int,0,eq_c2/2)))/(s_0+2*s_r+IF(circ_int,eq_c1/2,0))),IF(((56+0.5)*(4*IF(circ_int,0,eq_c1/2)+4*IF(circ_int,0,eq_c2/2)+2*PI()*(s_0+2*s_r+IF(circ_int,eq_c1/2,0)))/INDEX(lk_legs,3))&lt;(((2*IF(circ_int,0,eq_c2/2))+(PI()*(s_0+2*s_r+IF(circ_int,eq_c1/2,0))/2))+2*IF(circ_int,0,eq_c1/2)),IF(circ_int,0,eq_c1/2)-(((56+0.5)*(4*IF(circ_int,0,eq_c1/2)+4*IF(circ_int,0,eq_c2/2)+2*PI()*(s_0+2*s_r+IF(circ_int,eq_c1/2,0)))/INDEX(lk_legs,3))-((2*IF(circ_int,0,eq_c2/2))+(PI()*(s_0+2*s_r+IF(circ_int,eq_c1/2,0))/2))),IF(((56+0.5)*(4*IF(circ_int,0,eq_c1/2)+4*IF(circ_int,0,eq_c2/2)+2*PI()*(s_0+2*s_r+IF(circ_int,eq_c1/2,0)))/INDEX(lk_legs,3))&lt;((((2*IF(circ_int,0,eq_c2/2))+(PI()*(s_0+2*s_r+IF(circ_int,eq_c1/2,0))/2))+2*IF(circ_int,0,eq_c1/2))+(PI()*(s_0+2*s_r+IF(circ_int,eq_c1/2,0))/2)),-IF(circ_int,0,eq_c1/2)+(s_0+2*s_r+IF(circ_int,eq_c1/2,0))*COS(PI()/2+(((56+0.5)*(4*IF(circ_int,0,eq_c1/2)+4*IF(circ_int,0,eq_c2/2)+2*PI()*(s_0+2*s_r+IF(circ_int,eq_c1/2,0)))/INDEX(lk_legs,3))-(((2*IF(circ_int,0,eq_c2/2))+(PI()*(s_0+2*s_r+IF(circ_int,eq_c1/2,0))/2))+2*IF(circ_int,0,eq_c1/2)))/(s_0+2*s_r+IF(circ_int,eq_c1/2,0))),IF(((56+0.5)*(4*IF(circ_int,0,eq_c1/2)+4*IF(circ_int,0,eq_c2/2)+2*PI()*(s_0+2*s_r+IF(circ_int,eq_c1/2,0)))/INDEX(lk_legs,3))&lt;(((((2*IF(circ_int,0,eq_c2/2))+(PI()*(s_0+2*s_r+IF(circ_int,eq_c1/2,0))/2))+2*IF(circ_int,0,eq_c1/2))+(PI()*(s_0+2*s_r+IF(circ_int,eq_c1/2,0))/2))+2*IF(circ_int,0,eq_c2/2)),-IF(circ_int,0,eq_c1/2)-(s_0+2*s_r+IF(circ_int,eq_c1/2,0)),IF(((56+0.5)*(4*IF(circ_int,0,eq_c1/2)+4*IF(circ_int,0,eq_c2/2)+2*PI()*(s_0+2*s_r+IF(circ_int,eq_c1/2,0)))/INDEX(lk_legs,3))&lt;((((((2*IF(circ_int,0,eq_c2/2))+(PI()*(s_0+2*s_r+IF(circ_int,eq_c1/2,0))/2))+2*IF(circ_int,0,eq_c1/2))+(PI()*(s_0+2*s_r+IF(circ_int,eq_c1/2,0))/2))+2*IF(circ_int,0,eq_c2/2))+(PI()*(s_0+2*s_r+IF(circ_int,eq_c1/2,0))/2)),-IF(circ_int,0,eq_c1/2)+(s_0+2*s_r+IF(circ_int,eq_c1/2,0))*COS(PI()+(((56+0.5)*(4*IF(circ_int,0,eq_c1/2)+4*IF(circ_int,0,eq_c2/2)+2*PI()*(s_0+2*s_r+IF(circ_int,eq_c1/2,0)))/INDEX(lk_legs,3))-(((((2*IF(circ_int,0,eq_c2/2))+(PI()*(s_0+2*s_r+IF(circ_int,eq_c1/2,0))/2))+2*IF(circ_int,0,eq_c1/2))+(PI()*(s_0+2*s_r+IF(circ_int,eq_c1/2,0))/2))+2*IF(circ_int,0,eq_c2/2)))/(s_0+2*s_r+IF(circ_int,eq_c1/2,0))),IF(((56+0.5)*(4*IF(circ_int,0,eq_c1/2)+4*IF(circ_int,0,eq_c2/2)+2*PI()*(s_0+2*s_r+IF(circ_int,eq_c1/2,0)))/INDEX(lk_legs,3))&lt;(((((((2*IF(circ_int,0,eq_c2/2))+(PI()*(s_0+2*s_r+IF(circ_int,eq_c1/2,0))/2))+2*IF(circ_int,0,eq_c1/2))+(PI()*(s_0+2*s_r+IF(circ_int,eq_c1/2,0))/2))+2*IF(circ_int,0,eq_c2/2))+(PI()*(s_0+2*s_r+IF(circ_int,eq_c1/2,0))/2))+2*IF(circ_int,0,eq_c1/2)),-IF(circ_int,0,eq_c1/2)+(((56+0.5)*(4*IF(circ_int,0,eq_c1/2)+4*IF(circ_int,0,eq_c2/2)+2*PI()*(s_0+2*s_r+IF(circ_int,eq_c1/2,0)))/INDEX(lk_legs,3))-((((((2*IF(circ_int,0,eq_c2/2))+(PI()*(s_0+2*s_r+IF(circ_int,eq_c1/2,0))/2))+2*IF(circ_int,0,eq_c1/2))+(PI()*(s_0+2*s_r+IF(circ_int,eq_c1/2,0))/2))+2*IF(circ_int,0,eq_c2/2))+(PI()*(s_0+2*s_r+IF(circ_int,eq_c1/2,0))/2))),IF(circ_int,0,eq_c1/2)+(s_0+2*s_r+IF(circ_int,eq_c1/2,0))*COS(3*PI()/2+(((56+0.5)*(4*IF(circ_int,0,eq_c1/2)+4*IF(circ_int,0,eq_c2/2)+2*PI()*(s_0+2*s_r+IF(circ_int,eq_c1/2,0)))/INDEX(lk_legs,3))-(((((((2*IF(circ_int,0,eq_c2/2))+(PI()*(s_0+2*s_r+IF(circ_int,eq_c1/2,0))/2))+2*IF(circ_int,0,eq_c1/2))+(PI()*(s_0+2*s_r+IF(circ_int,eq_c1/2,0))/2))+2*IF(circ_int,0,eq_c2/2))+(PI()*(s_0+2*s_r+IF(circ_int,eq_c1/2,0))/2))+2*IF(circ_int,0,eq_c1/2)))/(s_0+2*s_r+IF(circ_int,eq_c1/2,0)))))))))),NA())</f>
        <v/>
      </c>
      <c r="BM59">
        <f>IF(AND(AND(links_on,3&lt;=n_per),INDEX(lk_kind,3)=1,56&lt;INDEX(lk_legs,3)),g_oy+IF(((56+0.5)*(4*IF(circ_int,0,eq_c1/2)+4*IF(circ_int,0,eq_c2/2)+2*PI()*(s_0+2*s_r+IF(circ_int,eq_c1/2,0)))/INDEX(lk_legs,3))&lt;(2*IF(circ_int,0,eq_c2/2)),-IF(circ_int,0,eq_c2/2)+((56+0.5)*(4*IF(circ_int,0,eq_c1/2)+4*IF(circ_int,0,eq_c2/2)+2*PI()*(s_0+2*s_r+IF(circ_int,eq_c1/2,0)))/INDEX(lk_legs,3)),IF(((56+0.5)*(4*IF(circ_int,0,eq_c1/2)+4*IF(circ_int,0,eq_c2/2)+2*PI()*(s_0+2*s_r+IF(circ_int,eq_c1/2,0)))/INDEX(lk_legs,3))&lt;((2*IF(circ_int,0,eq_c2/2))+(PI()*(s_0+2*s_r+IF(circ_int,eq_c1/2,0))/2)),IF(circ_int,0,eq_c2/2)+(s_0+2*s_r+IF(circ_int,eq_c1/2,0))*SIN((((56+0.5)*(4*IF(circ_int,0,eq_c1/2)+4*IF(circ_int,0,eq_c2/2)+2*PI()*(s_0+2*s_r+IF(circ_int,eq_c1/2,0)))/INDEX(lk_legs,3))-(2*IF(circ_int,0,eq_c2/2)))/(s_0+2*s_r+IF(circ_int,eq_c1/2,0))),IF(((56+0.5)*(4*IF(circ_int,0,eq_c1/2)+4*IF(circ_int,0,eq_c2/2)+2*PI()*(s_0+2*s_r+IF(circ_int,eq_c1/2,0)))/INDEX(lk_legs,3))&lt;(((2*IF(circ_int,0,eq_c2/2))+(PI()*(s_0+2*s_r+IF(circ_int,eq_c1/2,0))/2))+2*IF(circ_int,0,eq_c1/2)),IF(circ_int,0,eq_c2/2)+(s_0+2*s_r+IF(circ_int,eq_c1/2,0)),IF(((56+0.5)*(4*IF(circ_int,0,eq_c1/2)+4*IF(circ_int,0,eq_c2/2)+2*PI()*(s_0+2*s_r+IF(circ_int,eq_c1/2,0)))/INDEX(lk_legs,3))&lt;((((2*IF(circ_int,0,eq_c2/2))+(PI()*(s_0+2*s_r+IF(circ_int,eq_c1/2,0))/2))+2*IF(circ_int,0,eq_c1/2))+(PI()*(s_0+2*s_r+IF(circ_int,eq_c1/2,0))/2)),IF(circ_int,0,eq_c2/2)+(s_0+2*s_r+IF(circ_int,eq_c1/2,0))*SIN(PI()/2+(((56+0.5)*(4*IF(circ_int,0,eq_c1/2)+4*IF(circ_int,0,eq_c2/2)+2*PI()*(s_0+2*s_r+IF(circ_int,eq_c1/2,0)))/INDEX(lk_legs,3))-(((2*IF(circ_int,0,eq_c2/2))+(PI()*(s_0+2*s_r+IF(circ_int,eq_c1/2,0))/2))+2*IF(circ_int,0,eq_c1/2)))/(s_0+2*s_r+IF(circ_int,eq_c1/2,0))),IF(((56+0.5)*(4*IF(circ_int,0,eq_c1/2)+4*IF(circ_int,0,eq_c2/2)+2*PI()*(s_0+2*s_r+IF(circ_int,eq_c1/2,0)))/INDEX(lk_legs,3))&lt;(((((2*IF(circ_int,0,eq_c2/2))+(PI()*(s_0+2*s_r+IF(circ_int,eq_c1/2,0))/2))+2*IF(circ_int,0,eq_c1/2))+(PI()*(s_0+2*s_r+IF(circ_int,eq_c1/2,0))/2))+2*IF(circ_int,0,eq_c2/2)),IF(circ_int,0,eq_c2/2)-(((56+0.5)*(4*IF(circ_int,0,eq_c1/2)+4*IF(circ_int,0,eq_c2/2)+2*PI()*(s_0+2*s_r+IF(circ_int,eq_c1/2,0)))/INDEX(lk_legs,3))-((((2*IF(circ_int,0,eq_c2/2))+(PI()*(s_0+2*s_r+IF(circ_int,eq_c1/2,0))/2))+2*IF(circ_int,0,eq_c1/2))+(PI()*(s_0+2*s_r+IF(circ_int,eq_c1/2,0))/2))),IF(((56+0.5)*(4*IF(circ_int,0,eq_c1/2)+4*IF(circ_int,0,eq_c2/2)+2*PI()*(s_0+2*s_r+IF(circ_int,eq_c1/2,0)))/INDEX(lk_legs,3))&lt;((((((2*IF(circ_int,0,eq_c2/2))+(PI()*(s_0+2*s_r+IF(circ_int,eq_c1/2,0))/2))+2*IF(circ_int,0,eq_c1/2))+(PI()*(s_0+2*s_r+IF(circ_int,eq_c1/2,0))/2))+2*IF(circ_int,0,eq_c2/2))+(PI()*(s_0+2*s_r+IF(circ_int,eq_c1/2,0))/2)),-IF(circ_int,0,eq_c2/2)+(s_0+2*s_r+IF(circ_int,eq_c1/2,0))*SIN(PI()+(((56+0.5)*(4*IF(circ_int,0,eq_c1/2)+4*IF(circ_int,0,eq_c2/2)+2*PI()*(s_0+2*s_r+IF(circ_int,eq_c1/2,0)))/INDEX(lk_legs,3))-(((((2*IF(circ_int,0,eq_c2/2))+(PI()*(s_0+2*s_r+IF(circ_int,eq_c1/2,0))/2))+2*IF(circ_int,0,eq_c1/2))+(PI()*(s_0+2*s_r+IF(circ_int,eq_c1/2,0))/2))+2*IF(circ_int,0,eq_c2/2)))/(s_0+2*s_r+IF(circ_int,eq_c1/2,0))),IF(((56+0.5)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(56+0.5)*(4*IF(circ_int,0,eq_c1/2)+4*IF(circ_int,0,eq_c2/2)+2*PI()*(s_0+2*s_r+IF(circ_int,eq_c1/2,0)))/INDEX(lk_legs,3))-(((((((2*IF(circ_int,0,eq_c2/2))+(PI()*(s_0+2*s_r+IF(circ_int,eq_c1/2,0))/2))+2*IF(circ_int,0,eq_c1/2))+(PI()*(s_0+2*s_r+IF(circ_int,eq_c1/2,0))/2))+2*IF(circ_int,0,eq_c2/2))+(PI()*(s_0+2*s_r+IF(circ_int,eq_c1/2,0))/2))+2*IF(circ_int,0,eq_c1/2)))/(s_0+2*s_r+IF(circ_int,eq_c1/2,0)))))))))),NA())</f>
        <v/>
      </c>
      <c r="BR59">
        <f>IF(AND(AND(links_on,4&lt;=n_per),INDEX(lk_kind,4)=1,56&lt;INDEX(lk_legs,4)),g_ox+IF(((56+0.5)*(4*IF(circ_int,0,eq_c1/2)+4*IF(circ_int,0,eq_c2/2)+2*PI()*(s_0+3*s_r+IF(circ_int,eq_c1/2,0)))/INDEX(lk_legs,4))&lt;(2*IF(circ_int,0,eq_c2/2)),IF(circ_int,0,eq_c1/2)+(s_0+3*s_r+IF(circ_int,eq_c1/2,0)),IF(((56+0.5)*(4*IF(circ_int,0,eq_c1/2)+4*IF(circ_int,0,eq_c2/2)+2*PI()*(s_0+3*s_r+IF(circ_int,eq_c1/2,0)))/INDEX(lk_legs,4))&lt;((2*IF(circ_int,0,eq_c2/2))+(PI()*(s_0+3*s_r+IF(circ_int,eq_c1/2,0))/2)),IF(circ_int,0,eq_c1/2)+(s_0+3*s_r+IF(circ_int,eq_c1/2,0))*COS((((56+0.5)*(4*IF(circ_int,0,eq_c1/2)+4*IF(circ_int,0,eq_c2/2)+2*PI()*(s_0+3*s_r+IF(circ_int,eq_c1/2,0)))/INDEX(lk_legs,4))-(2*IF(circ_int,0,eq_c2/2)))/(s_0+3*s_r+IF(circ_int,eq_c1/2,0))),IF(((56+0.5)*(4*IF(circ_int,0,eq_c1/2)+4*IF(circ_int,0,eq_c2/2)+2*PI()*(s_0+3*s_r+IF(circ_int,eq_c1/2,0)))/INDEX(lk_legs,4))&lt;(((2*IF(circ_int,0,eq_c2/2))+(PI()*(s_0+3*s_r+IF(circ_int,eq_c1/2,0))/2))+2*IF(circ_int,0,eq_c1/2)),IF(circ_int,0,eq_c1/2)-(((56+0.5)*(4*IF(circ_int,0,eq_c1/2)+4*IF(circ_int,0,eq_c2/2)+2*PI()*(s_0+3*s_r+IF(circ_int,eq_c1/2,0)))/INDEX(lk_legs,4))-((2*IF(circ_int,0,eq_c2/2))+(PI()*(s_0+3*s_r+IF(circ_int,eq_c1/2,0))/2))),IF(((56+0.5)*(4*IF(circ_int,0,eq_c1/2)+4*IF(circ_int,0,eq_c2/2)+2*PI()*(s_0+3*s_r+IF(circ_int,eq_c1/2,0)))/INDEX(lk_legs,4))&lt;((((2*IF(circ_int,0,eq_c2/2))+(PI()*(s_0+3*s_r+IF(circ_int,eq_c1/2,0))/2))+2*IF(circ_int,0,eq_c1/2))+(PI()*(s_0+3*s_r+IF(circ_int,eq_c1/2,0))/2)),-IF(circ_int,0,eq_c1/2)+(s_0+3*s_r+IF(circ_int,eq_c1/2,0))*COS(PI()/2+(((56+0.5)*(4*IF(circ_int,0,eq_c1/2)+4*IF(circ_int,0,eq_c2/2)+2*PI()*(s_0+3*s_r+IF(circ_int,eq_c1/2,0)))/INDEX(lk_legs,4))-(((2*IF(circ_int,0,eq_c2/2))+(PI()*(s_0+3*s_r+IF(circ_int,eq_c1/2,0))/2))+2*IF(circ_int,0,eq_c1/2)))/(s_0+3*s_r+IF(circ_int,eq_c1/2,0))),IF(((56+0.5)*(4*IF(circ_int,0,eq_c1/2)+4*IF(circ_int,0,eq_c2/2)+2*PI()*(s_0+3*s_r+IF(circ_int,eq_c1/2,0)))/INDEX(lk_legs,4))&lt;(((((2*IF(circ_int,0,eq_c2/2))+(PI()*(s_0+3*s_r+IF(circ_int,eq_c1/2,0))/2))+2*IF(circ_int,0,eq_c1/2))+(PI()*(s_0+3*s_r+IF(circ_int,eq_c1/2,0))/2))+2*IF(circ_int,0,eq_c2/2)),-IF(circ_int,0,eq_c1/2)-(s_0+3*s_r+IF(circ_int,eq_c1/2,0)),IF(((56+0.5)*(4*IF(circ_int,0,eq_c1/2)+4*IF(circ_int,0,eq_c2/2)+2*PI()*(s_0+3*s_r+IF(circ_int,eq_c1/2,0)))/INDEX(lk_legs,4))&lt;((((((2*IF(circ_int,0,eq_c2/2))+(PI()*(s_0+3*s_r+IF(circ_int,eq_c1/2,0))/2))+2*IF(circ_int,0,eq_c1/2))+(PI()*(s_0+3*s_r+IF(circ_int,eq_c1/2,0))/2))+2*IF(circ_int,0,eq_c2/2))+(PI()*(s_0+3*s_r+IF(circ_int,eq_c1/2,0))/2)),-IF(circ_int,0,eq_c1/2)+(s_0+3*s_r+IF(circ_int,eq_c1/2,0))*COS(PI()+(((56+0.5)*(4*IF(circ_int,0,eq_c1/2)+4*IF(circ_int,0,eq_c2/2)+2*PI()*(s_0+3*s_r+IF(circ_int,eq_c1/2,0)))/INDEX(lk_legs,4))-(((((2*IF(circ_int,0,eq_c2/2))+(PI()*(s_0+3*s_r+IF(circ_int,eq_c1/2,0))/2))+2*IF(circ_int,0,eq_c1/2))+(PI()*(s_0+3*s_r+IF(circ_int,eq_c1/2,0))/2))+2*IF(circ_int,0,eq_c2/2)))/(s_0+3*s_r+IF(circ_int,eq_c1/2,0))),IF(((56+0.5)*(4*IF(circ_int,0,eq_c1/2)+4*IF(circ_int,0,eq_c2/2)+2*PI()*(s_0+3*s_r+IF(circ_int,eq_c1/2,0)))/INDEX(lk_legs,4))&lt;(((((((2*IF(circ_int,0,eq_c2/2))+(PI()*(s_0+3*s_r+IF(circ_int,eq_c1/2,0))/2))+2*IF(circ_int,0,eq_c1/2))+(PI()*(s_0+3*s_r+IF(circ_int,eq_c1/2,0))/2))+2*IF(circ_int,0,eq_c2/2))+(PI()*(s_0+3*s_r+IF(circ_int,eq_c1/2,0))/2))+2*IF(circ_int,0,eq_c1/2)),-IF(circ_int,0,eq_c1/2)+(((56+0.5)*(4*IF(circ_int,0,eq_c1/2)+4*IF(circ_int,0,eq_c2/2)+2*PI()*(s_0+3*s_r+IF(circ_int,eq_c1/2,0)))/INDEX(lk_legs,4))-((((((2*IF(circ_int,0,eq_c2/2))+(PI()*(s_0+3*s_r+IF(circ_int,eq_c1/2,0))/2))+2*IF(circ_int,0,eq_c1/2))+(PI()*(s_0+3*s_r+IF(circ_int,eq_c1/2,0))/2))+2*IF(circ_int,0,eq_c2/2))+(PI()*(s_0+3*s_r+IF(circ_int,eq_c1/2,0))/2))),IF(circ_int,0,eq_c1/2)+(s_0+3*s_r+IF(circ_int,eq_c1/2,0))*COS(3*PI()/2+(((56+0.5)*(4*IF(circ_int,0,eq_c1/2)+4*IF(circ_int,0,eq_c2/2)+2*PI()*(s_0+3*s_r+IF(circ_int,eq_c1/2,0)))/INDEX(lk_legs,4))-(((((((2*IF(circ_int,0,eq_c2/2))+(PI()*(s_0+3*s_r+IF(circ_int,eq_c1/2,0))/2))+2*IF(circ_int,0,eq_c1/2))+(PI()*(s_0+3*s_r+IF(circ_int,eq_c1/2,0))/2))+2*IF(circ_int,0,eq_c2/2))+(PI()*(s_0+3*s_r+IF(circ_int,eq_c1/2,0))/2))+2*IF(circ_int,0,eq_c1/2)))/(s_0+3*s_r+IF(circ_int,eq_c1/2,0)))))))))),NA())</f>
        <v/>
      </c>
      <c r="BS59">
        <f>IF(AND(AND(links_on,4&lt;=n_per),INDEX(lk_kind,4)=1,56&lt;INDEX(lk_legs,4)),g_oy+IF(((56+0.5)*(4*IF(circ_int,0,eq_c1/2)+4*IF(circ_int,0,eq_c2/2)+2*PI()*(s_0+3*s_r+IF(circ_int,eq_c1/2,0)))/INDEX(lk_legs,4))&lt;(2*IF(circ_int,0,eq_c2/2)),-IF(circ_int,0,eq_c2/2)+((56+0.5)*(4*IF(circ_int,0,eq_c1/2)+4*IF(circ_int,0,eq_c2/2)+2*PI()*(s_0+3*s_r+IF(circ_int,eq_c1/2,0)))/INDEX(lk_legs,4)),IF(((56+0.5)*(4*IF(circ_int,0,eq_c1/2)+4*IF(circ_int,0,eq_c2/2)+2*PI()*(s_0+3*s_r+IF(circ_int,eq_c1/2,0)))/INDEX(lk_legs,4))&lt;((2*IF(circ_int,0,eq_c2/2))+(PI()*(s_0+3*s_r+IF(circ_int,eq_c1/2,0))/2)),IF(circ_int,0,eq_c2/2)+(s_0+3*s_r+IF(circ_int,eq_c1/2,0))*SIN((((56+0.5)*(4*IF(circ_int,0,eq_c1/2)+4*IF(circ_int,0,eq_c2/2)+2*PI()*(s_0+3*s_r+IF(circ_int,eq_c1/2,0)))/INDEX(lk_legs,4))-(2*IF(circ_int,0,eq_c2/2)))/(s_0+3*s_r+IF(circ_int,eq_c1/2,0))),IF(((56+0.5)*(4*IF(circ_int,0,eq_c1/2)+4*IF(circ_int,0,eq_c2/2)+2*PI()*(s_0+3*s_r+IF(circ_int,eq_c1/2,0)))/INDEX(lk_legs,4))&lt;(((2*IF(circ_int,0,eq_c2/2))+(PI()*(s_0+3*s_r+IF(circ_int,eq_c1/2,0))/2))+2*IF(circ_int,0,eq_c1/2)),IF(circ_int,0,eq_c2/2)+(s_0+3*s_r+IF(circ_int,eq_c1/2,0)),IF(((56+0.5)*(4*IF(circ_int,0,eq_c1/2)+4*IF(circ_int,0,eq_c2/2)+2*PI()*(s_0+3*s_r+IF(circ_int,eq_c1/2,0)))/INDEX(lk_legs,4))&lt;((((2*IF(circ_int,0,eq_c2/2))+(PI()*(s_0+3*s_r+IF(circ_int,eq_c1/2,0))/2))+2*IF(circ_int,0,eq_c1/2))+(PI()*(s_0+3*s_r+IF(circ_int,eq_c1/2,0))/2)),IF(circ_int,0,eq_c2/2)+(s_0+3*s_r+IF(circ_int,eq_c1/2,0))*SIN(PI()/2+(((56+0.5)*(4*IF(circ_int,0,eq_c1/2)+4*IF(circ_int,0,eq_c2/2)+2*PI()*(s_0+3*s_r+IF(circ_int,eq_c1/2,0)))/INDEX(lk_legs,4))-(((2*IF(circ_int,0,eq_c2/2))+(PI()*(s_0+3*s_r+IF(circ_int,eq_c1/2,0))/2))+2*IF(circ_int,0,eq_c1/2)))/(s_0+3*s_r+IF(circ_int,eq_c1/2,0))),IF(((56+0.5)*(4*IF(circ_int,0,eq_c1/2)+4*IF(circ_int,0,eq_c2/2)+2*PI()*(s_0+3*s_r+IF(circ_int,eq_c1/2,0)))/INDEX(lk_legs,4))&lt;(((((2*IF(circ_int,0,eq_c2/2))+(PI()*(s_0+3*s_r+IF(circ_int,eq_c1/2,0))/2))+2*IF(circ_int,0,eq_c1/2))+(PI()*(s_0+3*s_r+IF(circ_int,eq_c1/2,0))/2))+2*IF(circ_int,0,eq_c2/2)),IF(circ_int,0,eq_c2/2)-(((56+0.5)*(4*IF(circ_int,0,eq_c1/2)+4*IF(circ_int,0,eq_c2/2)+2*PI()*(s_0+3*s_r+IF(circ_int,eq_c1/2,0)))/INDEX(lk_legs,4))-((((2*IF(circ_int,0,eq_c2/2))+(PI()*(s_0+3*s_r+IF(circ_int,eq_c1/2,0))/2))+2*IF(circ_int,0,eq_c1/2))+(PI()*(s_0+3*s_r+IF(circ_int,eq_c1/2,0))/2))),IF(((56+0.5)*(4*IF(circ_int,0,eq_c1/2)+4*IF(circ_int,0,eq_c2/2)+2*PI()*(s_0+3*s_r+IF(circ_int,eq_c1/2,0)))/INDEX(lk_legs,4))&lt;((((((2*IF(circ_int,0,eq_c2/2))+(PI()*(s_0+3*s_r+IF(circ_int,eq_c1/2,0))/2))+2*IF(circ_int,0,eq_c1/2))+(PI()*(s_0+3*s_r+IF(circ_int,eq_c1/2,0))/2))+2*IF(circ_int,0,eq_c2/2))+(PI()*(s_0+3*s_r+IF(circ_int,eq_c1/2,0))/2)),-IF(circ_int,0,eq_c2/2)+(s_0+3*s_r+IF(circ_int,eq_c1/2,0))*SIN(PI()+(((56+0.5)*(4*IF(circ_int,0,eq_c1/2)+4*IF(circ_int,0,eq_c2/2)+2*PI()*(s_0+3*s_r+IF(circ_int,eq_c1/2,0)))/INDEX(lk_legs,4))-(((((2*IF(circ_int,0,eq_c2/2))+(PI()*(s_0+3*s_r+IF(circ_int,eq_c1/2,0))/2))+2*IF(circ_int,0,eq_c1/2))+(PI()*(s_0+3*s_r+IF(circ_int,eq_c1/2,0))/2))+2*IF(circ_int,0,eq_c2/2)))/(s_0+3*s_r+IF(circ_int,eq_c1/2,0))),IF(((56+0.5)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(56+0.5)*(4*IF(circ_int,0,eq_c1/2)+4*IF(circ_int,0,eq_c2/2)+2*PI()*(s_0+3*s_r+IF(circ_int,eq_c1/2,0)))/INDEX(lk_legs,4))-(((((((2*IF(circ_int,0,eq_c2/2))+(PI()*(s_0+3*s_r+IF(circ_int,eq_c1/2,0))/2))+2*IF(circ_int,0,eq_c1/2))+(PI()*(s_0+3*s_r+IF(circ_int,eq_c1/2,0))/2))+2*IF(circ_int,0,eq_c2/2))+(PI()*(s_0+3*s_r+IF(circ_int,eq_c1/2,0))/2))+2*IF(circ_int,0,eq_c1/2)))/(s_0+3*s_r+IF(circ_int,eq_c1/2,0)))))))))),NA())</f>
        <v/>
      </c>
      <c r="BX59">
        <f>IF(AND(AND(links_on,5&lt;=n_per),INDEX(lk_kind,5)=1,56&lt;INDEX(lk_legs,5)),g_ox+IF(((56+0.5)*(4*IF(circ_int,0,eq_c1/2)+4*IF(circ_int,0,eq_c2/2)+2*PI()*(s_0+4*s_r+IF(circ_int,eq_c1/2,0)))/INDEX(lk_legs,5))&lt;(2*IF(circ_int,0,eq_c2/2)),IF(circ_int,0,eq_c1/2)+(s_0+4*s_r+IF(circ_int,eq_c1/2,0)),IF(((56+0.5)*(4*IF(circ_int,0,eq_c1/2)+4*IF(circ_int,0,eq_c2/2)+2*PI()*(s_0+4*s_r+IF(circ_int,eq_c1/2,0)))/INDEX(lk_legs,5))&lt;((2*IF(circ_int,0,eq_c2/2))+(PI()*(s_0+4*s_r+IF(circ_int,eq_c1/2,0))/2)),IF(circ_int,0,eq_c1/2)+(s_0+4*s_r+IF(circ_int,eq_c1/2,0))*COS((((56+0.5)*(4*IF(circ_int,0,eq_c1/2)+4*IF(circ_int,0,eq_c2/2)+2*PI()*(s_0+4*s_r+IF(circ_int,eq_c1/2,0)))/INDEX(lk_legs,5))-(2*IF(circ_int,0,eq_c2/2)))/(s_0+4*s_r+IF(circ_int,eq_c1/2,0))),IF(((56+0.5)*(4*IF(circ_int,0,eq_c1/2)+4*IF(circ_int,0,eq_c2/2)+2*PI()*(s_0+4*s_r+IF(circ_int,eq_c1/2,0)))/INDEX(lk_legs,5))&lt;(((2*IF(circ_int,0,eq_c2/2))+(PI()*(s_0+4*s_r+IF(circ_int,eq_c1/2,0))/2))+2*IF(circ_int,0,eq_c1/2)),IF(circ_int,0,eq_c1/2)-(((56+0.5)*(4*IF(circ_int,0,eq_c1/2)+4*IF(circ_int,0,eq_c2/2)+2*PI()*(s_0+4*s_r+IF(circ_int,eq_c1/2,0)))/INDEX(lk_legs,5))-((2*IF(circ_int,0,eq_c2/2))+(PI()*(s_0+4*s_r+IF(circ_int,eq_c1/2,0))/2))),IF(((56+0.5)*(4*IF(circ_int,0,eq_c1/2)+4*IF(circ_int,0,eq_c2/2)+2*PI()*(s_0+4*s_r+IF(circ_int,eq_c1/2,0)))/INDEX(lk_legs,5))&lt;((((2*IF(circ_int,0,eq_c2/2))+(PI()*(s_0+4*s_r+IF(circ_int,eq_c1/2,0))/2))+2*IF(circ_int,0,eq_c1/2))+(PI()*(s_0+4*s_r+IF(circ_int,eq_c1/2,0))/2)),-IF(circ_int,0,eq_c1/2)+(s_0+4*s_r+IF(circ_int,eq_c1/2,0))*COS(PI()/2+(((56+0.5)*(4*IF(circ_int,0,eq_c1/2)+4*IF(circ_int,0,eq_c2/2)+2*PI()*(s_0+4*s_r+IF(circ_int,eq_c1/2,0)))/INDEX(lk_legs,5))-(((2*IF(circ_int,0,eq_c2/2))+(PI()*(s_0+4*s_r+IF(circ_int,eq_c1/2,0))/2))+2*IF(circ_int,0,eq_c1/2)))/(s_0+4*s_r+IF(circ_int,eq_c1/2,0))),IF(((56+0.5)*(4*IF(circ_int,0,eq_c1/2)+4*IF(circ_int,0,eq_c2/2)+2*PI()*(s_0+4*s_r+IF(circ_int,eq_c1/2,0)))/INDEX(lk_legs,5))&lt;(((((2*IF(circ_int,0,eq_c2/2))+(PI()*(s_0+4*s_r+IF(circ_int,eq_c1/2,0))/2))+2*IF(circ_int,0,eq_c1/2))+(PI()*(s_0+4*s_r+IF(circ_int,eq_c1/2,0))/2))+2*IF(circ_int,0,eq_c2/2)),-IF(circ_int,0,eq_c1/2)-(s_0+4*s_r+IF(circ_int,eq_c1/2,0)),IF(((56+0.5)*(4*IF(circ_int,0,eq_c1/2)+4*IF(circ_int,0,eq_c2/2)+2*PI()*(s_0+4*s_r+IF(circ_int,eq_c1/2,0)))/INDEX(lk_legs,5))&lt;((((((2*IF(circ_int,0,eq_c2/2))+(PI()*(s_0+4*s_r+IF(circ_int,eq_c1/2,0))/2))+2*IF(circ_int,0,eq_c1/2))+(PI()*(s_0+4*s_r+IF(circ_int,eq_c1/2,0))/2))+2*IF(circ_int,0,eq_c2/2))+(PI()*(s_0+4*s_r+IF(circ_int,eq_c1/2,0))/2)),-IF(circ_int,0,eq_c1/2)+(s_0+4*s_r+IF(circ_int,eq_c1/2,0))*COS(PI()+(((56+0.5)*(4*IF(circ_int,0,eq_c1/2)+4*IF(circ_int,0,eq_c2/2)+2*PI()*(s_0+4*s_r+IF(circ_int,eq_c1/2,0)))/INDEX(lk_legs,5))-(((((2*IF(circ_int,0,eq_c2/2))+(PI()*(s_0+4*s_r+IF(circ_int,eq_c1/2,0))/2))+2*IF(circ_int,0,eq_c1/2))+(PI()*(s_0+4*s_r+IF(circ_int,eq_c1/2,0))/2))+2*IF(circ_int,0,eq_c2/2)))/(s_0+4*s_r+IF(circ_int,eq_c1/2,0))),IF(((56+0.5)*(4*IF(circ_int,0,eq_c1/2)+4*IF(circ_int,0,eq_c2/2)+2*PI()*(s_0+4*s_r+IF(circ_int,eq_c1/2,0)))/INDEX(lk_legs,5))&lt;(((((((2*IF(circ_int,0,eq_c2/2))+(PI()*(s_0+4*s_r+IF(circ_int,eq_c1/2,0))/2))+2*IF(circ_int,0,eq_c1/2))+(PI()*(s_0+4*s_r+IF(circ_int,eq_c1/2,0))/2))+2*IF(circ_int,0,eq_c2/2))+(PI()*(s_0+4*s_r+IF(circ_int,eq_c1/2,0))/2))+2*IF(circ_int,0,eq_c1/2)),-IF(circ_int,0,eq_c1/2)+(((56+0.5)*(4*IF(circ_int,0,eq_c1/2)+4*IF(circ_int,0,eq_c2/2)+2*PI()*(s_0+4*s_r+IF(circ_int,eq_c1/2,0)))/INDEX(lk_legs,5))-((((((2*IF(circ_int,0,eq_c2/2))+(PI()*(s_0+4*s_r+IF(circ_int,eq_c1/2,0))/2))+2*IF(circ_int,0,eq_c1/2))+(PI()*(s_0+4*s_r+IF(circ_int,eq_c1/2,0))/2))+2*IF(circ_int,0,eq_c2/2))+(PI()*(s_0+4*s_r+IF(circ_int,eq_c1/2,0))/2))),IF(circ_int,0,eq_c1/2)+(s_0+4*s_r+IF(circ_int,eq_c1/2,0))*COS(3*PI()/2+(((56+0.5)*(4*IF(circ_int,0,eq_c1/2)+4*IF(circ_int,0,eq_c2/2)+2*PI()*(s_0+4*s_r+IF(circ_int,eq_c1/2,0)))/INDEX(lk_legs,5))-(((((((2*IF(circ_int,0,eq_c2/2))+(PI()*(s_0+4*s_r+IF(circ_int,eq_c1/2,0))/2))+2*IF(circ_int,0,eq_c1/2))+(PI()*(s_0+4*s_r+IF(circ_int,eq_c1/2,0))/2))+2*IF(circ_int,0,eq_c2/2))+(PI()*(s_0+4*s_r+IF(circ_int,eq_c1/2,0))/2))+2*IF(circ_int,0,eq_c1/2)))/(s_0+4*s_r+IF(circ_int,eq_c1/2,0)))))))))),NA())</f>
        <v/>
      </c>
      <c r="BY59">
        <f>IF(AND(AND(links_on,5&lt;=n_per),INDEX(lk_kind,5)=1,56&lt;INDEX(lk_legs,5)),g_oy+IF(((56+0.5)*(4*IF(circ_int,0,eq_c1/2)+4*IF(circ_int,0,eq_c2/2)+2*PI()*(s_0+4*s_r+IF(circ_int,eq_c1/2,0)))/INDEX(lk_legs,5))&lt;(2*IF(circ_int,0,eq_c2/2)),-IF(circ_int,0,eq_c2/2)+((56+0.5)*(4*IF(circ_int,0,eq_c1/2)+4*IF(circ_int,0,eq_c2/2)+2*PI()*(s_0+4*s_r+IF(circ_int,eq_c1/2,0)))/INDEX(lk_legs,5)),IF(((56+0.5)*(4*IF(circ_int,0,eq_c1/2)+4*IF(circ_int,0,eq_c2/2)+2*PI()*(s_0+4*s_r+IF(circ_int,eq_c1/2,0)))/INDEX(lk_legs,5))&lt;((2*IF(circ_int,0,eq_c2/2))+(PI()*(s_0+4*s_r+IF(circ_int,eq_c1/2,0))/2)),IF(circ_int,0,eq_c2/2)+(s_0+4*s_r+IF(circ_int,eq_c1/2,0))*SIN((((56+0.5)*(4*IF(circ_int,0,eq_c1/2)+4*IF(circ_int,0,eq_c2/2)+2*PI()*(s_0+4*s_r+IF(circ_int,eq_c1/2,0)))/INDEX(lk_legs,5))-(2*IF(circ_int,0,eq_c2/2)))/(s_0+4*s_r+IF(circ_int,eq_c1/2,0))),IF(((56+0.5)*(4*IF(circ_int,0,eq_c1/2)+4*IF(circ_int,0,eq_c2/2)+2*PI()*(s_0+4*s_r+IF(circ_int,eq_c1/2,0)))/INDEX(lk_legs,5))&lt;(((2*IF(circ_int,0,eq_c2/2))+(PI()*(s_0+4*s_r+IF(circ_int,eq_c1/2,0))/2))+2*IF(circ_int,0,eq_c1/2)),IF(circ_int,0,eq_c2/2)+(s_0+4*s_r+IF(circ_int,eq_c1/2,0)),IF(((56+0.5)*(4*IF(circ_int,0,eq_c1/2)+4*IF(circ_int,0,eq_c2/2)+2*PI()*(s_0+4*s_r+IF(circ_int,eq_c1/2,0)))/INDEX(lk_legs,5))&lt;((((2*IF(circ_int,0,eq_c2/2))+(PI()*(s_0+4*s_r+IF(circ_int,eq_c1/2,0))/2))+2*IF(circ_int,0,eq_c1/2))+(PI()*(s_0+4*s_r+IF(circ_int,eq_c1/2,0))/2)),IF(circ_int,0,eq_c2/2)+(s_0+4*s_r+IF(circ_int,eq_c1/2,0))*SIN(PI()/2+(((56+0.5)*(4*IF(circ_int,0,eq_c1/2)+4*IF(circ_int,0,eq_c2/2)+2*PI()*(s_0+4*s_r+IF(circ_int,eq_c1/2,0)))/INDEX(lk_legs,5))-(((2*IF(circ_int,0,eq_c2/2))+(PI()*(s_0+4*s_r+IF(circ_int,eq_c1/2,0))/2))+2*IF(circ_int,0,eq_c1/2)))/(s_0+4*s_r+IF(circ_int,eq_c1/2,0))),IF(((56+0.5)*(4*IF(circ_int,0,eq_c1/2)+4*IF(circ_int,0,eq_c2/2)+2*PI()*(s_0+4*s_r+IF(circ_int,eq_c1/2,0)))/INDEX(lk_legs,5))&lt;(((((2*IF(circ_int,0,eq_c2/2))+(PI()*(s_0+4*s_r+IF(circ_int,eq_c1/2,0))/2))+2*IF(circ_int,0,eq_c1/2))+(PI()*(s_0+4*s_r+IF(circ_int,eq_c1/2,0))/2))+2*IF(circ_int,0,eq_c2/2)),IF(circ_int,0,eq_c2/2)-(((56+0.5)*(4*IF(circ_int,0,eq_c1/2)+4*IF(circ_int,0,eq_c2/2)+2*PI()*(s_0+4*s_r+IF(circ_int,eq_c1/2,0)))/INDEX(lk_legs,5))-((((2*IF(circ_int,0,eq_c2/2))+(PI()*(s_0+4*s_r+IF(circ_int,eq_c1/2,0))/2))+2*IF(circ_int,0,eq_c1/2))+(PI()*(s_0+4*s_r+IF(circ_int,eq_c1/2,0))/2))),IF(((56+0.5)*(4*IF(circ_int,0,eq_c1/2)+4*IF(circ_int,0,eq_c2/2)+2*PI()*(s_0+4*s_r+IF(circ_int,eq_c1/2,0)))/INDEX(lk_legs,5))&lt;((((((2*IF(circ_int,0,eq_c2/2))+(PI()*(s_0+4*s_r+IF(circ_int,eq_c1/2,0))/2))+2*IF(circ_int,0,eq_c1/2))+(PI()*(s_0+4*s_r+IF(circ_int,eq_c1/2,0))/2))+2*IF(circ_int,0,eq_c2/2))+(PI()*(s_0+4*s_r+IF(circ_int,eq_c1/2,0))/2)),-IF(circ_int,0,eq_c2/2)+(s_0+4*s_r+IF(circ_int,eq_c1/2,0))*SIN(PI()+(((56+0.5)*(4*IF(circ_int,0,eq_c1/2)+4*IF(circ_int,0,eq_c2/2)+2*PI()*(s_0+4*s_r+IF(circ_int,eq_c1/2,0)))/INDEX(lk_legs,5))-(((((2*IF(circ_int,0,eq_c2/2))+(PI()*(s_0+4*s_r+IF(circ_int,eq_c1/2,0))/2))+2*IF(circ_int,0,eq_c1/2))+(PI()*(s_0+4*s_r+IF(circ_int,eq_c1/2,0))/2))+2*IF(circ_int,0,eq_c2/2)))/(s_0+4*s_r+IF(circ_int,eq_c1/2,0))),IF(((56+0.5)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(56+0.5)*(4*IF(circ_int,0,eq_c1/2)+4*IF(circ_int,0,eq_c2/2)+2*PI()*(s_0+4*s_r+IF(circ_int,eq_c1/2,0)))/INDEX(lk_legs,5))-(((((((2*IF(circ_int,0,eq_c2/2))+(PI()*(s_0+4*s_r+IF(circ_int,eq_c1/2,0))/2))+2*IF(circ_int,0,eq_c1/2))+(PI()*(s_0+4*s_r+IF(circ_int,eq_c1/2,0))/2))+2*IF(circ_int,0,eq_c2/2))+(PI()*(s_0+4*s_r+IF(circ_int,eq_c1/2,0))/2))+2*IF(circ_int,0,eq_c1/2)))/(s_0+4*s_r+IF(circ_int,eq_c1/2,0)))))))))),NA())</f>
        <v/>
      </c>
      <c r="CD59">
        <f>IF(AND(AND(links_on,6&lt;=n_per),INDEX(lk_kind,6)=1,56&lt;INDEX(lk_legs,6)),g_ox+IF(((56+0.5)*(4*IF(circ_int,0,eq_c1/2)+4*IF(circ_int,0,eq_c2/2)+2*PI()*(s_0+5*s_r+IF(circ_int,eq_c1/2,0)))/INDEX(lk_legs,6))&lt;(2*IF(circ_int,0,eq_c2/2)),IF(circ_int,0,eq_c1/2)+(s_0+5*s_r+IF(circ_int,eq_c1/2,0)),IF(((56+0.5)*(4*IF(circ_int,0,eq_c1/2)+4*IF(circ_int,0,eq_c2/2)+2*PI()*(s_0+5*s_r+IF(circ_int,eq_c1/2,0)))/INDEX(lk_legs,6))&lt;((2*IF(circ_int,0,eq_c2/2))+(PI()*(s_0+5*s_r+IF(circ_int,eq_c1/2,0))/2)),IF(circ_int,0,eq_c1/2)+(s_0+5*s_r+IF(circ_int,eq_c1/2,0))*COS((((56+0.5)*(4*IF(circ_int,0,eq_c1/2)+4*IF(circ_int,0,eq_c2/2)+2*PI()*(s_0+5*s_r+IF(circ_int,eq_c1/2,0)))/INDEX(lk_legs,6))-(2*IF(circ_int,0,eq_c2/2)))/(s_0+5*s_r+IF(circ_int,eq_c1/2,0))),IF(((56+0.5)*(4*IF(circ_int,0,eq_c1/2)+4*IF(circ_int,0,eq_c2/2)+2*PI()*(s_0+5*s_r+IF(circ_int,eq_c1/2,0)))/INDEX(lk_legs,6))&lt;(((2*IF(circ_int,0,eq_c2/2))+(PI()*(s_0+5*s_r+IF(circ_int,eq_c1/2,0))/2))+2*IF(circ_int,0,eq_c1/2)),IF(circ_int,0,eq_c1/2)-(((56+0.5)*(4*IF(circ_int,0,eq_c1/2)+4*IF(circ_int,0,eq_c2/2)+2*PI()*(s_0+5*s_r+IF(circ_int,eq_c1/2,0)))/INDEX(lk_legs,6))-((2*IF(circ_int,0,eq_c2/2))+(PI()*(s_0+5*s_r+IF(circ_int,eq_c1/2,0))/2))),IF(((56+0.5)*(4*IF(circ_int,0,eq_c1/2)+4*IF(circ_int,0,eq_c2/2)+2*PI()*(s_0+5*s_r+IF(circ_int,eq_c1/2,0)))/INDEX(lk_legs,6))&lt;((((2*IF(circ_int,0,eq_c2/2))+(PI()*(s_0+5*s_r+IF(circ_int,eq_c1/2,0))/2))+2*IF(circ_int,0,eq_c1/2))+(PI()*(s_0+5*s_r+IF(circ_int,eq_c1/2,0))/2)),-IF(circ_int,0,eq_c1/2)+(s_0+5*s_r+IF(circ_int,eq_c1/2,0))*COS(PI()/2+(((56+0.5)*(4*IF(circ_int,0,eq_c1/2)+4*IF(circ_int,0,eq_c2/2)+2*PI()*(s_0+5*s_r+IF(circ_int,eq_c1/2,0)))/INDEX(lk_legs,6))-(((2*IF(circ_int,0,eq_c2/2))+(PI()*(s_0+5*s_r+IF(circ_int,eq_c1/2,0))/2))+2*IF(circ_int,0,eq_c1/2)))/(s_0+5*s_r+IF(circ_int,eq_c1/2,0))),IF(((56+0.5)*(4*IF(circ_int,0,eq_c1/2)+4*IF(circ_int,0,eq_c2/2)+2*PI()*(s_0+5*s_r+IF(circ_int,eq_c1/2,0)))/INDEX(lk_legs,6))&lt;(((((2*IF(circ_int,0,eq_c2/2))+(PI()*(s_0+5*s_r+IF(circ_int,eq_c1/2,0))/2))+2*IF(circ_int,0,eq_c1/2))+(PI()*(s_0+5*s_r+IF(circ_int,eq_c1/2,0))/2))+2*IF(circ_int,0,eq_c2/2)),-IF(circ_int,0,eq_c1/2)-(s_0+5*s_r+IF(circ_int,eq_c1/2,0)),IF(((56+0.5)*(4*IF(circ_int,0,eq_c1/2)+4*IF(circ_int,0,eq_c2/2)+2*PI()*(s_0+5*s_r+IF(circ_int,eq_c1/2,0)))/INDEX(lk_legs,6))&lt;((((((2*IF(circ_int,0,eq_c2/2))+(PI()*(s_0+5*s_r+IF(circ_int,eq_c1/2,0))/2))+2*IF(circ_int,0,eq_c1/2))+(PI()*(s_0+5*s_r+IF(circ_int,eq_c1/2,0))/2))+2*IF(circ_int,0,eq_c2/2))+(PI()*(s_0+5*s_r+IF(circ_int,eq_c1/2,0))/2)),-IF(circ_int,0,eq_c1/2)+(s_0+5*s_r+IF(circ_int,eq_c1/2,0))*COS(PI()+(((56+0.5)*(4*IF(circ_int,0,eq_c1/2)+4*IF(circ_int,0,eq_c2/2)+2*PI()*(s_0+5*s_r+IF(circ_int,eq_c1/2,0)))/INDEX(lk_legs,6))-(((((2*IF(circ_int,0,eq_c2/2))+(PI()*(s_0+5*s_r+IF(circ_int,eq_c1/2,0))/2))+2*IF(circ_int,0,eq_c1/2))+(PI()*(s_0+5*s_r+IF(circ_int,eq_c1/2,0))/2))+2*IF(circ_int,0,eq_c2/2)))/(s_0+5*s_r+IF(circ_int,eq_c1/2,0))),IF(((56+0.5)*(4*IF(circ_int,0,eq_c1/2)+4*IF(circ_int,0,eq_c2/2)+2*PI()*(s_0+5*s_r+IF(circ_int,eq_c1/2,0)))/INDEX(lk_legs,6))&lt;(((((((2*IF(circ_int,0,eq_c2/2))+(PI()*(s_0+5*s_r+IF(circ_int,eq_c1/2,0))/2))+2*IF(circ_int,0,eq_c1/2))+(PI()*(s_0+5*s_r+IF(circ_int,eq_c1/2,0))/2))+2*IF(circ_int,0,eq_c2/2))+(PI()*(s_0+5*s_r+IF(circ_int,eq_c1/2,0))/2))+2*IF(circ_int,0,eq_c1/2)),-IF(circ_int,0,eq_c1/2)+(((56+0.5)*(4*IF(circ_int,0,eq_c1/2)+4*IF(circ_int,0,eq_c2/2)+2*PI()*(s_0+5*s_r+IF(circ_int,eq_c1/2,0)))/INDEX(lk_legs,6))-((((((2*IF(circ_int,0,eq_c2/2))+(PI()*(s_0+5*s_r+IF(circ_int,eq_c1/2,0))/2))+2*IF(circ_int,0,eq_c1/2))+(PI()*(s_0+5*s_r+IF(circ_int,eq_c1/2,0))/2))+2*IF(circ_int,0,eq_c2/2))+(PI()*(s_0+5*s_r+IF(circ_int,eq_c1/2,0))/2))),IF(circ_int,0,eq_c1/2)+(s_0+5*s_r+IF(circ_int,eq_c1/2,0))*COS(3*PI()/2+(((56+0.5)*(4*IF(circ_int,0,eq_c1/2)+4*IF(circ_int,0,eq_c2/2)+2*PI()*(s_0+5*s_r+IF(circ_int,eq_c1/2,0)))/INDEX(lk_legs,6))-(((((((2*IF(circ_int,0,eq_c2/2))+(PI()*(s_0+5*s_r+IF(circ_int,eq_c1/2,0))/2))+2*IF(circ_int,0,eq_c1/2))+(PI()*(s_0+5*s_r+IF(circ_int,eq_c1/2,0))/2))+2*IF(circ_int,0,eq_c2/2))+(PI()*(s_0+5*s_r+IF(circ_int,eq_c1/2,0))/2))+2*IF(circ_int,0,eq_c1/2)))/(s_0+5*s_r+IF(circ_int,eq_c1/2,0)))))))))),NA())</f>
        <v/>
      </c>
      <c r="CE59">
        <f>IF(AND(AND(links_on,6&lt;=n_per),INDEX(lk_kind,6)=1,56&lt;INDEX(lk_legs,6)),g_oy+IF(((56+0.5)*(4*IF(circ_int,0,eq_c1/2)+4*IF(circ_int,0,eq_c2/2)+2*PI()*(s_0+5*s_r+IF(circ_int,eq_c1/2,0)))/INDEX(lk_legs,6))&lt;(2*IF(circ_int,0,eq_c2/2)),-IF(circ_int,0,eq_c2/2)+((56+0.5)*(4*IF(circ_int,0,eq_c1/2)+4*IF(circ_int,0,eq_c2/2)+2*PI()*(s_0+5*s_r+IF(circ_int,eq_c1/2,0)))/INDEX(lk_legs,6)),IF(((56+0.5)*(4*IF(circ_int,0,eq_c1/2)+4*IF(circ_int,0,eq_c2/2)+2*PI()*(s_0+5*s_r+IF(circ_int,eq_c1/2,0)))/INDEX(lk_legs,6))&lt;((2*IF(circ_int,0,eq_c2/2))+(PI()*(s_0+5*s_r+IF(circ_int,eq_c1/2,0))/2)),IF(circ_int,0,eq_c2/2)+(s_0+5*s_r+IF(circ_int,eq_c1/2,0))*SIN((((56+0.5)*(4*IF(circ_int,0,eq_c1/2)+4*IF(circ_int,0,eq_c2/2)+2*PI()*(s_0+5*s_r+IF(circ_int,eq_c1/2,0)))/INDEX(lk_legs,6))-(2*IF(circ_int,0,eq_c2/2)))/(s_0+5*s_r+IF(circ_int,eq_c1/2,0))),IF(((56+0.5)*(4*IF(circ_int,0,eq_c1/2)+4*IF(circ_int,0,eq_c2/2)+2*PI()*(s_0+5*s_r+IF(circ_int,eq_c1/2,0)))/INDEX(lk_legs,6))&lt;(((2*IF(circ_int,0,eq_c2/2))+(PI()*(s_0+5*s_r+IF(circ_int,eq_c1/2,0))/2))+2*IF(circ_int,0,eq_c1/2)),IF(circ_int,0,eq_c2/2)+(s_0+5*s_r+IF(circ_int,eq_c1/2,0)),IF(((56+0.5)*(4*IF(circ_int,0,eq_c1/2)+4*IF(circ_int,0,eq_c2/2)+2*PI()*(s_0+5*s_r+IF(circ_int,eq_c1/2,0)))/INDEX(lk_legs,6))&lt;((((2*IF(circ_int,0,eq_c2/2))+(PI()*(s_0+5*s_r+IF(circ_int,eq_c1/2,0))/2))+2*IF(circ_int,0,eq_c1/2))+(PI()*(s_0+5*s_r+IF(circ_int,eq_c1/2,0))/2)),IF(circ_int,0,eq_c2/2)+(s_0+5*s_r+IF(circ_int,eq_c1/2,0))*SIN(PI()/2+(((56+0.5)*(4*IF(circ_int,0,eq_c1/2)+4*IF(circ_int,0,eq_c2/2)+2*PI()*(s_0+5*s_r+IF(circ_int,eq_c1/2,0)))/INDEX(lk_legs,6))-(((2*IF(circ_int,0,eq_c2/2))+(PI()*(s_0+5*s_r+IF(circ_int,eq_c1/2,0))/2))+2*IF(circ_int,0,eq_c1/2)))/(s_0+5*s_r+IF(circ_int,eq_c1/2,0))),IF(((56+0.5)*(4*IF(circ_int,0,eq_c1/2)+4*IF(circ_int,0,eq_c2/2)+2*PI()*(s_0+5*s_r+IF(circ_int,eq_c1/2,0)))/INDEX(lk_legs,6))&lt;(((((2*IF(circ_int,0,eq_c2/2))+(PI()*(s_0+5*s_r+IF(circ_int,eq_c1/2,0))/2))+2*IF(circ_int,0,eq_c1/2))+(PI()*(s_0+5*s_r+IF(circ_int,eq_c1/2,0))/2))+2*IF(circ_int,0,eq_c2/2)),IF(circ_int,0,eq_c2/2)-(((56+0.5)*(4*IF(circ_int,0,eq_c1/2)+4*IF(circ_int,0,eq_c2/2)+2*PI()*(s_0+5*s_r+IF(circ_int,eq_c1/2,0)))/INDEX(lk_legs,6))-((((2*IF(circ_int,0,eq_c2/2))+(PI()*(s_0+5*s_r+IF(circ_int,eq_c1/2,0))/2))+2*IF(circ_int,0,eq_c1/2))+(PI()*(s_0+5*s_r+IF(circ_int,eq_c1/2,0))/2))),IF(((56+0.5)*(4*IF(circ_int,0,eq_c1/2)+4*IF(circ_int,0,eq_c2/2)+2*PI()*(s_0+5*s_r+IF(circ_int,eq_c1/2,0)))/INDEX(lk_legs,6))&lt;((((((2*IF(circ_int,0,eq_c2/2))+(PI()*(s_0+5*s_r+IF(circ_int,eq_c1/2,0))/2))+2*IF(circ_int,0,eq_c1/2))+(PI()*(s_0+5*s_r+IF(circ_int,eq_c1/2,0))/2))+2*IF(circ_int,0,eq_c2/2))+(PI()*(s_0+5*s_r+IF(circ_int,eq_c1/2,0))/2)),-IF(circ_int,0,eq_c2/2)+(s_0+5*s_r+IF(circ_int,eq_c1/2,0))*SIN(PI()+(((56+0.5)*(4*IF(circ_int,0,eq_c1/2)+4*IF(circ_int,0,eq_c2/2)+2*PI()*(s_0+5*s_r+IF(circ_int,eq_c1/2,0)))/INDEX(lk_legs,6))-(((((2*IF(circ_int,0,eq_c2/2))+(PI()*(s_0+5*s_r+IF(circ_int,eq_c1/2,0))/2))+2*IF(circ_int,0,eq_c1/2))+(PI()*(s_0+5*s_r+IF(circ_int,eq_c1/2,0))/2))+2*IF(circ_int,0,eq_c2/2)))/(s_0+5*s_r+IF(circ_int,eq_c1/2,0))),IF(((56+0.5)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(56+0.5)*(4*IF(circ_int,0,eq_c1/2)+4*IF(circ_int,0,eq_c2/2)+2*PI()*(s_0+5*s_r+IF(circ_int,eq_c1/2,0)))/INDEX(lk_legs,6))-(((((((2*IF(circ_int,0,eq_c2/2))+(PI()*(s_0+5*s_r+IF(circ_int,eq_c1/2,0))/2))+2*IF(circ_int,0,eq_c1/2))+(PI()*(s_0+5*s_r+IF(circ_int,eq_c1/2,0))/2))+2*IF(circ_int,0,eq_c2/2))+(PI()*(s_0+5*s_r+IF(circ_int,eq_c1/2,0))/2))+2*IF(circ_int,0,eq_c1/2)))/(s_0+5*s_r+IF(circ_int,eq_c1/2,0)))))))))),NA())</f>
        <v/>
      </c>
      <c r="CJ59">
        <f>IF(AND(AND(links_on,7&lt;=n_per),INDEX(lk_kind,7)=1,56&lt;INDEX(lk_legs,7)),g_ox+IF(((56+0.5)*(4*IF(circ_int,0,eq_c1/2)+4*IF(circ_int,0,eq_c2/2)+2*PI()*(s_0+6*s_r+IF(circ_int,eq_c1/2,0)))/INDEX(lk_legs,7))&lt;(2*IF(circ_int,0,eq_c2/2)),IF(circ_int,0,eq_c1/2)+(s_0+6*s_r+IF(circ_int,eq_c1/2,0)),IF(((56+0.5)*(4*IF(circ_int,0,eq_c1/2)+4*IF(circ_int,0,eq_c2/2)+2*PI()*(s_0+6*s_r+IF(circ_int,eq_c1/2,0)))/INDEX(lk_legs,7))&lt;((2*IF(circ_int,0,eq_c2/2))+(PI()*(s_0+6*s_r+IF(circ_int,eq_c1/2,0))/2)),IF(circ_int,0,eq_c1/2)+(s_0+6*s_r+IF(circ_int,eq_c1/2,0))*COS((((56+0.5)*(4*IF(circ_int,0,eq_c1/2)+4*IF(circ_int,0,eq_c2/2)+2*PI()*(s_0+6*s_r+IF(circ_int,eq_c1/2,0)))/INDEX(lk_legs,7))-(2*IF(circ_int,0,eq_c2/2)))/(s_0+6*s_r+IF(circ_int,eq_c1/2,0))),IF(((56+0.5)*(4*IF(circ_int,0,eq_c1/2)+4*IF(circ_int,0,eq_c2/2)+2*PI()*(s_0+6*s_r+IF(circ_int,eq_c1/2,0)))/INDEX(lk_legs,7))&lt;(((2*IF(circ_int,0,eq_c2/2))+(PI()*(s_0+6*s_r+IF(circ_int,eq_c1/2,0))/2))+2*IF(circ_int,0,eq_c1/2)),IF(circ_int,0,eq_c1/2)-(((56+0.5)*(4*IF(circ_int,0,eq_c1/2)+4*IF(circ_int,0,eq_c2/2)+2*PI()*(s_0+6*s_r+IF(circ_int,eq_c1/2,0)))/INDEX(lk_legs,7))-((2*IF(circ_int,0,eq_c2/2))+(PI()*(s_0+6*s_r+IF(circ_int,eq_c1/2,0))/2))),IF(((56+0.5)*(4*IF(circ_int,0,eq_c1/2)+4*IF(circ_int,0,eq_c2/2)+2*PI()*(s_0+6*s_r+IF(circ_int,eq_c1/2,0)))/INDEX(lk_legs,7))&lt;((((2*IF(circ_int,0,eq_c2/2))+(PI()*(s_0+6*s_r+IF(circ_int,eq_c1/2,0))/2))+2*IF(circ_int,0,eq_c1/2))+(PI()*(s_0+6*s_r+IF(circ_int,eq_c1/2,0))/2)),-IF(circ_int,0,eq_c1/2)+(s_0+6*s_r+IF(circ_int,eq_c1/2,0))*COS(PI()/2+(((56+0.5)*(4*IF(circ_int,0,eq_c1/2)+4*IF(circ_int,0,eq_c2/2)+2*PI()*(s_0+6*s_r+IF(circ_int,eq_c1/2,0)))/INDEX(lk_legs,7))-(((2*IF(circ_int,0,eq_c2/2))+(PI()*(s_0+6*s_r+IF(circ_int,eq_c1/2,0))/2))+2*IF(circ_int,0,eq_c1/2)))/(s_0+6*s_r+IF(circ_int,eq_c1/2,0))),IF(((56+0.5)*(4*IF(circ_int,0,eq_c1/2)+4*IF(circ_int,0,eq_c2/2)+2*PI()*(s_0+6*s_r+IF(circ_int,eq_c1/2,0)))/INDEX(lk_legs,7))&lt;(((((2*IF(circ_int,0,eq_c2/2))+(PI()*(s_0+6*s_r+IF(circ_int,eq_c1/2,0))/2))+2*IF(circ_int,0,eq_c1/2))+(PI()*(s_0+6*s_r+IF(circ_int,eq_c1/2,0))/2))+2*IF(circ_int,0,eq_c2/2)),-IF(circ_int,0,eq_c1/2)-(s_0+6*s_r+IF(circ_int,eq_c1/2,0)),IF(((56+0.5)*(4*IF(circ_int,0,eq_c1/2)+4*IF(circ_int,0,eq_c2/2)+2*PI()*(s_0+6*s_r+IF(circ_int,eq_c1/2,0)))/INDEX(lk_legs,7))&lt;((((((2*IF(circ_int,0,eq_c2/2))+(PI()*(s_0+6*s_r+IF(circ_int,eq_c1/2,0))/2))+2*IF(circ_int,0,eq_c1/2))+(PI()*(s_0+6*s_r+IF(circ_int,eq_c1/2,0))/2))+2*IF(circ_int,0,eq_c2/2))+(PI()*(s_0+6*s_r+IF(circ_int,eq_c1/2,0))/2)),-IF(circ_int,0,eq_c1/2)+(s_0+6*s_r+IF(circ_int,eq_c1/2,0))*COS(PI()+(((56+0.5)*(4*IF(circ_int,0,eq_c1/2)+4*IF(circ_int,0,eq_c2/2)+2*PI()*(s_0+6*s_r+IF(circ_int,eq_c1/2,0)))/INDEX(lk_legs,7))-(((((2*IF(circ_int,0,eq_c2/2))+(PI()*(s_0+6*s_r+IF(circ_int,eq_c1/2,0))/2))+2*IF(circ_int,0,eq_c1/2))+(PI()*(s_0+6*s_r+IF(circ_int,eq_c1/2,0))/2))+2*IF(circ_int,0,eq_c2/2)))/(s_0+6*s_r+IF(circ_int,eq_c1/2,0))),IF(((56+0.5)*(4*IF(circ_int,0,eq_c1/2)+4*IF(circ_int,0,eq_c2/2)+2*PI()*(s_0+6*s_r+IF(circ_int,eq_c1/2,0)))/INDEX(lk_legs,7))&lt;(((((((2*IF(circ_int,0,eq_c2/2))+(PI()*(s_0+6*s_r+IF(circ_int,eq_c1/2,0))/2))+2*IF(circ_int,0,eq_c1/2))+(PI()*(s_0+6*s_r+IF(circ_int,eq_c1/2,0))/2))+2*IF(circ_int,0,eq_c2/2))+(PI()*(s_0+6*s_r+IF(circ_int,eq_c1/2,0))/2))+2*IF(circ_int,0,eq_c1/2)),-IF(circ_int,0,eq_c1/2)+(((56+0.5)*(4*IF(circ_int,0,eq_c1/2)+4*IF(circ_int,0,eq_c2/2)+2*PI()*(s_0+6*s_r+IF(circ_int,eq_c1/2,0)))/INDEX(lk_legs,7))-((((((2*IF(circ_int,0,eq_c2/2))+(PI()*(s_0+6*s_r+IF(circ_int,eq_c1/2,0))/2))+2*IF(circ_int,0,eq_c1/2))+(PI()*(s_0+6*s_r+IF(circ_int,eq_c1/2,0))/2))+2*IF(circ_int,0,eq_c2/2))+(PI()*(s_0+6*s_r+IF(circ_int,eq_c1/2,0))/2))),IF(circ_int,0,eq_c1/2)+(s_0+6*s_r+IF(circ_int,eq_c1/2,0))*COS(3*PI()/2+(((56+0.5)*(4*IF(circ_int,0,eq_c1/2)+4*IF(circ_int,0,eq_c2/2)+2*PI()*(s_0+6*s_r+IF(circ_int,eq_c1/2,0)))/INDEX(lk_legs,7))-(((((((2*IF(circ_int,0,eq_c2/2))+(PI()*(s_0+6*s_r+IF(circ_int,eq_c1/2,0))/2))+2*IF(circ_int,0,eq_c1/2))+(PI()*(s_0+6*s_r+IF(circ_int,eq_c1/2,0))/2))+2*IF(circ_int,0,eq_c2/2))+(PI()*(s_0+6*s_r+IF(circ_int,eq_c1/2,0))/2))+2*IF(circ_int,0,eq_c1/2)))/(s_0+6*s_r+IF(circ_int,eq_c1/2,0)))))))))),NA())</f>
        <v/>
      </c>
      <c r="CK59">
        <f>IF(AND(AND(links_on,7&lt;=n_per),INDEX(lk_kind,7)=1,56&lt;INDEX(lk_legs,7)),g_oy+IF(((56+0.5)*(4*IF(circ_int,0,eq_c1/2)+4*IF(circ_int,0,eq_c2/2)+2*PI()*(s_0+6*s_r+IF(circ_int,eq_c1/2,0)))/INDEX(lk_legs,7))&lt;(2*IF(circ_int,0,eq_c2/2)),-IF(circ_int,0,eq_c2/2)+((56+0.5)*(4*IF(circ_int,0,eq_c1/2)+4*IF(circ_int,0,eq_c2/2)+2*PI()*(s_0+6*s_r+IF(circ_int,eq_c1/2,0)))/INDEX(lk_legs,7)),IF(((56+0.5)*(4*IF(circ_int,0,eq_c1/2)+4*IF(circ_int,0,eq_c2/2)+2*PI()*(s_0+6*s_r+IF(circ_int,eq_c1/2,0)))/INDEX(lk_legs,7))&lt;((2*IF(circ_int,0,eq_c2/2))+(PI()*(s_0+6*s_r+IF(circ_int,eq_c1/2,0))/2)),IF(circ_int,0,eq_c2/2)+(s_0+6*s_r+IF(circ_int,eq_c1/2,0))*SIN((((56+0.5)*(4*IF(circ_int,0,eq_c1/2)+4*IF(circ_int,0,eq_c2/2)+2*PI()*(s_0+6*s_r+IF(circ_int,eq_c1/2,0)))/INDEX(lk_legs,7))-(2*IF(circ_int,0,eq_c2/2)))/(s_0+6*s_r+IF(circ_int,eq_c1/2,0))),IF(((56+0.5)*(4*IF(circ_int,0,eq_c1/2)+4*IF(circ_int,0,eq_c2/2)+2*PI()*(s_0+6*s_r+IF(circ_int,eq_c1/2,0)))/INDEX(lk_legs,7))&lt;(((2*IF(circ_int,0,eq_c2/2))+(PI()*(s_0+6*s_r+IF(circ_int,eq_c1/2,0))/2))+2*IF(circ_int,0,eq_c1/2)),IF(circ_int,0,eq_c2/2)+(s_0+6*s_r+IF(circ_int,eq_c1/2,0)),IF(((56+0.5)*(4*IF(circ_int,0,eq_c1/2)+4*IF(circ_int,0,eq_c2/2)+2*PI()*(s_0+6*s_r+IF(circ_int,eq_c1/2,0)))/INDEX(lk_legs,7))&lt;((((2*IF(circ_int,0,eq_c2/2))+(PI()*(s_0+6*s_r+IF(circ_int,eq_c1/2,0))/2))+2*IF(circ_int,0,eq_c1/2))+(PI()*(s_0+6*s_r+IF(circ_int,eq_c1/2,0))/2)),IF(circ_int,0,eq_c2/2)+(s_0+6*s_r+IF(circ_int,eq_c1/2,0))*SIN(PI()/2+(((56+0.5)*(4*IF(circ_int,0,eq_c1/2)+4*IF(circ_int,0,eq_c2/2)+2*PI()*(s_0+6*s_r+IF(circ_int,eq_c1/2,0)))/INDEX(lk_legs,7))-(((2*IF(circ_int,0,eq_c2/2))+(PI()*(s_0+6*s_r+IF(circ_int,eq_c1/2,0))/2))+2*IF(circ_int,0,eq_c1/2)))/(s_0+6*s_r+IF(circ_int,eq_c1/2,0))),IF(((56+0.5)*(4*IF(circ_int,0,eq_c1/2)+4*IF(circ_int,0,eq_c2/2)+2*PI()*(s_0+6*s_r+IF(circ_int,eq_c1/2,0)))/INDEX(lk_legs,7))&lt;(((((2*IF(circ_int,0,eq_c2/2))+(PI()*(s_0+6*s_r+IF(circ_int,eq_c1/2,0))/2))+2*IF(circ_int,0,eq_c1/2))+(PI()*(s_0+6*s_r+IF(circ_int,eq_c1/2,0))/2))+2*IF(circ_int,0,eq_c2/2)),IF(circ_int,0,eq_c2/2)-(((56+0.5)*(4*IF(circ_int,0,eq_c1/2)+4*IF(circ_int,0,eq_c2/2)+2*PI()*(s_0+6*s_r+IF(circ_int,eq_c1/2,0)))/INDEX(lk_legs,7))-((((2*IF(circ_int,0,eq_c2/2))+(PI()*(s_0+6*s_r+IF(circ_int,eq_c1/2,0))/2))+2*IF(circ_int,0,eq_c1/2))+(PI()*(s_0+6*s_r+IF(circ_int,eq_c1/2,0))/2))),IF(((56+0.5)*(4*IF(circ_int,0,eq_c1/2)+4*IF(circ_int,0,eq_c2/2)+2*PI()*(s_0+6*s_r+IF(circ_int,eq_c1/2,0)))/INDEX(lk_legs,7))&lt;((((((2*IF(circ_int,0,eq_c2/2))+(PI()*(s_0+6*s_r+IF(circ_int,eq_c1/2,0))/2))+2*IF(circ_int,0,eq_c1/2))+(PI()*(s_0+6*s_r+IF(circ_int,eq_c1/2,0))/2))+2*IF(circ_int,0,eq_c2/2))+(PI()*(s_0+6*s_r+IF(circ_int,eq_c1/2,0))/2)),-IF(circ_int,0,eq_c2/2)+(s_0+6*s_r+IF(circ_int,eq_c1/2,0))*SIN(PI()+(((56+0.5)*(4*IF(circ_int,0,eq_c1/2)+4*IF(circ_int,0,eq_c2/2)+2*PI()*(s_0+6*s_r+IF(circ_int,eq_c1/2,0)))/INDEX(lk_legs,7))-(((((2*IF(circ_int,0,eq_c2/2))+(PI()*(s_0+6*s_r+IF(circ_int,eq_c1/2,0))/2))+2*IF(circ_int,0,eq_c1/2))+(PI()*(s_0+6*s_r+IF(circ_int,eq_c1/2,0))/2))+2*IF(circ_int,0,eq_c2/2)))/(s_0+6*s_r+IF(circ_int,eq_c1/2,0))),IF(((56+0.5)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(56+0.5)*(4*IF(circ_int,0,eq_c1/2)+4*IF(circ_int,0,eq_c2/2)+2*PI()*(s_0+6*s_r+IF(circ_int,eq_c1/2,0)))/INDEX(lk_legs,7))-(((((((2*IF(circ_int,0,eq_c2/2))+(PI()*(s_0+6*s_r+IF(circ_int,eq_c1/2,0))/2))+2*IF(circ_int,0,eq_c1/2))+(PI()*(s_0+6*s_r+IF(circ_int,eq_c1/2,0))/2))+2*IF(circ_int,0,eq_c2/2))+(PI()*(s_0+6*s_r+IF(circ_int,eq_c1/2,0))/2))+2*IF(circ_int,0,eq_c1/2)))/(s_0+6*s_r+IF(circ_int,eq_c1/2,0)))))))))),NA())</f>
        <v/>
      </c>
      <c r="CP59">
        <f>IF(AND(AND(links_on,8&lt;=n_per),INDEX(lk_kind,8)=1,56&lt;INDEX(lk_legs,8)),g_ox+IF(((56+0.5)*(4*IF(circ_int,0,eq_c1/2)+4*IF(circ_int,0,eq_c2/2)+2*PI()*(s_0+7*s_r+IF(circ_int,eq_c1/2,0)))/INDEX(lk_legs,8))&lt;(2*IF(circ_int,0,eq_c2/2)),IF(circ_int,0,eq_c1/2)+(s_0+7*s_r+IF(circ_int,eq_c1/2,0)),IF(((56+0.5)*(4*IF(circ_int,0,eq_c1/2)+4*IF(circ_int,0,eq_c2/2)+2*PI()*(s_0+7*s_r+IF(circ_int,eq_c1/2,0)))/INDEX(lk_legs,8))&lt;((2*IF(circ_int,0,eq_c2/2))+(PI()*(s_0+7*s_r+IF(circ_int,eq_c1/2,0))/2)),IF(circ_int,0,eq_c1/2)+(s_0+7*s_r+IF(circ_int,eq_c1/2,0))*COS((((56+0.5)*(4*IF(circ_int,0,eq_c1/2)+4*IF(circ_int,0,eq_c2/2)+2*PI()*(s_0+7*s_r+IF(circ_int,eq_c1/2,0)))/INDEX(lk_legs,8))-(2*IF(circ_int,0,eq_c2/2)))/(s_0+7*s_r+IF(circ_int,eq_c1/2,0))),IF(((56+0.5)*(4*IF(circ_int,0,eq_c1/2)+4*IF(circ_int,0,eq_c2/2)+2*PI()*(s_0+7*s_r+IF(circ_int,eq_c1/2,0)))/INDEX(lk_legs,8))&lt;(((2*IF(circ_int,0,eq_c2/2))+(PI()*(s_0+7*s_r+IF(circ_int,eq_c1/2,0))/2))+2*IF(circ_int,0,eq_c1/2)),IF(circ_int,0,eq_c1/2)-(((56+0.5)*(4*IF(circ_int,0,eq_c1/2)+4*IF(circ_int,0,eq_c2/2)+2*PI()*(s_0+7*s_r+IF(circ_int,eq_c1/2,0)))/INDEX(lk_legs,8))-((2*IF(circ_int,0,eq_c2/2))+(PI()*(s_0+7*s_r+IF(circ_int,eq_c1/2,0))/2))),IF(((56+0.5)*(4*IF(circ_int,0,eq_c1/2)+4*IF(circ_int,0,eq_c2/2)+2*PI()*(s_0+7*s_r+IF(circ_int,eq_c1/2,0)))/INDEX(lk_legs,8))&lt;((((2*IF(circ_int,0,eq_c2/2))+(PI()*(s_0+7*s_r+IF(circ_int,eq_c1/2,0))/2))+2*IF(circ_int,0,eq_c1/2))+(PI()*(s_0+7*s_r+IF(circ_int,eq_c1/2,0))/2)),-IF(circ_int,0,eq_c1/2)+(s_0+7*s_r+IF(circ_int,eq_c1/2,0))*COS(PI()/2+(((56+0.5)*(4*IF(circ_int,0,eq_c1/2)+4*IF(circ_int,0,eq_c2/2)+2*PI()*(s_0+7*s_r+IF(circ_int,eq_c1/2,0)))/INDEX(lk_legs,8))-(((2*IF(circ_int,0,eq_c2/2))+(PI()*(s_0+7*s_r+IF(circ_int,eq_c1/2,0))/2))+2*IF(circ_int,0,eq_c1/2)))/(s_0+7*s_r+IF(circ_int,eq_c1/2,0))),IF(((56+0.5)*(4*IF(circ_int,0,eq_c1/2)+4*IF(circ_int,0,eq_c2/2)+2*PI()*(s_0+7*s_r+IF(circ_int,eq_c1/2,0)))/INDEX(lk_legs,8))&lt;(((((2*IF(circ_int,0,eq_c2/2))+(PI()*(s_0+7*s_r+IF(circ_int,eq_c1/2,0))/2))+2*IF(circ_int,0,eq_c1/2))+(PI()*(s_0+7*s_r+IF(circ_int,eq_c1/2,0))/2))+2*IF(circ_int,0,eq_c2/2)),-IF(circ_int,0,eq_c1/2)-(s_0+7*s_r+IF(circ_int,eq_c1/2,0)),IF(((56+0.5)*(4*IF(circ_int,0,eq_c1/2)+4*IF(circ_int,0,eq_c2/2)+2*PI()*(s_0+7*s_r+IF(circ_int,eq_c1/2,0)))/INDEX(lk_legs,8))&lt;((((((2*IF(circ_int,0,eq_c2/2))+(PI()*(s_0+7*s_r+IF(circ_int,eq_c1/2,0))/2))+2*IF(circ_int,0,eq_c1/2))+(PI()*(s_0+7*s_r+IF(circ_int,eq_c1/2,0))/2))+2*IF(circ_int,0,eq_c2/2))+(PI()*(s_0+7*s_r+IF(circ_int,eq_c1/2,0))/2)),-IF(circ_int,0,eq_c1/2)+(s_0+7*s_r+IF(circ_int,eq_c1/2,0))*COS(PI()+(((56+0.5)*(4*IF(circ_int,0,eq_c1/2)+4*IF(circ_int,0,eq_c2/2)+2*PI()*(s_0+7*s_r+IF(circ_int,eq_c1/2,0)))/INDEX(lk_legs,8))-(((((2*IF(circ_int,0,eq_c2/2))+(PI()*(s_0+7*s_r+IF(circ_int,eq_c1/2,0))/2))+2*IF(circ_int,0,eq_c1/2))+(PI()*(s_0+7*s_r+IF(circ_int,eq_c1/2,0))/2))+2*IF(circ_int,0,eq_c2/2)))/(s_0+7*s_r+IF(circ_int,eq_c1/2,0))),IF(((56+0.5)*(4*IF(circ_int,0,eq_c1/2)+4*IF(circ_int,0,eq_c2/2)+2*PI()*(s_0+7*s_r+IF(circ_int,eq_c1/2,0)))/INDEX(lk_legs,8))&lt;(((((((2*IF(circ_int,0,eq_c2/2))+(PI()*(s_0+7*s_r+IF(circ_int,eq_c1/2,0))/2))+2*IF(circ_int,0,eq_c1/2))+(PI()*(s_0+7*s_r+IF(circ_int,eq_c1/2,0))/2))+2*IF(circ_int,0,eq_c2/2))+(PI()*(s_0+7*s_r+IF(circ_int,eq_c1/2,0))/2))+2*IF(circ_int,0,eq_c1/2)),-IF(circ_int,0,eq_c1/2)+(((56+0.5)*(4*IF(circ_int,0,eq_c1/2)+4*IF(circ_int,0,eq_c2/2)+2*PI()*(s_0+7*s_r+IF(circ_int,eq_c1/2,0)))/INDEX(lk_legs,8))-((((((2*IF(circ_int,0,eq_c2/2))+(PI()*(s_0+7*s_r+IF(circ_int,eq_c1/2,0))/2))+2*IF(circ_int,0,eq_c1/2))+(PI()*(s_0+7*s_r+IF(circ_int,eq_c1/2,0))/2))+2*IF(circ_int,0,eq_c2/2))+(PI()*(s_0+7*s_r+IF(circ_int,eq_c1/2,0))/2))),IF(circ_int,0,eq_c1/2)+(s_0+7*s_r+IF(circ_int,eq_c1/2,0))*COS(3*PI()/2+(((56+0.5)*(4*IF(circ_int,0,eq_c1/2)+4*IF(circ_int,0,eq_c2/2)+2*PI()*(s_0+7*s_r+IF(circ_int,eq_c1/2,0)))/INDEX(lk_legs,8))-(((((((2*IF(circ_int,0,eq_c2/2))+(PI()*(s_0+7*s_r+IF(circ_int,eq_c1/2,0))/2))+2*IF(circ_int,0,eq_c1/2))+(PI()*(s_0+7*s_r+IF(circ_int,eq_c1/2,0))/2))+2*IF(circ_int,0,eq_c2/2))+(PI()*(s_0+7*s_r+IF(circ_int,eq_c1/2,0))/2))+2*IF(circ_int,0,eq_c1/2)))/(s_0+7*s_r+IF(circ_int,eq_c1/2,0)))))))))),NA())</f>
        <v/>
      </c>
      <c r="CQ59">
        <f>IF(AND(AND(links_on,8&lt;=n_per),INDEX(lk_kind,8)=1,56&lt;INDEX(lk_legs,8)),g_oy+IF(((56+0.5)*(4*IF(circ_int,0,eq_c1/2)+4*IF(circ_int,0,eq_c2/2)+2*PI()*(s_0+7*s_r+IF(circ_int,eq_c1/2,0)))/INDEX(lk_legs,8))&lt;(2*IF(circ_int,0,eq_c2/2)),-IF(circ_int,0,eq_c2/2)+((56+0.5)*(4*IF(circ_int,0,eq_c1/2)+4*IF(circ_int,0,eq_c2/2)+2*PI()*(s_0+7*s_r+IF(circ_int,eq_c1/2,0)))/INDEX(lk_legs,8)),IF(((56+0.5)*(4*IF(circ_int,0,eq_c1/2)+4*IF(circ_int,0,eq_c2/2)+2*PI()*(s_0+7*s_r+IF(circ_int,eq_c1/2,0)))/INDEX(lk_legs,8))&lt;((2*IF(circ_int,0,eq_c2/2))+(PI()*(s_0+7*s_r+IF(circ_int,eq_c1/2,0))/2)),IF(circ_int,0,eq_c2/2)+(s_0+7*s_r+IF(circ_int,eq_c1/2,0))*SIN((((56+0.5)*(4*IF(circ_int,0,eq_c1/2)+4*IF(circ_int,0,eq_c2/2)+2*PI()*(s_0+7*s_r+IF(circ_int,eq_c1/2,0)))/INDEX(lk_legs,8))-(2*IF(circ_int,0,eq_c2/2)))/(s_0+7*s_r+IF(circ_int,eq_c1/2,0))),IF(((56+0.5)*(4*IF(circ_int,0,eq_c1/2)+4*IF(circ_int,0,eq_c2/2)+2*PI()*(s_0+7*s_r+IF(circ_int,eq_c1/2,0)))/INDEX(lk_legs,8))&lt;(((2*IF(circ_int,0,eq_c2/2))+(PI()*(s_0+7*s_r+IF(circ_int,eq_c1/2,0))/2))+2*IF(circ_int,0,eq_c1/2)),IF(circ_int,0,eq_c2/2)+(s_0+7*s_r+IF(circ_int,eq_c1/2,0)),IF(((56+0.5)*(4*IF(circ_int,0,eq_c1/2)+4*IF(circ_int,0,eq_c2/2)+2*PI()*(s_0+7*s_r+IF(circ_int,eq_c1/2,0)))/INDEX(lk_legs,8))&lt;((((2*IF(circ_int,0,eq_c2/2))+(PI()*(s_0+7*s_r+IF(circ_int,eq_c1/2,0))/2))+2*IF(circ_int,0,eq_c1/2))+(PI()*(s_0+7*s_r+IF(circ_int,eq_c1/2,0))/2)),IF(circ_int,0,eq_c2/2)+(s_0+7*s_r+IF(circ_int,eq_c1/2,0))*SIN(PI()/2+(((56+0.5)*(4*IF(circ_int,0,eq_c1/2)+4*IF(circ_int,0,eq_c2/2)+2*PI()*(s_0+7*s_r+IF(circ_int,eq_c1/2,0)))/INDEX(lk_legs,8))-(((2*IF(circ_int,0,eq_c2/2))+(PI()*(s_0+7*s_r+IF(circ_int,eq_c1/2,0))/2))+2*IF(circ_int,0,eq_c1/2)))/(s_0+7*s_r+IF(circ_int,eq_c1/2,0))),IF(((56+0.5)*(4*IF(circ_int,0,eq_c1/2)+4*IF(circ_int,0,eq_c2/2)+2*PI()*(s_0+7*s_r+IF(circ_int,eq_c1/2,0)))/INDEX(lk_legs,8))&lt;(((((2*IF(circ_int,0,eq_c2/2))+(PI()*(s_0+7*s_r+IF(circ_int,eq_c1/2,0))/2))+2*IF(circ_int,0,eq_c1/2))+(PI()*(s_0+7*s_r+IF(circ_int,eq_c1/2,0))/2))+2*IF(circ_int,0,eq_c2/2)),IF(circ_int,0,eq_c2/2)-(((56+0.5)*(4*IF(circ_int,0,eq_c1/2)+4*IF(circ_int,0,eq_c2/2)+2*PI()*(s_0+7*s_r+IF(circ_int,eq_c1/2,0)))/INDEX(lk_legs,8))-((((2*IF(circ_int,0,eq_c2/2))+(PI()*(s_0+7*s_r+IF(circ_int,eq_c1/2,0))/2))+2*IF(circ_int,0,eq_c1/2))+(PI()*(s_0+7*s_r+IF(circ_int,eq_c1/2,0))/2))),IF(((56+0.5)*(4*IF(circ_int,0,eq_c1/2)+4*IF(circ_int,0,eq_c2/2)+2*PI()*(s_0+7*s_r+IF(circ_int,eq_c1/2,0)))/INDEX(lk_legs,8))&lt;((((((2*IF(circ_int,0,eq_c2/2))+(PI()*(s_0+7*s_r+IF(circ_int,eq_c1/2,0))/2))+2*IF(circ_int,0,eq_c1/2))+(PI()*(s_0+7*s_r+IF(circ_int,eq_c1/2,0))/2))+2*IF(circ_int,0,eq_c2/2))+(PI()*(s_0+7*s_r+IF(circ_int,eq_c1/2,0))/2)),-IF(circ_int,0,eq_c2/2)+(s_0+7*s_r+IF(circ_int,eq_c1/2,0))*SIN(PI()+(((56+0.5)*(4*IF(circ_int,0,eq_c1/2)+4*IF(circ_int,0,eq_c2/2)+2*PI()*(s_0+7*s_r+IF(circ_int,eq_c1/2,0)))/INDEX(lk_legs,8))-(((((2*IF(circ_int,0,eq_c2/2))+(PI()*(s_0+7*s_r+IF(circ_int,eq_c1/2,0))/2))+2*IF(circ_int,0,eq_c1/2))+(PI()*(s_0+7*s_r+IF(circ_int,eq_c1/2,0))/2))+2*IF(circ_int,0,eq_c2/2)))/(s_0+7*s_r+IF(circ_int,eq_c1/2,0))),IF(((56+0.5)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(56+0.5)*(4*IF(circ_int,0,eq_c1/2)+4*IF(circ_int,0,eq_c2/2)+2*PI()*(s_0+7*s_r+IF(circ_int,eq_c1/2,0)))/INDEX(lk_legs,8))-(((((((2*IF(circ_int,0,eq_c2/2))+(PI()*(s_0+7*s_r+IF(circ_int,eq_c1/2,0))/2))+2*IF(circ_int,0,eq_c1/2))+(PI()*(s_0+7*s_r+IF(circ_int,eq_c1/2,0))/2))+2*IF(circ_int,0,eq_c2/2))+(PI()*(s_0+7*s_r+IF(circ_int,eq_c1/2,0))/2))+2*IF(circ_int,0,eq_c1/2)))/(s_0+7*s_r+IF(circ_int,eq_c1/2,0)))))))))),NA())</f>
        <v/>
      </c>
      <c r="CV59">
        <f>IF(AND(AND(links_on,9&lt;=n_per),INDEX(lk_kind,9)=1,56&lt;INDEX(lk_legs,9)),g_ox+IF(((56+0.5)*(4*IF(circ_int,0,eq_c1/2)+4*IF(circ_int,0,eq_c2/2)+2*PI()*(s_0+8*s_r+IF(circ_int,eq_c1/2,0)))/INDEX(lk_legs,9))&lt;(2*IF(circ_int,0,eq_c2/2)),IF(circ_int,0,eq_c1/2)+(s_0+8*s_r+IF(circ_int,eq_c1/2,0)),IF(((56+0.5)*(4*IF(circ_int,0,eq_c1/2)+4*IF(circ_int,0,eq_c2/2)+2*PI()*(s_0+8*s_r+IF(circ_int,eq_c1/2,0)))/INDEX(lk_legs,9))&lt;((2*IF(circ_int,0,eq_c2/2))+(PI()*(s_0+8*s_r+IF(circ_int,eq_c1/2,0))/2)),IF(circ_int,0,eq_c1/2)+(s_0+8*s_r+IF(circ_int,eq_c1/2,0))*COS((((56+0.5)*(4*IF(circ_int,0,eq_c1/2)+4*IF(circ_int,0,eq_c2/2)+2*PI()*(s_0+8*s_r+IF(circ_int,eq_c1/2,0)))/INDEX(lk_legs,9))-(2*IF(circ_int,0,eq_c2/2)))/(s_0+8*s_r+IF(circ_int,eq_c1/2,0))),IF(((56+0.5)*(4*IF(circ_int,0,eq_c1/2)+4*IF(circ_int,0,eq_c2/2)+2*PI()*(s_0+8*s_r+IF(circ_int,eq_c1/2,0)))/INDEX(lk_legs,9))&lt;(((2*IF(circ_int,0,eq_c2/2))+(PI()*(s_0+8*s_r+IF(circ_int,eq_c1/2,0))/2))+2*IF(circ_int,0,eq_c1/2)),IF(circ_int,0,eq_c1/2)-(((56+0.5)*(4*IF(circ_int,0,eq_c1/2)+4*IF(circ_int,0,eq_c2/2)+2*PI()*(s_0+8*s_r+IF(circ_int,eq_c1/2,0)))/INDEX(lk_legs,9))-((2*IF(circ_int,0,eq_c2/2))+(PI()*(s_0+8*s_r+IF(circ_int,eq_c1/2,0))/2))),IF(((56+0.5)*(4*IF(circ_int,0,eq_c1/2)+4*IF(circ_int,0,eq_c2/2)+2*PI()*(s_0+8*s_r+IF(circ_int,eq_c1/2,0)))/INDEX(lk_legs,9))&lt;((((2*IF(circ_int,0,eq_c2/2))+(PI()*(s_0+8*s_r+IF(circ_int,eq_c1/2,0))/2))+2*IF(circ_int,0,eq_c1/2))+(PI()*(s_0+8*s_r+IF(circ_int,eq_c1/2,0))/2)),-IF(circ_int,0,eq_c1/2)+(s_0+8*s_r+IF(circ_int,eq_c1/2,0))*COS(PI()/2+(((56+0.5)*(4*IF(circ_int,0,eq_c1/2)+4*IF(circ_int,0,eq_c2/2)+2*PI()*(s_0+8*s_r+IF(circ_int,eq_c1/2,0)))/INDEX(lk_legs,9))-(((2*IF(circ_int,0,eq_c2/2))+(PI()*(s_0+8*s_r+IF(circ_int,eq_c1/2,0))/2))+2*IF(circ_int,0,eq_c1/2)))/(s_0+8*s_r+IF(circ_int,eq_c1/2,0))),IF(((56+0.5)*(4*IF(circ_int,0,eq_c1/2)+4*IF(circ_int,0,eq_c2/2)+2*PI()*(s_0+8*s_r+IF(circ_int,eq_c1/2,0)))/INDEX(lk_legs,9))&lt;(((((2*IF(circ_int,0,eq_c2/2))+(PI()*(s_0+8*s_r+IF(circ_int,eq_c1/2,0))/2))+2*IF(circ_int,0,eq_c1/2))+(PI()*(s_0+8*s_r+IF(circ_int,eq_c1/2,0))/2))+2*IF(circ_int,0,eq_c2/2)),-IF(circ_int,0,eq_c1/2)-(s_0+8*s_r+IF(circ_int,eq_c1/2,0)),IF(((56+0.5)*(4*IF(circ_int,0,eq_c1/2)+4*IF(circ_int,0,eq_c2/2)+2*PI()*(s_0+8*s_r+IF(circ_int,eq_c1/2,0)))/INDEX(lk_legs,9))&lt;((((((2*IF(circ_int,0,eq_c2/2))+(PI()*(s_0+8*s_r+IF(circ_int,eq_c1/2,0))/2))+2*IF(circ_int,0,eq_c1/2))+(PI()*(s_0+8*s_r+IF(circ_int,eq_c1/2,0))/2))+2*IF(circ_int,0,eq_c2/2))+(PI()*(s_0+8*s_r+IF(circ_int,eq_c1/2,0))/2)),-IF(circ_int,0,eq_c1/2)+(s_0+8*s_r+IF(circ_int,eq_c1/2,0))*COS(PI()+(((56+0.5)*(4*IF(circ_int,0,eq_c1/2)+4*IF(circ_int,0,eq_c2/2)+2*PI()*(s_0+8*s_r+IF(circ_int,eq_c1/2,0)))/INDEX(lk_legs,9))-(((((2*IF(circ_int,0,eq_c2/2))+(PI()*(s_0+8*s_r+IF(circ_int,eq_c1/2,0))/2))+2*IF(circ_int,0,eq_c1/2))+(PI()*(s_0+8*s_r+IF(circ_int,eq_c1/2,0))/2))+2*IF(circ_int,0,eq_c2/2)))/(s_0+8*s_r+IF(circ_int,eq_c1/2,0))),IF(((56+0.5)*(4*IF(circ_int,0,eq_c1/2)+4*IF(circ_int,0,eq_c2/2)+2*PI()*(s_0+8*s_r+IF(circ_int,eq_c1/2,0)))/INDEX(lk_legs,9))&lt;(((((((2*IF(circ_int,0,eq_c2/2))+(PI()*(s_0+8*s_r+IF(circ_int,eq_c1/2,0))/2))+2*IF(circ_int,0,eq_c1/2))+(PI()*(s_0+8*s_r+IF(circ_int,eq_c1/2,0))/2))+2*IF(circ_int,0,eq_c2/2))+(PI()*(s_0+8*s_r+IF(circ_int,eq_c1/2,0))/2))+2*IF(circ_int,0,eq_c1/2)),-IF(circ_int,0,eq_c1/2)+(((56+0.5)*(4*IF(circ_int,0,eq_c1/2)+4*IF(circ_int,0,eq_c2/2)+2*PI()*(s_0+8*s_r+IF(circ_int,eq_c1/2,0)))/INDEX(lk_legs,9))-((((((2*IF(circ_int,0,eq_c2/2))+(PI()*(s_0+8*s_r+IF(circ_int,eq_c1/2,0))/2))+2*IF(circ_int,0,eq_c1/2))+(PI()*(s_0+8*s_r+IF(circ_int,eq_c1/2,0))/2))+2*IF(circ_int,0,eq_c2/2))+(PI()*(s_0+8*s_r+IF(circ_int,eq_c1/2,0))/2))),IF(circ_int,0,eq_c1/2)+(s_0+8*s_r+IF(circ_int,eq_c1/2,0))*COS(3*PI()/2+(((56+0.5)*(4*IF(circ_int,0,eq_c1/2)+4*IF(circ_int,0,eq_c2/2)+2*PI()*(s_0+8*s_r+IF(circ_int,eq_c1/2,0)))/INDEX(lk_legs,9))-(((((((2*IF(circ_int,0,eq_c2/2))+(PI()*(s_0+8*s_r+IF(circ_int,eq_c1/2,0))/2))+2*IF(circ_int,0,eq_c1/2))+(PI()*(s_0+8*s_r+IF(circ_int,eq_c1/2,0))/2))+2*IF(circ_int,0,eq_c2/2))+(PI()*(s_0+8*s_r+IF(circ_int,eq_c1/2,0))/2))+2*IF(circ_int,0,eq_c1/2)))/(s_0+8*s_r+IF(circ_int,eq_c1/2,0)))))))))),NA())</f>
        <v/>
      </c>
      <c r="CW59">
        <f>IF(AND(AND(links_on,9&lt;=n_per),INDEX(lk_kind,9)=1,56&lt;INDEX(lk_legs,9)),g_oy+IF(((56+0.5)*(4*IF(circ_int,0,eq_c1/2)+4*IF(circ_int,0,eq_c2/2)+2*PI()*(s_0+8*s_r+IF(circ_int,eq_c1/2,0)))/INDEX(lk_legs,9))&lt;(2*IF(circ_int,0,eq_c2/2)),-IF(circ_int,0,eq_c2/2)+((56+0.5)*(4*IF(circ_int,0,eq_c1/2)+4*IF(circ_int,0,eq_c2/2)+2*PI()*(s_0+8*s_r+IF(circ_int,eq_c1/2,0)))/INDEX(lk_legs,9)),IF(((56+0.5)*(4*IF(circ_int,0,eq_c1/2)+4*IF(circ_int,0,eq_c2/2)+2*PI()*(s_0+8*s_r+IF(circ_int,eq_c1/2,0)))/INDEX(lk_legs,9))&lt;((2*IF(circ_int,0,eq_c2/2))+(PI()*(s_0+8*s_r+IF(circ_int,eq_c1/2,0))/2)),IF(circ_int,0,eq_c2/2)+(s_0+8*s_r+IF(circ_int,eq_c1/2,0))*SIN((((56+0.5)*(4*IF(circ_int,0,eq_c1/2)+4*IF(circ_int,0,eq_c2/2)+2*PI()*(s_0+8*s_r+IF(circ_int,eq_c1/2,0)))/INDEX(lk_legs,9))-(2*IF(circ_int,0,eq_c2/2)))/(s_0+8*s_r+IF(circ_int,eq_c1/2,0))),IF(((56+0.5)*(4*IF(circ_int,0,eq_c1/2)+4*IF(circ_int,0,eq_c2/2)+2*PI()*(s_0+8*s_r+IF(circ_int,eq_c1/2,0)))/INDEX(lk_legs,9))&lt;(((2*IF(circ_int,0,eq_c2/2))+(PI()*(s_0+8*s_r+IF(circ_int,eq_c1/2,0))/2))+2*IF(circ_int,0,eq_c1/2)),IF(circ_int,0,eq_c2/2)+(s_0+8*s_r+IF(circ_int,eq_c1/2,0)),IF(((56+0.5)*(4*IF(circ_int,0,eq_c1/2)+4*IF(circ_int,0,eq_c2/2)+2*PI()*(s_0+8*s_r+IF(circ_int,eq_c1/2,0)))/INDEX(lk_legs,9))&lt;((((2*IF(circ_int,0,eq_c2/2))+(PI()*(s_0+8*s_r+IF(circ_int,eq_c1/2,0))/2))+2*IF(circ_int,0,eq_c1/2))+(PI()*(s_0+8*s_r+IF(circ_int,eq_c1/2,0))/2)),IF(circ_int,0,eq_c2/2)+(s_0+8*s_r+IF(circ_int,eq_c1/2,0))*SIN(PI()/2+(((56+0.5)*(4*IF(circ_int,0,eq_c1/2)+4*IF(circ_int,0,eq_c2/2)+2*PI()*(s_0+8*s_r+IF(circ_int,eq_c1/2,0)))/INDEX(lk_legs,9))-(((2*IF(circ_int,0,eq_c2/2))+(PI()*(s_0+8*s_r+IF(circ_int,eq_c1/2,0))/2))+2*IF(circ_int,0,eq_c1/2)))/(s_0+8*s_r+IF(circ_int,eq_c1/2,0))),IF(((56+0.5)*(4*IF(circ_int,0,eq_c1/2)+4*IF(circ_int,0,eq_c2/2)+2*PI()*(s_0+8*s_r+IF(circ_int,eq_c1/2,0)))/INDEX(lk_legs,9))&lt;(((((2*IF(circ_int,0,eq_c2/2))+(PI()*(s_0+8*s_r+IF(circ_int,eq_c1/2,0))/2))+2*IF(circ_int,0,eq_c1/2))+(PI()*(s_0+8*s_r+IF(circ_int,eq_c1/2,0))/2))+2*IF(circ_int,0,eq_c2/2)),IF(circ_int,0,eq_c2/2)-(((56+0.5)*(4*IF(circ_int,0,eq_c1/2)+4*IF(circ_int,0,eq_c2/2)+2*PI()*(s_0+8*s_r+IF(circ_int,eq_c1/2,0)))/INDEX(lk_legs,9))-((((2*IF(circ_int,0,eq_c2/2))+(PI()*(s_0+8*s_r+IF(circ_int,eq_c1/2,0))/2))+2*IF(circ_int,0,eq_c1/2))+(PI()*(s_0+8*s_r+IF(circ_int,eq_c1/2,0))/2))),IF(((56+0.5)*(4*IF(circ_int,0,eq_c1/2)+4*IF(circ_int,0,eq_c2/2)+2*PI()*(s_0+8*s_r+IF(circ_int,eq_c1/2,0)))/INDEX(lk_legs,9))&lt;((((((2*IF(circ_int,0,eq_c2/2))+(PI()*(s_0+8*s_r+IF(circ_int,eq_c1/2,0))/2))+2*IF(circ_int,0,eq_c1/2))+(PI()*(s_0+8*s_r+IF(circ_int,eq_c1/2,0))/2))+2*IF(circ_int,0,eq_c2/2))+(PI()*(s_0+8*s_r+IF(circ_int,eq_c1/2,0))/2)),-IF(circ_int,0,eq_c2/2)+(s_0+8*s_r+IF(circ_int,eq_c1/2,0))*SIN(PI()+(((56+0.5)*(4*IF(circ_int,0,eq_c1/2)+4*IF(circ_int,0,eq_c2/2)+2*PI()*(s_0+8*s_r+IF(circ_int,eq_c1/2,0)))/INDEX(lk_legs,9))-(((((2*IF(circ_int,0,eq_c2/2))+(PI()*(s_0+8*s_r+IF(circ_int,eq_c1/2,0))/2))+2*IF(circ_int,0,eq_c1/2))+(PI()*(s_0+8*s_r+IF(circ_int,eq_c1/2,0))/2))+2*IF(circ_int,0,eq_c2/2)))/(s_0+8*s_r+IF(circ_int,eq_c1/2,0))),IF(((56+0.5)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(56+0.5)*(4*IF(circ_int,0,eq_c1/2)+4*IF(circ_int,0,eq_c2/2)+2*PI()*(s_0+8*s_r+IF(circ_int,eq_c1/2,0)))/INDEX(lk_legs,9))-(((((((2*IF(circ_int,0,eq_c2/2))+(PI()*(s_0+8*s_r+IF(circ_int,eq_c1/2,0))/2))+2*IF(circ_int,0,eq_c1/2))+(PI()*(s_0+8*s_r+IF(circ_int,eq_c1/2,0))/2))+2*IF(circ_int,0,eq_c2/2))+(PI()*(s_0+8*s_r+IF(circ_int,eq_c1/2,0))/2))+2*IF(circ_int,0,eq_c1/2)))/(s_0+8*s_r+IF(circ_int,eq_c1/2,0)))))))))),NA())</f>
        <v/>
      </c>
      <c r="DB59">
        <f>IF(AND(AND(links_on,10&lt;=n_per),INDEX(lk_kind,10)=1,56&lt;INDEX(lk_legs,10)),g_ox+IF(((56+0.5)*(4*IF(circ_int,0,eq_c1/2)+4*IF(circ_int,0,eq_c2/2)+2*PI()*(s_0+9*s_r+IF(circ_int,eq_c1/2,0)))/INDEX(lk_legs,10))&lt;(2*IF(circ_int,0,eq_c2/2)),IF(circ_int,0,eq_c1/2)+(s_0+9*s_r+IF(circ_int,eq_c1/2,0)),IF(((56+0.5)*(4*IF(circ_int,0,eq_c1/2)+4*IF(circ_int,0,eq_c2/2)+2*PI()*(s_0+9*s_r+IF(circ_int,eq_c1/2,0)))/INDEX(lk_legs,10))&lt;((2*IF(circ_int,0,eq_c2/2))+(PI()*(s_0+9*s_r+IF(circ_int,eq_c1/2,0))/2)),IF(circ_int,0,eq_c1/2)+(s_0+9*s_r+IF(circ_int,eq_c1/2,0))*COS((((56+0.5)*(4*IF(circ_int,0,eq_c1/2)+4*IF(circ_int,0,eq_c2/2)+2*PI()*(s_0+9*s_r+IF(circ_int,eq_c1/2,0)))/INDEX(lk_legs,10))-(2*IF(circ_int,0,eq_c2/2)))/(s_0+9*s_r+IF(circ_int,eq_c1/2,0))),IF(((56+0.5)*(4*IF(circ_int,0,eq_c1/2)+4*IF(circ_int,0,eq_c2/2)+2*PI()*(s_0+9*s_r+IF(circ_int,eq_c1/2,0)))/INDEX(lk_legs,10))&lt;(((2*IF(circ_int,0,eq_c2/2))+(PI()*(s_0+9*s_r+IF(circ_int,eq_c1/2,0))/2))+2*IF(circ_int,0,eq_c1/2)),IF(circ_int,0,eq_c1/2)-(((56+0.5)*(4*IF(circ_int,0,eq_c1/2)+4*IF(circ_int,0,eq_c2/2)+2*PI()*(s_0+9*s_r+IF(circ_int,eq_c1/2,0)))/INDEX(lk_legs,10))-((2*IF(circ_int,0,eq_c2/2))+(PI()*(s_0+9*s_r+IF(circ_int,eq_c1/2,0))/2))),IF(((56+0.5)*(4*IF(circ_int,0,eq_c1/2)+4*IF(circ_int,0,eq_c2/2)+2*PI()*(s_0+9*s_r+IF(circ_int,eq_c1/2,0)))/INDEX(lk_legs,10))&lt;((((2*IF(circ_int,0,eq_c2/2))+(PI()*(s_0+9*s_r+IF(circ_int,eq_c1/2,0))/2))+2*IF(circ_int,0,eq_c1/2))+(PI()*(s_0+9*s_r+IF(circ_int,eq_c1/2,0))/2)),-IF(circ_int,0,eq_c1/2)+(s_0+9*s_r+IF(circ_int,eq_c1/2,0))*COS(PI()/2+(((56+0.5)*(4*IF(circ_int,0,eq_c1/2)+4*IF(circ_int,0,eq_c2/2)+2*PI()*(s_0+9*s_r+IF(circ_int,eq_c1/2,0)))/INDEX(lk_legs,10))-(((2*IF(circ_int,0,eq_c2/2))+(PI()*(s_0+9*s_r+IF(circ_int,eq_c1/2,0))/2))+2*IF(circ_int,0,eq_c1/2)))/(s_0+9*s_r+IF(circ_int,eq_c1/2,0))),IF(((56+0.5)*(4*IF(circ_int,0,eq_c1/2)+4*IF(circ_int,0,eq_c2/2)+2*PI()*(s_0+9*s_r+IF(circ_int,eq_c1/2,0)))/INDEX(lk_legs,10))&lt;(((((2*IF(circ_int,0,eq_c2/2))+(PI()*(s_0+9*s_r+IF(circ_int,eq_c1/2,0))/2))+2*IF(circ_int,0,eq_c1/2))+(PI()*(s_0+9*s_r+IF(circ_int,eq_c1/2,0))/2))+2*IF(circ_int,0,eq_c2/2)),-IF(circ_int,0,eq_c1/2)-(s_0+9*s_r+IF(circ_int,eq_c1/2,0)),IF(((56+0.5)*(4*IF(circ_int,0,eq_c1/2)+4*IF(circ_int,0,eq_c2/2)+2*PI()*(s_0+9*s_r+IF(circ_int,eq_c1/2,0)))/INDEX(lk_legs,10))&lt;((((((2*IF(circ_int,0,eq_c2/2))+(PI()*(s_0+9*s_r+IF(circ_int,eq_c1/2,0))/2))+2*IF(circ_int,0,eq_c1/2))+(PI()*(s_0+9*s_r+IF(circ_int,eq_c1/2,0))/2))+2*IF(circ_int,0,eq_c2/2))+(PI()*(s_0+9*s_r+IF(circ_int,eq_c1/2,0))/2)),-IF(circ_int,0,eq_c1/2)+(s_0+9*s_r+IF(circ_int,eq_c1/2,0))*COS(PI()+(((56+0.5)*(4*IF(circ_int,0,eq_c1/2)+4*IF(circ_int,0,eq_c2/2)+2*PI()*(s_0+9*s_r+IF(circ_int,eq_c1/2,0)))/INDEX(lk_legs,10))-(((((2*IF(circ_int,0,eq_c2/2))+(PI()*(s_0+9*s_r+IF(circ_int,eq_c1/2,0))/2))+2*IF(circ_int,0,eq_c1/2))+(PI()*(s_0+9*s_r+IF(circ_int,eq_c1/2,0))/2))+2*IF(circ_int,0,eq_c2/2)))/(s_0+9*s_r+IF(circ_int,eq_c1/2,0))),IF(((56+0.5)*(4*IF(circ_int,0,eq_c1/2)+4*IF(circ_int,0,eq_c2/2)+2*PI()*(s_0+9*s_r+IF(circ_int,eq_c1/2,0)))/INDEX(lk_legs,10))&lt;(((((((2*IF(circ_int,0,eq_c2/2))+(PI()*(s_0+9*s_r+IF(circ_int,eq_c1/2,0))/2))+2*IF(circ_int,0,eq_c1/2))+(PI()*(s_0+9*s_r+IF(circ_int,eq_c1/2,0))/2))+2*IF(circ_int,0,eq_c2/2))+(PI()*(s_0+9*s_r+IF(circ_int,eq_c1/2,0))/2))+2*IF(circ_int,0,eq_c1/2)),-IF(circ_int,0,eq_c1/2)+(((56+0.5)*(4*IF(circ_int,0,eq_c1/2)+4*IF(circ_int,0,eq_c2/2)+2*PI()*(s_0+9*s_r+IF(circ_int,eq_c1/2,0)))/INDEX(lk_legs,10))-((((((2*IF(circ_int,0,eq_c2/2))+(PI()*(s_0+9*s_r+IF(circ_int,eq_c1/2,0))/2))+2*IF(circ_int,0,eq_c1/2))+(PI()*(s_0+9*s_r+IF(circ_int,eq_c1/2,0))/2))+2*IF(circ_int,0,eq_c2/2))+(PI()*(s_0+9*s_r+IF(circ_int,eq_c1/2,0))/2))),IF(circ_int,0,eq_c1/2)+(s_0+9*s_r+IF(circ_int,eq_c1/2,0))*COS(3*PI()/2+(((56+0.5)*(4*IF(circ_int,0,eq_c1/2)+4*IF(circ_int,0,eq_c2/2)+2*PI()*(s_0+9*s_r+IF(circ_int,eq_c1/2,0)))/INDEX(lk_legs,10))-(((((((2*IF(circ_int,0,eq_c2/2))+(PI()*(s_0+9*s_r+IF(circ_int,eq_c1/2,0))/2))+2*IF(circ_int,0,eq_c1/2))+(PI()*(s_0+9*s_r+IF(circ_int,eq_c1/2,0))/2))+2*IF(circ_int,0,eq_c2/2))+(PI()*(s_0+9*s_r+IF(circ_int,eq_c1/2,0))/2))+2*IF(circ_int,0,eq_c1/2)))/(s_0+9*s_r+IF(circ_int,eq_c1/2,0)))))))))),NA())</f>
        <v/>
      </c>
      <c r="DC59">
        <f>IF(AND(AND(links_on,10&lt;=n_per),INDEX(lk_kind,10)=1,56&lt;INDEX(lk_legs,10)),g_oy+IF(((56+0.5)*(4*IF(circ_int,0,eq_c1/2)+4*IF(circ_int,0,eq_c2/2)+2*PI()*(s_0+9*s_r+IF(circ_int,eq_c1/2,0)))/INDEX(lk_legs,10))&lt;(2*IF(circ_int,0,eq_c2/2)),-IF(circ_int,0,eq_c2/2)+((56+0.5)*(4*IF(circ_int,0,eq_c1/2)+4*IF(circ_int,0,eq_c2/2)+2*PI()*(s_0+9*s_r+IF(circ_int,eq_c1/2,0)))/INDEX(lk_legs,10)),IF(((56+0.5)*(4*IF(circ_int,0,eq_c1/2)+4*IF(circ_int,0,eq_c2/2)+2*PI()*(s_0+9*s_r+IF(circ_int,eq_c1/2,0)))/INDEX(lk_legs,10))&lt;((2*IF(circ_int,0,eq_c2/2))+(PI()*(s_0+9*s_r+IF(circ_int,eq_c1/2,0))/2)),IF(circ_int,0,eq_c2/2)+(s_0+9*s_r+IF(circ_int,eq_c1/2,0))*SIN((((56+0.5)*(4*IF(circ_int,0,eq_c1/2)+4*IF(circ_int,0,eq_c2/2)+2*PI()*(s_0+9*s_r+IF(circ_int,eq_c1/2,0)))/INDEX(lk_legs,10))-(2*IF(circ_int,0,eq_c2/2)))/(s_0+9*s_r+IF(circ_int,eq_c1/2,0))),IF(((56+0.5)*(4*IF(circ_int,0,eq_c1/2)+4*IF(circ_int,0,eq_c2/2)+2*PI()*(s_0+9*s_r+IF(circ_int,eq_c1/2,0)))/INDEX(lk_legs,10))&lt;(((2*IF(circ_int,0,eq_c2/2))+(PI()*(s_0+9*s_r+IF(circ_int,eq_c1/2,0))/2))+2*IF(circ_int,0,eq_c1/2)),IF(circ_int,0,eq_c2/2)+(s_0+9*s_r+IF(circ_int,eq_c1/2,0)),IF(((56+0.5)*(4*IF(circ_int,0,eq_c1/2)+4*IF(circ_int,0,eq_c2/2)+2*PI()*(s_0+9*s_r+IF(circ_int,eq_c1/2,0)))/INDEX(lk_legs,10))&lt;((((2*IF(circ_int,0,eq_c2/2))+(PI()*(s_0+9*s_r+IF(circ_int,eq_c1/2,0))/2))+2*IF(circ_int,0,eq_c1/2))+(PI()*(s_0+9*s_r+IF(circ_int,eq_c1/2,0))/2)),IF(circ_int,0,eq_c2/2)+(s_0+9*s_r+IF(circ_int,eq_c1/2,0))*SIN(PI()/2+(((56+0.5)*(4*IF(circ_int,0,eq_c1/2)+4*IF(circ_int,0,eq_c2/2)+2*PI()*(s_0+9*s_r+IF(circ_int,eq_c1/2,0)))/INDEX(lk_legs,10))-(((2*IF(circ_int,0,eq_c2/2))+(PI()*(s_0+9*s_r+IF(circ_int,eq_c1/2,0))/2))+2*IF(circ_int,0,eq_c1/2)))/(s_0+9*s_r+IF(circ_int,eq_c1/2,0))),IF(((56+0.5)*(4*IF(circ_int,0,eq_c1/2)+4*IF(circ_int,0,eq_c2/2)+2*PI()*(s_0+9*s_r+IF(circ_int,eq_c1/2,0)))/INDEX(lk_legs,10))&lt;(((((2*IF(circ_int,0,eq_c2/2))+(PI()*(s_0+9*s_r+IF(circ_int,eq_c1/2,0))/2))+2*IF(circ_int,0,eq_c1/2))+(PI()*(s_0+9*s_r+IF(circ_int,eq_c1/2,0))/2))+2*IF(circ_int,0,eq_c2/2)),IF(circ_int,0,eq_c2/2)-(((56+0.5)*(4*IF(circ_int,0,eq_c1/2)+4*IF(circ_int,0,eq_c2/2)+2*PI()*(s_0+9*s_r+IF(circ_int,eq_c1/2,0)))/INDEX(lk_legs,10))-((((2*IF(circ_int,0,eq_c2/2))+(PI()*(s_0+9*s_r+IF(circ_int,eq_c1/2,0))/2))+2*IF(circ_int,0,eq_c1/2))+(PI()*(s_0+9*s_r+IF(circ_int,eq_c1/2,0))/2))),IF(((56+0.5)*(4*IF(circ_int,0,eq_c1/2)+4*IF(circ_int,0,eq_c2/2)+2*PI()*(s_0+9*s_r+IF(circ_int,eq_c1/2,0)))/INDEX(lk_legs,10))&lt;((((((2*IF(circ_int,0,eq_c2/2))+(PI()*(s_0+9*s_r+IF(circ_int,eq_c1/2,0))/2))+2*IF(circ_int,0,eq_c1/2))+(PI()*(s_0+9*s_r+IF(circ_int,eq_c1/2,0))/2))+2*IF(circ_int,0,eq_c2/2))+(PI()*(s_0+9*s_r+IF(circ_int,eq_c1/2,0))/2)),-IF(circ_int,0,eq_c2/2)+(s_0+9*s_r+IF(circ_int,eq_c1/2,0))*SIN(PI()+(((56+0.5)*(4*IF(circ_int,0,eq_c1/2)+4*IF(circ_int,0,eq_c2/2)+2*PI()*(s_0+9*s_r+IF(circ_int,eq_c1/2,0)))/INDEX(lk_legs,10))-(((((2*IF(circ_int,0,eq_c2/2))+(PI()*(s_0+9*s_r+IF(circ_int,eq_c1/2,0))/2))+2*IF(circ_int,0,eq_c1/2))+(PI()*(s_0+9*s_r+IF(circ_int,eq_c1/2,0))/2))+2*IF(circ_int,0,eq_c2/2)))/(s_0+9*s_r+IF(circ_int,eq_c1/2,0))),IF(((56+0.5)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(56+0.5)*(4*IF(circ_int,0,eq_c1/2)+4*IF(circ_int,0,eq_c2/2)+2*PI()*(s_0+9*s_r+IF(circ_int,eq_c1/2,0)))/INDEX(lk_legs,10))-(((((((2*IF(circ_int,0,eq_c2/2))+(PI()*(s_0+9*s_r+IF(circ_int,eq_c1/2,0))/2))+2*IF(circ_int,0,eq_c1/2))+(PI()*(s_0+9*s_r+IF(circ_int,eq_c1/2,0))/2))+2*IF(circ_int,0,eq_c2/2))+(PI()*(s_0+9*s_r+IF(circ_int,eq_c1/2,0))/2))+2*IF(circ_int,0,eq_c1/2)))/(s_0+9*s_r+IF(circ_int,eq_c1/2,0)))))))))),NA())</f>
        <v/>
      </c>
      <c r="DH59">
        <f>IF(AND(AND(links_on,11&lt;=n_per),INDEX(lk_kind,11)=1,56&lt;INDEX(lk_legs,11)),g_ox+IF(((56+0.5)*(4*IF(circ_int,0,eq_c1/2)+4*IF(circ_int,0,eq_c2/2)+2*PI()*(s_0+10*s_r+IF(circ_int,eq_c1/2,0)))/INDEX(lk_legs,11))&lt;(2*IF(circ_int,0,eq_c2/2)),IF(circ_int,0,eq_c1/2)+(s_0+10*s_r+IF(circ_int,eq_c1/2,0)),IF(((56+0.5)*(4*IF(circ_int,0,eq_c1/2)+4*IF(circ_int,0,eq_c2/2)+2*PI()*(s_0+10*s_r+IF(circ_int,eq_c1/2,0)))/INDEX(lk_legs,11))&lt;((2*IF(circ_int,0,eq_c2/2))+(PI()*(s_0+10*s_r+IF(circ_int,eq_c1/2,0))/2)),IF(circ_int,0,eq_c1/2)+(s_0+10*s_r+IF(circ_int,eq_c1/2,0))*COS((((56+0.5)*(4*IF(circ_int,0,eq_c1/2)+4*IF(circ_int,0,eq_c2/2)+2*PI()*(s_0+10*s_r+IF(circ_int,eq_c1/2,0)))/INDEX(lk_legs,11))-(2*IF(circ_int,0,eq_c2/2)))/(s_0+10*s_r+IF(circ_int,eq_c1/2,0))),IF(((56+0.5)*(4*IF(circ_int,0,eq_c1/2)+4*IF(circ_int,0,eq_c2/2)+2*PI()*(s_0+10*s_r+IF(circ_int,eq_c1/2,0)))/INDEX(lk_legs,11))&lt;(((2*IF(circ_int,0,eq_c2/2))+(PI()*(s_0+10*s_r+IF(circ_int,eq_c1/2,0))/2))+2*IF(circ_int,0,eq_c1/2)),IF(circ_int,0,eq_c1/2)-(((56+0.5)*(4*IF(circ_int,0,eq_c1/2)+4*IF(circ_int,0,eq_c2/2)+2*PI()*(s_0+10*s_r+IF(circ_int,eq_c1/2,0)))/INDEX(lk_legs,11))-((2*IF(circ_int,0,eq_c2/2))+(PI()*(s_0+10*s_r+IF(circ_int,eq_c1/2,0))/2))),IF(((56+0.5)*(4*IF(circ_int,0,eq_c1/2)+4*IF(circ_int,0,eq_c2/2)+2*PI()*(s_0+10*s_r+IF(circ_int,eq_c1/2,0)))/INDEX(lk_legs,11))&lt;((((2*IF(circ_int,0,eq_c2/2))+(PI()*(s_0+10*s_r+IF(circ_int,eq_c1/2,0))/2))+2*IF(circ_int,0,eq_c1/2))+(PI()*(s_0+10*s_r+IF(circ_int,eq_c1/2,0))/2)),-IF(circ_int,0,eq_c1/2)+(s_0+10*s_r+IF(circ_int,eq_c1/2,0))*COS(PI()/2+(((56+0.5)*(4*IF(circ_int,0,eq_c1/2)+4*IF(circ_int,0,eq_c2/2)+2*PI()*(s_0+10*s_r+IF(circ_int,eq_c1/2,0)))/INDEX(lk_legs,11))-(((2*IF(circ_int,0,eq_c2/2))+(PI()*(s_0+10*s_r+IF(circ_int,eq_c1/2,0))/2))+2*IF(circ_int,0,eq_c1/2)))/(s_0+10*s_r+IF(circ_int,eq_c1/2,0))),IF(((56+0.5)*(4*IF(circ_int,0,eq_c1/2)+4*IF(circ_int,0,eq_c2/2)+2*PI()*(s_0+10*s_r+IF(circ_int,eq_c1/2,0)))/INDEX(lk_legs,11))&lt;(((((2*IF(circ_int,0,eq_c2/2))+(PI()*(s_0+10*s_r+IF(circ_int,eq_c1/2,0))/2))+2*IF(circ_int,0,eq_c1/2))+(PI()*(s_0+10*s_r+IF(circ_int,eq_c1/2,0))/2))+2*IF(circ_int,0,eq_c2/2)),-IF(circ_int,0,eq_c1/2)-(s_0+10*s_r+IF(circ_int,eq_c1/2,0)),IF(((56+0.5)*(4*IF(circ_int,0,eq_c1/2)+4*IF(circ_int,0,eq_c2/2)+2*PI()*(s_0+10*s_r+IF(circ_int,eq_c1/2,0)))/INDEX(lk_legs,11))&lt;((((((2*IF(circ_int,0,eq_c2/2))+(PI()*(s_0+10*s_r+IF(circ_int,eq_c1/2,0))/2))+2*IF(circ_int,0,eq_c1/2))+(PI()*(s_0+10*s_r+IF(circ_int,eq_c1/2,0))/2))+2*IF(circ_int,0,eq_c2/2))+(PI()*(s_0+10*s_r+IF(circ_int,eq_c1/2,0))/2)),-IF(circ_int,0,eq_c1/2)+(s_0+10*s_r+IF(circ_int,eq_c1/2,0))*COS(PI()+(((56+0.5)*(4*IF(circ_int,0,eq_c1/2)+4*IF(circ_int,0,eq_c2/2)+2*PI()*(s_0+10*s_r+IF(circ_int,eq_c1/2,0)))/INDEX(lk_legs,11))-(((((2*IF(circ_int,0,eq_c2/2))+(PI()*(s_0+10*s_r+IF(circ_int,eq_c1/2,0))/2))+2*IF(circ_int,0,eq_c1/2))+(PI()*(s_0+10*s_r+IF(circ_int,eq_c1/2,0))/2))+2*IF(circ_int,0,eq_c2/2)))/(s_0+10*s_r+IF(circ_int,eq_c1/2,0))),IF(((56+0.5)*(4*IF(circ_int,0,eq_c1/2)+4*IF(circ_int,0,eq_c2/2)+2*PI()*(s_0+10*s_r+IF(circ_int,eq_c1/2,0)))/INDEX(lk_legs,11))&lt;(((((((2*IF(circ_int,0,eq_c2/2))+(PI()*(s_0+10*s_r+IF(circ_int,eq_c1/2,0))/2))+2*IF(circ_int,0,eq_c1/2))+(PI()*(s_0+10*s_r+IF(circ_int,eq_c1/2,0))/2))+2*IF(circ_int,0,eq_c2/2))+(PI()*(s_0+10*s_r+IF(circ_int,eq_c1/2,0))/2))+2*IF(circ_int,0,eq_c1/2)),-IF(circ_int,0,eq_c1/2)+(((56+0.5)*(4*IF(circ_int,0,eq_c1/2)+4*IF(circ_int,0,eq_c2/2)+2*PI()*(s_0+10*s_r+IF(circ_int,eq_c1/2,0)))/INDEX(lk_legs,11))-((((((2*IF(circ_int,0,eq_c2/2))+(PI()*(s_0+10*s_r+IF(circ_int,eq_c1/2,0))/2))+2*IF(circ_int,0,eq_c1/2))+(PI()*(s_0+10*s_r+IF(circ_int,eq_c1/2,0))/2))+2*IF(circ_int,0,eq_c2/2))+(PI()*(s_0+10*s_r+IF(circ_int,eq_c1/2,0))/2))),IF(circ_int,0,eq_c1/2)+(s_0+10*s_r+IF(circ_int,eq_c1/2,0))*COS(3*PI()/2+(((56+0.5)*(4*IF(circ_int,0,eq_c1/2)+4*IF(circ_int,0,eq_c2/2)+2*PI()*(s_0+10*s_r+IF(circ_int,eq_c1/2,0)))/INDEX(lk_legs,11))-(((((((2*IF(circ_int,0,eq_c2/2))+(PI()*(s_0+10*s_r+IF(circ_int,eq_c1/2,0))/2))+2*IF(circ_int,0,eq_c1/2))+(PI()*(s_0+10*s_r+IF(circ_int,eq_c1/2,0))/2))+2*IF(circ_int,0,eq_c2/2))+(PI()*(s_0+10*s_r+IF(circ_int,eq_c1/2,0))/2))+2*IF(circ_int,0,eq_c1/2)))/(s_0+10*s_r+IF(circ_int,eq_c1/2,0)))))))))),NA())</f>
        <v/>
      </c>
      <c r="DI59">
        <f>IF(AND(AND(links_on,11&lt;=n_per),INDEX(lk_kind,11)=1,56&lt;INDEX(lk_legs,11)),g_oy+IF(((56+0.5)*(4*IF(circ_int,0,eq_c1/2)+4*IF(circ_int,0,eq_c2/2)+2*PI()*(s_0+10*s_r+IF(circ_int,eq_c1/2,0)))/INDEX(lk_legs,11))&lt;(2*IF(circ_int,0,eq_c2/2)),-IF(circ_int,0,eq_c2/2)+((56+0.5)*(4*IF(circ_int,0,eq_c1/2)+4*IF(circ_int,0,eq_c2/2)+2*PI()*(s_0+10*s_r+IF(circ_int,eq_c1/2,0)))/INDEX(lk_legs,11)),IF(((56+0.5)*(4*IF(circ_int,0,eq_c1/2)+4*IF(circ_int,0,eq_c2/2)+2*PI()*(s_0+10*s_r+IF(circ_int,eq_c1/2,0)))/INDEX(lk_legs,11))&lt;((2*IF(circ_int,0,eq_c2/2))+(PI()*(s_0+10*s_r+IF(circ_int,eq_c1/2,0))/2)),IF(circ_int,0,eq_c2/2)+(s_0+10*s_r+IF(circ_int,eq_c1/2,0))*SIN((((56+0.5)*(4*IF(circ_int,0,eq_c1/2)+4*IF(circ_int,0,eq_c2/2)+2*PI()*(s_0+10*s_r+IF(circ_int,eq_c1/2,0)))/INDEX(lk_legs,11))-(2*IF(circ_int,0,eq_c2/2)))/(s_0+10*s_r+IF(circ_int,eq_c1/2,0))),IF(((56+0.5)*(4*IF(circ_int,0,eq_c1/2)+4*IF(circ_int,0,eq_c2/2)+2*PI()*(s_0+10*s_r+IF(circ_int,eq_c1/2,0)))/INDEX(lk_legs,11))&lt;(((2*IF(circ_int,0,eq_c2/2))+(PI()*(s_0+10*s_r+IF(circ_int,eq_c1/2,0))/2))+2*IF(circ_int,0,eq_c1/2)),IF(circ_int,0,eq_c2/2)+(s_0+10*s_r+IF(circ_int,eq_c1/2,0)),IF(((56+0.5)*(4*IF(circ_int,0,eq_c1/2)+4*IF(circ_int,0,eq_c2/2)+2*PI()*(s_0+10*s_r+IF(circ_int,eq_c1/2,0)))/INDEX(lk_legs,11))&lt;((((2*IF(circ_int,0,eq_c2/2))+(PI()*(s_0+10*s_r+IF(circ_int,eq_c1/2,0))/2))+2*IF(circ_int,0,eq_c1/2))+(PI()*(s_0+10*s_r+IF(circ_int,eq_c1/2,0))/2)),IF(circ_int,0,eq_c2/2)+(s_0+10*s_r+IF(circ_int,eq_c1/2,0))*SIN(PI()/2+(((56+0.5)*(4*IF(circ_int,0,eq_c1/2)+4*IF(circ_int,0,eq_c2/2)+2*PI()*(s_0+10*s_r+IF(circ_int,eq_c1/2,0)))/INDEX(lk_legs,11))-(((2*IF(circ_int,0,eq_c2/2))+(PI()*(s_0+10*s_r+IF(circ_int,eq_c1/2,0))/2))+2*IF(circ_int,0,eq_c1/2)))/(s_0+10*s_r+IF(circ_int,eq_c1/2,0))),IF(((56+0.5)*(4*IF(circ_int,0,eq_c1/2)+4*IF(circ_int,0,eq_c2/2)+2*PI()*(s_0+10*s_r+IF(circ_int,eq_c1/2,0)))/INDEX(lk_legs,11))&lt;(((((2*IF(circ_int,0,eq_c2/2))+(PI()*(s_0+10*s_r+IF(circ_int,eq_c1/2,0))/2))+2*IF(circ_int,0,eq_c1/2))+(PI()*(s_0+10*s_r+IF(circ_int,eq_c1/2,0))/2))+2*IF(circ_int,0,eq_c2/2)),IF(circ_int,0,eq_c2/2)-(((56+0.5)*(4*IF(circ_int,0,eq_c1/2)+4*IF(circ_int,0,eq_c2/2)+2*PI()*(s_0+10*s_r+IF(circ_int,eq_c1/2,0)))/INDEX(lk_legs,11))-((((2*IF(circ_int,0,eq_c2/2))+(PI()*(s_0+10*s_r+IF(circ_int,eq_c1/2,0))/2))+2*IF(circ_int,0,eq_c1/2))+(PI()*(s_0+10*s_r+IF(circ_int,eq_c1/2,0))/2))),IF(((56+0.5)*(4*IF(circ_int,0,eq_c1/2)+4*IF(circ_int,0,eq_c2/2)+2*PI()*(s_0+10*s_r+IF(circ_int,eq_c1/2,0)))/INDEX(lk_legs,11))&lt;((((((2*IF(circ_int,0,eq_c2/2))+(PI()*(s_0+10*s_r+IF(circ_int,eq_c1/2,0))/2))+2*IF(circ_int,0,eq_c1/2))+(PI()*(s_0+10*s_r+IF(circ_int,eq_c1/2,0))/2))+2*IF(circ_int,0,eq_c2/2))+(PI()*(s_0+10*s_r+IF(circ_int,eq_c1/2,0))/2)),-IF(circ_int,0,eq_c2/2)+(s_0+10*s_r+IF(circ_int,eq_c1/2,0))*SIN(PI()+(((56+0.5)*(4*IF(circ_int,0,eq_c1/2)+4*IF(circ_int,0,eq_c2/2)+2*PI()*(s_0+10*s_r+IF(circ_int,eq_c1/2,0)))/INDEX(lk_legs,11))-(((((2*IF(circ_int,0,eq_c2/2))+(PI()*(s_0+10*s_r+IF(circ_int,eq_c1/2,0))/2))+2*IF(circ_int,0,eq_c1/2))+(PI()*(s_0+10*s_r+IF(circ_int,eq_c1/2,0))/2))+2*IF(circ_int,0,eq_c2/2)))/(s_0+10*s_r+IF(circ_int,eq_c1/2,0))),IF(((56+0.5)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(56+0.5)*(4*IF(circ_int,0,eq_c1/2)+4*IF(circ_int,0,eq_c2/2)+2*PI()*(s_0+10*s_r+IF(circ_int,eq_c1/2,0)))/INDEX(lk_legs,11))-(((((((2*IF(circ_int,0,eq_c2/2))+(PI()*(s_0+10*s_r+IF(circ_int,eq_c1/2,0))/2))+2*IF(circ_int,0,eq_c1/2))+(PI()*(s_0+10*s_r+IF(circ_int,eq_c1/2,0))/2))+2*IF(circ_int,0,eq_c2/2))+(PI()*(s_0+10*s_r+IF(circ_int,eq_c1/2,0))/2))+2*IF(circ_int,0,eq_c1/2)))/(s_0+10*s_r+IF(circ_int,eq_c1/2,0)))))))))),NA())</f>
        <v/>
      </c>
      <c r="DN59">
        <f>IF(AND(AND(links_on,12&lt;=n_per),INDEX(lk_kind,12)=1,56&lt;INDEX(lk_legs,12)),g_ox+IF(((56+0.5)*(4*IF(circ_int,0,eq_c1/2)+4*IF(circ_int,0,eq_c2/2)+2*PI()*(s_0+11*s_r+IF(circ_int,eq_c1/2,0)))/INDEX(lk_legs,12))&lt;(2*IF(circ_int,0,eq_c2/2)),IF(circ_int,0,eq_c1/2)+(s_0+11*s_r+IF(circ_int,eq_c1/2,0)),IF(((56+0.5)*(4*IF(circ_int,0,eq_c1/2)+4*IF(circ_int,0,eq_c2/2)+2*PI()*(s_0+11*s_r+IF(circ_int,eq_c1/2,0)))/INDEX(lk_legs,12))&lt;((2*IF(circ_int,0,eq_c2/2))+(PI()*(s_0+11*s_r+IF(circ_int,eq_c1/2,0))/2)),IF(circ_int,0,eq_c1/2)+(s_0+11*s_r+IF(circ_int,eq_c1/2,0))*COS((((56+0.5)*(4*IF(circ_int,0,eq_c1/2)+4*IF(circ_int,0,eq_c2/2)+2*PI()*(s_0+11*s_r+IF(circ_int,eq_c1/2,0)))/INDEX(lk_legs,12))-(2*IF(circ_int,0,eq_c2/2)))/(s_0+11*s_r+IF(circ_int,eq_c1/2,0))),IF(((56+0.5)*(4*IF(circ_int,0,eq_c1/2)+4*IF(circ_int,0,eq_c2/2)+2*PI()*(s_0+11*s_r+IF(circ_int,eq_c1/2,0)))/INDEX(lk_legs,12))&lt;(((2*IF(circ_int,0,eq_c2/2))+(PI()*(s_0+11*s_r+IF(circ_int,eq_c1/2,0))/2))+2*IF(circ_int,0,eq_c1/2)),IF(circ_int,0,eq_c1/2)-(((56+0.5)*(4*IF(circ_int,0,eq_c1/2)+4*IF(circ_int,0,eq_c2/2)+2*PI()*(s_0+11*s_r+IF(circ_int,eq_c1/2,0)))/INDEX(lk_legs,12))-((2*IF(circ_int,0,eq_c2/2))+(PI()*(s_0+11*s_r+IF(circ_int,eq_c1/2,0))/2))),IF(((56+0.5)*(4*IF(circ_int,0,eq_c1/2)+4*IF(circ_int,0,eq_c2/2)+2*PI()*(s_0+11*s_r+IF(circ_int,eq_c1/2,0)))/INDEX(lk_legs,12))&lt;((((2*IF(circ_int,0,eq_c2/2))+(PI()*(s_0+11*s_r+IF(circ_int,eq_c1/2,0))/2))+2*IF(circ_int,0,eq_c1/2))+(PI()*(s_0+11*s_r+IF(circ_int,eq_c1/2,0))/2)),-IF(circ_int,0,eq_c1/2)+(s_0+11*s_r+IF(circ_int,eq_c1/2,0))*COS(PI()/2+(((56+0.5)*(4*IF(circ_int,0,eq_c1/2)+4*IF(circ_int,0,eq_c2/2)+2*PI()*(s_0+11*s_r+IF(circ_int,eq_c1/2,0)))/INDEX(lk_legs,12))-(((2*IF(circ_int,0,eq_c2/2))+(PI()*(s_0+11*s_r+IF(circ_int,eq_c1/2,0))/2))+2*IF(circ_int,0,eq_c1/2)))/(s_0+11*s_r+IF(circ_int,eq_c1/2,0))),IF(((56+0.5)*(4*IF(circ_int,0,eq_c1/2)+4*IF(circ_int,0,eq_c2/2)+2*PI()*(s_0+11*s_r+IF(circ_int,eq_c1/2,0)))/INDEX(lk_legs,12))&lt;(((((2*IF(circ_int,0,eq_c2/2))+(PI()*(s_0+11*s_r+IF(circ_int,eq_c1/2,0))/2))+2*IF(circ_int,0,eq_c1/2))+(PI()*(s_0+11*s_r+IF(circ_int,eq_c1/2,0))/2))+2*IF(circ_int,0,eq_c2/2)),-IF(circ_int,0,eq_c1/2)-(s_0+11*s_r+IF(circ_int,eq_c1/2,0)),IF(((56+0.5)*(4*IF(circ_int,0,eq_c1/2)+4*IF(circ_int,0,eq_c2/2)+2*PI()*(s_0+11*s_r+IF(circ_int,eq_c1/2,0)))/INDEX(lk_legs,12))&lt;((((((2*IF(circ_int,0,eq_c2/2))+(PI()*(s_0+11*s_r+IF(circ_int,eq_c1/2,0))/2))+2*IF(circ_int,0,eq_c1/2))+(PI()*(s_0+11*s_r+IF(circ_int,eq_c1/2,0))/2))+2*IF(circ_int,0,eq_c2/2))+(PI()*(s_0+11*s_r+IF(circ_int,eq_c1/2,0))/2)),-IF(circ_int,0,eq_c1/2)+(s_0+11*s_r+IF(circ_int,eq_c1/2,0))*COS(PI()+(((56+0.5)*(4*IF(circ_int,0,eq_c1/2)+4*IF(circ_int,0,eq_c2/2)+2*PI()*(s_0+11*s_r+IF(circ_int,eq_c1/2,0)))/INDEX(lk_legs,12))-(((((2*IF(circ_int,0,eq_c2/2))+(PI()*(s_0+11*s_r+IF(circ_int,eq_c1/2,0))/2))+2*IF(circ_int,0,eq_c1/2))+(PI()*(s_0+11*s_r+IF(circ_int,eq_c1/2,0))/2))+2*IF(circ_int,0,eq_c2/2)))/(s_0+11*s_r+IF(circ_int,eq_c1/2,0))),IF(((56+0.5)*(4*IF(circ_int,0,eq_c1/2)+4*IF(circ_int,0,eq_c2/2)+2*PI()*(s_0+11*s_r+IF(circ_int,eq_c1/2,0)))/INDEX(lk_legs,12))&lt;(((((((2*IF(circ_int,0,eq_c2/2))+(PI()*(s_0+11*s_r+IF(circ_int,eq_c1/2,0))/2))+2*IF(circ_int,0,eq_c1/2))+(PI()*(s_0+11*s_r+IF(circ_int,eq_c1/2,0))/2))+2*IF(circ_int,0,eq_c2/2))+(PI()*(s_0+11*s_r+IF(circ_int,eq_c1/2,0))/2))+2*IF(circ_int,0,eq_c1/2)),-IF(circ_int,0,eq_c1/2)+(((56+0.5)*(4*IF(circ_int,0,eq_c1/2)+4*IF(circ_int,0,eq_c2/2)+2*PI()*(s_0+11*s_r+IF(circ_int,eq_c1/2,0)))/INDEX(lk_legs,12))-((((((2*IF(circ_int,0,eq_c2/2))+(PI()*(s_0+11*s_r+IF(circ_int,eq_c1/2,0))/2))+2*IF(circ_int,0,eq_c1/2))+(PI()*(s_0+11*s_r+IF(circ_int,eq_c1/2,0))/2))+2*IF(circ_int,0,eq_c2/2))+(PI()*(s_0+11*s_r+IF(circ_int,eq_c1/2,0))/2))),IF(circ_int,0,eq_c1/2)+(s_0+11*s_r+IF(circ_int,eq_c1/2,0))*COS(3*PI()/2+(((56+0.5)*(4*IF(circ_int,0,eq_c1/2)+4*IF(circ_int,0,eq_c2/2)+2*PI()*(s_0+11*s_r+IF(circ_int,eq_c1/2,0)))/INDEX(lk_legs,12))-(((((((2*IF(circ_int,0,eq_c2/2))+(PI()*(s_0+11*s_r+IF(circ_int,eq_c1/2,0))/2))+2*IF(circ_int,0,eq_c1/2))+(PI()*(s_0+11*s_r+IF(circ_int,eq_c1/2,0))/2))+2*IF(circ_int,0,eq_c2/2))+(PI()*(s_0+11*s_r+IF(circ_int,eq_c1/2,0))/2))+2*IF(circ_int,0,eq_c1/2)))/(s_0+11*s_r+IF(circ_int,eq_c1/2,0)))))))))),NA())</f>
        <v/>
      </c>
      <c r="DO59">
        <f>IF(AND(AND(links_on,12&lt;=n_per),INDEX(lk_kind,12)=1,56&lt;INDEX(lk_legs,12)),g_oy+IF(((56+0.5)*(4*IF(circ_int,0,eq_c1/2)+4*IF(circ_int,0,eq_c2/2)+2*PI()*(s_0+11*s_r+IF(circ_int,eq_c1/2,0)))/INDEX(lk_legs,12))&lt;(2*IF(circ_int,0,eq_c2/2)),-IF(circ_int,0,eq_c2/2)+((56+0.5)*(4*IF(circ_int,0,eq_c1/2)+4*IF(circ_int,0,eq_c2/2)+2*PI()*(s_0+11*s_r+IF(circ_int,eq_c1/2,0)))/INDEX(lk_legs,12)),IF(((56+0.5)*(4*IF(circ_int,0,eq_c1/2)+4*IF(circ_int,0,eq_c2/2)+2*PI()*(s_0+11*s_r+IF(circ_int,eq_c1/2,0)))/INDEX(lk_legs,12))&lt;((2*IF(circ_int,0,eq_c2/2))+(PI()*(s_0+11*s_r+IF(circ_int,eq_c1/2,0))/2)),IF(circ_int,0,eq_c2/2)+(s_0+11*s_r+IF(circ_int,eq_c1/2,0))*SIN((((56+0.5)*(4*IF(circ_int,0,eq_c1/2)+4*IF(circ_int,0,eq_c2/2)+2*PI()*(s_0+11*s_r+IF(circ_int,eq_c1/2,0)))/INDEX(lk_legs,12))-(2*IF(circ_int,0,eq_c2/2)))/(s_0+11*s_r+IF(circ_int,eq_c1/2,0))),IF(((56+0.5)*(4*IF(circ_int,0,eq_c1/2)+4*IF(circ_int,0,eq_c2/2)+2*PI()*(s_0+11*s_r+IF(circ_int,eq_c1/2,0)))/INDEX(lk_legs,12))&lt;(((2*IF(circ_int,0,eq_c2/2))+(PI()*(s_0+11*s_r+IF(circ_int,eq_c1/2,0))/2))+2*IF(circ_int,0,eq_c1/2)),IF(circ_int,0,eq_c2/2)+(s_0+11*s_r+IF(circ_int,eq_c1/2,0)),IF(((56+0.5)*(4*IF(circ_int,0,eq_c1/2)+4*IF(circ_int,0,eq_c2/2)+2*PI()*(s_0+11*s_r+IF(circ_int,eq_c1/2,0)))/INDEX(lk_legs,12))&lt;((((2*IF(circ_int,0,eq_c2/2))+(PI()*(s_0+11*s_r+IF(circ_int,eq_c1/2,0))/2))+2*IF(circ_int,0,eq_c1/2))+(PI()*(s_0+11*s_r+IF(circ_int,eq_c1/2,0))/2)),IF(circ_int,0,eq_c2/2)+(s_0+11*s_r+IF(circ_int,eq_c1/2,0))*SIN(PI()/2+(((56+0.5)*(4*IF(circ_int,0,eq_c1/2)+4*IF(circ_int,0,eq_c2/2)+2*PI()*(s_0+11*s_r+IF(circ_int,eq_c1/2,0)))/INDEX(lk_legs,12))-(((2*IF(circ_int,0,eq_c2/2))+(PI()*(s_0+11*s_r+IF(circ_int,eq_c1/2,0))/2))+2*IF(circ_int,0,eq_c1/2)))/(s_0+11*s_r+IF(circ_int,eq_c1/2,0))),IF(((56+0.5)*(4*IF(circ_int,0,eq_c1/2)+4*IF(circ_int,0,eq_c2/2)+2*PI()*(s_0+11*s_r+IF(circ_int,eq_c1/2,0)))/INDEX(lk_legs,12))&lt;(((((2*IF(circ_int,0,eq_c2/2))+(PI()*(s_0+11*s_r+IF(circ_int,eq_c1/2,0))/2))+2*IF(circ_int,0,eq_c1/2))+(PI()*(s_0+11*s_r+IF(circ_int,eq_c1/2,0))/2))+2*IF(circ_int,0,eq_c2/2)),IF(circ_int,0,eq_c2/2)-(((56+0.5)*(4*IF(circ_int,0,eq_c1/2)+4*IF(circ_int,0,eq_c2/2)+2*PI()*(s_0+11*s_r+IF(circ_int,eq_c1/2,0)))/INDEX(lk_legs,12))-((((2*IF(circ_int,0,eq_c2/2))+(PI()*(s_0+11*s_r+IF(circ_int,eq_c1/2,0))/2))+2*IF(circ_int,0,eq_c1/2))+(PI()*(s_0+11*s_r+IF(circ_int,eq_c1/2,0))/2))),IF(((56+0.5)*(4*IF(circ_int,0,eq_c1/2)+4*IF(circ_int,0,eq_c2/2)+2*PI()*(s_0+11*s_r+IF(circ_int,eq_c1/2,0)))/INDEX(lk_legs,12))&lt;((((((2*IF(circ_int,0,eq_c2/2))+(PI()*(s_0+11*s_r+IF(circ_int,eq_c1/2,0))/2))+2*IF(circ_int,0,eq_c1/2))+(PI()*(s_0+11*s_r+IF(circ_int,eq_c1/2,0))/2))+2*IF(circ_int,0,eq_c2/2))+(PI()*(s_0+11*s_r+IF(circ_int,eq_c1/2,0))/2)),-IF(circ_int,0,eq_c2/2)+(s_0+11*s_r+IF(circ_int,eq_c1/2,0))*SIN(PI()+(((56+0.5)*(4*IF(circ_int,0,eq_c1/2)+4*IF(circ_int,0,eq_c2/2)+2*PI()*(s_0+11*s_r+IF(circ_int,eq_c1/2,0)))/INDEX(lk_legs,12))-(((((2*IF(circ_int,0,eq_c2/2))+(PI()*(s_0+11*s_r+IF(circ_int,eq_c1/2,0))/2))+2*IF(circ_int,0,eq_c1/2))+(PI()*(s_0+11*s_r+IF(circ_int,eq_c1/2,0))/2))+2*IF(circ_int,0,eq_c2/2)))/(s_0+11*s_r+IF(circ_int,eq_c1/2,0))),IF(((56+0.5)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(56+0.5)*(4*IF(circ_int,0,eq_c1/2)+4*IF(circ_int,0,eq_c2/2)+2*PI()*(s_0+11*s_r+IF(circ_int,eq_c1/2,0)))/INDEX(lk_legs,12))-(((((((2*IF(circ_int,0,eq_c2/2))+(PI()*(s_0+11*s_r+IF(circ_int,eq_c1/2,0))/2))+2*IF(circ_int,0,eq_c1/2))+(PI()*(s_0+11*s_r+IF(circ_int,eq_c1/2,0))/2))+2*IF(circ_int,0,eq_c2/2))+(PI()*(s_0+11*s_r+IF(circ_int,eq_c1/2,0))/2))+2*IF(circ_int,0,eq_c1/2)))/(s_0+11*s_r+IF(circ_int,eq_c1/2,0)))))))))),NA())</f>
        <v/>
      </c>
    </row>
    <row r="60">
      <c r="AZ60">
        <f>IF(AND(AND(links_on,1&lt;=n_per),INDEX(lk_kind,1)=1,57&lt;INDEX(lk_legs,1)),g_ox+IF(((57+0.5)*(4*IF(circ_int,0,eq_c1/2)+4*IF(circ_int,0,eq_c2/2)+2*PI()*(s_0+0*s_r+IF(circ_int,eq_c1/2,0)))/INDEX(lk_legs,1))&lt;(2*IF(circ_int,0,eq_c2/2)),IF(circ_int,0,eq_c1/2)+(s_0+0*s_r+IF(circ_int,eq_c1/2,0)),IF(((57+0.5)*(4*IF(circ_int,0,eq_c1/2)+4*IF(circ_int,0,eq_c2/2)+2*PI()*(s_0+0*s_r+IF(circ_int,eq_c1/2,0)))/INDEX(lk_legs,1))&lt;((2*IF(circ_int,0,eq_c2/2))+(PI()*(s_0+0*s_r+IF(circ_int,eq_c1/2,0))/2)),IF(circ_int,0,eq_c1/2)+(s_0+0*s_r+IF(circ_int,eq_c1/2,0))*COS((((57+0.5)*(4*IF(circ_int,0,eq_c1/2)+4*IF(circ_int,0,eq_c2/2)+2*PI()*(s_0+0*s_r+IF(circ_int,eq_c1/2,0)))/INDEX(lk_legs,1))-(2*IF(circ_int,0,eq_c2/2)))/(s_0+0*s_r+IF(circ_int,eq_c1/2,0))),IF(((57+0.5)*(4*IF(circ_int,0,eq_c1/2)+4*IF(circ_int,0,eq_c2/2)+2*PI()*(s_0+0*s_r+IF(circ_int,eq_c1/2,0)))/INDEX(lk_legs,1))&lt;(((2*IF(circ_int,0,eq_c2/2))+(PI()*(s_0+0*s_r+IF(circ_int,eq_c1/2,0))/2))+2*IF(circ_int,0,eq_c1/2)),IF(circ_int,0,eq_c1/2)-(((57+0.5)*(4*IF(circ_int,0,eq_c1/2)+4*IF(circ_int,0,eq_c2/2)+2*PI()*(s_0+0*s_r+IF(circ_int,eq_c1/2,0)))/INDEX(lk_legs,1))-((2*IF(circ_int,0,eq_c2/2))+(PI()*(s_0+0*s_r+IF(circ_int,eq_c1/2,0))/2))),IF(((57+0.5)*(4*IF(circ_int,0,eq_c1/2)+4*IF(circ_int,0,eq_c2/2)+2*PI()*(s_0+0*s_r+IF(circ_int,eq_c1/2,0)))/INDEX(lk_legs,1))&lt;((((2*IF(circ_int,0,eq_c2/2))+(PI()*(s_0+0*s_r+IF(circ_int,eq_c1/2,0))/2))+2*IF(circ_int,0,eq_c1/2))+(PI()*(s_0+0*s_r+IF(circ_int,eq_c1/2,0))/2)),-IF(circ_int,0,eq_c1/2)+(s_0+0*s_r+IF(circ_int,eq_c1/2,0))*COS(PI()/2+(((57+0.5)*(4*IF(circ_int,0,eq_c1/2)+4*IF(circ_int,0,eq_c2/2)+2*PI()*(s_0+0*s_r+IF(circ_int,eq_c1/2,0)))/INDEX(lk_legs,1))-(((2*IF(circ_int,0,eq_c2/2))+(PI()*(s_0+0*s_r+IF(circ_int,eq_c1/2,0))/2))+2*IF(circ_int,0,eq_c1/2)))/(s_0+0*s_r+IF(circ_int,eq_c1/2,0))),IF(((57+0.5)*(4*IF(circ_int,0,eq_c1/2)+4*IF(circ_int,0,eq_c2/2)+2*PI()*(s_0+0*s_r+IF(circ_int,eq_c1/2,0)))/INDEX(lk_legs,1))&lt;(((((2*IF(circ_int,0,eq_c2/2))+(PI()*(s_0+0*s_r+IF(circ_int,eq_c1/2,0))/2))+2*IF(circ_int,0,eq_c1/2))+(PI()*(s_0+0*s_r+IF(circ_int,eq_c1/2,0))/2))+2*IF(circ_int,0,eq_c2/2)),-IF(circ_int,0,eq_c1/2)-(s_0+0*s_r+IF(circ_int,eq_c1/2,0)),IF(((57+0.5)*(4*IF(circ_int,0,eq_c1/2)+4*IF(circ_int,0,eq_c2/2)+2*PI()*(s_0+0*s_r+IF(circ_int,eq_c1/2,0)))/INDEX(lk_legs,1))&lt;((((((2*IF(circ_int,0,eq_c2/2))+(PI()*(s_0+0*s_r+IF(circ_int,eq_c1/2,0))/2))+2*IF(circ_int,0,eq_c1/2))+(PI()*(s_0+0*s_r+IF(circ_int,eq_c1/2,0))/2))+2*IF(circ_int,0,eq_c2/2))+(PI()*(s_0+0*s_r+IF(circ_int,eq_c1/2,0))/2)),-IF(circ_int,0,eq_c1/2)+(s_0+0*s_r+IF(circ_int,eq_c1/2,0))*COS(PI()+(((57+0.5)*(4*IF(circ_int,0,eq_c1/2)+4*IF(circ_int,0,eq_c2/2)+2*PI()*(s_0+0*s_r+IF(circ_int,eq_c1/2,0)))/INDEX(lk_legs,1))-(((((2*IF(circ_int,0,eq_c2/2))+(PI()*(s_0+0*s_r+IF(circ_int,eq_c1/2,0))/2))+2*IF(circ_int,0,eq_c1/2))+(PI()*(s_0+0*s_r+IF(circ_int,eq_c1/2,0))/2))+2*IF(circ_int,0,eq_c2/2)))/(s_0+0*s_r+IF(circ_int,eq_c1/2,0))),IF(((57+0.5)*(4*IF(circ_int,0,eq_c1/2)+4*IF(circ_int,0,eq_c2/2)+2*PI()*(s_0+0*s_r+IF(circ_int,eq_c1/2,0)))/INDEX(lk_legs,1))&lt;(((((((2*IF(circ_int,0,eq_c2/2))+(PI()*(s_0+0*s_r+IF(circ_int,eq_c1/2,0))/2))+2*IF(circ_int,0,eq_c1/2))+(PI()*(s_0+0*s_r+IF(circ_int,eq_c1/2,0))/2))+2*IF(circ_int,0,eq_c2/2))+(PI()*(s_0+0*s_r+IF(circ_int,eq_c1/2,0))/2))+2*IF(circ_int,0,eq_c1/2)),-IF(circ_int,0,eq_c1/2)+(((57+0.5)*(4*IF(circ_int,0,eq_c1/2)+4*IF(circ_int,0,eq_c2/2)+2*PI()*(s_0+0*s_r+IF(circ_int,eq_c1/2,0)))/INDEX(lk_legs,1))-((((((2*IF(circ_int,0,eq_c2/2))+(PI()*(s_0+0*s_r+IF(circ_int,eq_c1/2,0))/2))+2*IF(circ_int,0,eq_c1/2))+(PI()*(s_0+0*s_r+IF(circ_int,eq_c1/2,0))/2))+2*IF(circ_int,0,eq_c2/2))+(PI()*(s_0+0*s_r+IF(circ_int,eq_c1/2,0))/2))),IF(circ_int,0,eq_c1/2)+(s_0+0*s_r+IF(circ_int,eq_c1/2,0))*COS(3*PI()/2+(((57+0.5)*(4*IF(circ_int,0,eq_c1/2)+4*IF(circ_int,0,eq_c2/2)+2*PI()*(s_0+0*s_r+IF(circ_int,eq_c1/2,0)))/INDEX(lk_legs,1))-(((((((2*IF(circ_int,0,eq_c2/2))+(PI()*(s_0+0*s_r+IF(circ_int,eq_c1/2,0))/2))+2*IF(circ_int,0,eq_c1/2))+(PI()*(s_0+0*s_r+IF(circ_int,eq_c1/2,0))/2))+2*IF(circ_int,0,eq_c2/2))+(PI()*(s_0+0*s_r+IF(circ_int,eq_c1/2,0))/2))+2*IF(circ_int,0,eq_c1/2)))/(s_0+0*s_r+IF(circ_int,eq_c1/2,0)))))))))),NA())</f>
        <v/>
      </c>
      <c r="BA60">
        <f>IF(AND(AND(links_on,1&lt;=n_per),INDEX(lk_kind,1)=1,57&lt;INDEX(lk_legs,1)),g_oy+IF(((57+0.5)*(4*IF(circ_int,0,eq_c1/2)+4*IF(circ_int,0,eq_c2/2)+2*PI()*(s_0+0*s_r+IF(circ_int,eq_c1/2,0)))/INDEX(lk_legs,1))&lt;(2*IF(circ_int,0,eq_c2/2)),-IF(circ_int,0,eq_c2/2)+((57+0.5)*(4*IF(circ_int,0,eq_c1/2)+4*IF(circ_int,0,eq_c2/2)+2*PI()*(s_0+0*s_r+IF(circ_int,eq_c1/2,0)))/INDEX(lk_legs,1)),IF(((57+0.5)*(4*IF(circ_int,0,eq_c1/2)+4*IF(circ_int,0,eq_c2/2)+2*PI()*(s_0+0*s_r+IF(circ_int,eq_c1/2,0)))/INDEX(lk_legs,1))&lt;((2*IF(circ_int,0,eq_c2/2))+(PI()*(s_0+0*s_r+IF(circ_int,eq_c1/2,0))/2)),IF(circ_int,0,eq_c2/2)+(s_0+0*s_r+IF(circ_int,eq_c1/2,0))*SIN((((57+0.5)*(4*IF(circ_int,0,eq_c1/2)+4*IF(circ_int,0,eq_c2/2)+2*PI()*(s_0+0*s_r+IF(circ_int,eq_c1/2,0)))/INDEX(lk_legs,1))-(2*IF(circ_int,0,eq_c2/2)))/(s_0+0*s_r+IF(circ_int,eq_c1/2,0))),IF(((57+0.5)*(4*IF(circ_int,0,eq_c1/2)+4*IF(circ_int,0,eq_c2/2)+2*PI()*(s_0+0*s_r+IF(circ_int,eq_c1/2,0)))/INDEX(lk_legs,1))&lt;(((2*IF(circ_int,0,eq_c2/2))+(PI()*(s_0+0*s_r+IF(circ_int,eq_c1/2,0))/2))+2*IF(circ_int,0,eq_c1/2)),IF(circ_int,0,eq_c2/2)+(s_0+0*s_r+IF(circ_int,eq_c1/2,0)),IF(((57+0.5)*(4*IF(circ_int,0,eq_c1/2)+4*IF(circ_int,0,eq_c2/2)+2*PI()*(s_0+0*s_r+IF(circ_int,eq_c1/2,0)))/INDEX(lk_legs,1))&lt;((((2*IF(circ_int,0,eq_c2/2))+(PI()*(s_0+0*s_r+IF(circ_int,eq_c1/2,0))/2))+2*IF(circ_int,0,eq_c1/2))+(PI()*(s_0+0*s_r+IF(circ_int,eq_c1/2,0))/2)),IF(circ_int,0,eq_c2/2)+(s_0+0*s_r+IF(circ_int,eq_c1/2,0))*SIN(PI()/2+(((57+0.5)*(4*IF(circ_int,0,eq_c1/2)+4*IF(circ_int,0,eq_c2/2)+2*PI()*(s_0+0*s_r+IF(circ_int,eq_c1/2,0)))/INDEX(lk_legs,1))-(((2*IF(circ_int,0,eq_c2/2))+(PI()*(s_0+0*s_r+IF(circ_int,eq_c1/2,0))/2))+2*IF(circ_int,0,eq_c1/2)))/(s_0+0*s_r+IF(circ_int,eq_c1/2,0))),IF(((57+0.5)*(4*IF(circ_int,0,eq_c1/2)+4*IF(circ_int,0,eq_c2/2)+2*PI()*(s_0+0*s_r+IF(circ_int,eq_c1/2,0)))/INDEX(lk_legs,1))&lt;(((((2*IF(circ_int,0,eq_c2/2))+(PI()*(s_0+0*s_r+IF(circ_int,eq_c1/2,0))/2))+2*IF(circ_int,0,eq_c1/2))+(PI()*(s_0+0*s_r+IF(circ_int,eq_c1/2,0))/2))+2*IF(circ_int,0,eq_c2/2)),IF(circ_int,0,eq_c2/2)-(((57+0.5)*(4*IF(circ_int,0,eq_c1/2)+4*IF(circ_int,0,eq_c2/2)+2*PI()*(s_0+0*s_r+IF(circ_int,eq_c1/2,0)))/INDEX(lk_legs,1))-((((2*IF(circ_int,0,eq_c2/2))+(PI()*(s_0+0*s_r+IF(circ_int,eq_c1/2,0))/2))+2*IF(circ_int,0,eq_c1/2))+(PI()*(s_0+0*s_r+IF(circ_int,eq_c1/2,0))/2))),IF(((57+0.5)*(4*IF(circ_int,0,eq_c1/2)+4*IF(circ_int,0,eq_c2/2)+2*PI()*(s_0+0*s_r+IF(circ_int,eq_c1/2,0)))/INDEX(lk_legs,1))&lt;((((((2*IF(circ_int,0,eq_c2/2))+(PI()*(s_0+0*s_r+IF(circ_int,eq_c1/2,0))/2))+2*IF(circ_int,0,eq_c1/2))+(PI()*(s_0+0*s_r+IF(circ_int,eq_c1/2,0))/2))+2*IF(circ_int,0,eq_c2/2))+(PI()*(s_0+0*s_r+IF(circ_int,eq_c1/2,0))/2)),-IF(circ_int,0,eq_c2/2)+(s_0+0*s_r+IF(circ_int,eq_c1/2,0))*SIN(PI()+(((57+0.5)*(4*IF(circ_int,0,eq_c1/2)+4*IF(circ_int,0,eq_c2/2)+2*PI()*(s_0+0*s_r+IF(circ_int,eq_c1/2,0)))/INDEX(lk_legs,1))-(((((2*IF(circ_int,0,eq_c2/2))+(PI()*(s_0+0*s_r+IF(circ_int,eq_c1/2,0))/2))+2*IF(circ_int,0,eq_c1/2))+(PI()*(s_0+0*s_r+IF(circ_int,eq_c1/2,0))/2))+2*IF(circ_int,0,eq_c2/2)))/(s_0+0*s_r+IF(circ_int,eq_c1/2,0))),IF(((57+0.5)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(57+0.5)*(4*IF(circ_int,0,eq_c1/2)+4*IF(circ_int,0,eq_c2/2)+2*PI()*(s_0+0*s_r+IF(circ_int,eq_c1/2,0)))/INDEX(lk_legs,1))-(((((((2*IF(circ_int,0,eq_c2/2))+(PI()*(s_0+0*s_r+IF(circ_int,eq_c1/2,0))/2))+2*IF(circ_int,0,eq_c1/2))+(PI()*(s_0+0*s_r+IF(circ_int,eq_c1/2,0))/2))+2*IF(circ_int,0,eq_c2/2))+(PI()*(s_0+0*s_r+IF(circ_int,eq_c1/2,0))/2))+2*IF(circ_int,0,eq_c1/2)))/(s_0+0*s_r+IF(circ_int,eq_c1/2,0)))))))))),NA())</f>
        <v/>
      </c>
      <c r="BF60">
        <f>IF(AND(AND(links_on,2&lt;=n_per),INDEX(lk_kind,2)=1,57&lt;INDEX(lk_legs,2)),g_ox+IF(((57+0.5)*(4*IF(circ_int,0,eq_c1/2)+4*IF(circ_int,0,eq_c2/2)+2*PI()*(s_0+1*s_r+IF(circ_int,eq_c1/2,0)))/INDEX(lk_legs,2))&lt;(2*IF(circ_int,0,eq_c2/2)),IF(circ_int,0,eq_c1/2)+(s_0+1*s_r+IF(circ_int,eq_c1/2,0)),IF(((57+0.5)*(4*IF(circ_int,0,eq_c1/2)+4*IF(circ_int,0,eq_c2/2)+2*PI()*(s_0+1*s_r+IF(circ_int,eq_c1/2,0)))/INDEX(lk_legs,2))&lt;((2*IF(circ_int,0,eq_c2/2))+(PI()*(s_0+1*s_r+IF(circ_int,eq_c1/2,0))/2)),IF(circ_int,0,eq_c1/2)+(s_0+1*s_r+IF(circ_int,eq_c1/2,0))*COS((((57+0.5)*(4*IF(circ_int,0,eq_c1/2)+4*IF(circ_int,0,eq_c2/2)+2*PI()*(s_0+1*s_r+IF(circ_int,eq_c1/2,0)))/INDEX(lk_legs,2))-(2*IF(circ_int,0,eq_c2/2)))/(s_0+1*s_r+IF(circ_int,eq_c1/2,0))),IF(((57+0.5)*(4*IF(circ_int,0,eq_c1/2)+4*IF(circ_int,0,eq_c2/2)+2*PI()*(s_0+1*s_r+IF(circ_int,eq_c1/2,0)))/INDEX(lk_legs,2))&lt;(((2*IF(circ_int,0,eq_c2/2))+(PI()*(s_0+1*s_r+IF(circ_int,eq_c1/2,0))/2))+2*IF(circ_int,0,eq_c1/2)),IF(circ_int,0,eq_c1/2)-(((57+0.5)*(4*IF(circ_int,0,eq_c1/2)+4*IF(circ_int,0,eq_c2/2)+2*PI()*(s_0+1*s_r+IF(circ_int,eq_c1/2,0)))/INDEX(lk_legs,2))-((2*IF(circ_int,0,eq_c2/2))+(PI()*(s_0+1*s_r+IF(circ_int,eq_c1/2,0))/2))),IF(((57+0.5)*(4*IF(circ_int,0,eq_c1/2)+4*IF(circ_int,0,eq_c2/2)+2*PI()*(s_0+1*s_r+IF(circ_int,eq_c1/2,0)))/INDEX(lk_legs,2))&lt;((((2*IF(circ_int,0,eq_c2/2))+(PI()*(s_0+1*s_r+IF(circ_int,eq_c1/2,0))/2))+2*IF(circ_int,0,eq_c1/2))+(PI()*(s_0+1*s_r+IF(circ_int,eq_c1/2,0))/2)),-IF(circ_int,0,eq_c1/2)+(s_0+1*s_r+IF(circ_int,eq_c1/2,0))*COS(PI()/2+(((57+0.5)*(4*IF(circ_int,0,eq_c1/2)+4*IF(circ_int,0,eq_c2/2)+2*PI()*(s_0+1*s_r+IF(circ_int,eq_c1/2,0)))/INDEX(lk_legs,2))-(((2*IF(circ_int,0,eq_c2/2))+(PI()*(s_0+1*s_r+IF(circ_int,eq_c1/2,0))/2))+2*IF(circ_int,0,eq_c1/2)))/(s_0+1*s_r+IF(circ_int,eq_c1/2,0))),IF(((57+0.5)*(4*IF(circ_int,0,eq_c1/2)+4*IF(circ_int,0,eq_c2/2)+2*PI()*(s_0+1*s_r+IF(circ_int,eq_c1/2,0)))/INDEX(lk_legs,2))&lt;(((((2*IF(circ_int,0,eq_c2/2))+(PI()*(s_0+1*s_r+IF(circ_int,eq_c1/2,0))/2))+2*IF(circ_int,0,eq_c1/2))+(PI()*(s_0+1*s_r+IF(circ_int,eq_c1/2,0))/2))+2*IF(circ_int,0,eq_c2/2)),-IF(circ_int,0,eq_c1/2)-(s_0+1*s_r+IF(circ_int,eq_c1/2,0)),IF(((57+0.5)*(4*IF(circ_int,0,eq_c1/2)+4*IF(circ_int,0,eq_c2/2)+2*PI()*(s_0+1*s_r+IF(circ_int,eq_c1/2,0)))/INDEX(lk_legs,2))&lt;((((((2*IF(circ_int,0,eq_c2/2))+(PI()*(s_0+1*s_r+IF(circ_int,eq_c1/2,0))/2))+2*IF(circ_int,0,eq_c1/2))+(PI()*(s_0+1*s_r+IF(circ_int,eq_c1/2,0))/2))+2*IF(circ_int,0,eq_c2/2))+(PI()*(s_0+1*s_r+IF(circ_int,eq_c1/2,0))/2)),-IF(circ_int,0,eq_c1/2)+(s_0+1*s_r+IF(circ_int,eq_c1/2,0))*COS(PI()+(((57+0.5)*(4*IF(circ_int,0,eq_c1/2)+4*IF(circ_int,0,eq_c2/2)+2*PI()*(s_0+1*s_r+IF(circ_int,eq_c1/2,0)))/INDEX(lk_legs,2))-(((((2*IF(circ_int,0,eq_c2/2))+(PI()*(s_0+1*s_r+IF(circ_int,eq_c1/2,0))/2))+2*IF(circ_int,0,eq_c1/2))+(PI()*(s_0+1*s_r+IF(circ_int,eq_c1/2,0))/2))+2*IF(circ_int,0,eq_c2/2)))/(s_0+1*s_r+IF(circ_int,eq_c1/2,0))),IF(((57+0.5)*(4*IF(circ_int,0,eq_c1/2)+4*IF(circ_int,0,eq_c2/2)+2*PI()*(s_0+1*s_r+IF(circ_int,eq_c1/2,0)))/INDEX(lk_legs,2))&lt;(((((((2*IF(circ_int,0,eq_c2/2))+(PI()*(s_0+1*s_r+IF(circ_int,eq_c1/2,0))/2))+2*IF(circ_int,0,eq_c1/2))+(PI()*(s_0+1*s_r+IF(circ_int,eq_c1/2,0))/2))+2*IF(circ_int,0,eq_c2/2))+(PI()*(s_0+1*s_r+IF(circ_int,eq_c1/2,0))/2))+2*IF(circ_int,0,eq_c1/2)),-IF(circ_int,0,eq_c1/2)+(((57+0.5)*(4*IF(circ_int,0,eq_c1/2)+4*IF(circ_int,0,eq_c2/2)+2*PI()*(s_0+1*s_r+IF(circ_int,eq_c1/2,0)))/INDEX(lk_legs,2))-((((((2*IF(circ_int,0,eq_c2/2))+(PI()*(s_0+1*s_r+IF(circ_int,eq_c1/2,0))/2))+2*IF(circ_int,0,eq_c1/2))+(PI()*(s_0+1*s_r+IF(circ_int,eq_c1/2,0))/2))+2*IF(circ_int,0,eq_c2/2))+(PI()*(s_0+1*s_r+IF(circ_int,eq_c1/2,0))/2))),IF(circ_int,0,eq_c1/2)+(s_0+1*s_r+IF(circ_int,eq_c1/2,0))*COS(3*PI()/2+(((57+0.5)*(4*IF(circ_int,0,eq_c1/2)+4*IF(circ_int,0,eq_c2/2)+2*PI()*(s_0+1*s_r+IF(circ_int,eq_c1/2,0)))/INDEX(lk_legs,2))-(((((((2*IF(circ_int,0,eq_c2/2))+(PI()*(s_0+1*s_r+IF(circ_int,eq_c1/2,0))/2))+2*IF(circ_int,0,eq_c1/2))+(PI()*(s_0+1*s_r+IF(circ_int,eq_c1/2,0))/2))+2*IF(circ_int,0,eq_c2/2))+(PI()*(s_0+1*s_r+IF(circ_int,eq_c1/2,0))/2))+2*IF(circ_int,0,eq_c1/2)))/(s_0+1*s_r+IF(circ_int,eq_c1/2,0)))))))))),NA())</f>
        <v/>
      </c>
      <c r="BG60">
        <f>IF(AND(AND(links_on,2&lt;=n_per),INDEX(lk_kind,2)=1,57&lt;INDEX(lk_legs,2)),g_oy+IF(((57+0.5)*(4*IF(circ_int,0,eq_c1/2)+4*IF(circ_int,0,eq_c2/2)+2*PI()*(s_0+1*s_r+IF(circ_int,eq_c1/2,0)))/INDEX(lk_legs,2))&lt;(2*IF(circ_int,0,eq_c2/2)),-IF(circ_int,0,eq_c2/2)+((57+0.5)*(4*IF(circ_int,0,eq_c1/2)+4*IF(circ_int,0,eq_c2/2)+2*PI()*(s_0+1*s_r+IF(circ_int,eq_c1/2,0)))/INDEX(lk_legs,2)),IF(((57+0.5)*(4*IF(circ_int,0,eq_c1/2)+4*IF(circ_int,0,eq_c2/2)+2*PI()*(s_0+1*s_r+IF(circ_int,eq_c1/2,0)))/INDEX(lk_legs,2))&lt;((2*IF(circ_int,0,eq_c2/2))+(PI()*(s_0+1*s_r+IF(circ_int,eq_c1/2,0))/2)),IF(circ_int,0,eq_c2/2)+(s_0+1*s_r+IF(circ_int,eq_c1/2,0))*SIN((((57+0.5)*(4*IF(circ_int,0,eq_c1/2)+4*IF(circ_int,0,eq_c2/2)+2*PI()*(s_0+1*s_r+IF(circ_int,eq_c1/2,0)))/INDEX(lk_legs,2))-(2*IF(circ_int,0,eq_c2/2)))/(s_0+1*s_r+IF(circ_int,eq_c1/2,0))),IF(((57+0.5)*(4*IF(circ_int,0,eq_c1/2)+4*IF(circ_int,0,eq_c2/2)+2*PI()*(s_0+1*s_r+IF(circ_int,eq_c1/2,0)))/INDEX(lk_legs,2))&lt;(((2*IF(circ_int,0,eq_c2/2))+(PI()*(s_0+1*s_r+IF(circ_int,eq_c1/2,0))/2))+2*IF(circ_int,0,eq_c1/2)),IF(circ_int,0,eq_c2/2)+(s_0+1*s_r+IF(circ_int,eq_c1/2,0)),IF(((57+0.5)*(4*IF(circ_int,0,eq_c1/2)+4*IF(circ_int,0,eq_c2/2)+2*PI()*(s_0+1*s_r+IF(circ_int,eq_c1/2,0)))/INDEX(lk_legs,2))&lt;((((2*IF(circ_int,0,eq_c2/2))+(PI()*(s_0+1*s_r+IF(circ_int,eq_c1/2,0))/2))+2*IF(circ_int,0,eq_c1/2))+(PI()*(s_0+1*s_r+IF(circ_int,eq_c1/2,0))/2)),IF(circ_int,0,eq_c2/2)+(s_0+1*s_r+IF(circ_int,eq_c1/2,0))*SIN(PI()/2+(((57+0.5)*(4*IF(circ_int,0,eq_c1/2)+4*IF(circ_int,0,eq_c2/2)+2*PI()*(s_0+1*s_r+IF(circ_int,eq_c1/2,0)))/INDEX(lk_legs,2))-(((2*IF(circ_int,0,eq_c2/2))+(PI()*(s_0+1*s_r+IF(circ_int,eq_c1/2,0))/2))+2*IF(circ_int,0,eq_c1/2)))/(s_0+1*s_r+IF(circ_int,eq_c1/2,0))),IF(((57+0.5)*(4*IF(circ_int,0,eq_c1/2)+4*IF(circ_int,0,eq_c2/2)+2*PI()*(s_0+1*s_r+IF(circ_int,eq_c1/2,0)))/INDEX(lk_legs,2))&lt;(((((2*IF(circ_int,0,eq_c2/2))+(PI()*(s_0+1*s_r+IF(circ_int,eq_c1/2,0))/2))+2*IF(circ_int,0,eq_c1/2))+(PI()*(s_0+1*s_r+IF(circ_int,eq_c1/2,0))/2))+2*IF(circ_int,0,eq_c2/2)),IF(circ_int,0,eq_c2/2)-(((57+0.5)*(4*IF(circ_int,0,eq_c1/2)+4*IF(circ_int,0,eq_c2/2)+2*PI()*(s_0+1*s_r+IF(circ_int,eq_c1/2,0)))/INDEX(lk_legs,2))-((((2*IF(circ_int,0,eq_c2/2))+(PI()*(s_0+1*s_r+IF(circ_int,eq_c1/2,0))/2))+2*IF(circ_int,0,eq_c1/2))+(PI()*(s_0+1*s_r+IF(circ_int,eq_c1/2,0))/2))),IF(((57+0.5)*(4*IF(circ_int,0,eq_c1/2)+4*IF(circ_int,0,eq_c2/2)+2*PI()*(s_0+1*s_r+IF(circ_int,eq_c1/2,0)))/INDEX(lk_legs,2))&lt;((((((2*IF(circ_int,0,eq_c2/2))+(PI()*(s_0+1*s_r+IF(circ_int,eq_c1/2,0))/2))+2*IF(circ_int,0,eq_c1/2))+(PI()*(s_0+1*s_r+IF(circ_int,eq_c1/2,0))/2))+2*IF(circ_int,0,eq_c2/2))+(PI()*(s_0+1*s_r+IF(circ_int,eq_c1/2,0))/2)),-IF(circ_int,0,eq_c2/2)+(s_0+1*s_r+IF(circ_int,eq_c1/2,0))*SIN(PI()+(((57+0.5)*(4*IF(circ_int,0,eq_c1/2)+4*IF(circ_int,0,eq_c2/2)+2*PI()*(s_0+1*s_r+IF(circ_int,eq_c1/2,0)))/INDEX(lk_legs,2))-(((((2*IF(circ_int,0,eq_c2/2))+(PI()*(s_0+1*s_r+IF(circ_int,eq_c1/2,0))/2))+2*IF(circ_int,0,eq_c1/2))+(PI()*(s_0+1*s_r+IF(circ_int,eq_c1/2,0))/2))+2*IF(circ_int,0,eq_c2/2)))/(s_0+1*s_r+IF(circ_int,eq_c1/2,0))),IF(((57+0.5)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(57+0.5)*(4*IF(circ_int,0,eq_c1/2)+4*IF(circ_int,0,eq_c2/2)+2*PI()*(s_0+1*s_r+IF(circ_int,eq_c1/2,0)))/INDEX(lk_legs,2))-(((((((2*IF(circ_int,0,eq_c2/2))+(PI()*(s_0+1*s_r+IF(circ_int,eq_c1/2,0))/2))+2*IF(circ_int,0,eq_c1/2))+(PI()*(s_0+1*s_r+IF(circ_int,eq_c1/2,0))/2))+2*IF(circ_int,0,eq_c2/2))+(PI()*(s_0+1*s_r+IF(circ_int,eq_c1/2,0))/2))+2*IF(circ_int,0,eq_c1/2)))/(s_0+1*s_r+IF(circ_int,eq_c1/2,0)))))))))),NA())</f>
        <v/>
      </c>
      <c r="BL60">
        <f>IF(AND(AND(links_on,3&lt;=n_per),INDEX(lk_kind,3)=1,57&lt;INDEX(lk_legs,3)),g_ox+IF(((57+0.5)*(4*IF(circ_int,0,eq_c1/2)+4*IF(circ_int,0,eq_c2/2)+2*PI()*(s_0+2*s_r+IF(circ_int,eq_c1/2,0)))/INDEX(lk_legs,3))&lt;(2*IF(circ_int,0,eq_c2/2)),IF(circ_int,0,eq_c1/2)+(s_0+2*s_r+IF(circ_int,eq_c1/2,0)),IF(((57+0.5)*(4*IF(circ_int,0,eq_c1/2)+4*IF(circ_int,0,eq_c2/2)+2*PI()*(s_0+2*s_r+IF(circ_int,eq_c1/2,0)))/INDEX(lk_legs,3))&lt;((2*IF(circ_int,0,eq_c2/2))+(PI()*(s_0+2*s_r+IF(circ_int,eq_c1/2,0))/2)),IF(circ_int,0,eq_c1/2)+(s_0+2*s_r+IF(circ_int,eq_c1/2,0))*COS((((57+0.5)*(4*IF(circ_int,0,eq_c1/2)+4*IF(circ_int,0,eq_c2/2)+2*PI()*(s_0+2*s_r+IF(circ_int,eq_c1/2,0)))/INDEX(lk_legs,3))-(2*IF(circ_int,0,eq_c2/2)))/(s_0+2*s_r+IF(circ_int,eq_c1/2,0))),IF(((57+0.5)*(4*IF(circ_int,0,eq_c1/2)+4*IF(circ_int,0,eq_c2/2)+2*PI()*(s_0+2*s_r+IF(circ_int,eq_c1/2,0)))/INDEX(lk_legs,3))&lt;(((2*IF(circ_int,0,eq_c2/2))+(PI()*(s_0+2*s_r+IF(circ_int,eq_c1/2,0))/2))+2*IF(circ_int,0,eq_c1/2)),IF(circ_int,0,eq_c1/2)-(((57+0.5)*(4*IF(circ_int,0,eq_c1/2)+4*IF(circ_int,0,eq_c2/2)+2*PI()*(s_0+2*s_r+IF(circ_int,eq_c1/2,0)))/INDEX(lk_legs,3))-((2*IF(circ_int,0,eq_c2/2))+(PI()*(s_0+2*s_r+IF(circ_int,eq_c1/2,0))/2))),IF(((57+0.5)*(4*IF(circ_int,0,eq_c1/2)+4*IF(circ_int,0,eq_c2/2)+2*PI()*(s_0+2*s_r+IF(circ_int,eq_c1/2,0)))/INDEX(lk_legs,3))&lt;((((2*IF(circ_int,0,eq_c2/2))+(PI()*(s_0+2*s_r+IF(circ_int,eq_c1/2,0))/2))+2*IF(circ_int,0,eq_c1/2))+(PI()*(s_0+2*s_r+IF(circ_int,eq_c1/2,0))/2)),-IF(circ_int,0,eq_c1/2)+(s_0+2*s_r+IF(circ_int,eq_c1/2,0))*COS(PI()/2+(((57+0.5)*(4*IF(circ_int,0,eq_c1/2)+4*IF(circ_int,0,eq_c2/2)+2*PI()*(s_0+2*s_r+IF(circ_int,eq_c1/2,0)))/INDEX(lk_legs,3))-(((2*IF(circ_int,0,eq_c2/2))+(PI()*(s_0+2*s_r+IF(circ_int,eq_c1/2,0))/2))+2*IF(circ_int,0,eq_c1/2)))/(s_0+2*s_r+IF(circ_int,eq_c1/2,0))),IF(((57+0.5)*(4*IF(circ_int,0,eq_c1/2)+4*IF(circ_int,0,eq_c2/2)+2*PI()*(s_0+2*s_r+IF(circ_int,eq_c1/2,0)))/INDEX(lk_legs,3))&lt;(((((2*IF(circ_int,0,eq_c2/2))+(PI()*(s_0+2*s_r+IF(circ_int,eq_c1/2,0))/2))+2*IF(circ_int,0,eq_c1/2))+(PI()*(s_0+2*s_r+IF(circ_int,eq_c1/2,0))/2))+2*IF(circ_int,0,eq_c2/2)),-IF(circ_int,0,eq_c1/2)-(s_0+2*s_r+IF(circ_int,eq_c1/2,0)),IF(((57+0.5)*(4*IF(circ_int,0,eq_c1/2)+4*IF(circ_int,0,eq_c2/2)+2*PI()*(s_0+2*s_r+IF(circ_int,eq_c1/2,0)))/INDEX(lk_legs,3))&lt;((((((2*IF(circ_int,0,eq_c2/2))+(PI()*(s_0+2*s_r+IF(circ_int,eq_c1/2,0))/2))+2*IF(circ_int,0,eq_c1/2))+(PI()*(s_0+2*s_r+IF(circ_int,eq_c1/2,0))/2))+2*IF(circ_int,0,eq_c2/2))+(PI()*(s_0+2*s_r+IF(circ_int,eq_c1/2,0))/2)),-IF(circ_int,0,eq_c1/2)+(s_0+2*s_r+IF(circ_int,eq_c1/2,0))*COS(PI()+(((57+0.5)*(4*IF(circ_int,0,eq_c1/2)+4*IF(circ_int,0,eq_c2/2)+2*PI()*(s_0+2*s_r+IF(circ_int,eq_c1/2,0)))/INDEX(lk_legs,3))-(((((2*IF(circ_int,0,eq_c2/2))+(PI()*(s_0+2*s_r+IF(circ_int,eq_c1/2,0))/2))+2*IF(circ_int,0,eq_c1/2))+(PI()*(s_0+2*s_r+IF(circ_int,eq_c1/2,0))/2))+2*IF(circ_int,0,eq_c2/2)))/(s_0+2*s_r+IF(circ_int,eq_c1/2,0))),IF(((57+0.5)*(4*IF(circ_int,0,eq_c1/2)+4*IF(circ_int,0,eq_c2/2)+2*PI()*(s_0+2*s_r+IF(circ_int,eq_c1/2,0)))/INDEX(lk_legs,3))&lt;(((((((2*IF(circ_int,0,eq_c2/2))+(PI()*(s_0+2*s_r+IF(circ_int,eq_c1/2,0))/2))+2*IF(circ_int,0,eq_c1/2))+(PI()*(s_0+2*s_r+IF(circ_int,eq_c1/2,0))/2))+2*IF(circ_int,0,eq_c2/2))+(PI()*(s_0+2*s_r+IF(circ_int,eq_c1/2,0))/2))+2*IF(circ_int,0,eq_c1/2)),-IF(circ_int,0,eq_c1/2)+(((57+0.5)*(4*IF(circ_int,0,eq_c1/2)+4*IF(circ_int,0,eq_c2/2)+2*PI()*(s_0+2*s_r+IF(circ_int,eq_c1/2,0)))/INDEX(lk_legs,3))-((((((2*IF(circ_int,0,eq_c2/2))+(PI()*(s_0+2*s_r+IF(circ_int,eq_c1/2,0))/2))+2*IF(circ_int,0,eq_c1/2))+(PI()*(s_0+2*s_r+IF(circ_int,eq_c1/2,0))/2))+2*IF(circ_int,0,eq_c2/2))+(PI()*(s_0+2*s_r+IF(circ_int,eq_c1/2,0))/2))),IF(circ_int,0,eq_c1/2)+(s_0+2*s_r+IF(circ_int,eq_c1/2,0))*COS(3*PI()/2+(((57+0.5)*(4*IF(circ_int,0,eq_c1/2)+4*IF(circ_int,0,eq_c2/2)+2*PI()*(s_0+2*s_r+IF(circ_int,eq_c1/2,0)))/INDEX(lk_legs,3))-(((((((2*IF(circ_int,0,eq_c2/2))+(PI()*(s_0+2*s_r+IF(circ_int,eq_c1/2,0))/2))+2*IF(circ_int,0,eq_c1/2))+(PI()*(s_0+2*s_r+IF(circ_int,eq_c1/2,0))/2))+2*IF(circ_int,0,eq_c2/2))+(PI()*(s_0+2*s_r+IF(circ_int,eq_c1/2,0))/2))+2*IF(circ_int,0,eq_c1/2)))/(s_0+2*s_r+IF(circ_int,eq_c1/2,0)))))))))),NA())</f>
        <v/>
      </c>
      <c r="BM60">
        <f>IF(AND(AND(links_on,3&lt;=n_per),INDEX(lk_kind,3)=1,57&lt;INDEX(lk_legs,3)),g_oy+IF(((57+0.5)*(4*IF(circ_int,0,eq_c1/2)+4*IF(circ_int,0,eq_c2/2)+2*PI()*(s_0+2*s_r+IF(circ_int,eq_c1/2,0)))/INDEX(lk_legs,3))&lt;(2*IF(circ_int,0,eq_c2/2)),-IF(circ_int,0,eq_c2/2)+((57+0.5)*(4*IF(circ_int,0,eq_c1/2)+4*IF(circ_int,0,eq_c2/2)+2*PI()*(s_0+2*s_r+IF(circ_int,eq_c1/2,0)))/INDEX(lk_legs,3)),IF(((57+0.5)*(4*IF(circ_int,0,eq_c1/2)+4*IF(circ_int,0,eq_c2/2)+2*PI()*(s_0+2*s_r+IF(circ_int,eq_c1/2,0)))/INDEX(lk_legs,3))&lt;((2*IF(circ_int,0,eq_c2/2))+(PI()*(s_0+2*s_r+IF(circ_int,eq_c1/2,0))/2)),IF(circ_int,0,eq_c2/2)+(s_0+2*s_r+IF(circ_int,eq_c1/2,0))*SIN((((57+0.5)*(4*IF(circ_int,0,eq_c1/2)+4*IF(circ_int,0,eq_c2/2)+2*PI()*(s_0+2*s_r+IF(circ_int,eq_c1/2,0)))/INDEX(lk_legs,3))-(2*IF(circ_int,0,eq_c2/2)))/(s_0+2*s_r+IF(circ_int,eq_c1/2,0))),IF(((57+0.5)*(4*IF(circ_int,0,eq_c1/2)+4*IF(circ_int,0,eq_c2/2)+2*PI()*(s_0+2*s_r+IF(circ_int,eq_c1/2,0)))/INDEX(lk_legs,3))&lt;(((2*IF(circ_int,0,eq_c2/2))+(PI()*(s_0+2*s_r+IF(circ_int,eq_c1/2,0))/2))+2*IF(circ_int,0,eq_c1/2)),IF(circ_int,0,eq_c2/2)+(s_0+2*s_r+IF(circ_int,eq_c1/2,0)),IF(((57+0.5)*(4*IF(circ_int,0,eq_c1/2)+4*IF(circ_int,0,eq_c2/2)+2*PI()*(s_0+2*s_r+IF(circ_int,eq_c1/2,0)))/INDEX(lk_legs,3))&lt;((((2*IF(circ_int,0,eq_c2/2))+(PI()*(s_0+2*s_r+IF(circ_int,eq_c1/2,0))/2))+2*IF(circ_int,0,eq_c1/2))+(PI()*(s_0+2*s_r+IF(circ_int,eq_c1/2,0))/2)),IF(circ_int,0,eq_c2/2)+(s_0+2*s_r+IF(circ_int,eq_c1/2,0))*SIN(PI()/2+(((57+0.5)*(4*IF(circ_int,0,eq_c1/2)+4*IF(circ_int,0,eq_c2/2)+2*PI()*(s_0+2*s_r+IF(circ_int,eq_c1/2,0)))/INDEX(lk_legs,3))-(((2*IF(circ_int,0,eq_c2/2))+(PI()*(s_0+2*s_r+IF(circ_int,eq_c1/2,0))/2))+2*IF(circ_int,0,eq_c1/2)))/(s_0+2*s_r+IF(circ_int,eq_c1/2,0))),IF(((57+0.5)*(4*IF(circ_int,0,eq_c1/2)+4*IF(circ_int,0,eq_c2/2)+2*PI()*(s_0+2*s_r+IF(circ_int,eq_c1/2,0)))/INDEX(lk_legs,3))&lt;(((((2*IF(circ_int,0,eq_c2/2))+(PI()*(s_0+2*s_r+IF(circ_int,eq_c1/2,0))/2))+2*IF(circ_int,0,eq_c1/2))+(PI()*(s_0+2*s_r+IF(circ_int,eq_c1/2,0))/2))+2*IF(circ_int,0,eq_c2/2)),IF(circ_int,0,eq_c2/2)-(((57+0.5)*(4*IF(circ_int,0,eq_c1/2)+4*IF(circ_int,0,eq_c2/2)+2*PI()*(s_0+2*s_r+IF(circ_int,eq_c1/2,0)))/INDEX(lk_legs,3))-((((2*IF(circ_int,0,eq_c2/2))+(PI()*(s_0+2*s_r+IF(circ_int,eq_c1/2,0))/2))+2*IF(circ_int,0,eq_c1/2))+(PI()*(s_0+2*s_r+IF(circ_int,eq_c1/2,0))/2))),IF(((57+0.5)*(4*IF(circ_int,0,eq_c1/2)+4*IF(circ_int,0,eq_c2/2)+2*PI()*(s_0+2*s_r+IF(circ_int,eq_c1/2,0)))/INDEX(lk_legs,3))&lt;((((((2*IF(circ_int,0,eq_c2/2))+(PI()*(s_0+2*s_r+IF(circ_int,eq_c1/2,0))/2))+2*IF(circ_int,0,eq_c1/2))+(PI()*(s_0+2*s_r+IF(circ_int,eq_c1/2,0))/2))+2*IF(circ_int,0,eq_c2/2))+(PI()*(s_0+2*s_r+IF(circ_int,eq_c1/2,0))/2)),-IF(circ_int,0,eq_c2/2)+(s_0+2*s_r+IF(circ_int,eq_c1/2,0))*SIN(PI()+(((57+0.5)*(4*IF(circ_int,0,eq_c1/2)+4*IF(circ_int,0,eq_c2/2)+2*PI()*(s_0+2*s_r+IF(circ_int,eq_c1/2,0)))/INDEX(lk_legs,3))-(((((2*IF(circ_int,0,eq_c2/2))+(PI()*(s_0+2*s_r+IF(circ_int,eq_c1/2,0))/2))+2*IF(circ_int,0,eq_c1/2))+(PI()*(s_0+2*s_r+IF(circ_int,eq_c1/2,0))/2))+2*IF(circ_int,0,eq_c2/2)))/(s_0+2*s_r+IF(circ_int,eq_c1/2,0))),IF(((57+0.5)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(57+0.5)*(4*IF(circ_int,0,eq_c1/2)+4*IF(circ_int,0,eq_c2/2)+2*PI()*(s_0+2*s_r+IF(circ_int,eq_c1/2,0)))/INDEX(lk_legs,3))-(((((((2*IF(circ_int,0,eq_c2/2))+(PI()*(s_0+2*s_r+IF(circ_int,eq_c1/2,0))/2))+2*IF(circ_int,0,eq_c1/2))+(PI()*(s_0+2*s_r+IF(circ_int,eq_c1/2,0))/2))+2*IF(circ_int,0,eq_c2/2))+(PI()*(s_0+2*s_r+IF(circ_int,eq_c1/2,0))/2))+2*IF(circ_int,0,eq_c1/2)))/(s_0+2*s_r+IF(circ_int,eq_c1/2,0)))))))))),NA())</f>
        <v/>
      </c>
      <c r="BR60">
        <f>IF(AND(AND(links_on,4&lt;=n_per),INDEX(lk_kind,4)=1,57&lt;INDEX(lk_legs,4)),g_ox+IF(((57+0.5)*(4*IF(circ_int,0,eq_c1/2)+4*IF(circ_int,0,eq_c2/2)+2*PI()*(s_0+3*s_r+IF(circ_int,eq_c1/2,0)))/INDEX(lk_legs,4))&lt;(2*IF(circ_int,0,eq_c2/2)),IF(circ_int,0,eq_c1/2)+(s_0+3*s_r+IF(circ_int,eq_c1/2,0)),IF(((57+0.5)*(4*IF(circ_int,0,eq_c1/2)+4*IF(circ_int,0,eq_c2/2)+2*PI()*(s_0+3*s_r+IF(circ_int,eq_c1/2,0)))/INDEX(lk_legs,4))&lt;((2*IF(circ_int,0,eq_c2/2))+(PI()*(s_0+3*s_r+IF(circ_int,eq_c1/2,0))/2)),IF(circ_int,0,eq_c1/2)+(s_0+3*s_r+IF(circ_int,eq_c1/2,0))*COS((((57+0.5)*(4*IF(circ_int,0,eq_c1/2)+4*IF(circ_int,0,eq_c2/2)+2*PI()*(s_0+3*s_r+IF(circ_int,eq_c1/2,0)))/INDEX(lk_legs,4))-(2*IF(circ_int,0,eq_c2/2)))/(s_0+3*s_r+IF(circ_int,eq_c1/2,0))),IF(((57+0.5)*(4*IF(circ_int,0,eq_c1/2)+4*IF(circ_int,0,eq_c2/2)+2*PI()*(s_0+3*s_r+IF(circ_int,eq_c1/2,0)))/INDEX(lk_legs,4))&lt;(((2*IF(circ_int,0,eq_c2/2))+(PI()*(s_0+3*s_r+IF(circ_int,eq_c1/2,0))/2))+2*IF(circ_int,0,eq_c1/2)),IF(circ_int,0,eq_c1/2)-(((57+0.5)*(4*IF(circ_int,0,eq_c1/2)+4*IF(circ_int,0,eq_c2/2)+2*PI()*(s_0+3*s_r+IF(circ_int,eq_c1/2,0)))/INDEX(lk_legs,4))-((2*IF(circ_int,0,eq_c2/2))+(PI()*(s_0+3*s_r+IF(circ_int,eq_c1/2,0))/2))),IF(((57+0.5)*(4*IF(circ_int,0,eq_c1/2)+4*IF(circ_int,0,eq_c2/2)+2*PI()*(s_0+3*s_r+IF(circ_int,eq_c1/2,0)))/INDEX(lk_legs,4))&lt;((((2*IF(circ_int,0,eq_c2/2))+(PI()*(s_0+3*s_r+IF(circ_int,eq_c1/2,0))/2))+2*IF(circ_int,0,eq_c1/2))+(PI()*(s_0+3*s_r+IF(circ_int,eq_c1/2,0))/2)),-IF(circ_int,0,eq_c1/2)+(s_0+3*s_r+IF(circ_int,eq_c1/2,0))*COS(PI()/2+(((57+0.5)*(4*IF(circ_int,0,eq_c1/2)+4*IF(circ_int,0,eq_c2/2)+2*PI()*(s_0+3*s_r+IF(circ_int,eq_c1/2,0)))/INDEX(lk_legs,4))-(((2*IF(circ_int,0,eq_c2/2))+(PI()*(s_0+3*s_r+IF(circ_int,eq_c1/2,0))/2))+2*IF(circ_int,0,eq_c1/2)))/(s_0+3*s_r+IF(circ_int,eq_c1/2,0))),IF(((57+0.5)*(4*IF(circ_int,0,eq_c1/2)+4*IF(circ_int,0,eq_c2/2)+2*PI()*(s_0+3*s_r+IF(circ_int,eq_c1/2,0)))/INDEX(lk_legs,4))&lt;(((((2*IF(circ_int,0,eq_c2/2))+(PI()*(s_0+3*s_r+IF(circ_int,eq_c1/2,0))/2))+2*IF(circ_int,0,eq_c1/2))+(PI()*(s_0+3*s_r+IF(circ_int,eq_c1/2,0))/2))+2*IF(circ_int,0,eq_c2/2)),-IF(circ_int,0,eq_c1/2)-(s_0+3*s_r+IF(circ_int,eq_c1/2,0)),IF(((57+0.5)*(4*IF(circ_int,0,eq_c1/2)+4*IF(circ_int,0,eq_c2/2)+2*PI()*(s_0+3*s_r+IF(circ_int,eq_c1/2,0)))/INDEX(lk_legs,4))&lt;((((((2*IF(circ_int,0,eq_c2/2))+(PI()*(s_0+3*s_r+IF(circ_int,eq_c1/2,0))/2))+2*IF(circ_int,0,eq_c1/2))+(PI()*(s_0+3*s_r+IF(circ_int,eq_c1/2,0))/2))+2*IF(circ_int,0,eq_c2/2))+(PI()*(s_0+3*s_r+IF(circ_int,eq_c1/2,0))/2)),-IF(circ_int,0,eq_c1/2)+(s_0+3*s_r+IF(circ_int,eq_c1/2,0))*COS(PI()+(((57+0.5)*(4*IF(circ_int,0,eq_c1/2)+4*IF(circ_int,0,eq_c2/2)+2*PI()*(s_0+3*s_r+IF(circ_int,eq_c1/2,0)))/INDEX(lk_legs,4))-(((((2*IF(circ_int,0,eq_c2/2))+(PI()*(s_0+3*s_r+IF(circ_int,eq_c1/2,0))/2))+2*IF(circ_int,0,eq_c1/2))+(PI()*(s_0+3*s_r+IF(circ_int,eq_c1/2,0))/2))+2*IF(circ_int,0,eq_c2/2)))/(s_0+3*s_r+IF(circ_int,eq_c1/2,0))),IF(((57+0.5)*(4*IF(circ_int,0,eq_c1/2)+4*IF(circ_int,0,eq_c2/2)+2*PI()*(s_0+3*s_r+IF(circ_int,eq_c1/2,0)))/INDEX(lk_legs,4))&lt;(((((((2*IF(circ_int,0,eq_c2/2))+(PI()*(s_0+3*s_r+IF(circ_int,eq_c1/2,0))/2))+2*IF(circ_int,0,eq_c1/2))+(PI()*(s_0+3*s_r+IF(circ_int,eq_c1/2,0))/2))+2*IF(circ_int,0,eq_c2/2))+(PI()*(s_0+3*s_r+IF(circ_int,eq_c1/2,0))/2))+2*IF(circ_int,0,eq_c1/2)),-IF(circ_int,0,eq_c1/2)+(((57+0.5)*(4*IF(circ_int,0,eq_c1/2)+4*IF(circ_int,0,eq_c2/2)+2*PI()*(s_0+3*s_r+IF(circ_int,eq_c1/2,0)))/INDEX(lk_legs,4))-((((((2*IF(circ_int,0,eq_c2/2))+(PI()*(s_0+3*s_r+IF(circ_int,eq_c1/2,0))/2))+2*IF(circ_int,0,eq_c1/2))+(PI()*(s_0+3*s_r+IF(circ_int,eq_c1/2,0))/2))+2*IF(circ_int,0,eq_c2/2))+(PI()*(s_0+3*s_r+IF(circ_int,eq_c1/2,0))/2))),IF(circ_int,0,eq_c1/2)+(s_0+3*s_r+IF(circ_int,eq_c1/2,0))*COS(3*PI()/2+(((57+0.5)*(4*IF(circ_int,0,eq_c1/2)+4*IF(circ_int,0,eq_c2/2)+2*PI()*(s_0+3*s_r+IF(circ_int,eq_c1/2,0)))/INDEX(lk_legs,4))-(((((((2*IF(circ_int,0,eq_c2/2))+(PI()*(s_0+3*s_r+IF(circ_int,eq_c1/2,0))/2))+2*IF(circ_int,0,eq_c1/2))+(PI()*(s_0+3*s_r+IF(circ_int,eq_c1/2,0))/2))+2*IF(circ_int,0,eq_c2/2))+(PI()*(s_0+3*s_r+IF(circ_int,eq_c1/2,0))/2))+2*IF(circ_int,0,eq_c1/2)))/(s_0+3*s_r+IF(circ_int,eq_c1/2,0)))))))))),NA())</f>
        <v/>
      </c>
      <c r="BS60">
        <f>IF(AND(AND(links_on,4&lt;=n_per),INDEX(lk_kind,4)=1,57&lt;INDEX(lk_legs,4)),g_oy+IF(((57+0.5)*(4*IF(circ_int,0,eq_c1/2)+4*IF(circ_int,0,eq_c2/2)+2*PI()*(s_0+3*s_r+IF(circ_int,eq_c1/2,0)))/INDEX(lk_legs,4))&lt;(2*IF(circ_int,0,eq_c2/2)),-IF(circ_int,0,eq_c2/2)+((57+0.5)*(4*IF(circ_int,0,eq_c1/2)+4*IF(circ_int,0,eq_c2/2)+2*PI()*(s_0+3*s_r+IF(circ_int,eq_c1/2,0)))/INDEX(lk_legs,4)),IF(((57+0.5)*(4*IF(circ_int,0,eq_c1/2)+4*IF(circ_int,0,eq_c2/2)+2*PI()*(s_0+3*s_r+IF(circ_int,eq_c1/2,0)))/INDEX(lk_legs,4))&lt;((2*IF(circ_int,0,eq_c2/2))+(PI()*(s_0+3*s_r+IF(circ_int,eq_c1/2,0))/2)),IF(circ_int,0,eq_c2/2)+(s_0+3*s_r+IF(circ_int,eq_c1/2,0))*SIN((((57+0.5)*(4*IF(circ_int,0,eq_c1/2)+4*IF(circ_int,0,eq_c2/2)+2*PI()*(s_0+3*s_r+IF(circ_int,eq_c1/2,0)))/INDEX(lk_legs,4))-(2*IF(circ_int,0,eq_c2/2)))/(s_0+3*s_r+IF(circ_int,eq_c1/2,0))),IF(((57+0.5)*(4*IF(circ_int,0,eq_c1/2)+4*IF(circ_int,0,eq_c2/2)+2*PI()*(s_0+3*s_r+IF(circ_int,eq_c1/2,0)))/INDEX(lk_legs,4))&lt;(((2*IF(circ_int,0,eq_c2/2))+(PI()*(s_0+3*s_r+IF(circ_int,eq_c1/2,0))/2))+2*IF(circ_int,0,eq_c1/2)),IF(circ_int,0,eq_c2/2)+(s_0+3*s_r+IF(circ_int,eq_c1/2,0)),IF(((57+0.5)*(4*IF(circ_int,0,eq_c1/2)+4*IF(circ_int,0,eq_c2/2)+2*PI()*(s_0+3*s_r+IF(circ_int,eq_c1/2,0)))/INDEX(lk_legs,4))&lt;((((2*IF(circ_int,0,eq_c2/2))+(PI()*(s_0+3*s_r+IF(circ_int,eq_c1/2,0))/2))+2*IF(circ_int,0,eq_c1/2))+(PI()*(s_0+3*s_r+IF(circ_int,eq_c1/2,0))/2)),IF(circ_int,0,eq_c2/2)+(s_0+3*s_r+IF(circ_int,eq_c1/2,0))*SIN(PI()/2+(((57+0.5)*(4*IF(circ_int,0,eq_c1/2)+4*IF(circ_int,0,eq_c2/2)+2*PI()*(s_0+3*s_r+IF(circ_int,eq_c1/2,0)))/INDEX(lk_legs,4))-(((2*IF(circ_int,0,eq_c2/2))+(PI()*(s_0+3*s_r+IF(circ_int,eq_c1/2,0))/2))+2*IF(circ_int,0,eq_c1/2)))/(s_0+3*s_r+IF(circ_int,eq_c1/2,0))),IF(((57+0.5)*(4*IF(circ_int,0,eq_c1/2)+4*IF(circ_int,0,eq_c2/2)+2*PI()*(s_0+3*s_r+IF(circ_int,eq_c1/2,0)))/INDEX(lk_legs,4))&lt;(((((2*IF(circ_int,0,eq_c2/2))+(PI()*(s_0+3*s_r+IF(circ_int,eq_c1/2,0))/2))+2*IF(circ_int,0,eq_c1/2))+(PI()*(s_0+3*s_r+IF(circ_int,eq_c1/2,0))/2))+2*IF(circ_int,0,eq_c2/2)),IF(circ_int,0,eq_c2/2)-(((57+0.5)*(4*IF(circ_int,0,eq_c1/2)+4*IF(circ_int,0,eq_c2/2)+2*PI()*(s_0+3*s_r+IF(circ_int,eq_c1/2,0)))/INDEX(lk_legs,4))-((((2*IF(circ_int,0,eq_c2/2))+(PI()*(s_0+3*s_r+IF(circ_int,eq_c1/2,0))/2))+2*IF(circ_int,0,eq_c1/2))+(PI()*(s_0+3*s_r+IF(circ_int,eq_c1/2,0))/2))),IF(((57+0.5)*(4*IF(circ_int,0,eq_c1/2)+4*IF(circ_int,0,eq_c2/2)+2*PI()*(s_0+3*s_r+IF(circ_int,eq_c1/2,0)))/INDEX(lk_legs,4))&lt;((((((2*IF(circ_int,0,eq_c2/2))+(PI()*(s_0+3*s_r+IF(circ_int,eq_c1/2,0))/2))+2*IF(circ_int,0,eq_c1/2))+(PI()*(s_0+3*s_r+IF(circ_int,eq_c1/2,0))/2))+2*IF(circ_int,0,eq_c2/2))+(PI()*(s_0+3*s_r+IF(circ_int,eq_c1/2,0))/2)),-IF(circ_int,0,eq_c2/2)+(s_0+3*s_r+IF(circ_int,eq_c1/2,0))*SIN(PI()+(((57+0.5)*(4*IF(circ_int,0,eq_c1/2)+4*IF(circ_int,0,eq_c2/2)+2*PI()*(s_0+3*s_r+IF(circ_int,eq_c1/2,0)))/INDEX(lk_legs,4))-(((((2*IF(circ_int,0,eq_c2/2))+(PI()*(s_0+3*s_r+IF(circ_int,eq_c1/2,0))/2))+2*IF(circ_int,0,eq_c1/2))+(PI()*(s_0+3*s_r+IF(circ_int,eq_c1/2,0))/2))+2*IF(circ_int,0,eq_c2/2)))/(s_0+3*s_r+IF(circ_int,eq_c1/2,0))),IF(((57+0.5)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(57+0.5)*(4*IF(circ_int,0,eq_c1/2)+4*IF(circ_int,0,eq_c2/2)+2*PI()*(s_0+3*s_r+IF(circ_int,eq_c1/2,0)))/INDEX(lk_legs,4))-(((((((2*IF(circ_int,0,eq_c2/2))+(PI()*(s_0+3*s_r+IF(circ_int,eq_c1/2,0))/2))+2*IF(circ_int,0,eq_c1/2))+(PI()*(s_0+3*s_r+IF(circ_int,eq_c1/2,0))/2))+2*IF(circ_int,0,eq_c2/2))+(PI()*(s_0+3*s_r+IF(circ_int,eq_c1/2,0))/2))+2*IF(circ_int,0,eq_c1/2)))/(s_0+3*s_r+IF(circ_int,eq_c1/2,0)))))))))),NA())</f>
        <v/>
      </c>
      <c r="BX60">
        <f>IF(AND(AND(links_on,5&lt;=n_per),INDEX(lk_kind,5)=1,57&lt;INDEX(lk_legs,5)),g_ox+IF(((57+0.5)*(4*IF(circ_int,0,eq_c1/2)+4*IF(circ_int,0,eq_c2/2)+2*PI()*(s_0+4*s_r+IF(circ_int,eq_c1/2,0)))/INDEX(lk_legs,5))&lt;(2*IF(circ_int,0,eq_c2/2)),IF(circ_int,0,eq_c1/2)+(s_0+4*s_r+IF(circ_int,eq_c1/2,0)),IF(((57+0.5)*(4*IF(circ_int,0,eq_c1/2)+4*IF(circ_int,0,eq_c2/2)+2*PI()*(s_0+4*s_r+IF(circ_int,eq_c1/2,0)))/INDEX(lk_legs,5))&lt;((2*IF(circ_int,0,eq_c2/2))+(PI()*(s_0+4*s_r+IF(circ_int,eq_c1/2,0))/2)),IF(circ_int,0,eq_c1/2)+(s_0+4*s_r+IF(circ_int,eq_c1/2,0))*COS((((57+0.5)*(4*IF(circ_int,0,eq_c1/2)+4*IF(circ_int,0,eq_c2/2)+2*PI()*(s_0+4*s_r+IF(circ_int,eq_c1/2,0)))/INDEX(lk_legs,5))-(2*IF(circ_int,0,eq_c2/2)))/(s_0+4*s_r+IF(circ_int,eq_c1/2,0))),IF(((57+0.5)*(4*IF(circ_int,0,eq_c1/2)+4*IF(circ_int,0,eq_c2/2)+2*PI()*(s_0+4*s_r+IF(circ_int,eq_c1/2,0)))/INDEX(lk_legs,5))&lt;(((2*IF(circ_int,0,eq_c2/2))+(PI()*(s_0+4*s_r+IF(circ_int,eq_c1/2,0))/2))+2*IF(circ_int,0,eq_c1/2)),IF(circ_int,0,eq_c1/2)-(((57+0.5)*(4*IF(circ_int,0,eq_c1/2)+4*IF(circ_int,0,eq_c2/2)+2*PI()*(s_0+4*s_r+IF(circ_int,eq_c1/2,0)))/INDEX(lk_legs,5))-((2*IF(circ_int,0,eq_c2/2))+(PI()*(s_0+4*s_r+IF(circ_int,eq_c1/2,0))/2))),IF(((57+0.5)*(4*IF(circ_int,0,eq_c1/2)+4*IF(circ_int,0,eq_c2/2)+2*PI()*(s_0+4*s_r+IF(circ_int,eq_c1/2,0)))/INDEX(lk_legs,5))&lt;((((2*IF(circ_int,0,eq_c2/2))+(PI()*(s_0+4*s_r+IF(circ_int,eq_c1/2,0))/2))+2*IF(circ_int,0,eq_c1/2))+(PI()*(s_0+4*s_r+IF(circ_int,eq_c1/2,0))/2)),-IF(circ_int,0,eq_c1/2)+(s_0+4*s_r+IF(circ_int,eq_c1/2,0))*COS(PI()/2+(((57+0.5)*(4*IF(circ_int,0,eq_c1/2)+4*IF(circ_int,0,eq_c2/2)+2*PI()*(s_0+4*s_r+IF(circ_int,eq_c1/2,0)))/INDEX(lk_legs,5))-(((2*IF(circ_int,0,eq_c2/2))+(PI()*(s_0+4*s_r+IF(circ_int,eq_c1/2,0))/2))+2*IF(circ_int,0,eq_c1/2)))/(s_0+4*s_r+IF(circ_int,eq_c1/2,0))),IF(((57+0.5)*(4*IF(circ_int,0,eq_c1/2)+4*IF(circ_int,0,eq_c2/2)+2*PI()*(s_0+4*s_r+IF(circ_int,eq_c1/2,0)))/INDEX(lk_legs,5))&lt;(((((2*IF(circ_int,0,eq_c2/2))+(PI()*(s_0+4*s_r+IF(circ_int,eq_c1/2,0))/2))+2*IF(circ_int,0,eq_c1/2))+(PI()*(s_0+4*s_r+IF(circ_int,eq_c1/2,0))/2))+2*IF(circ_int,0,eq_c2/2)),-IF(circ_int,0,eq_c1/2)-(s_0+4*s_r+IF(circ_int,eq_c1/2,0)),IF(((57+0.5)*(4*IF(circ_int,0,eq_c1/2)+4*IF(circ_int,0,eq_c2/2)+2*PI()*(s_0+4*s_r+IF(circ_int,eq_c1/2,0)))/INDEX(lk_legs,5))&lt;((((((2*IF(circ_int,0,eq_c2/2))+(PI()*(s_0+4*s_r+IF(circ_int,eq_c1/2,0))/2))+2*IF(circ_int,0,eq_c1/2))+(PI()*(s_0+4*s_r+IF(circ_int,eq_c1/2,0))/2))+2*IF(circ_int,0,eq_c2/2))+(PI()*(s_0+4*s_r+IF(circ_int,eq_c1/2,0))/2)),-IF(circ_int,0,eq_c1/2)+(s_0+4*s_r+IF(circ_int,eq_c1/2,0))*COS(PI()+(((57+0.5)*(4*IF(circ_int,0,eq_c1/2)+4*IF(circ_int,0,eq_c2/2)+2*PI()*(s_0+4*s_r+IF(circ_int,eq_c1/2,0)))/INDEX(lk_legs,5))-(((((2*IF(circ_int,0,eq_c2/2))+(PI()*(s_0+4*s_r+IF(circ_int,eq_c1/2,0))/2))+2*IF(circ_int,0,eq_c1/2))+(PI()*(s_0+4*s_r+IF(circ_int,eq_c1/2,0))/2))+2*IF(circ_int,0,eq_c2/2)))/(s_0+4*s_r+IF(circ_int,eq_c1/2,0))),IF(((57+0.5)*(4*IF(circ_int,0,eq_c1/2)+4*IF(circ_int,0,eq_c2/2)+2*PI()*(s_0+4*s_r+IF(circ_int,eq_c1/2,0)))/INDEX(lk_legs,5))&lt;(((((((2*IF(circ_int,0,eq_c2/2))+(PI()*(s_0+4*s_r+IF(circ_int,eq_c1/2,0))/2))+2*IF(circ_int,0,eq_c1/2))+(PI()*(s_0+4*s_r+IF(circ_int,eq_c1/2,0))/2))+2*IF(circ_int,0,eq_c2/2))+(PI()*(s_0+4*s_r+IF(circ_int,eq_c1/2,0))/2))+2*IF(circ_int,0,eq_c1/2)),-IF(circ_int,0,eq_c1/2)+(((57+0.5)*(4*IF(circ_int,0,eq_c1/2)+4*IF(circ_int,0,eq_c2/2)+2*PI()*(s_0+4*s_r+IF(circ_int,eq_c1/2,0)))/INDEX(lk_legs,5))-((((((2*IF(circ_int,0,eq_c2/2))+(PI()*(s_0+4*s_r+IF(circ_int,eq_c1/2,0))/2))+2*IF(circ_int,0,eq_c1/2))+(PI()*(s_0+4*s_r+IF(circ_int,eq_c1/2,0))/2))+2*IF(circ_int,0,eq_c2/2))+(PI()*(s_0+4*s_r+IF(circ_int,eq_c1/2,0))/2))),IF(circ_int,0,eq_c1/2)+(s_0+4*s_r+IF(circ_int,eq_c1/2,0))*COS(3*PI()/2+(((57+0.5)*(4*IF(circ_int,0,eq_c1/2)+4*IF(circ_int,0,eq_c2/2)+2*PI()*(s_0+4*s_r+IF(circ_int,eq_c1/2,0)))/INDEX(lk_legs,5))-(((((((2*IF(circ_int,0,eq_c2/2))+(PI()*(s_0+4*s_r+IF(circ_int,eq_c1/2,0))/2))+2*IF(circ_int,0,eq_c1/2))+(PI()*(s_0+4*s_r+IF(circ_int,eq_c1/2,0))/2))+2*IF(circ_int,0,eq_c2/2))+(PI()*(s_0+4*s_r+IF(circ_int,eq_c1/2,0))/2))+2*IF(circ_int,0,eq_c1/2)))/(s_0+4*s_r+IF(circ_int,eq_c1/2,0)))))))))),NA())</f>
        <v/>
      </c>
      <c r="BY60">
        <f>IF(AND(AND(links_on,5&lt;=n_per),INDEX(lk_kind,5)=1,57&lt;INDEX(lk_legs,5)),g_oy+IF(((57+0.5)*(4*IF(circ_int,0,eq_c1/2)+4*IF(circ_int,0,eq_c2/2)+2*PI()*(s_0+4*s_r+IF(circ_int,eq_c1/2,0)))/INDEX(lk_legs,5))&lt;(2*IF(circ_int,0,eq_c2/2)),-IF(circ_int,0,eq_c2/2)+((57+0.5)*(4*IF(circ_int,0,eq_c1/2)+4*IF(circ_int,0,eq_c2/2)+2*PI()*(s_0+4*s_r+IF(circ_int,eq_c1/2,0)))/INDEX(lk_legs,5)),IF(((57+0.5)*(4*IF(circ_int,0,eq_c1/2)+4*IF(circ_int,0,eq_c2/2)+2*PI()*(s_0+4*s_r+IF(circ_int,eq_c1/2,0)))/INDEX(lk_legs,5))&lt;((2*IF(circ_int,0,eq_c2/2))+(PI()*(s_0+4*s_r+IF(circ_int,eq_c1/2,0))/2)),IF(circ_int,0,eq_c2/2)+(s_0+4*s_r+IF(circ_int,eq_c1/2,0))*SIN((((57+0.5)*(4*IF(circ_int,0,eq_c1/2)+4*IF(circ_int,0,eq_c2/2)+2*PI()*(s_0+4*s_r+IF(circ_int,eq_c1/2,0)))/INDEX(lk_legs,5))-(2*IF(circ_int,0,eq_c2/2)))/(s_0+4*s_r+IF(circ_int,eq_c1/2,0))),IF(((57+0.5)*(4*IF(circ_int,0,eq_c1/2)+4*IF(circ_int,0,eq_c2/2)+2*PI()*(s_0+4*s_r+IF(circ_int,eq_c1/2,0)))/INDEX(lk_legs,5))&lt;(((2*IF(circ_int,0,eq_c2/2))+(PI()*(s_0+4*s_r+IF(circ_int,eq_c1/2,0))/2))+2*IF(circ_int,0,eq_c1/2)),IF(circ_int,0,eq_c2/2)+(s_0+4*s_r+IF(circ_int,eq_c1/2,0)),IF(((57+0.5)*(4*IF(circ_int,0,eq_c1/2)+4*IF(circ_int,0,eq_c2/2)+2*PI()*(s_0+4*s_r+IF(circ_int,eq_c1/2,0)))/INDEX(lk_legs,5))&lt;((((2*IF(circ_int,0,eq_c2/2))+(PI()*(s_0+4*s_r+IF(circ_int,eq_c1/2,0))/2))+2*IF(circ_int,0,eq_c1/2))+(PI()*(s_0+4*s_r+IF(circ_int,eq_c1/2,0))/2)),IF(circ_int,0,eq_c2/2)+(s_0+4*s_r+IF(circ_int,eq_c1/2,0))*SIN(PI()/2+(((57+0.5)*(4*IF(circ_int,0,eq_c1/2)+4*IF(circ_int,0,eq_c2/2)+2*PI()*(s_0+4*s_r+IF(circ_int,eq_c1/2,0)))/INDEX(lk_legs,5))-(((2*IF(circ_int,0,eq_c2/2))+(PI()*(s_0+4*s_r+IF(circ_int,eq_c1/2,0))/2))+2*IF(circ_int,0,eq_c1/2)))/(s_0+4*s_r+IF(circ_int,eq_c1/2,0))),IF(((57+0.5)*(4*IF(circ_int,0,eq_c1/2)+4*IF(circ_int,0,eq_c2/2)+2*PI()*(s_0+4*s_r+IF(circ_int,eq_c1/2,0)))/INDEX(lk_legs,5))&lt;(((((2*IF(circ_int,0,eq_c2/2))+(PI()*(s_0+4*s_r+IF(circ_int,eq_c1/2,0))/2))+2*IF(circ_int,0,eq_c1/2))+(PI()*(s_0+4*s_r+IF(circ_int,eq_c1/2,0))/2))+2*IF(circ_int,0,eq_c2/2)),IF(circ_int,0,eq_c2/2)-(((57+0.5)*(4*IF(circ_int,0,eq_c1/2)+4*IF(circ_int,0,eq_c2/2)+2*PI()*(s_0+4*s_r+IF(circ_int,eq_c1/2,0)))/INDEX(lk_legs,5))-((((2*IF(circ_int,0,eq_c2/2))+(PI()*(s_0+4*s_r+IF(circ_int,eq_c1/2,0))/2))+2*IF(circ_int,0,eq_c1/2))+(PI()*(s_0+4*s_r+IF(circ_int,eq_c1/2,0))/2))),IF(((57+0.5)*(4*IF(circ_int,0,eq_c1/2)+4*IF(circ_int,0,eq_c2/2)+2*PI()*(s_0+4*s_r+IF(circ_int,eq_c1/2,0)))/INDEX(lk_legs,5))&lt;((((((2*IF(circ_int,0,eq_c2/2))+(PI()*(s_0+4*s_r+IF(circ_int,eq_c1/2,0))/2))+2*IF(circ_int,0,eq_c1/2))+(PI()*(s_0+4*s_r+IF(circ_int,eq_c1/2,0))/2))+2*IF(circ_int,0,eq_c2/2))+(PI()*(s_0+4*s_r+IF(circ_int,eq_c1/2,0))/2)),-IF(circ_int,0,eq_c2/2)+(s_0+4*s_r+IF(circ_int,eq_c1/2,0))*SIN(PI()+(((57+0.5)*(4*IF(circ_int,0,eq_c1/2)+4*IF(circ_int,0,eq_c2/2)+2*PI()*(s_0+4*s_r+IF(circ_int,eq_c1/2,0)))/INDEX(lk_legs,5))-(((((2*IF(circ_int,0,eq_c2/2))+(PI()*(s_0+4*s_r+IF(circ_int,eq_c1/2,0))/2))+2*IF(circ_int,0,eq_c1/2))+(PI()*(s_0+4*s_r+IF(circ_int,eq_c1/2,0))/2))+2*IF(circ_int,0,eq_c2/2)))/(s_0+4*s_r+IF(circ_int,eq_c1/2,0))),IF(((57+0.5)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(57+0.5)*(4*IF(circ_int,0,eq_c1/2)+4*IF(circ_int,0,eq_c2/2)+2*PI()*(s_0+4*s_r+IF(circ_int,eq_c1/2,0)))/INDEX(lk_legs,5))-(((((((2*IF(circ_int,0,eq_c2/2))+(PI()*(s_0+4*s_r+IF(circ_int,eq_c1/2,0))/2))+2*IF(circ_int,0,eq_c1/2))+(PI()*(s_0+4*s_r+IF(circ_int,eq_c1/2,0))/2))+2*IF(circ_int,0,eq_c2/2))+(PI()*(s_0+4*s_r+IF(circ_int,eq_c1/2,0))/2))+2*IF(circ_int,0,eq_c1/2)))/(s_0+4*s_r+IF(circ_int,eq_c1/2,0)))))))))),NA())</f>
        <v/>
      </c>
      <c r="CD60">
        <f>IF(AND(AND(links_on,6&lt;=n_per),INDEX(lk_kind,6)=1,57&lt;INDEX(lk_legs,6)),g_ox+IF(((57+0.5)*(4*IF(circ_int,0,eq_c1/2)+4*IF(circ_int,0,eq_c2/2)+2*PI()*(s_0+5*s_r+IF(circ_int,eq_c1/2,0)))/INDEX(lk_legs,6))&lt;(2*IF(circ_int,0,eq_c2/2)),IF(circ_int,0,eq_c1/2)+(s_0+5*s_r+IF(circ_int,eq_c1/2,0)),IF(((57+0.5)*(4*IF(circ_int,0,eq_c1/2)+4*IF(circ_int,0,eq_c2/2)+2*PI()*(s_0+5*s_r+IF(circ_int,eq_c1/2,0)))/INDEX(lk_legs,6))&lt;((2*IF(circ_int,0,eq_c2/2))+(PI()*(s_0+5*s_r+IF(circ_int,eq_c1/2,0))/2)),IF(circ_int,0,eq_c1/2)+(s_0+5*s_r+IF(circ_int,eq_c1/2,0))*COS((((57+0.5)*(4*IF(circ_int,0,eq_c1/2)+4*IF(circ_int,0,eq_c2/2)+2*PI()*(s_0+5*s_r+IF(circ_int,eq_c1/2,0)))/INDEX(lk_legs,6))-(2*IF(circ_int,0,eq_c2/2)))/(s_0+5*s_r+IF(circ_int,eq_c1/2,0))),IF(((57+0.5)*(4*IF(circ_int,0,eq_c1/2)+4*IF(circ_int,0,eq_c2/2)+2*PI()*(s_0+5*s_r+IF(circ_int,eq_c1/2,0)))/INDEX(lk_legs,6))&lt;(((2*IF(circ_int,0,eq_c2/2))+(PI()*(s_0+5*s_r+IF(circ_int,eq_c1/2,0))/2))+2*IF(circ_int,0,eq_c1/2)),IF(circ_int,0,eq_c1/2)-(((57+0.5)*(4*IF(circ_int,0,eq_c1/2)+4*IF(circ_int,0,eq_c2/2)+2*PI()*(s_0+5*s_r+IF(circ_int,eq_c1/2,0)))/INDEX(lk_legs,6))-((2*IF(circ_int,0,eq_c2/2))+(PI()*(s_0+5*s_r+IF(circ_int,eq_c1/2,0))/2))),IF(((57+0.5)*(4*IF(circ_int,0,eq_c1/2)+4*IF(circ_int,0,eq_c2/2)+2*PI()*(s_0+5*s_r+IF(circ_int,eq_c1/2,0)))/INDEX(lk_legs,6))&lt;((((2*IF(circ_int,0,eq_c2/2))+(PI()*(s_0+5*s_r+IF(circ_int,eq_c1/2,0))/2))+2*IF(circ_int,0,eq_c1/2))+(PI()*(s_0+5*s_r+IF(circ_int,eq_c1/2,0))/2)),-IF(circ_int,0,eq_c1/2)+(s_0+5*s_r+IF(circ_int,eq_c1/2,0))*COS(PI()/2+(((57+0.5)*(4*IF(circ_int,0,eq_c1/2)+4*IF(circ_int,0,eq_c2/2)+2*PI()*(s_0+5*s_r+IF(circ_int,eq_c1/2,0)))/INDEX(lk_legs,6))-(((2*IF(circ_int,0,eq_c2/2))+(PI()*(s_0+5*s_r+IF(circ_int,eq_c1/2,0))/2))+2*IF(circ_int,0,eq_c1/2)))/(s_0+5*s_r+IF(circ_int,eq_c1/2,0))),IF(((57+0.5)*(4*IF(circ_int,0,eq_c1/2)+4*IF(circ_int,0,eq_c2/2)+2*PI()*(s_0+5*s_r+IF(circ_int,eq_c1/2,0)))/INDEX(lk_legs,6))&lt;(((((2*IF(circ_int,0,eq_c2/2))+(PI()*(s_0+5*s_r+IF(circ_int,eq_c1/2,0))/2))+2*IF(circ_int,0,eq_c1/2))+(PI()*(s_0+5*s_r+IF(circ_int,eq_c1/2,0))/2))+2*IF(circ_int,0,eq_c2/2)),-IF(circ_int,0,eq_c1/2)-(s_0+5*s_r+IF(circ_int,eq_c1/2,0)),IF(((57+0.5)*(4*IF(circ_int,0,eq_c1/2)+4*IF(circ_int,0,eq_c2/2)+2*PI()*(s_0+5*s_r+IF(circ_int,eq_c1/2,0)))/INDEX(lk_legs,6))&lt;((((((2*IF(circ_int,0,eq_c2/2))+(PI()*(s_0+5*s_r+IF(circ_int,eq_c1/2,0))/2))+2*IF(circ_int,0,eq_c1/2))+(PI()*(s_0+5*s_r+IF(circ_int,eq_c1/2,0))/2))+2*IF(circ_int,0,eq_c2/2))+(PI()*(s_0+5*s_r+IF(circ_int,eq_c1/2,0))/2)),-IF(circ_int,0,eq_c1/2)+(s_0+5*s_r+IF(circ_int,eq_c1/2,0))*COS(PI()+(((57+0.5)*(4*IF(circ_int,0,eq_c1/2)+4*IF(circ_int,0,eq_c2/2)+2*PI()*(s_0+5*s_r+IF(circ_int,eq_c1/2,0)))/INDEX(lk_legs,6))-(((((2*IF(circ_int,0,eq_c2/2))+(PI()*(s_0+5*s_r+IF(circ_int,eq_c1/2,0))/2))+2*IF(circ_int,0,eq_c1/2))+(PI()*(s_0+5*s_r+IF(circ_int,eq_c1/2,0))/2))+2*IF(circ_int,0,eq_c2/2)))/(s_0+5*s_r+IF(circ_int,eq_c1/2,0))),IF(((57+0.5)*(4*IF(circ_int,0,eq_c1/2)+4*IF(circ_int,0,eq_c2/2)+2*PI()*(s_0+5*s_r+IF(circ_int,eq_c1/2,0)))/INDEX(lk_legs,6))&lt;(((((((2*IF(circ_int,0,eq_c2/2))+(PI()*(s_0+5*s_r+IF(circ_int,eq_c1/2,0))/2))+2*IF(circ_int,0,eq_c1/2))+(PI()*(s_0+5*s_r+IF(circ_int,eq_c1/2,0))/2))+2*IF(circ_int,0,eq_c2/2))+(PI()*(s_0+5*s_r+IF(circ_int,eq_c1/2,0))/2))+2*IF(circ_int,0,eq_c1/2)),-IF(circ_int,0,eq_c1/2)+(((57+0.5)*(4*IF(circ_int,0,eq_c1/2)+4*IF(circ_int,0,eq_c2/2)+2*PI()*(s_0+5*s_r+IF(circ_int,eq_c1/2,0)))/INDEX(lk_legs,6))-((((((2*IF(circ_int,0,eq_c2/2))+(PI()*(s_0+5*s_r+IF(circ_int,eq_c1/2,0))/2))+2*IF(circ_int,0,eq_c1/2))+(PI()*(s_0+5*s_r+IF(circ_int,eq_c1/2,0))/2))+2*IF(circ_int,0,eq_c2/2))+(PI()*(s_0+5*s_r+IF(circ_int,eq_c1/2,0))/2))),IF(circ_int,0,eq_c1/2)+(s_0+5*s_r+IF(circ_int,eq_c1/2,0))*COS(3*PI()/2+(((57+0.5)*(4*IF(circ_int,0,eq_c1/2)+4*IF(circ_int,0,eq_c2/2)+2*PI()*(s_0+5*s_r+IF(circ_int,eq_c1/2,0)))/INDEX(lk_legs,6))-(((((((2*IF(circ_int,0,eq_c2/2))+(PI()*(s_0+5*s_r+IF(circ_int,eq_c1/2,0))/2))+2*IF(circ_int,0,eq_c1/2))+(PI()*(s_0+5*s_r+IF(circ_int,eq_c1/2,0))/2))+2*IF(circ_int,0,eq_c2/2))+(PI()*(s_0+5*s_r+IF(circ_int,eq_c1/2,0))/2))+2*IF(circ_int,0,eq_c1/2)))/(s_0+5*s_r+IF(circ_int,eq_c1/2,0)))))))))),NA())</f>
        <v/>
      </c>
      <c r="CE60">
        <f>IF(AND(AND(links_on,6&lt;=n_per),INDEX(lk_kind,6)=1,57&lt;INDEX(lk_legs,6)),g_oy+IF(((57+0.5)*(4*IF(circ_int,0,eq_c1/2)+4*IF(circ_int,0,eq_c2/2)+2*PI()*(s_0+5*s_r+IF(circ_int,eq_c1/2,0)))/INDEX(lk_legs,6))&lt;(2*IF(circ_int,0,eq_c2/2)),-IF(circ_int,0,eq_c2/2)+((57+0.5)*(4*IF(circ_int,0,eq_c1/2)+4*IF(circ_int,0,eq_c2/2)+2*PI()*(s_0+5*s_r+IF(circ_int,eq_c1/2,0)))/INDEX(lk_legs,6)),IF(((57+0.5)*(4*IF(circ_int,0,eq_c1/2)+4*IF(circ_int,0,eq_c2/2)+2*PI()*(s_0+5*s_r+IF(circ_int,eq_c1/2,0)))/INDEX(lk_legs,6))&lt;((2*IF(circ_int,0,eq_c2/2))+(PI()*(s_0+5*s_r+IF(circ_int,eq_c1/2,0))/2)),IF(circ_int,0,eq_c2/2)+(s_0+5*s_r+IF(circ_int,eq_c1/2,0))*SIN((((57+0.5)*(4*IF(circ_int,0,eq_c1/2)+4*IF(circ_int,0,eq_c2/2)+2*PI()*(s_0+5*s_r+IF(circ_int,eq_c1/2,0)))/INDEX(lk_legs,6))-(2*IF(circ_int,0,eq_c2/2)))/(s_0+5*s_r+IF(circ_int,eq_c1/2,0))),IF(((57+0.5)*(4*IF(circ_int,0,eq_c1/2)+4*IF(circ_int,0,eq_c2/2)+2*PI()*(s_0+5*s_r+IF(circ_int,eq_c1/2,0)))/INDEX(lk_legs,6))&lt;(((2*IF(circ_int,0,eq_c2/2))+(PI()*(s_0+5*s_r+IF(circ_int,eq_c1/2,0))/2))+2*IF(circ_int,0,eq_c1/2)),IF(circ_int,0,eq_c2/2)+(s_0+5*s_r+IF(circ_int,eq_c1/2,0)),IF(((57+0.5)*(4*IF(circ_int,0,eq_c1/2)+4*IF(circ_int,0,eq_c2/2)+2*PI()*(s_0+5*s_r+IF(circ_int,eq_c1/2,0)))/INDEX(lk_legs,6))&lt;((((2*IF(circ_int,0,eq_c2/2))+(PI()*(s_0+5*s_r+IF(circ_int,eq_c1/2,0))/2))+2*IF(circ_int,0,eq_c1/2))+(PI()*(s_0+5*s_r+IF(circ_int,eq_c1/2,0))/2)),IF(circ_int,0,eq_c2/2)+(s_0+5*s_r+IF(circ_int,eq_c1/2,0))*SIN(PI()/2+(((57+0.5)*(4*IF(circ_int,0,eq_c1/2)+4*IF(circ_int,0,eq_c2/2)+2*PI()*(s_0+5*s_r+IF(circ_int,eq_c1/2,0)))/INDEX(lk_legs,6))-(((2*IF(circ_int,0,eq_c2/2))+(PI()*(s_0+5*s_r+IF(circ_int,eq_c1/2,0))/2))+2*IF(circ_int,0,eq_c1/2)))/(s_0+5*s_r+IF(circ_int,eq_c1/2,0))),IF(((57+0.5)*(4*IF(circ_int,0,eq_c1/2)+4*IF(circ_int,0,eq_c2/2)+2*PI()*(s_0+5*s_r+IF(circ_int,eq_c1/2,0)))/INDEX(lk_legs,6))&lt;(((((2*IF(circ_int,0,eq_c2/2))+(PI()*(s_0+5*s_r+IF(circ_int,eq_c1/2,0))/2))+2*IF(circ_int,0,eq_c1/2))+(PI()*(s_0+5*s_r+IF(circ_int,eq_c1/2,0))/2))+2*IF(circ_int,0,eq_c2/2)),IF(circ_int,0,eq_c2/2)-(((57+0.5)*(4*IF(circ_int,0,eq_c1/2)+4*IF(circ_int,0,eq_c2/2)+2*PI()*(s_0+5*s_r+IF(circ_int,eq_c1/2,0)))/INDEX(lk_legs,6))-((((2*IF(circ_int,0,eq_c2/2))+(PI()*(s_0+5*s_r+IF(circ_int,eq_c1/2,0))/2))+2*IF(circ_int,0,eq_c1/2))+(PI()*(s_0+5*s_r+IF(circ_int,eq_c1/2,0))/2))),IF(((57+0.5)*(4*IF(circ_int,0,eq_c1/2)+4*IF(circ_int,0,eq_c2/2)+2*PI()*(s_0+5*s_r+IF(circ_int,eq_c1/2,0)))/INDEX(lk_legs,6))&lt;((((((2*IF(circ_int,0,eq_c2/2))+(PI()*(s_0+5*s_r+IF(circ_int,eq_c1/2,0))/2))+2*IF(circ_int,0,eq_c1/2))+(PI()*(s_0+5*s_r+IF(circ_int,eq_c1/2,0))/2))+2*IF(circ_int,0,eq_c2/2))+(PI()*(s_0+5*s_r+IF(circ_int,eq_c1/2,0))/2)),-IF(circ_int,0,eq_c2/2)+(s_0+5*s_r+IF(circ_int,eq_c1/2,0))*SIN(PI()+(((57+0.5)*(4*IF(circ_int,0,eq_c1/2)+4*IF(circ_int,0,eq_c2/2)+2*PI()*(s_0+5*s_r+IF(circ_int,eq_c1/2,0)))/INDEX(lk_legs,6))-(((((2*IF(circ_int,0,eq_c2/2))+(PI()*(s_0+5*s_r+IF(circ_int,eq_c1/2,0))/2))+2*IF(circ_int,0,eq_c1/2))+(PI()*(s_0+5*s_r+IF(circ_int,eq_c1/2,0))/2))+2*IF(circ_int,0,eq_c2/2)))/(s_0+5*s_r+IF(circ_int,eq_c1/2,0))),IF(((57+0.5)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(57+0.5)*(4*IF(circ_int,0,eq_c1/2)+4*IF(circ_int,0,eq_c2/2)+2*PI()*(s_0+5*s_r+IF(circ_int,eq_c1/2,0)))/INDEX(lk_legs,6))-(((((((2*IF(circ_int,0,eq_c2/2))+(PI()*(s_0+5*s_r+IF(circ_int,eq_c1/2,0))/2))+2*IF(circ_int,0,eq_c1/2))+(PI()*(s_0+5*s_r+IF(circ_int,eq_c1/2,0))/2))+2*IF(circ_int,0,eq_c2/2))+(PI()*(s_0+5*s_r+IF(circ_int,eq_c1/2,0))/2))+2*IF(circ_int,0,eq_c1/2)))/(s_0+5*s_r+IF(circ_int,eq_c1/2,0)))))))))),NA())</f>
        <v/>
      </c>
      <c r="CJ60">
        <f>IF(AND(AND(links_on,7&lt;=n_per),INDEX(lk_kind,7)=1,57&lt;INDEX(lk_legs,7)),g_ox+IF(((57+0.5)*(4*IF(circ_int,0,eq_c1/2)+4*IF(circ_int,0,eq_c2/2)+2*PI()*(s_0+6*s_r+IF(circ_int,eq_c1/2,0)))/INDEX(lk_legs,7))&lt;(2*IF(circ_int,0,eq_c2/2)),IF(circ_int,0,eq_c1/2)+(s_0+6*s_r+IF(circ_int,eq_c1/2,0)),IF(((57+0.5)*(4*IF(circ_int,0,eq_c1/2)+4*IF(circ_int,0,eq_c2/2)+2*PI()*(s_0+6*s_r+IF(circ_int,eq_c1/2,0)))/INDEX(lk_legs,7))&lt;((2*IF(circ_int,0,eq_c2/2))+(PI()*(s_0+6*s_r+IF(circ_int,eq_c1/2,0))/2)),IF(circ_int,0,eq_c1/2)+(s_0+6*s_r+IF(circ_int,eq_c1/2,0))*COS((((57+0.5)*(4*IF(circ_int,0,eq_c1/2)+4*IF(circ_int,0,eq_c2/2)+2*PI()*(s_0+6*s_r+IF(circ_int,eq_c1/2,0)))/INDEX(lk_legs,7))-(2*IF(circ_int,0,eq_c2/2)))/(s_0+6*s_r+IF(circ_int,eq_c1/2,0))),IF(((57+0.5)*(4*IF(circ_int,0,eq_c1/2)+4*IF(circ_int,0,eq_c2/2)+2*PI()*(s_0+6*s_r+IF(circ_int,eq_c1/2,0)))/INDEX(lk_legs,7))&lt;(((2*IF(circ_int,0,eq_c2/2))+(PI()*(s_0+6*s_r+IF(circ_int,eq_c1/2,0))/2))+2*IF(circ_int,0,eq_c1/2)),IF(circ_int,0,eq_c1/2)-(((57+0.5)*(4*IF(circ_int,0,eq_c1/2)+4*IF(circ_int,0,eq_c2/2)+2*PI()*(s_0+6*s_r+IF(circ_int,eq_c1/2,0)))/INDEX(lk_legs,7))-((2*IF(circ_int,0,eq_c2/2))+(PI()*(s_0+6*s_r+IF(circ_int,eq_c1/2,0))/2))),IF(((57+0.5)*(4*IF(circ_int,0,eq_c1/2)+4*IF(circ_int,0,eq_c2/2)+2*PI()*(s_0+6*s_r+IF(circ_int,eq_c1/2,0)))/INDEX(lk_legs,7))&lt;((((2*IF(circ_int,0,eq_c2/2))+(PI()*(s_0+6*s_r+IF(circ_int,eq_c1/2,0))/2))+2*IF(circ_int,0,eq_c1/2))+(PI()*(s_0+6*s_r+IF(circ_int,eq_c1/2,0))/2)),-IF(circ_int,0,eq_c1/2)+(s_0+6*s_r+IF(circ_int,eq_c1/2,0))*COS(PI()/2+(((57+0.5)*(4*IF(circ_int,0,eq_c1/2)+4*IF(circ_int,0,eq_c2/2)+2*PI()*(s_0+6*s_r+IF(circ_int,eq_c1/2,0)))/INDEX(lk_legs,7))-(((2*IF(circ_int,0,eq_c2/2))+(PI()*(s_0+6*s_r+IF(circ_int,eq_c1/2,0))/2))+2*IF(circ_int,0,eq_c1/2)))/(s_0+6*s_r+IF(circ_int,eq_c1/2,0))),IF(((57+0.5)*(4*IF(circ_int,0,eq_c1/2)+4*IF(circ_int,0,eq_c2/2)+2*PI()*(s_0+6*s_r+IF(circ_int,eq_c1/2,0)))/INDEX(lk_legs,7))&lt;(((((2*IF(circ_int,0,eq_c2/2))+(PI()*(s_0+6*s_r+IF(circ_int,eq_c1/2,0))/2))+2*IF(circ_int,0,eq_c1/2))+(PI()*(s_0+6*s_r+IF(circ_int,eq_c1/2,0))/2))+2*IF(circ_int,0,eq_c2/2)),-IF(circ_int,0,eq_c1/2)-(s_0+6*s_r+IF(circ_int,eq_c1/2,0)),IF(((57+0.5)*(4*IF(circ_int,0,eq_c1/2)+4*IF(circ_int,0,eq_c2/2)+2*PI()*(s_0+6*s_r+IF(circ_int,eq_c1/2,0)))/INDEX(lk_legs,7))&lt;((((((2*IF(circ_int,0,eq_c2/2))+(PI()*(s_0+6*s_r+IF(circ_int,eq_c1/2,0))/2))+2*IF(circ_int,0,eq_c1/2))+(PI()*(s_0+6*s_r+IF(circ_int,eq_c1/2,0))/2))+2*IF(circ_int,0,eq_c2/2))+(PI()*(s_0+6*s_r+IF(circ_int,eq_c1/2,0))/2)),-IF(circ_int,0,eq_c1/2)+(s_0+6*s_r+IF(circ_int,eq_c1/2,0))*COS(PI()+(((57+0.5)*(4*IF(circ_int,0,eq_c1/2)+4*IF(circ_int,0,eq_c2/2)+2*PI()*(s_0+6*s_r+IF(circ_int,eq_c1/2,0)))/INDEX(lk_legs,7))-(((((2*IF(circ_int,0,eq_c2/2))+(PI()*(s_0+6*s_r+IF(circ_int,eq_c1/2,0))/2))+2*IF(circ_int,0,eq_c1/2))+(PI()*(s_0+6*s_r+IF(circ_int,eq_c1/2,0))/2))+2*IF(circ_int,0,eq_c2/2)))/(s_0+6*s_r+IF(circ_int,eq_c1/2,0))),IF(((57+0.5)*(4*IF(circ_int,0,eq_c1/2)+4*IF(circ_int,0,eq_c2/2)+2*PI()*(s_0+6*s_r+IF(circ_int,eq_c1/2,0)))/INDEX(lk_legs,7))&lt;(((((((2*IF(circ_int,0,eq_c2/2))+(PI()*(s_0+6*s_r+IF(circ_int,eq_c1/2,0))/2))+2*IF(circ_int,0,eq_c1/2))+(PI()*(s_0+6*s_r+IF(circ_int,eq_c1/2,0))/2))+2*IF(circ_int,0,eq_c2/2))+(PI()*(s_0+6*s_r+IF(circ_int,eq_c1/2,0))/2))+2*IF(circ_int,0,eq_c1/2)),-IF(circ_int,0,eq_c1/2)+(((57+0.5)*(4*IF(circ_int,0,eq_c1/2)+4*IF(circ_int,0,eq_c2/2)+2*PI()*(s_0+6*s_r+IF(circ_int,eq_c1/2,0)))/INDEX(lk_legs,7))-((((((2*IF(circ_int,0,eq_c2/2))+(PI()*(s_0+6*s_r+IF(circ_int,eq_c1/2,0))/2))+2*IF(circ_int,0,eq_c1/2))+(PI()*(s_0+6*s_r+IF(circ_int,eq_c1/2,0))/2))+2*IF(circ_int,0,eq_c2/2))+(PI()*(s_0+6*s_r+IF(circ_int,eq_c1/2,0))/2))),IF(circ_int,0,eq_c1/2)+(s_0+6*s_r+IF(circ_int,eq_c1/2,0))*COS(3*PI()/2+(((57+0.5)*(4*IF(circ_int,0,eq_c1/2)+4*IF(circ_int,0,eq_c2/2)+2*PI()*(s_0+6*s_r+IF(circ_int,eq_c1/2,0)))/INDEX(lk_legs,7))-(((((((2*IF(circ_int,0,eq_c2/2))+(PI()*(s_0+6*s_r+IF(circ_int,eq_c1/2,0))/2))+2*IF(circ_int,0,eq_c1/2))+(PI()*(s_0+6*s_r+IF(circ_int,eq_c1/2,0))/2))+2*IF(circ_int,0,eq_c2/2))+(PI()*(s_0+6*s_r+IF(circ_int,eq_c1/2,0))/2))+2*IF(circ_int,0,eq_c1/2)))/(s_0+6*s_r+IF(circ_int,eq_c1/2,0)))))))))),NA())</f>
        <v/>
      </c>
      <c r="CK60">
        <f>IF(AND(AND(links_on,7&lt;=n_per),INDEX(lk_kind,7)=1,57&lt;INDEX(lk_legs,7)),g_oy+IF(((57+0.5)*(4*IF(circ_int,0,eq_c1/2)+4*IF(circ_int,0,eq_c2/2)+2*PI()*(s_0+6*s_r+IF(circ_int,eq_c1/2,0)))/INDEX(lk_legs,7))&lt;(2*IF(circ_int,0,eq_c2/2)),-IF(circ_int,0,eq_c2/2)+((57+0.5)*(4*IF(circ_int,0,eq_c1/2)+4*IF(circ_int,0,eq_c2/2)+2*PI()*(s_0+6*s_r+IF(circ_int,eq_c1/2,0)))/INDEX(lk_legs,7)),IF(((57+0.5)*(4*IF(circ_int,0,eq_c1/2)+4*IF(circ_int,0,eq_c2/2)+2*PI()*(s_0+6*s_r+IF(circ_int,eq_c1/2,0)))/INDEX(lk_legs,7))&lt;((2*IF(circ_int,0,eq_c2/2))+(PI()*(s_0+6*s_r+IF(circ_int,eq_c1/2,0))/2)),IF(circ_int,0,eq_c2/2)+(s_0+6*s_r+IF(circ_int,eq_c1/2,0))*SIN((((57+0.5)*(4*IF(circ_int,0,eq_c1/2)+4*IF(circ_int,0,eq_c2/2)+2*PI()*(s_0+6*s_r+IF(circ_int,eq_c1/2,0)))/INDEX(lk_legs,7))-(2*IF(circ_int,0,eq_c2/2)))/(s_0+6*s_r+IF(circ_int,eq_c1/2,0))),IF(((57+0.5)*(4*IF(circ_int,0,eq_c1/2)+4*IF(circ_int,0,eq_c2/2)+2*PI()*(s_0+6*s_r+IF(circ_int,eq_c1/2,0)))/INDEX(lk_legs,7))&lt;(((2*IF(circ_int,0,eq_c2/2))+(PI()*(s_0+6*s_r+IF(circ_int,eq_c1/2,0))/2))+2*IF(circ_int,0,eq_c1/2)),IF(circ_int,0,eq_c2/2)+(s_0+6*s_r+IF(circ_int,eq_c1/2,0)),IF(((57+0.5)*(4*IF(circ_int,0,eq_c1/2)+4*IF(circ_int,0,eq_c2/2)+2*PI()*(s_0+6*s_r+IF(circ_int,eq_c1/2,0)))/INDEX(lk_legs,7))&lt;((((2*IF(circ_int,0,eq_c2/2))+(PI()*(s_0+6*s_r+IF(circ_int,eq_c1/2,0))/2))+2*IF(circ_int,0,eq_c1/2))+(PI()*(s_0+6*s_r+IF(circ_int,eq_c1/2,0))/2)),IF(circ_int,0,eq_c2/2)+(s_0+6*s_r+IF(circ_int,eq_c1/2,0))*SIN(PI()/2+(((57+0.5)*(4*IF(circ_int,0,eq_c1/2)+4*IF(circ_int,0,eq_c2/2)+2*PI()*(s_0+6*s_r+IF(circ_int,eq_c1/2,0)))/INDEX(lk_legs,7))-(((2*IF(circ_int,0,eq_c2/2))+(PI()*(s_0+6*s_r+IF(circ_int,eq_c1/2,0))/2))+2*IF(circ_int,0,eq_c1/2)))/(s_0+6*s_r+IF(circ_int,eq_c1/2,0))),IF(((57+0.5)*(4*IF(circ_int,0,eq_c1/2)+4*IF(circ_int,0,eq_c2/2)+2*PI()*(s_0+6*s_r+IF(circ_int,eq_c1/2,0)))/INDEX(lk_legs,7))&lt;(((((2*IF(circ_int,0,eq_c2/2))+(PI()*(s_0+6*s_r+IF(circ_int,eq_c1/2,0))/2))+2*IF(circ_int,0,eq_c1/2))+(PI()*(s_0+6*s_r+IF(circ_int,eq_c1/2,0))/2))+2*IF(circ_int,0,eq_c2/2)),IF(circ_int,0,eq_c2/2)-(((57+0.5)*(4*IF(circ_int,0,eq_c1/2)+4*IF(circ_int,0,eq_c2/2)+2*PI()*(s_0+6*s_r+IF(circ_int,eq_c1/2,0)))/INDEX(lk_legs,7))-((((2*IF(circ_int,0,eq_c2/2))+(PI()*(s_0+6*s_r+IF(circ_int,eq_c1/2,0))/2))+2*IF(circ_int,0,eq_c1/2))+(PI()*(s_0+6*s_r+IF(circ_int,eq_c1/2,0))/2))),IF(((57+0.5)*(4*IF(circ_int,0,eq_c1/2)+4*IF(circ_int,0,eq_c2/2)+2*PI()*(s_0+6*s_r+IF(circ_int,eq_c1/2,0)))/INDEX(lk_legs,7))&lt;((((((2*IF(circ_int,0,eq_c2/2))+(PI()*(s_0+6*s_r+IF(circ_int,eq_c1/2,0))/2))+2*IF(circ_int,0,eq_c1/2))+(PI()*(s_0+6*s_r+IF(circ_int,eq_c1/2,0))/2))+2*IF(circ_int,0,eq_c2/2))+(PI()*(s_0+6*s_r+IF(circ_int,eq_c1/2,0))/2)),-IF(circ_int,0,eq_c2/2)+(s_0+6*s_r+IF(circ_int,eq_c1/2,0))*SIN(PI()+(((57+0.5)*(4*IF(circ_int,0,eq_c1/2)+4*IF(circ_int,0,eq_c2/2)+2*PI()*(s_0+6*s_r+IF(circ_int,eq_c1/2,0)))/INDEX(lk_legs,7))-(((((2*IF(circ_int,0,eq_c2/2))+(PI()*(s_0+6*s_r+IF(circ_int,eq_c1/2,0))/2))+2*IF(circ_int,0,eq_c1/2))+(PI()*(s_0+6*s_r+IF(circ_int,eq_c1/2,0))/2))+2*IF(circ_int,0,eq_c2/2)))/(s_0+6*s_r+IF(circ_int,eq_c1/2,0))),IF(((57+0.5)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(57+0.5)*(4*IF(circ_int,0,eq_c1/2)+4*IF(circ_int,0,eq_c2/2)+2*PI()*(s_0+6*s_r+IF(circ_int,eq_c1/2,0)))/INDEX(lk_legs,7))-(((((((2*IF(circ_int,0,eq_c2/2))+(PI()*(s_0+6*s_r+IF(circ_int,eq_c1/2,0))/2))+2*IF(circ_int,0,eq_c1/2))+(PI()*(s_0+6*s_r+IF(circ_int,eq_c1/2,0))/2))+2*IF(circ_int,0,eq_c2/2))+(PI()*(s_0+6*s_r+IF(circ_int,eq_c1/2,0))/2))+2*IF(circ_int,0,eq_c1/2)))/(s_0+6*s_r+IF(circ_int,eq_c1/2,0)))))))))),NA())</f>
        <v/>
      </c>
      <c r="CP60">
        <f>IF(AND(AND(links_on,8&lt;=n_per),INDEX(lk_kind,8)=1,57&lt;INDEX(lk_legs,8)),g_ox+IF(((57+0.5)*(4*IF(circ_int,0,eq_c1/2)+4*IF(circ_int,0,eq_c2/2)+2*PI()*(s_0+7*s_r+IF(circ_int,eq_c1/2,0)))/INDEX(lk_legs,8))&lt;(2*IF(circ_int,0,eq_c2/2)),IF(circ_int,0,eq_c1/2)+(s_0+7*s_r+IF(circ_int,eq_c1/2,0)),IF(((57+0.5)*(4*IF(circ_int,0,eq_c1/2)+4*IF(circ_int,0,eq_c2/2)+2*PI()*(s_0+7*s_r+IF(circ_int,eq_c1/2,0)))/INDEX(lk_legs,8))&lt;((2*IF(circ_int,0,eq_c2/2))+(PI()*(s_0+7*s_r+IF(circ_int,eq_c1/2,0))/2)),IF(circ_int,0,eq_c1/2)+(s_0+7*s_r+IF(circ_int,eq_c1/2,0))*COS((((57+0.5)*(4*IF(circ_int,0,eq_c1/2)+4*IF(circ_int,0,eq_c2/2)+2*PI()*(s_0+7*s_r+IF(circ_int,eq_c1/2,0)))/INDEX(lk_legs,8))-(2*IF(circ_int,0,eq_c2/2)))/(s_0+7*s_r+IF(circ_int,eq_c1/2,0))),IF(((57+0.5)*(4*IF(circ_int,0,eq_c1/2)+4*IF(circ_int,0,eq_c2/2)+2*PI()*(s_0+7*s_r+IF(circ_int,eq_c1/2,0)))/INDEX(lk_legs,8))&lt;(((2*IF(circ_int,0,eq_c2/2))+(PI()*(s_0+7*s_r+IF(circ_int,eq_c1/2,0))/2))+2*IF(circ_int,0,eq_c1/2)),IF(circ_int,0,eq_c1/2)-(((57+0.5)*(4*IF(circ_int,0,eq_c1/2)+4*IF(circ_int,0,eq_c2/2)+2*PI()*(s_0+7*s_r+IF(circ_int,eq_c1/2,0)))/INDEX(lk_legs,8))-((2*IF(circ_int,0,eq_c2/2))+(PI()*(s_0+7*s_r+IF(circ_int,eq_c1/2,0))/2))),IF(((57+0.5)*(4*IF(circ_int,0,eq_c1/2)+4*IF(circ_int,0,eq_c2/2)+2*PI()*(s_0+7*s_r+IF(circ_int,eq_c1/2,0)))/INDEX(lk_legs,8))&lt;((((2*IF(circ_int,0,eq_c2/2))+(PI()*(s_0+7*s_r+IF(circ_int,eq_c1/2,0))/2))+2*IF(circ_int,0,eq_c1/2))+(PI()*(s_0+7*s_r+IF(circ_int,eq_c1/2,0))/2)),-IF(circ_int,0,eq_c1/2)+(s_0+7*s_r+IF(circ_int,eq_c1/2,0))*COS(PI()/2+(((57+0.5)*(4*IF(circ_int,0,eq_c1/2)+4*IF(circ_int,0,eq_c2/2)+2*PI()*(s_0+7*s_r+IF(circ_int,eq_c1/2,0)))/INDEX(lk_legs,8))-(((2*IF(circ_int,0,eq_c2/2))+(PI()*(s_0+7*s_r+IF(circ_int,eq_c1/2,0))/2))+2*IF(circ_int,0,eq_c1/2)))/(s_0+7*s_r+IF(circ_int,eq_c1/2,0))),IF(((57+0.5)*(4*IF(circ_int,0,eq_c1/2)+4*IF(circ_int,0,eq_c2/2)+2*PI()*(s_0+7*s_r+IF(circ_int,eq_c1/2,0)))/INDEX(lk_legs,8))&lt;(((((2*IF(circ_int,0,eq_c2/2))+(PI()*(s_0+7*s_r+IF(circ_int,eq_c1/2,0))/2))+2*IF(circ_int,0,eq_c1/2))+(PI()*(s_0+7*s_r+IF(circ_int,eq_c1/2,0))/2))+2*IF(circ_int,0,eq_c2/2)),-IF(circ_int,0,eq_c1/2)-(s_0+7*s_r+IF(circ_int,eq_c1/2,0)),IF(((57+0.5)*(4*IF(circ_int,0,eq_c1/2)+4*IF(circ_int,0,eq_c2/2)+2*PI()*(s_0+7*s_r+IF(circ_int,eq_c1/2,0)))/INDEX(lk_legs,8))&lt;((((((2*IF(circ_int,0,eq_c2/2))+(PI()*(s_0+7*s_r+IF(circ_int,eq_c1/2,0))/2))+2*IF(circ_int,0,eq_c1/2))+(PI()*(s_0+7*s_r+IF(circ_int,eq_c1/2,0))/2))+2*IF(circ_int,0,eq_c2/2))+(PI()*(s_0+7*s_r+IF(circ_int,eq_c1/2,0))/2)),-IF(circ_int,0,eq_c1/2)+(s_0+7*s_r+IF(circ_int,eq_c1/2,0))*COS(PI()+(((57+0.5)*(4*IF(circ_int,0,eq_c1/2)+4*IF(circ_int,0,eq_c2/2)+2*PI()*(s_0+7*s_r+IF(circ_int,eq_c1/2,0)))/INDEX(lk_legs,8))-(((((2*IF(circ_int,0,eq_c2/2))+(PI()*(s_0+7*s_r+IF(circ_int,eq_c1/2,0))/2))+2*IF(circ_int,0,eq_c1/2))+(PI()*(s_0+7*s_r+IF(circ_int,eq_c1/2,0))/2))+2*IF(circ_int,0,eq_c2/2)))/(s_0+7*s_r+IF(circ_int,eq_c1/2,0))),IF(((57+0.5)*(4*IF(circ_int,0,eq_c1/2)+4*IF(circ_int,0,eq_c2/2)+2*PI()*(s_0+7*s_r+IF(circ_int,eq_c1/2,0)))/INDEX(lk_legs,8))&lt;(((((((2*IF(circ_int,0,eq_c2/2))+(PI()*(s_0+7*s_r+IF(circ_int,eq_c1/2,0))/2))+2*IF(circ_int,0,eq_c1/2))+(PI()*(s_0+7*s_r+IF(circ_int,eq_c1/2,0))/2))+2*IF(circ_int,0,eq_c2/2))+(PI()*(s_0+7*s_r+IF(circ_int,eq_c1/2,0))/2))+2*IF(circ_int,0,eq_c1/2)),-IF(circ_int,0,eq_c1/2)+(((57+0.5)*(4*IF(circ_int,0,eq_c1/2)+4*IF(circ_int,0,eq_c2/2)+2*PI()*(s_0+7*s_r+IF(circ_int,eq_c1/2,0)))/INDEX(lk_legs,8))-((((((2*IF(circ_int,0,eq_c2/2))+(PI()*(s_0+7*s_r+IF(circ_int,eq_c1/2,0))/2))+2*IF(circ_int,0,eq_c1/2))+(PI()*(s_0+7*s_r+IF(circ_int,eq_c1/2,0))/2))+2*IF(circ_int,0,eq_c2/2))+(PI()*(s_0+7*s_r+IF(circ_int,eq_c1/2,0))/2))),IF(circ_int,0,eq_c1/2)+(s_0+7*s_r+IF(circ_int,eq_c1/2,0))*COS(3*PI()/2+(((57+0.5)*(4*IF(circ_int,0,eq_c1/2)+4*IF(circ_int,0,eq_c2/2)+2*PI()*(s_0+7*s_r+IF(circ_int,eq_c1/2,0)))/INDEX(lk_legs,8))-(((((((2*IF(circ_int,0,eq_c2/2))+(PI()*(s_0+7*s_r+IF(circ_int,eq_c1/2,0))/2))+2*IF(circ_int,0,eq_c1/2))+(PI()*(s_0+7*s_r+IF(circ_int,eq_c1/2,0))/2))+2*IF(circ_int,0,eq_c2/2))+(PI()*(s_0+7*s_r+IF(circ_int,eq_c1/2,0))/2))+2*IF(circ_int,0,eq_c1/2)))/(s_0+7*s_r+IF(circ_int,eq_c1/2,0)))))))))),NA())</f>
        <v/>
      </c>
      <c r="CQ60">
        <f>IF(AND(AND(links_on,8&lt;=n_per),INDEX(lk_kind,8)=1,57&lt;INDEX(lk_legs,8)),g_oy+IF(((57+0.5)*(4*IF(circ_int,0,eq_c1/2)+4*IF(circ_int,0,eq_c2/2)+2*PI()*(s_0+7*s_r+IF(circ_int,eq_c1/2,0)))/INDEX(lk_legs,8))&lt;(2*IF(circ_int,0,eq_c2/2)),-IF(circ_int,0,eq_c2/2)+((57+0.5)*(4*IF(circ_int,0,eq_c1/2)+4*IF(circ_int,0,eq_c2/2)+2*PI()*(s_0+7*s_r+IF(circ_int,eq_c1/2,0)))/INDEX(lk_legs,8)),IF(((57+0.5)*(4*IF(circ_int,0,eq_c1/2)+4*IF(circ_int,0,eq_c2/2)+2*PI()*(s_0+7*s_r+IF(circ_int,eq_c1/2,0)))/INDEX(lk_legs,8))&lt;((2*IF(circ_int,0,eq_c2/2))+(PI()*(s_0+7*s_r+IF(circ_int,eq_c1/2,0))/2)),IF(circ_int,0,eq_c2/2)+(s_0+7*s_r+IF(circ_int,eq_c1/2,0))*SIN((((57+0.5)*(4*IF(circ_int,0,eq_c1/2)+4*IF(circ_int,0,eq_c2/2)+2*PI()*(s_0+7*s_r+IF(circ_int,eq_c1/2,0)))/INDEX(lk_legs,8))-(2*IF(circ_int,0,eq_c2/2)))/(s_0+7*s_r+IF(circ_int,eq_c1/2,0))),IF(((57+0.5)*(4*IF(circ_int,0,eq_c1/2)+4*IF(circ_int,0,eq_c2/2)+2*PI()*(s_0+7*s_r+IF(circ_int,eq_c1/2,0)))/INDEX(lk_legs,8))&lt;(((2*IF(circ_int,0,eq_c2/2))+(PI()*(s_0+7*s_r+IF(circ_int,eq_c1/2,0))/2))+2*IF(circ_int,0,eq_c1/2)),IF(circ_int,0,eq_c2/2)+(s_0+7*s_r+IF(circ_int,eq_c1/2,0)),IF(((57+0.5)*(4*IF(circ_int,0,eq_c1/2)+4*IF(circ_int,0,eq_c2/2)+2*PI()*(s_0+7*s_r+IF(circ_int,eq_c1/2,0)))/INDEX(lk_legs,8))&lt;((((2*IF(circ_int,0,eq_c2/2))+(PI()*(s_0+7*s_r+IF(circ_int,eq_c1/2,0))/2))+2*IF(circ_int,0,eq_c1/2))+(PI()*(s_0+7*s_r+IF(circ_int,eq_c1/2,0))/2)),IF(circ_int,0,eq_c2/2)+(s_0+7*s_r+IF(circ_int,eq_c1/2,0))*SIN(PI()/2+(((57+0.5)*(4*IF(circ_int,0,eq_c1/2)+4*IF(circ_int,0,eq_c2/2)+2*PI()*(s_0+7*s_r+IF(circ_int,eq_c1/2,0)))/INDEX(lk_legs,8))-(((2*IF(circ_int,0,eq_c2/2))+(PI()*(s_0+7*s_r+IF(circ_int,eq_c1/2,0))/2))+2*IF(circ_int,0,eq_c1/2)))/(s_0+7*s_r+IF(circ_int,eq_c1/2,0))),IF(((57+0.5)*(4*IF(circ_int,0,eq_c1/2)+4*IF(circ_int,0,eq_c2/2)+2*PI()*(s_0+7*s_r+IF(circ_int,eq_c1/2,0)))/INDEX(lk_legs,8))&lt;(((((2*IF(circ_int,0,eq_c2/2))+(PI()*(s_0+7*s_r+IF(circ_int,eq_c1/2,0))/2))+2*IF(circ_int,0,eq_c1/2))+(PI()*(s_0+7*s_r+IF(circ_int,eq_c1/2,0))/2))+2*IF(circ_int,0,eq_c2/2)),IF(circ_int,0,eq_c2/2)-(((57+0.5)*(4*IF(circ_int,0,eq_c1/2)+4*IF(circ_int,0,eq_c2/2)+2*PI()*(s_0+7*s_r+IF(circ_int,eq_c1/2,0)))/INDEX(lk_legs,8))-((((2*IF(circ_int,0,eq_c2/2))+(PI()*(s_0+7*s_r+IF(circ_int,eq_c1/2,0))/2))+2*IF(circ_int,0,eq_c1/2))+(PI()*(s_0+7*s_r+IF(circ_int,eq_c1/2,0))/2))),IF(((57+0.5)*(4*IF(circ_int,0,eq_c1/2)+4*IF(circ_int,0,eq_c2/2)+2*PI()*(s_0+7*s_r+IF(circ_int,eq_c1/2,0)))/INDEX(lk_legs,8))&lt;((((((2*IF(circ_int,0,eq_c2/2))+(PI()*(s_0+7*s_r+IF(circ_int,eq_c1/2,0))/2))+2*IF(circ_int,0,eq_c1/2))+(PI()*(s_0+7*s_r+IF(circ_int,eq_c1/2,0))/2))+2*IF(circ_int,0,eq_c2/2))+(PI()*(s_0+7*s_r+IF(circ_int,eq_c1/2,0))/2)),-IF(circ_int,0,eq_c2/2)+(s_0+7*s_r+IF(circ_int,eq_c1/2,0))*SIN(PI()+(((57+0.5)*(4*IF(circ_int,0,eq_c1/2)+4*IF(circ_int,0,eq_c2/2)+2*PI()*(s_0+7*s_r+IF(circ_int,eq_c1/2,0)))/INDEX(lk_legs,8))-(((((2*IF(circ_int,0,eq_c2/2))+(PI()*(s_0+7*s_r+IF(circ_int,eq_c1/2,0))/2))+2*IF(circ_int,0,eq_c1/2))+(PI()*(s_0+7*s_r+IF(circ_int,eq_c1/2,0))/2))+2*IF(circ_int,0,eq_c2/2)))/(s_0+7*s_r+IF(circ_int,eq_c1/2,0))),IF(((57+0.5)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(57+0.5)*(4*IF(circ_int,0,eq_c1/2)+4*IF(circ_int,0,eq_c2/2)+2*PI()*(s_0+7*s_r+IF(circ_int,eq_c1/2,0)))/INDEX(lk_legs,8))-(((((((2*IF(circ_int,0,eq_c2/2))+(PI()*(s_0+7*s_r+IF(circ_int,eq_c1/2,0))/2))+2*IF(circ_int,0,eq_c1/2))+(PI()*(s_0+7*s_r+IF(circ_int,eq_c1/2,0))/2))+2*IF(circ_int,0,eq_c2/2))+(PI()*(s_0+7*s_r+IF(circ_int,eq_c1/2,0))/2))+2*IF(circ_int,0,eq_c1/2)))/(s_0+7*s_r+IF(circ_int,eq_c1/2,0)))))))))),NA())</f>
        <v/>
      </c>
      <c r="CV60">
        <f>IF(AND(AND(links_on,9&lt;=n_per),INDEX(lk_kind,9)=1,57&lt;INDEX(lk_legs,9)),g_ox+IF(((57+0.5)*(4*IF(circ_int,0,eq_c1/2)+4*IF(circ_int,0,eq_c2/2)+2*PI()*(s_0+8*s_r+IF(circ_int,eq_c1/2,0)))/INDEX(lk_legs,9))&lt;(2*IF(circ_int,0,eq_c2/2)),IF(circ_int,0,eq_c1/2)+(s_0+8*s_r+IF(circ_int,eq_c1/2,0)),IF(((57+0.5)*(4*IF(circ_int,0,eq_c1/2)+4*IF(circ_int,0,eq_c2/2)+2*PI()*(s_0+8*s_r+IF(circ_int,eq_c1/2,0)))/INDEX(lk_legs,9))&lt;((2*IF(circ_int,0,eq_c2/2))+(PI()*(s_0+8*s_r+IF(circ_int,eq_c1/2,0))/2)),IF(circ_int,0,eq_c1/2)+(s_0+8*s_r+IF(circ_int,eq_c1/2,0))*COS((((57+0.5)*(4*IF(circ_int,0,eq_c1/2)+4*IF(circ_int,0,eq_c2/2)+2*PI()*(s_0+8*s_r+IF(circ_int,eq_c1/2,0)))/INDEX(lk_legs,9))-(2*IF(circ_int,0,eq_c2/2)))/(s_0+8*s_r+IF(circ_int,eq_c1/2,0))),IF(((57+0.5)*(4*IF(circ_int,0,eq_c1/2)+4*IF(circ_int,0,eq_c2/2)+2*PI()*(s_0+8*s_r+IF(circ_int,eq_c1/2,0)))/INDEX(lk_legs,9))&lt;(((2*IF(circ_int,0,eq_c2/2))+(PI()*(s_0+8*s_r+IF(circ_int,eq_c1/2,0))/2))+2*IF(circ_int,0,eq_c1/2)),IF(circ_int,0,eq_c1/2)-(((57+0.5)*(4*IF(circ_int,0,eq_c1/2)+4*IF(circ_int,0,eq_c2/2)+2*PI()*(s_0+8*s_r+IF(circ_int,eq_c1/2,0)))/INDEX(lk_legs,9))-((2*IF(circ_int,0,eq_c2/2))+(PI()*(s_0+8*s_r+IF(circ_int,eq_c1/2,0))/2))),IF(((57+0.5)*(4*IF(circ_int,0,eq_c1/2)+4*IF(circ_int,0,eq_c2/2)+2*PI()*(s_0+8*s_r+IF(circ_int,eq_c1/2,0)))/INDEX(lk_legs,9))&lt;((((2*IF(circ_int,0,eq_c2/2))+(PI()*(s_0+8*s_r+IF(circ_int,eq_c1/2,0))/2))+2*IF(circ_int,0,eq_c1/2))+(PI()*(s_0+8*s_r+IF(circ_int,eq_c1/2,0))/2)),-IF(circ_int,0,eq_c1/2)+(s_0+8*s_r+IF(circ_int,eq_c1/2,0))*COS(PI()/2+(((57+0.5)*(4*IF(circ_int,0,eq_c1/2)+4*IF(circ_int,0,eq_c2/2)+2*PI()*(s_0+8*s_r+IF(circ_int,eq_c1/2,0)))/INDEX(lk_legs,9))-(((2*IF(circ_int,0,eq_c2/2))+(PI()*(s_0+8*s_r+IF(circ_int,eq_c1/2,0))/2))+2*IF(circ_int,0,eq_c1/2)))/(s_0+8*s_r+IF(circ_int,eq_c1/2,0))),IF(((57+0.5)*(4*IF(circ_int,0,eq_c1/2)+4*IF(circ_int,0,eq_c2/2)+2*PI()*(s_0+8*s_r+IF(circ_int,eq_c1/2,0)))/INDEX(lk_legs,9))&lt;(((((2*IF(circ_int,0,eq_c2/2))+(PI()*(s_0+8*s_r+IF(circ_int,eq_c1/2,0))/2))+2*IF(circ_int,0,eq_c1/2))+(PI()*(s_0+8*s_r+IF(circ_int,eq_c1/2,0))/2))+2*IF(circ_int,0,eq_c2/2)),-IF(circ_int,0,eq_c1/2)-(s_0+8*s_r+IF(circ_int,eq_c1/2,0)),IF(((57+0.5)*(4*IF(circ_int,0,eq_c1/2)+4*IF(circ_int,0,eq_c2/2)+2*PI()*(s_0+8*s_r+IF(circ_int,eq_c1/2,0)))/INDEX(lk_legs,9))&lt;((((((2*IF(circ_int,0,eq_c2/2))+(PI()*(s_0+8*s_r+IF(circ_int,eq_c1/2,0))/2))+2*IF(circ_int,0,eq_c1/2))+(PI()*(s_0+8*s_r+IF(circ_int,eq_c1/2,0))/2))+2*IF(circ_int,0,eq_c2/2))+(PI()*(s_0+8*s_r+IF(circ_int,eq_c1/2,0))/2)),-IF(circ_int,0,eq_c1/2)+(s_0+8*s_r+IF(circ_int,eq_c1/2,0))*COS(PI()+(((57+0.5)*(4*IF(circ_int,0,eq_c1/2)+4*IF(circ_int,0,eq_c2/2)+2*PI()*(s_0+8*s_r+IF(circ_int,eq_c1/2,0)))/INDEX(lk_legs,9))-(((((2*IF(circ_int,0,eq_c2/2))+(PI()*(s_0+8*s_r+IF(circ_int,eq_c1/2,0))/2))+2*IF(circ_int,0,eq_c1/2))+(PI()*(s_0+8*s_r+IF(circ_int,eq_c1/2,0))/2))+2*IF(circ_int,0,eq_c2/2)))/(s_0+8*s_r+IF(circ_int,eq_c1/2,0))),IF(((57+0.5)*(4*IF(circ_int,0,eq_c1/2)+4*IF(circ_int,0,eq_c2/2)+2*PI()*(s_0+8*s_r+IF(circ_int,eq_c1/2,0)))/INDEX(lk_legs,9))&lt;(((((((2*IF(circ_int,0,eq_c2/2))+(PI()*(s_0+8*s_r+IF(circ_int,eq_c1/2,0))/2))+2*IF(circ_int,0,eq_c1/2))+(PI()*(s_0+8*s_r+IF(circ_int,eq_c1/2,0))/2))+2*IF(circ_int,0,eq_c2/2))+(PI()*(s_0+8*s_r+IF(circ_int,eq_c1/2,0))/2))+2*IF(circ_int,0,eq_c1/2)),-IF(circ_int,0,eq_c1/2)+(((57+0.5)*(4*IF(circ_int,0,eq_c1/2)+4*IF(circ_int,0,eq_c2/2)+2*PI()*(s_0+8*s_r+IF(circ_int,eq_c1/2,0)))/INDEX(lk_legs,9))-((((((2*IF(circ_int,0,eq_c2/2))+(PI()*(s_0+8*s_r+IF(circ_int,eq_c1/2,0))/2))+2*IF(circ_int,0,eq_c1/2))+(PI()*(s_0+8*s_r+IF(circ_int,eq_c1/2,0))/2))+2*IF(circ_int,0,eq_c2/2))+(PI()*(s_0+8*s_r+IF(circ_int,eq_c1/2,0))/2))),IF(circ_int,0,eq_c1/2)+(s_0+8*s_r+IF(circ_int,eq_c1/2,0))*COS(3*PI()/2+(((57+0.5)*(4*IF(circ_int,0,eq_c1/2)+4*IF(circ_int,0,eq_c2/2)+2*PI()*(s_0+8*s_r+IF(circ_int,eq_c1/2,0)))/INDEX(lk_legs,9))-(((((((2*IF(circ_int,0,eq_c2/2))+(PI()*(s_0+8*s_r+IF(circ_int,eq_c1/2,0))/2))+2*IF(circ_int,0,eq_c1/2))+(PI()*(s_0+8*s_r+IF(circ_int,eq_c1/2,0))/2))+2*IF(circ_int,0,eq_c2/2))+(PI()*(s_0+8*s_r+IF(circ_int,eq_c1/2,0))/2))+2*IF(circ_int,0,eq_c1/2)))/(s_0+8*s_r+IF(circ_int,eq_c1/2,0)))))))))),NA())</f>
        <v/>
      </c>
      <c r="CW60">
        <f>IF(AND(AND(links_on,9&lt;=n_per),INDEX(lk_kind,9)=1,57&lt;INDEX(lk_legs,9)),g_oy+IF(((57+0.5)*(4*IF(circ_int,0,eq_c1/2)+4*IF(circ_int,0,eq_c2/2)+2*PI()*(s_0+8*s_r+IF(circ_int,eq_c1/2,0)))/INDEX(lk_legs,9))&lt;(2*IF(circ_int,0,eq_c2/2)),-IF(circ_int,0,eq_c2/2)+((57+0.5)*(4*IF(circ_int,0,eq_c1/2)+4*IF(circ_int,0,eq_c2/2)+2*PI()*(s_0+8*s_r+IF(circ_int,eq_c1/2,0)))/INDEX(lk_legs,9)),IF(((57+0.5)*(4*IF(circ_int,0,eq_c1/2)+4*IF(circ_int,0,eq_c2/2)+2*PI()*(s_0+8*s_r+IF(circ_int,eq_c1/2,0)))/INDEX(lk_legs,9))&lt;((2*IF(circ_int,0,eq_c2/2))+(PI()*(s_0+8*s_r+IF(circ_int,eq_c1/2,0))/2)),IF(circ_int,0,eq_c2/2)+(s_0+8*s_r+IF(circ_int,eq_c1/2,0))*SIN((((57+0.5)*(4*IF(circ_int,0,eq_c1/2)+4*IF(circ_int,0,eq_c2/2)+2*PI()*(s_0+8*s_r+IF(circ_int,eq_c1/2,0)))/INDEX(lk_legs,9))-(2*IF(circ_int,0,eq_c2/2)))/(s_0+8*s_r+IF(circ_int,eq_c1/2,0))),IF(((57+0.5)*(4*IF(circ_int,0,eq_c1/2)+4*IF(circ_int,0,eq_c2/2)+2*PI()*(s_0+8*s_r+IF(circ_int,eq_c1/2,0)))/INDEX(lk_legs,9))&lt;(((2*IF(circ_int,0,eq_c2/2))+(PI()*(s_0+8*s_r+IF(circ_int,eq_c1/2,0))/2))+2*IF(circ_int,0,eq_c1/2)),IF(circ_int,0,eq_c2/2)+(s_0+8*s_r+IF(circ_int,eq_c1/2,0)),IF(((57+0.5)*(4*IF(circ_int,0,eq_c1/2)+4*IF(circ_int,0,eq_c2/2)+2*PI()*(s_0+8*s_r+IF(circ_int,eq_c1/2,0)))/INDEX(lk_legs,9))&lt;((((2*IF(circ_int,0,eq_c2/2))+(PI()*(s_0+8*s_r+IF(circ_int,eq_c1/2,0))/2))+2*IF(circ_int,0,eq_c1/2))+(PI()*(s_0+8*s_r+IF(circ_int,eq_c1/2,0))/2)),IF(circ_int,0,eq_c2/2)+(s_0+8*s_r+IF(circ_int,eq_c1/2,0))*SIN(PI()/2+(((57+0.5)*(4*IF(circ_int,0,eq_c1/2)+4*IF(circ_int,0,eq_c2/2)+2*PI()*(s_0+8*s_r+IF(circ_int,eq_c1/2,0)))/INDEX(lk_legs,9))-(((2*IF(circ_int,0,eq_c2/2))+(PI()*(s_0+8*s_r+IF(circ_int,eq_c1/2,0))/2))+2*IF(circ_int,0,eq_c1/2)))/(s_0+8*s_r+IF(circ_int,eq_c1/2,0))),IF(((57+0.5)*(4*IF(circ_int,0,eq_c1/2)+4*IF(circ_int,0,eq_c2/2)+2*PI()*(s_0+8*s_r+IF(circ_int,eq_c1/2,0)))/INDEX(lk_legs,9))&lt;(((((2*IF(circ_int,0,eq_c2/2))+(PI()*(s_0+8*s_r+IF(circ_int,eq_c1/2,0))/2))+2*IF(circ_int,0,eq_c1/2))+(PI()*(s_0+8*s_r+IF(circ_int,eq_c1/2,0))/2))+2*IF(circ_int,0,eq_c2/2)),IF(circ_int,0,eq_c2/2)-(((57+0.5)*(4*IF(circ_int,0,eq_c1/2)+4*IF(circ_int,0,eq_c2/2)+2*PI()*(s_0+8*s_r+IF(circ_int,eq_c1/2,0)))/INDEX(lk_legs,9))-((((2*IF(circ_int,0,eq_c2/2))+(PI()*(s_0+8*s_r+IF(circ_int,eq_c1/2,0))/2))+2*IF(circ_int,0,eq_c1/2))+(PI()*(s_0+8*s_r+IF(circ_int,eq_c1/2,0))/2))),IF(((57+0.5)*(4*IF(circ_int,0,eq_c1/2)+4*IF(circ_int,0,eq_c2/2)+2*PI()*(s_0+8*s_r+IF(circ_int,eq_c1/2,0)))/INDEX(lk_legs,9))&lt;((((((2*IF(circ_int,0,eq_c2/2))+(PI()*(s_0+8*s_r+IF(circ_int,eq_c1/2,0))/2))+2*IF(circ_int,0,eq_c1/2))+(PI()*(s_0+8*s_r+IF(circ_int,eq_c1/2,0))/2))+2*IF(circ_int,0,eq_c2/2))+(PI()*(s_0+8*s_r+IF(circ_int,eq_c1/2,0))/2)),-IF(circ_int,0,eq_c2/2)+(s_0+8*s_r+IF(circ_int,eq_c1/2,0))*SIN(PI()+(((57+0.5)*(4*IF(circ_int,0,eq_c1/2)+4*IF(circ_int,0,eq_c2/2)+2*PI()*(s_0+8*s_r+IF(circ_int,eq_c1/2,0)))/INDEX(lk_legs,9))-(((((2*IF(circ_int,0,eq_c2/2))+(PI()*(s_0+8*s_r+IF(circ_int,eq_c1/2,0))/2))+2*IF(circ_int,0,eq_c1/2))+(PI()*(s_0+8*s_r+IF(circ_int,eq_c1/2,0))/2))+2*IF(circ_int,0,eq_c2/2)))/(s_0+8*s_r+IF(circ_int,eq_c1/2,0))),IF(((57+0.5)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(57+0.5)*(4*IF(circ_int,0,eq_c1/2)+4*IF(circ_int,0,eq_c2/2)+2*PI()*(s_0+8*s_r+IF(circ_int,eq_c1/2,0)))/INDEX(lk_legs,9))-(((((((2*IF(circ_int,0,eq_c2/2))+(PI()*(s_0+8*s_r+IF(circ_int,eq_c1/2,0))/2))+2*IF(circ_int,0,eq_c1/2))+(PI()*(s_0+8*s_r+IF(circ_int,eq_c1/2,0))/2))+2*IF(circ_int,0,eq_c2/2))+(PI()*(s_0+8*s_r+IF(circ_int,eq_c1/2,0))/2))+2*IF(circ_int,0,eq_c1/2)))/(s_0+8*s_r+IF(circ_int,eq_c1/2,0)))))))))),NA())</f>
        <v/>
      </c>
      <c r="DB60">
        <f>IF(AND(AND(links_on,10&lt;=n_per),INDEX(lk_kind,10)=1,57&lt;INDEX(lk_legs,10)),g_ox+IF(((57+0.5)*(4*IF(circ_int,0,eq_c1/2)+4*IF(circ_int,0,eq_c2/2)+2*PI()*(s_0+9*s_r+IF(circ_int,eq_c1/2,0)))/INDEX(lk_legs,10))&lt;(2*IF(circ_int,0,eq_c2/2)),IF(circ_int,0,eq_c1/2)+(s_0+9*s_r+IF(circ_int,eq_c1/2,0)),IF(((57+0.5)*(4*IF(circ_int,0,eq_c1/2)+4*IF(circ_int,0,eq_c2/2)+2*PI()*(s_0+9*s_r+IF(circ_int,eq_c1/2,0)))/INDEX(lk_legs,10))&lt;((2*IF(circ_int,0,eq_c2/2))+(PI()*(s_0+9*s_r+IF(circ_int,eq_c1/2,0))/2)),IF(circ_int,0,eq_c1/2)+(s_0+9*s_r+IF(circ_int,eq_c1/2,0))*COS((((57+0.5)*(4*IF(circ_int,0,eq_c1/2)+4*IF(circ_int,0,eq_c2/2)+2*PI()*(s_0+9*s_r+IF(circ_int,eq_c1/2,0)))/INDEX(lk_legs,10))-(2*IF(circ_int,0,eq_c2/2)))/(s_0+9*s_r+IF(circ_int,eq_c1/2,0))),IF(((57+0.5)*(4*IF(circ_int,0,eq_c1/2)+4*IF(circ_int,0,eq_c2/2)+2*PI()*(s_0+9*s_r+IF(circ_int,eq_c1/2,0)))/INDEX(lk_legs,10))&lt;(((2*IF(circ_int,0,eq_c2/2))+(PI()*(s_0+9*s_r+IF(circ_int,eq_c1/2,0))/2))+2*IF(circ_int,0,eq_c1/2)),IF(circ_int,0,eq_c1/2)-(((57+0.5)*(4*IF(circ_int,0,eq_c1/2)+4*IF(circ_int,0,eq_c2/2)+2*PI()*(s_0+9*s_r+IF(circ_int,eq_c1/2,0)))/INDEX(lk_legs,10))-((2*IF(circ_int,0,eq_c2/2))+(PI()*(s_0+9*s_r+IF(circ_int,eq_c1/2,0))/2))),IF(((57+0.5)*(4*IF(circ_int,0,eq_c1/2)+4*IF(circ_int,0,eq_c2/2)+2*PI()*(s_0+9*s_r+IF(circ_int,eq_c1/2,0)))/INDEX(lk_legs,10))&lt;((((2*IF(circ_int,0,eq_c2/2))+(PI()*(s_0+9*s_r+IF(circ_int,eq_c1/2,0))/2))+2*IF(circ_int,0,eq_c1/2))+(PI()*(s_0+9*s_r+IF(circ_int,eq_c1/2,0))/2)),-IF(circ_int,0,eq_c1/2)+(s_0+9*s_r+IF(circ_int,eq_c1/2,0))*COS(PI()/2+(((57+0.5)*(4*IF(circ_int,0,eq_c1/2)+4*IF(circ_int,0,eq_c2/2)+2*PI()*(s_0+9*s_r+IF(circ_int,eq_c1/2,0)))/INDEX(lk_legs,10))-(((2*IF(circ_int,0,eq_c2/2))+(PI()*(s_0+9*s_r+IF(circ_int,eq_c1/2,0))/2))+2*IF(circ_int,0,eq_c1/2)))/(s_0+9*s_r+IF(circ_int,eq_c1/2,0))),IF(((57+0.5)*(4*IF(circ_int,0,eq_c1/2)+4*IF(circ_int,0,eq_c2/2)+2*PI()*(s_0+9*s_r+IF(circ_int,eq_c1/2,0)))/INDEX(lk_legs,10))&lt;(((((2*IF(circ_int,0,eq_c2/2))+(PI()*(s_0+9*s_r+IF(circ_int,eq_c1/2,0))/2))+2*IF(circ_int,0,eq_c1/2))+(PI()*(s_0+9*s_r+IF(circ_int,eq_c1/2,0))/2))+2*IF(circ_int,0,eq_c2/2)),-IF(circ_int,0,eq_c1/2)-(s_0+9*s_r+IF(circ_int,eq_c1/2,0)),IF(((57+0.5)*(4*IF(circ_int,0,eq_c1/2)+4*IF(circ_int,0,eq_c2/2)+2*PI()*(s_0+9*s_r+IF(circ_int,eq_c1/2,0)))/INDEX(lk_legs,10))&lt;((((((2*IF(circ_int,0,eq_c2/2))+(PI()*(s_0+9*s_r+IF(circ_int,eq_c1/2,0))/2))+2*IF(circ_int,0,eq_c1/2))+(PI()*(s_0+9*s_r+IF(circ_int,eq_c1/2,0))/2))+2*IF(circ_int,0,eq_c2/2))+(PI()*(s_0+9*s_r+IF(circ_int,eq_c1/2,0))/2)),-IF(circ_int,0,eq_c1/2)+(s_0+9*s_r+IF(circ_int,eq_c1/2,0))*COS(PI()+(((57+0.5)*(4*IF(circ_int,0,eq_c1/2)+4*IF(circ_int,0,eq_c2/2)+2*PI()*(s_0+9*s_r+IF(circ_int,eq_c1/2,0)))/INDEX(lk_legs,10))-(((((2*IF(circ_int,0,eq_c2/2))+(PI()*(s_0+9*s_r+IF(circ_int,eq_c1/2,0))/2))+2*IF(circ_int,0,eq_c1/2))+(PI()*(s_0+9*s_r+IF(circ_int,eq_c1/2,0))/2))+2*IF(circ_int,0,eq_c2/2)))/(s_0+9*s_r+IF(circ_int,eq_c1/2,0))),IF(((57+0.5)*(4*IF(circ_int,0,eq_c1/2)+4*IF(circ_int,0,eq_c2/2)+2*PI()*(s_0+9*s_r+IF(circ_int,eq_c1/2,0)))/INDEX(lk_legs,10))&lt;(((((((2*IF(circ_int,0,eq_c2/2))+(PI()*(s_0+9*s_r+IF(circ_int,eq_c1/2,0))/2))+2*IF(circ_int,0,eq_c1/2))+(PI()*(s_0+9*s_r+IF(circ_int,eq_c1/2,0))/2))+2*IF(circ_int,0,eq_c2/2))+(PI()*(s_0+9*s_r+IF(circ_int,eq_c1/2,0))/2))+2*IF(circ_int,0,eq_c1/2)),-IF(circ_int,0,eq_c1/2)+(((57+0.5)*(4*IF(circ_int,0,eq_c1/2)+4*IF(circ_int,0,eq_c2/2)+2*PI()*(s_0+9*s_r+IF(circ_int,eq_c1/2,0)))/INDEX(lk_legs,10))-((((((2*IF(circ_int,0,eq_c2/2))+(PI()*(s_0+9*s_r+IF(circ_int,eq_c1/2,0))/2))+2*IF(circ_int,0,eq_c1/2))+(PI()*(s_0+9*s_r+IF(circ_int,eq_c1/2,0))/2))+2*IF(circ_int,0,eq_c2/2))+(PI()*(s_0+9*s_r+IF(circ_int,eq_c1/2,0))/2))),IF(circ_int,0,eq_c1/2)+(s_0+9*s_r+IF(circ_int,eq_c1/2,0))*COS(3*PI()/2+(((57+0.5)*(4*IF(circ_int,0,eq_c1/2)+4*IF(circ_int,0,eq_c2/2)+2*PI()*(s_0+9*s_r+IF(circ_int,eq_c1/2,0)))/INDEX(lk_legs,10))-(((((((2*IF(circ_int,0,eq_c2/2))+(PI()*(s_0+9*s_r+IF(circ_int,eq_c1/2,0))/2))+2*IF(circ_int,0,eq_c1/2))+(PI()*(s_0+9*s_r+IF(circ_int,eq_c1/2,0))/2))+2*IF(circ_int,0,eq_c2/2))+(PI()*(s_0+9*s_r+IF(circ_int,eq_c1/2,0))/2))+2*IF(circ_int,0,eq_c1/2)))/(s_0+9*s_r+IF(circ_int,eq_c1/2,0)))))))))),NA())</f>
        <v/>
      </c>
      <c r="DC60">
        <f>IF(AND(AND(links_on,10&lt;=n_per),INDEX(lk_kind,10)=1,57&lt;INDEX(lk_legs,10)),g_oy+IF(((57+0.5)*(4*IF(circ_int,0,eq_c1/2)+4*IF(circ_int,0,eq_c2/2)+2*PI()*(s_0+9*s_r+IF(circ_int,eq_c1/2,0)))/INDEX(lk_legs,10))&lt;(2*IF(circ_int,0,eq_c2/2)),-IF(circ_int,0,eq_c2/2)+((57+0.5)*(4*IF(circ_int,0,eq_c1/2)+4*IF(circ_int,0,eq_c2/2)+2*PI()*(s_0+9*s_r+IF(circ_int,eq_c1/2,0)))/INDEX(lk_legs,10)),IF(((57+0.5)*(4*IF(circ_int,0,eq_c1/2)+4*IF(circ_int,0,eq_c2/2)+2*PI()*(s_0+9*s_r+IF(circ_int,eq_c1/2,0)))/INDEX(lk_legs,10))&lt;((2*IF(circ_int,0,eq_c2/2))+(PI()*(s_0+9*s_r+IF(circ_int,eq_c1/2,0))/2)),IF(circ_int,0,eq_c2/2)+(s_0+9*s_r+IF(circ_int,eq_c1/2,0))*SIN((((57+0.5)*(4*IF(circ_int,0,eq_c1/2)+4*IF(circ_int,0,eq_c2/2)+2*PI()*(s_0+9*s_r+IF(circ_int,eq_c1/2,0)))/INDEX(lk_legs,10))-(2*IF(circ_int,0,eq_c2/2)))/(s_0+9*s_r+IF(circ_int,eq_c1/2,0))),IF(((57+0.5)*(4*IF(circ_int,0,eq_c1/2)+4*IF(circ_int,0,eq_c2/2)+2*PI()*(s_0+9*s_r+IF(circ_int,eq_c1/2,0)))/INDEX(lk_legs,10))&lt;(((2*IF(circ_int,0,eq_c2/2))+(PI()*(s_0+9*s_r+IF(circ_int,eq_c1/2,0))/2))+2*IF(circ_int,0,eq_c1/2)),IF(circ_int,0,eq_c2/2)+(s_0+9*s_r+IF(circ_int,eq_c1/2,0)),IF(((57+0.5)*(4*IF(circ_int,0,eq_c1/2)+4*IF(circ_int,0,eq_c2/2)+2*PI()*(s_0+9*s_r+IF(circ_int,eq_c1/2,0)))/INDEX(lk_legs,10))&lt;((((2*IF(circ_int,0,eq_c2/2))+(PI()*(s_0+9*s_r+IF(circ_int,eq_c1/2,0))/2))+2*IF(circ_int,0,eq_c1/2))+(PI()*(s_0+9*s_r+IF(circ_int,eq_c1/2,0))/2)),IF(circ_int,0,eq_c2/2)+(s_0+9*s_r+IF(circ_int,eq_c1/2,0))*SIN(PI()/2+(((57+0.5)*(4*IF(circ_int,0,eq_c1/2)+4*IF(circ_int,0,eq_c2/2)+2*PI()*(s_0+9*s_r+IF(circ_int,eq_c1/2,0)))/INDEX(lk_legs,10))-(((2*IF(circ_int,0,eq_c2/2))+(PI()*(s_0+9*s_r+IF(circ_int,eq_c1/2,0))/2))+2*IF(circ_int,0,eq_c1/2)))/(s_0+9*s_r+IF(circ_int,eq_c1/2,0))),IF(((57+0.5)*(4*IF(circ_int,0,eq_c1/2)+4*IF(circ_int,0,eq_c2/2)+2*PI()*(s_0+9*s_r+IF(circ_int,eq_c1/2,0)))/INDEX(lk_legs,10))&lt;(((((2*IF(circ_int,0,eq_c2/2))+(PI()*(s_0+9*s_r+IF(circ_int,eq_c1/2,0))/2))+2*IF(circ_int,0,eq_c1/2))+(PI()*(s_0+9*s_r+IF(circ_int,eq_c1/2,0))/2))+2*IF(circ_int,0,eq_c2/2)),IF(circ_int,0,eq_c2/2)-(((57+0.5)*(4*IF(circ_int,0,eq_c1/2)+4*IF(circ_int,0,eq_c2/2)+2*PI()*(s_0+9*s_r+IF(circ_int,eq_c1/2,0)))/INDEX(lk_legs,10))-((((2*IF(circ_int,0,eq_c2/2))+(PI()*(s_0+9*s_r+IF(circ_int,eq_c1/2,0))/2))+2*IF(circ_int,0,eq_c1/2))+(PI()*(s_0+9*s_r+IF(circ_int,eq_c1/2,0))/2))),IF(((57+0.5)*(4*IF(circ_int,0,eq_c1/2)+4*IF(circ_int,0,eq_c2/2)+2*PI()*(s_0+9*s_r+IF(circ_int,eq_c1/2,0)))/INDEX(lk_legs,10))&lt;((((((2*IF(circ_int,0,eq_c2/2))+(PI()*(s_0+9*s_r+IF(circ_int,eq_c1/2,0))/2))+2*IF(circ_int,0,eq_c1/2))+(PI()*(s_0+9*s_r+IF(circ_int,eq_c1/2,0))/2))+2*IF(circ_int,0,eq_c2/2))+(PI()*(s_0+9*s_r+IF(circ_int,eq_c1/2,0))/2)),-IF(circ_int,0,eq_c2/2)+(s_0+9*s_r+IF(circ_int,eq_c1/2,0))*SIN(PI()+(((57+0.5)*(4*IF(circ_int,0,eq_c1/2)+4*IF(circ_int,0,eq_c2/2)+2*PI()*(s_0+9*s_r+IF(circ_int,eq_c1/2,0)))/INDEX(lk_legs,10))-(((((2*IF(circ_int,0,eq_c2/2))+(PI()*(s_0+9*s_r+IF(circ_int,eq_c1/2,0))/2))+2*IF(circ_int,0,eq_c1/2))+(PI()*(s_0+9*s_r+IF(circ_int,eq_c1/2,0))/2))+2*IF(circ_int,0,eq_c2/2)))/(s_0+9*s_r+IF(circ_int,eq_c1/2,0))),IF(((57+0.5)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(57+0.5)*(4*IF(circ_int,0,eq_c1/2)+4*IF(circ_int,0,eq_c2/2)+2*PI()*(s_0+9*s_r+IF(circ_int,eq_c1/2,0)))/INDEX(lk_legs,10))-(((((((2*IF(circ_int,0,eq_c2/2))+(PI()*(s_0+9*s_r+IF(circ_int,eq_c1/2,0))/2))+2*IF(circ_int,0,eq_c1/2))+(PI()*(s_0+9*s_r+IF(circ_int,eq_c1/2,0))/2))+2*IF(circ_int,0,eq_c2/2))+(PI()*(s_0+9*s_r+IF(circ_int,eq_c1/2,0))/2))+2*IF(circ_int,0,eq_c1/2)))/(s_0+9*s_r+IF(circ_int,eq_c1/2,0)))))))))),NA())</f>
        <v/>
      </c>
      <c r="DH60">
        <f>IF(AND(AND(links_on,11&lt;=n_per),INDEX(lk_kind,11)=1,57&lt;INDEX(lk_legs,11)),g_ox+IF(((57+0.5)*(4*IF(circ_int,0,eq_c1/2)+4*IF(circ_int,0,eq_c2/2)+2*PI()*(s_0+10*s_r+IF(circ_int,eq_c1/2,0)))/INDEX(lk_legs,11))&lt;(2*IF(circ_int,0,eq_c2/2)),IF(circ_int,0,eq_c1/2)+(s_0+10*s_r+IF(circ_int,eq_c1/2,0)),IF(((57+0.5)*(4*IF(circ_int,0,eq_c1/2)+4*IF(circ_int,0,eq_c2/2)+2*PI()*(s_0+10*s_r+IF(circ_int,eq_c1/2,0)))/INDEX(lk_legs,11))&lt;((2*IF(circ_int,0,eq_c2/2))+(PI()*(s_0+10*s_r+IF(circ_int,eq_c1/2,0))/2)),IF(circ_int,0,eq_c1/2)+(s_0+10*s_r+IF(circ_int,eq_c1/2,0))*COS((((57+0.5)*(4*IF(circ_int,0,eq_c1/2)+4*IF(circ_int,0,eq_c2/2)+2*PI()*(s_0+10*s_r+IF(circ_int,eq_c1/2,0)))/INDEX(lk_legs,11))-(2*IF(circ_int,0,eq_c2/2)))/(s_0+10*s_r+IF(circ_int,eq_c1/2,0))),IF(((57+0.5)*(4*IF(circ_int,0,eq_c1/2)+4*IF(circ_int,0,eq_c2/2)+2*PI()*(s_0+10*s_r+IF(circ_int,eq_c1/2,0)))/INDEX(lk_legs,11))&lt;(((2*IF(circ_int,0,eq_c2/2))+(PI()*(s_0+10*s_r+IF(circ_int,eq_c1/2,0))/2))+2*IF(circ_int,0,eq_c1/2)),IF(circ_int,0,eq_c1/2)-(((57+0.5)*(4*IF(circ_int,0,eq_c1/2)+4*IF(circ_int,0,eq_c2/2)+2*PI()*(s_0+10*s_r+IF(circ_int,eq_c1/2,0)))/INDEX(lk_legs,11))-((2*IF(circ_int,0,eq_c2/2))+(PI()*(s_0+10*s_r+IF(circ_int,eq_c1/2,0))/2))),IF(((57+0.5)*(4*IF(circ_int,0,eq_c1/2)+4*IF(circ_int,0,eq_c2/2)+2*PI()*(s_0+10*s_r+IF(circ_int,eq_c1/2,0)))/INDEX(lk_legs,11))&lt;((((2*IF(circ_int,0,eq_c2/2))+(PI()*(s_0+10*s_r+IF(circ_int,eq_c1/2,0))/2))+2*IF(circ_int,0,eq_c1/2))+(PI()*(s_0+10*s_r+IF(circ_int,eq_c1/2,0))/2)),-IF(circ_int,0,eq_c1/2)+(s_0+10*s_r+IF(circ_int,eq_c1/2,0))*COS(PI()/2+(((57+0.5)*(4*IF(circ_int,0,eq_c1/2)+4*IF(circ_int,0,eq_c2/2)+2*PI()*(s_0+10*s_r+IF(circ_int,eq_c1/2,0)))/INDEX(lk_legs,11))-(((2*IF(circ_int,0,eq_c2/2))+(PI()*(s_0+10*s_r+IF(circ_int,eq_c1/2,0))/2))+2*IF(circ_int,0,eq_c1/2)))/(s_0+10*s_r+IF(circ_int,eq_c1/2,0))),IF(((57+0.5)*(4*IF(circ_int,0,eq_c1/2)+4*IF(circ_int,0,eq_c2/2)+2*PI()*(s_0+10*s_r+IF(circ_int,eq_c1/2,0)))/INDEX(lk_legs,11))&lt;(((((2*IF(circ_int,0,eq_c2/2))+(PI()*(s_0+10*s_r+IF(circ_int,eq_c1/2,0))/2))+2*IF(circ_int,0,eq_c1/2))+(PI()*(s_0+10*s_r+IF(circ_int,eq_c1/2,0))/2))+2*IF(circ_int,0,eq_c2/2)),-IF(circ_int,0,eq_c1/2)-(s_0+10*s_r+IF(circ_int,eq_c1/2,0)),IF(((57+0.5)*(4*IF(circ_int,0,eq_c1/2)+4*IF(circ_int,0,eq_c2/2)+2*PI()*(s_0+10*s_r+IF(circ_int,eq_c1/2,0)))/INDEX(lk_legs,11))&lt;((((((2*IF(circ_int,0,eq_c2/2))+(PI()*(s_0+10*s_r+IF(circ_int,eq_c1/2,0))/2))+2*IF(circ_int,0,eq_c1/2))+(PI()*(s_0+10*s_r+IF(circ_int,eq_c1/2,0))/2))+2*IF(circ_int,0,eq_c2/2))+(PI()*(s_0+10*s_r+IF(circ_int,eq_c1/2,0))/2)),-IF(circ_int,0,eq_c1/2)+(s_0+10*s_r+IF(circ_int,eq_c1/2,0))*COS(PI()+(((57+0.5)*(4*IF(circ_int,0,eq_c1/2)+4*IF(circ_int,0,eq_c2/2)+2*PI()*(s_0+10*s_r+IF(circ_int,eq_c1/2,0)))/INDEX(lk_legs,11))-(((((2*IF(circ_int,0,eq_c2/2))+(PI()*(s_0+10*s_r+IF(circ_int,eq_c1/2,0))/2))+2*IF(circ_int,0,eq_c1/2))+(PI()*(s_0+10*s_r+IF(circ_int,eq_c1/2,0))/2))+2*IF(circ_int,0,eq_c2/2)))/(s_0+10*s_r+IF(circ_int,eq_c1/2,0))),IF(((57+0.5)*(4*IF(circ_int,0,eq_c1/2)+4*IF(circ_int,0,eq_c2/2)+2*PI()*(s_0+10*s_r+IF(circ_int,eq_c1/2,0)))/INDEX(lk_legs,11))&lt;(((((((2*IF(circ_int,0,eq_c2/2))+(PI()*(s_0+10*s_r+IF(circ_int,eq_c1/2,0))/2))+2*IF(circ_int,0,eq_c1/2))+(PI()*(s_0+10*s_r+IF(circ_int,eq_c1/2,0))/2))+2*IF(circ_int,0,eq_c2/2))+(PI()*(s_0+10*s_r+IF(circ_int,eq_c1/2,0))/2))+2*IF(circ_int,0,eq_c1/2)),-IF(circ_int,0,eq_c1/2)+(((57+0.5)*(4*IF(circ_int,0,eq_c1/2)+4*IF(circ_int,0,eq_c2/2)+2*PI()*(s_0+10*s_r+IF(circ_int,eq_c1/2,0)))/INDEX(lk_legs,11))-((((((2*IF(circ_int,0,eq_c2/2))+(PI()*(s_0+10*s_r+IF(circ_int,eq_c1/2,0))/2))+2*IF(circ_int,0,eq_c1/2))+(PI()*(s_0+10*s_r+IF(circ_int,eq_c1/2,0))/2))+2*IF(circ_int,0,eq_c2/2))+(PI()*(s_0+10*s_r+IF(circ_int,eq_c1/2,0))/2))),IF(circ_int,0,eq_c1/2)+(s_0+10*s_r+IF(circ_int,eq_c1/2,0))*COS(3*PI()/2+(((57+0.5)*(4*IF(circ_int,0,eq_c1/2)+4*IF(circ_int,0,eq_c2/2)+2*PI()*(s_0+10*s_r+IF(circ_int,eq_c1/2,0)))/INDEX(lk_legs,11))-(((((((2*IF(circ_int,0,eq_c2/2))+(PI()*(s_0+10*s_r+IF(circ_int,eq_c1/2,0))/2))+2*IF(circ_int,0,eq_c1/2))+(PI()*(s_0+10*s_r+IF(circ_int,eq_c1/2,0))/2))+2*IF(circ_int,0,eq_c2/2))+(PI()*(s_0+10*s_r+IF(circ_int,eq_c1/2,0))/2))+2*IF(circ_int,0,eq_c1/2)))/(s_0+10*s_r+IF(circ_int,eq_c1/2,0)))))))))),NA())</f>
        <v/>
      </c>
      <c r="DI60">
        <f>IF(AND(AND(links_on,11&lt;=n_per),INDEX(lk_kind,11)=1,57&lt;INDEX(lk_legs,11)),g_oy+IF(((57+0.5)*(4*IF(circ_int,0,eq_c1/2)+4*IF(circ_int,0,eq_c2/2)+2*PI()*(s_0+10*s_r+IF(circ_int,eq_c1/2,0)))/INDEX(lk_legs,11))&lt;(2*IF(circ_int,0,eq_c2/2)),-IF(circ_int,0,eq_c2/2)+((57+0.5)*(4*IF(circ_int,0,eq_c1/2)+4*IF(circ_int,0,eq_c2/2)+2*PI()*(s_0+10*s_r+IF(circ_int,eq_c1/2,0)))/INDEX(lk_legs,11)),IF(((57+0.5)*(4*IF(circ_int,0,eq_c1/2)+4*IF(circ_int,0,eq_c2/2)+2*PI()*(s_0+10*s_r+IF(circ_int,eq_c1/2,0)))/INDEX(lk_legs,11))&lt;((2*IF(circ_int,0,eq_c2/2))+(PI()*(s_0+10*s_r+IF(circ_int,eq_c1/2,0))/2)),IF(circ_int,0,eq_c2/2)+(s_0+10*s_r+IF(circ_int,eq_c1/2,0))*SIN((((57+0.5)*(4*IF(circ_int,0,eq_c1/2)+4*IF(circ_int,0,eq_c2/2)+2*PI()*(s_0+10*s_r+IF(circ_int,eq_c1/2,0)))/INDEX(lk_legs,11))-(2*IF(circ_int,0,eq_c2/2)))/(s_0+10*s_r+IF(circ_int,eq_c1/2,0))),IF(((57+0.5)*(4*IF(circ_int,0,eq_c1/2)+4*IF(circ_int,0,eq_c2/2)+2*PI()*(s_0+10*s_r+IF(circ_int,eq_c1/2,0)))/INDEX(lk_legs,11))&lt;(((2*IF(circ_int,0,eq_c2/2))+(PI()*(s_0+10*s_r+IF(circ_int,eq_c1/2,0))/2))+2*IF(circ_int,0,eq_c1/2)),IF(circ_int,0,eq_c2/2)+(s_0+10*s_r+IF(circ_int,eq_c1/2,0)),IF(((57+0.5)*(4*IF(circ_int,0,eq_c1/2)+4*IF(circ_int,0,eq_c2/2)+2*PI()*(s_0+10*s_r+IF(circ_int,eq_c1/2,0)))/INDEX(lk_legs,11))&lt;((((2*IF(circ_int,0,eq_c2/2))+(PI()*(s_0+10*s_r+IF(circ_int,eq_c1/2,0))/2))+2*IF(circ_int,0,eq_c1/2))+(PI()*(s_0+10*s_r+IF(circ_int,eq_c1/2,0))/2)),IF(circ_int,0,eq_c2/2)+(s_0+10*s_r+IF(circ_int,eq_c1/2,0))*SIN(PI()/2+(((57+0.5)*(4*IF(circ_int,0,eq_c1/2)+4*IF(circ_int,0,eq_c2/2)+2*PI()*(s_0+10*s_r+IF(circ_int,eq_c1/2,0)))/INDEX(lk_legs,11))-(((2*IF(circ_int,0,eq_c2/2))+(PI()*(s_0+10*s_r+IF(circ_int,eq_c1/2,0))/2))+2*IF(circ_int,0,eq_c1/2)))/(s_0+10*s_r+IF(circ_int,eq_c1/2,0))),IF(((57+0.5)*(4*IF(circ_int,0,eq_c1/2)+4*IF(circ_int,0,eq_c2/2)+2*PI()*(s_0+10*s_r+IF(circ_int,eq_c1/2,0)))/INDEX(lk_legs,11))&lt;(((((2*IF(circ_int,0,eq_c2/2))+(PI()*(s_0+10*s_r+IF(circ_int,eq_c1/2,0))/2))+2*IF(circ_int,0,eq_c1/2))+(PI()*(s_0+10*s_r+IF(circ_int,eq_c1/2,0))/2))+2*IF(circ_int,0,eq_c2/2)),IF(circ_int,0,eq_c2/2)-(((57+0.5)*(4*IF(circ_int,0,eq_c1/2)+4*IF(circ_int,0,eq_c2/2)+2*PI()*(s_0+10*s_r+IF(circ_int,eq_c1/2,0)))/INDEX(lk_legs,11))-((((2*IF(circ_int,0,eq_c2/2))+(PI()*(s_0+10*s_r+IF(circ_int,eq_c1/2,0))/2))+2*IF(circ_int,0,eq_c1/2))+(PI()*(s_0+10*s_r+IF(circ_int,eq_c1/2,0))/2))),IF(((57+0.5)*(4*IF(circ_int,0,eq_c1/2)+4*IF(circ_int,0,eq_c2/2)+2*PI()*(s_0+10*s_r+IF(circ_int,eq_c1/2,0)))/INDEX(lk_legs,11))&lt;((((((2*IF(circ_int,0,eq_c2/2))+(PI()*(s_0+10*s_r+IF(circ_int,eq_c1/2,0))/2))+2*IF(circ_int,0,eq_c1/2))+(PI()*(s_0+10*s_r+IF(circ_int,eq_c1/2,0))/2))+2*IF(circ_int,0,eq_c2/2))+(PI()*(s_0+10*s_r+IF(circ_int,eq_c1/2,0))/2)),-IF(circ_int,0,eq_c2/2)+(s_0+10*s_r+IF(circ_int,eq_c1/2,0))*SIN(PI()+(((57+0.5)*(4*IF(circ_int,0,eq_c1/2)+4*IF(circ_int,0,eq_c2/2)+2*PI()*(s_0+10*s_r+IF(circ_int,eq_c1/2,0)))/INDEX(lk_legs,11))-(((((2*IF(circ_int,0,eq_c2/2))+(PI()*(s_0+10*s_r+IF(circ_int,eq_c1/2,0))/2))+2*IF(circ_int,0,eq_c1/2))+(PI()*(s_0+10*s_r+IF(circ_int,eq_c1/2,0))/2))+2*IF(circ_int,0,eq_c2/2)))/(s_0+10*s_r+IF(circ_int,eq_c1/2,0))),IF(((57+0.5)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(57+0.5)*(4*IF(circ_int,0,eq_c1/2)+4*IF(circ_int,0,eq_c2/2)+2*PI()*(s_0+10*s_r+IF(circ_int,eq_c1/2,0)))/INDEX(lk_legs,11))-(((((((2*IF(circ_int,0,eq_c2/2))+(PI()*(s_0+10*s_r+IF(circ_int,eq_c1/2,0))/2))+2*IF(circ_int,0,eq_c1/2))+(PI()*(s_0+10*s_r+IF(circ_int,eq_c1/2,0))/2))+2*IF(circ_int,0,eq_c2/2))+(PI()*(s_0+10*s_r+IF(circ_int,eq_c1/2,0))/2))+2*IF(circ_int,0,eq_c1/2)))/(s_0+10*s_r+IF(circ_int,eq_c1/2,0)))))))))),NA())</f>
        <v/>
      </c>
      <c r="DN60">
        <f>IF(AND(AND(links_on,12&lt;=n_per),INDEX(lk_kind,12)=1,57&lt;INDEX(lk_legs,12)),g_ox+IF(((57+0.5)*(4*IF(circ_int,0,eq_c1/2)+4*IF(circ_int,0,eq_c2/2)+2*PI()*(s_0+11*s_r+IF(circ_int,eq_c1/2,0)))/INDEX(lk_legs,12))&lt;(2*IF(circ_int,0,eq_c2/2)),IF(circ_int,0,eq_c1/2)+(s_0+11*s_r+IF(circ_int,eq_c1/2,0)),IF(((57+0.5)*(4*IF(circ_int,0,eq_c1/2)+4*IF(circ_int,0,eq_c2/2)+2*PI()*(s_0+11*s_r+IF(circ_int,eq_c1/2,0)))/INDEX(lk_legs,12))&lt;((2*IF(circ_int,0,eq_c2/2))+(PI()*(s_0+11*s_r+IF(circ_int,eq_c1/2,0))/2)),IF(circ_int,0,eq_c1/2)+(s_0+11*s_r+IF(circ_int,eq_c1/2,0))*COS((((57+0.5)*(4*IF(circ_int,0,eq_c1/2)+4*IF(circ_int,0,eq_c2/2)+2*PI()*(s_0+11*s_r+IF(circ_int,eq_c1/2,0)))/INDEX(lk_legs,12))-(2*IF(circ_int,0,eq_c2/2)))/(s_0+11*s_r+IF(circ_int,eq_c1/2,0))),IF(((57+0.5)*(4*IF(circ_int,0,eq_c1/2)+4*IF(circ_int,0,eq_c2/2)+2*PI()*(s_0+11*s_r+IF(circ_int,eq_c1/2,0)))/INDEX(lk_legs,12))&lt;(((2*IF(circ_int,0,eq_c2/2))+(PI()*(s_0+11*s_r+IF(circ_int,eq_c1/2,0))/2))+2*IF(circ_int,0,eq_c1/2)),IF(circ_int,0,eq_c1/2)-(((57+0.5)*(4*IF(circ_int,0,eq_c1/2)+4*IF(circ_int,0,eq_c2/2)+2*PI()*(s_0+11*s_r+IF(circ_int,eq_c1/2,0)))/INDEX(lk_legs,12))-((2*IF(circ_int,0,eq_c2/2))+(PI()*(s_0+11*s_r+IF(circ_int,eq_c1/2,0))/2))),IF(((57+0.5)*(4*IF(circ_int,0,eq_c1/2)+4*IF(circ_int,0,eq_c2/2)+2*PI()*(s_0+11*s_r+IF(circ_int,eq_c1/2,0)))/INDEX(lk_legs,12))&lt;((((2*IF(circ_int,0,eq_c2/2))+(PI()*(s_0+11*s_r+IF(circ_int,eq_c1/2,0))/2))+2*IF(circ_int,0,eq_c1/2))+(PI()*(s_0+11*s_r+IF(circ_int,eq_c1/2,0))/2)),-IF(circ_int,0,eq_c1/2)+(s_0+11*s_r+IF(circ_int,eq_c1/2,0))*COS(PI()/2+(((57+0.5)*(4*IF(circ_int,0,eq_c1/2)+4*IF(circ_int,0,eq_c2/2)+2*PI()*(s_0+11*s_r+IF(circ_int,eq_c1/2,0)))/INDEX(lk_legs,12))-(((2*IF(circ_int,0,eq_c2/2))+(PI()*(s_0+11*s_r+IF(circ_int,eq_c1/2,0))/2))+2*IF(circ_int,0,eq_c1/2)))/(s_0+11*s_r+IF(circ_int,eq_c1/2,0))),IF(((57+0.5)*(4*IF(circ_int,0,eq_c1/2)+4*IF(circ_int,0,eq_c2/2)+2*PI()*(s_0+11*s_r+IF(circ_int,eq_c1/2,0)))/INDEX(lk_legs,12))&lt;(((((2*IF(circ_int,0,eq_c2/2))+(PI()*(s_0+11*s_r+IF(circ_int,eq_c1/2,0))/2))+2*IF(circ_int,0,eq_c1/2))+(PI()*(s_0+11*s_r+IF(circ_int,eq_c1/2,0))/2))+2*IF(circ_int,0,eq_c2/2)),-IF(circ_int,0,eq_c1/2)-(s_0+11*s_r+IF(circ_int,eq_c1/2,0)),IF(((57+0.5)*(4*IF(circ_int,0,eq_c1/2)+4*IF(circ_int,0,eq_c2/2)+2*PI()*(s_0+11*s_r+IF(circ_int,eq_c1/2,0)))/INDEX(lk_legs,12))&lt;((((((2*IF(circ_int,0,eq_c2/2))+(PI()*(s_0+11*s_r+IF(circ_int,eq_c1/2,0))/2))+2*IF(circ_int,0,eq_c1/2))+(PI()*(s_0+11*s_r+IF(circ_int,eq_c1/2,0))/2))+2*IF(circ_int,0,eq_c2/2))+(PI()*(s_0+11*s_r+IF(circ_int,eq_c1/2,0))/2)),-IF(circ_int,0,eq_c1/2)+(s_0+11*s_r+IF(circ_int,eq_c1/2,0))*COS(PI()+(((57+0.5)*(4*IF(circ_int,0,eq_c1/2)+4*IF(circ_int,0,eq_c2/2)+2*PI()*(s_0+11*s_r+IF(circ_int,eq_c1/2,0)))/INDEX(lk_legs,12))-(((((2*IF(circ_int,0,eq_c2/2))+(PI()*(s_0+11*s_r+IF(circ_int,eq_c1/2,0))/2))+2*IF(circ_int,0,eq_c1/2))+(PI()*(s_0+11*s_r+IF(circ_int,eq_c1/2,0))/2))+2*IF(circ_int,0,eq_c2/2)))/(s_0+11*s_r+IF(circ_int,eq_c1/2,0))),IF(((57+0.5)*(4*IF(circ_int,0,eq_c1/2)+4*IF(circ_int,0,eq_c2/2)+2*PI()*(s_0+11*s_r+IF(circ_int,eq_c1/2,0)))/INDEX(lk_legs,12))&lt;(((((((2*IF(circ_int,0,eq_c2/2))+(PI()*(s_0+11*s_r+IF(circ_int,eq_c1/2,0))/2))+2*IF(circ_int,0,eq_c1/2))+(PI()*(s_0+11*s_r+IF(circ_int,eq_c1/2,0))/2))+2*IF(circ_int,0,eq_c2/2))+(PI()*(s_0+11*s_r+IF(circ_int,eq_c1/2,0))/2))+2*IF(circ_int,0,eq_c1/2)),-IF(circ_int,0,eq_c1/2)+(((57+0.5)*(4*IF(circ_int,0,eq_c1/2)+4*IF(circ_int,0,eq_c2/2)+2*PI()*(s_0+11*s_r+IF(circ_int,eq_c1/2,0)))/INDEX(lk_legs,12))-((((((2*IF(circ_int,0,eq_c2/2))+(PI()*(s_0+11*s_r+IF(circ_int,eq_c1/2,0))/2))+2*IF(circ_int,0,eq_c1/2))+(PI()*(s_0+11*s_r+IF(circ_int,eq_c1/2,0))/2))+2*IF(circ_int,0,eq_c2/2))+(PI()*(s_0+11*s_r+IF(circ_int,eq_c1/2,0))/2))),IF(circ_int,0,eq_c1/2)+(s_0+11*s_r+IF(circ_int,eq_c1/2,0))*COS(3*PI()/2+(((57+0.5)*(4*IF(circ_int,0,eq_c1/2)+4*IF(circ_int,0,eq_c2/2)+2*PI()*(s_0+11*s_r+IF(circ_int,eq_c1/2,0)))/INDEX(lk_legs,12))-(((((((2*IF(circ_int,0,eq_c2/2))+(PI()*(s_0+11*s_r+IF(circ_int,eq_c1/2,0))/2))+2*IF(circ_int,0,eq_c1/2))+(PI()*(s_0+11*s_r+IF(circ_int,eq_c1/2,0))/2))+2*IF(circ_int,0,eq_c2/2))+(PI()*(s_0+11*s_r+IF(circ_int,eq_c1/2,0))/2))+2*IF(circ_int,0,eq_c1/2)))/(s_0+11*s_r+IF(circ_int,eq_c1/2,0)))))))))),NA())</f>
        <v/>
      </c>
      <c r="DO60">
        <f>IF(AND(AND(links_on,12&lt;=n_per),INDEX(lk_kind,12)=1,57&lt;INDEX(lk_legs,12)),g_oy+IF(((57+0.5)*(4*IF(circ_int,0,eq_c1/2)+4*IF(circ_int,0,eq_c2/2)+2*PI()*(s_0+11*s_r+IF(circ_int,eq_c1/2,0)))/INDEX(lk_legs,12))&lt;(2*IF(circ_int,0,eq_c2/2)),-IF(circ_int,0,eq_c2/2)+((57+0.5)*(4*IF(circ_int,0,eq_c1/2)+4*IF(circ_int,0,eq_c2/2)+2*PI()*(s_0+11*s_r+IF(circ_int,eq_c1/2,0)))/INDEX(lk_legs,12)),IF(((57+0.5)*(4*IF(circ_int,0,eq_c1/2)+4*IF(circ_int,0,eq_c2/2)+2*PI()*(s_0+11*s_r+IF(circ_int,eq_c1/2,0)))/INDEX(lk_legs,12))&lt;((2*IF(circ_int,0,eq_c2/2))+(PI()*(s_0+11*s_r+IF(circ_int,eq_c1/2,0))/2)),IF(circ_int,0,eq_c2/2)+(s_0+11*s_r+IF(circ_int,eq_c1/2,0))*SIN((((57+0.5)*(4*IF(circ_int,0,eq_c1/2)+4*IF(circ_int,0,eq_c2/2)+2*PI()*(s_0+11*s_r+IF(circ_int,eq_c1/2,0)))/INDEX(lk_legs,12))-(2*IF(circ_int,0,eq_c2/2)))/(s_0+11*s_r+IF(circ_int,eq_c1/2,0))),IF(((57+0.5)*(4*IF(circ_int,0,eq_c1/2)+4*IF(circ_int,0,eq_c2/2)+2*PI()*(s_0+11*s_r+IF(circ_int,eq_c1/2,0)))/INDEX(lk_legs,12))&lt;(((2*IF(circ_int,0,eq_c2/2))+(PI()*(s_0+11*s_r+IF(circ_int,eq_c1/2,0))/2))+2*IF(circ_int,0,eq_c1/2)),IF(circ_int,0,eq_c2/2)+(s_0+11*s_r+IF(circ_int,eq_c1/2,0)),IF(((57+0.5)*(4*IF(circ_int,0,eq_c1/2)+4*IF(circ_int,0,eq_c2/2)+2*PI()*(s_0+11*s_r+IF(circ_int,eq_c1/2,0)))/INDEX(lk_legs,12))&lt;((((2*IF(circ_int,0,eq_c2/2))+(PI()*(s_0+11*s_r+IF(circ_int,eq_c1/2,0))/2))+2*IF(circ_int,0,eq_c1/2))+(PI()*(s_0+11*s_r+IF(circ_int,eq_c1/2,0))/2)),IF(circ_int,0,eq_c2/2)+(s_0+11*s_r+IF(circ_int,eq_c1/2,0))*SIN(PI()/2+(((57+0.5)*(4*IF(circ_int,0,eq_c1/2)+4*IF(circ_int,0,eq_c2/2)+2*PI()*(s_0+11*s_r+IF(circ_int,eq_c1/2,0)))/INDEX(lk_legs,12))-(((2*IF(circ_int,0,eq_c2/2))+(PI()*(s_0+11*s_r+IF(circ_int,eq_c1/2,0))/2))+2*IF(circ_int,0,eq_c1/2)))/(s_0+11*s_r+IF(circ_int,eq_c1/2,0))),IF(((57+0.5)*(4*IF(circ_int,0,eq_c1/2)+4*IF(circ_int,0,eq_c2/2)+2*PI()*(s_0+11*s_r+IF(circ_int,eq_c1/2,0)))/INDEX(lk_legs,12))&lt;(((((2*IF(circ_int,0,eq_c2/2))+(PI()*(s_0+11*s_r+IF(circ_int,eq_c1/2,0))/2))+2*IF(circ_int,0,eq_c1/2))+(PI()*(s_0+11*s_r+IF(circ_int,eq_c1/2,0))/2))+2*IF(circ_int,0,eq_c2/2)),IF(circ_int,0,eq_c2/2)-(((57+0.5)*(4*IF(circ_int,0,eq_c1/2)+4*IF(circ_int,0,eq_c2/2)+2*PI()*(s_0+11*s_r+IF(circ_int,eq_c1/2,0)))/INDEX(lk_legs,12))-((((2*IF(circ_int,0,eq_c2/2))+(PI()*(s_0+11*s_r+IF(circ_int,eq_c1/2,0))/2))+2*IF(circ_int,0,eq_c1/2))+(PI()*(s_0+11*s_r+IF(circ_int,eq_c1/2,0))/2))),IF(((57+0.5)*(4*IF(circ_int,0,eq_c1/2)+4*IF(circ_int,0,eq_c2/2)+2*PI()*(s_0+11*s_r+IF(circ_int,eq_c1/2,0)))/INDEX(lk_legs,12))&lt;((((((2*IF(circ_int,0,eq_c2/2))+(PI()*(s_0+11*s_r+IF(circ_int,eq_c1/2,0))/2))+2*IF(circ_int,0,eq_c1/2))+(PI()*(s_0+11*s_r+IF(circ_int,eq_c1/2,0))/2))+2*IF(circ_int,0,eq_c2/2))+(PI()*(s_0+11*s_r+IF(circ_int,eq_c1/2,0))/2)),-IF(circ_int,0,eq_c2/2)+(s_0+11*s_r+IF(circ_int,eq_c1/2,0))*SIN(PI()+(((57+0.5)*(4*IF(circ_int,0,eq_c1/2)+4*IF(circ_int,0,eq_c2/2)+2*PI()*(s_0+11*s_r+IF(circ_int,eq_c1/2,0)))/INDEX(lk_legs,12))-(((((2*IF(circ_int,0,eq_c2/2))+(PI()*(s_0+11*s_r+IF(circ_int,eq_c1/2,0))/2))+2*IF(circ_int,0,eq_c1/2))+(PI()*(s_0+11*s_r+IF(circ_int,eq_c1/2,0))/2))+2*IF(circ_int,0,eq_c2/2)))/(s_0+11*s_r+IF(circ_int,eq_c1/2,0))),IF(((57+0.5)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(57+0.5)*(4*IF(circ_int,0,eq_c1/2)+4*IF(circ_int,0,eq_c2/2)+2*PI()*(s_0+11*s_r+IF(circ_int,eq_c1/2,0)))/INDEX(lk_legs,12))-(((((((2*IF(circ_int,0,eq_c2/2))+(PI()*(s_0+11*s_r+IF(circ_int,eq_c1/2,0))/2))+2*IF(circ_int,0,eq_c1/2))+(PI()*(s_0+11*s_r+IF(circ_int,eq_c1/2,0))/2))+2*IF(circ_int,0,eq_c2/2))+(PI()*(s_0+11*s_r+IF(circ_int,eq_c1/2,0))/2))+2*IF(circ_int,0,eq_c1/2)))/(s_0+11*s_r+IF(circ_int,eq_c1/2,0)))))))))),NA())</f>
        <v/>
      </c>
    </row>
    <row r="61">
      <c r="AZ61">
        <f>IF(AND(AND(links_on,1&lt;=n_per),INDEX(lk_kind,1)=1,58&lt;INDEX(lk_legs,1)),g_ox+IF(((58+0.5)*(4*IF(circ_int,0,eq_c1/2)+4*IF(circ_int,0,eq_c2/2)+2*PI()*(s_0+0*s_r+IF(circ_int,eq_c1/2,0)))/INDEX(lk_legs,1))&lt;(2*IF(circ_int,0,eq_c2/2)),IF(circ_int,0,eq_c1/2)+(s_0+0*s_r+IF(circ_int,eq_c1/2,0)),IF(((58+0.5)*(4*IF(circ_int,0,eq_c1/2)+4*IF(circ_int,0,eq_c2/2)+2*PI()*(s_0+0*s_r+IF(circ_int,eq_c1/2,0)))/INDEX(lk_legs,1))&lt;((2*IF(circ_int,0,eq_c2/2))+(PI()*(s_0+0*s_r+IF(circ_int,eq_c1/2,0))/2)),IF(circ_int,0,eq_c1/2)+(s_0+0*s_r+IF(circ_int,eq_c1/2,0))*COS((((58+0.5)*(4*IF(circ_int,0,eq_c1/2)+4*IF(circ_int,0,eq_c2/2)+2*PI()*(s_0+0*s_r+IF(circ_int,eq_c1/2,0)))/INDEX(lk_legs,1))-(2*IF(circ_int,0,eq_c2/2)))/(s_0+0*s_r+IF(circ_int,eq_c1/2,0))),IF(((58+0.5)*(4*IF(circ_int,0,eq_c1/2)+4*IF(circ_int,0,eq_c2/2)+2*PI()*(s_0+0*s_r+IF(circ_int,eq_c1/2,0)))/INDEX(lk_legs,1))&lt;(((2*IF(circ_int,0,eq_c2/2))+(PI()*(s_0+0*s_r+IF(circ_int,eq_c1/2,0))/2))+2*IF(circ_int,0,eq_c1/2)),IF(circ_int,0,eq_c1/2)-(((58+0.5)*(4*IF(circ_int,0,eq_c1/2)+4*IF(circ_int,0,eq_c2/2)+2*PI()*(s_0+0*s_r+IF(circ_int,eq_c1/2,0)))/INDEX(lk_legs,1))-((2*IF(circ_int,0,eq_c2/2))+(PI()*(s_0+0*s_r+IF(circ_int,eq_c1/2,0))/2))),IF(((58+0.5)*(4*IF(circ_int,0,eq_c1/2)+4*IF(circ_int,0,eq_c2/2)+2*PI()*(s_0+0*s_r+IF(circ_int,eq_c1/2,0)))/INDEX(lk_legs,1))&lt;((((2*IF(circ_int,0,eq_c2/2))+(PI()*(s_0+0*s_r+IF(circ_int,eq_c1/2,0))/2))+2*IF(circ_int,0,eq_c1/2))+(PI()*(s_0+0*s_r+IF(circ_int,eq_c1/2,0))/2)),-IF(circ_int,0,eq_c1/2)+(s_0+0*s_r+IF(circ_int,eq_c1/2,0))*COS(PI()/2+(((58+0.5)*(4*IF(circ_int,0,eq_c1/2)+4*IF(circ_int,0,eq_c2/2)+2*PI()*(s_0+0*s_r+IF(circ_int,eq_c1/2,0)))/INDEX(lk_legs,1))-(((2*IF(circ_int,0,eq_c2/2))+(PI()*(s_0+0*s_r+IF(circ_int,eq_c1/2,0))/2))+2*IF(circ_int,0,eq_c1/2)))/(s_0+0*s_r+IF(circ_int,eq_c1/2,0))),IF(((58+0.5)*(4*IF(circ_int,0,eq_c1/2)+4*IF(circ_int,0,eq_c2/2)+2*PI()*(s_0+0*s_r+IF(circ_int,eq_c1/2,0)))/INDEX(lk_legs,1))&lt;(((((2*IF(circ_int,0,eq_c2/2))+(PI()*(s_0+0*s_r+IF(circ_int,eq_c1/2,0))/2))+2*IF(circ_int,0,eq_c1/2))+(PI()*(s_0+0*s_r+IF(circ_int,eq_c1/2,0))/2))+2*IF(circ_int,0,eq_c2/2)),-IF(circ_int,0,eq_c1/2)-(s_0+0*s_r+IF(circ_int,eq_c1/2,0)),IF(((58+0.5)*(4*IF(circ_int,0,eq_c1/2)+4*IF(circ_int,0,eq_c2/2)+2*PI()*(s_0+0*s_r+IF(circ_int,eq_c1/2,0)))/INDEX(lk_legs,1))&lt;((((((2*IF(circ_int,0,eq_c2/2))+(PI()*(s_0+0*s_r+IF(circ_int,eq_c1/2,0))/2))+2*IF(circ_int,0,eq_c1/2))+(PI()*(s_0+0*s_r+IF(circ_int,eq_c1/2,0))/2))+2*IF(circ_int,0,eq_c2/2))+(PI()*(s_0+0*s_r+IF(circ_int,eq_c1/2,0))/2)),-IF(circ_int,0,eq_c1/2)+(s_0+0*s_r+IF(circ_int,eq_c1/2,0))*COS(PI()+(((58+0.5)*(4*IF(circ_int,0,eq_c1/2)+4*IF(circ_int,0,eq_c2/2)+2*PI()*(s_0+0*s_r+IF(circ_int,eq_c1/2,0)))/INDEX(lk_legs,1))-(((((2*IF(circ_int,0,eq_c2/2))+(PI()*(s_0+0*s_r+IF(circ_int,eq_c1/2,0))/2))+2*IF(circ_int,0,eq_c1/2))+(PI()*(s_0+0*s_r+IF(circ_int,eq_c1/2,0))/2))+2*IF(circ_int,0,eq_c2/2)))/(s_0+0*s_r+IF(circ_int,eq_c1/2,0))),IF(((58+0.5)*(4*IF(circ_int,0,eq_c1/2)+4*IF(circ_int,0,eq_c2/2)+2*PI()*(s_0+0*s_r+IF(circ_int,eq_c1/2,0)))/INDEX(lk_legs,1))&lt;(((((((2*IF(circ_int,0,eq_c2/2))+(PI()*(s_0+0*s_r+IF(circ_int,eq_c1/2,0))/2))+2*IF(circ_int,0,eq_c1/2))+(PI()*(s_0+0*s_r+IF(circ_int,eq_c1/2,0))/2))+2*IF(circ_int,0,eq_c2/2))+(PI()*(s_0+0*s_r+IF(circ_int,eq_c1/2,0))/2))+2*IF(circ_int,0,eq_c1/2)),-IF(circ_int,0,eq_c1/2)+(((58+0.5)*(4*IF(circ_int,0,eq_c1/2)+4*IF(circ_int,0,eq_c2/2)+2*PI()*(s_0+0*s_r+IF(circ_int,eq_c1/2,0)))/INDEX(lk_legs,1))-((((((2*IF(circ_int,0,eq_c2/2))+(PI()*(s_0+0*s_r+IF(circ_int,eq_c1/2,0))/2))+2*IF(circ_int,0,eq_c1/2))+(PI()*(s_0+0*s_r+IF(circ_int,eq_c1/2,0))/2))+2*IF(circ_int,0,eq_c2/2))+(PI()*(s_0+0*s_r+IF(circ_int,eq_c1/2,0))/2))),IF(circ_int,0,eq_c1/2)+(s_0+0*s_r+IF(circ_int,eq_c1/2,0))*COS(3*PI()/2+(((58+0.5)*(4*IF(circ_int,0,eq_c1/2)+4*IF(circ_int,0,eq_c2/2)+2*PI()*(s_0+0*s_r+IF(circ_int,eq_c1/2,0)))/INDEX(lk_legs,1))-(((((((2*IF(circ_int,0,eq_c2/2))+(PI()*(s_0+0*s_r+IF(circ_int,eq_c1/2,0))/2))+2*IF(circ_int,0,eq_c1/2))+(PI()*(s_0+0*s_r+IF(circ_int,eq_c1/2,0))/2))+2*IF(circ_int,0,eq_c2/2))+(PI()*(s_0+0*s_r+IF(circ_int,eq_c1/2,0))/2))+2*IF(circ_int,0,eq_c1/2)))/(s_0+0*s_r+IF(circ_int,eq_c1/2,0)))))))))),NA())</f>
        <v/>
      </c>
      <c r="BA61">
        <f>IF(AND(AND(links_on,1&lt;=n_per),INDEX(lk_kind,1)=1,58&lt;INDEX(lk_legs,1)),g_oy+IF(((58+0.5)*(4*IF(circ_int,0,eq_c1/2)+4*IF(circ_int,0,eq_c2/2)+2*PI()*(s_0+0*s_r+IF(circ_int,eq_c1/2,0)))/INDEX(lk_legs,1))&lt;(2*IF(circ_int,0,eq_c2/2)),-IF(circ_int,0,eq_c2/2)+((58+0.5)*(4*IF(circ_int,0,eq_c1/2)+4*IF(circ_int,0,eq_c2/2)+2*PI()*(s_0+0*s_r+IF(circ_int,eq_c1/2,0)))/INDEX(lk_legs,1)),IF(((58+0.5)*(4*IF(circ_int,0,eq_c1/2)+4*IF(circ_int,0,eq_c2/2)+2*PI()*(s_0+0*s_r+IF(circ_int,eq_c1/2,0)))/INDEX(lk_legs,1))&lt;((2*IF(circ_int,0,eq_c2/2))+(PI()*(s_0+0*s_r+IF(circ_int,eq_c1/2,0))/2)),IF(circ_int,0,eq_c2/2)+(s_0+0*s_r+IF(circ_int,eq_c1/2,0))*SIN((((58+0.5)*(4*IF(circ_int,0,eq_c1/2)+4*IF(circ_int,0,eq_c2/2)+2*PI()*(s_0+0*s_r+IF(circ_int,eq_c1/2,0)))/INDEX(lk_legs,1))-(2*IF(circ_int,0,eq_c2/2)))/(s_0+0*s_r+IF(circ_int,eq_c1/2,0))),IF(((58+0.5)*(4*IF(circ_int,0,eq_c1/2)+4*IF(circ_int,0,eq_c2/2)+2*PI()*(s_0+0*s_r+IF(circ_int,eq_c1/2,0)))/INDEX(lk_legs,1))&lt;(((2*IF(circ_int,0,eq_c2/2))+(PI()*(s_0+0*s_r+IF(circ_int,eq_c1/2,0))/2))+2*IF(circ_int,0,eq_c1/2)),IF(circ_int,0,eq_c2/2)+(s_0+0*s_r+IF(circ_int,eq_c1/2,0)),IF(((58+0.5)*(4*IF(circ_int,0,eq_c1/2)+4*IF(circ_int,0,eq_c2/2)+2*PI()*(s_0+0*s_r+IF(circ_int,eq_c1/2,0)))/INDEX(lk_legs,1))&lt;((((2*IF(circ_int,0,eq_c2/2))+(PI()*(s_0+0*s_r+IF(circ_int,eq_c1/2,0))/2))+2*IF(circ_int,0,eq_c1/2))+(PI()*(s_0+0*s_r+IF(circ_int,eq_c1/2,0))/2)),IF(circ_int,0,eq_c2/2)+(s_0+0*s_r+IF(circ_int,eq_c1/2,0))*SIN(PI()/2+(((58+0.5)*(4*IF(circ_int,0,eq_c1/2)+4*IF(circ_int,0,eq_c2/2)+2*PI()*(s_0+0*s_r+IF(circ_int,eq_c1/2,0)))/INDEX(lk_legs,1))-(((2*IF(circ_int,0,eq_c2/2))+(PI()*(s_0+0*s_r+IF(circ_int,eq_c1/2,0))/2))+2*IF(circ_int,0,eq_c1/2)))/(s_0+0*s_r+IF(circ_int,eq_c1/2,0))),IF(((58+0.5)*(4*IF(circ_int,0,eq_c1/2)+4*IF(circ_int,0,eq_c2/2)+2*PI()*(s_0+0*s_r+IF(circ_int,eq_c1/2,0)))/INDEX(lk_legs,1))&lt;(((((2*IF(circ_int,0,eq_c2/2))+(PI()*(s_0+0*s_r+IF(circ_int,eq_c1/2,0))/2))+2*IF(circ_int,0,eq_c1/2))+(PI()*(s_0+0*s_r+IF(circ_int,eq_c1/2,0))/2))+2*IF(circ_int,0,eq_c2/2)),IF(circ_int,0,eq_c2/2)-(((58+0.5)*(4*IF(circ_int,0,eq_c1/2)+4*IF(circ_int,0,eq_c2/2)+2*PI()*(s_0+0*s_r+IF(circ_int,eq_c1/2,0)))/INDEX(lk_legs,1))-((((2*IF(circ_int,0,eq_c2/2))+(PI()*(s_0+0*s_r+IF(circ_int,eq_c1/2,0))/2))+2*IF(circ_int,0,eq_c1/2))+(PI()*(s_0+0*s_r+IF(circ_int,eq_c1/2,0))/2))),IF(((58+0.5)*(4*IF(circ_int,0,eq_c1/2)+4*IF(circ_int,0,eq_c2/2)+2*PI()*(s_0+0*s_r+IF(circ_int,eq_c1/2,0)))/INDEX(lk_legs,1))&lt;((((((2*IF(circ_int,0,eq_c2/2))+(PI()*(s_0+0*s_r+IF(circ_int,eq_c1/2,0))/2))+2*IF(circ_int,0,eq_c1/2))+(PI()*(s_0+0*s_r+IF(circ_int,eq_c1/2,0))/2))+2*IF(circ_int,0,eq_c2/2))+(PI()*(s_0+0*s_r+IF(circ_int,eq_c1/2,0))/2)),-IF(circ_int,0,eq_c2/2)+(s_0+0*s_r+IF(circ_int,eq_c1/2,0))*SIN(PI()+(((58+0.5)*(4*IF(circ_int,0,eq_c1/2)+4*IF(circ_int,0,eq_c2/2)+2*PI()*(s_0+0*s_r+IF(circ_int,eq_c1/2,0)))/INDEX(lk_legs,1))-(((((2*IF(circ_int,0,eq_c2/2))+(PI()*(s_0+0*s_r+IF(circ_int,eq_c1/2,0))/2))+2*IF(circ_int,0,eq_c1/2))+(PI()*(s_0+0*s_r+IF(circ_int,eq_c1/2,0))/2))+2*IF(circ_int,0,eq_c2/2)))/(s_0+0*s_r+IF(circ_int,eq_c1/2,0))),IF(((58+0.5)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(58+0.5)*(4*IF(circ_int,0,eq_c1/2)+4*IF(circ_int,0,eq_c2/2)+2*PI()*(s_0+0*s_r+IF(circ_int,eq_c1/2,0)))/INDEX(lk_legs,1))-(((((((2*IF(circ_int,0,eq_c2/2))+(PI()*(s_0+0*s_r+IF(circ_int,eq_c1/2,0))/2))+2*IF(circ_int,0,eq_c1/2))+(PI()*(s_0+0*s_r+IF(circ_int,eq_c1/2,0))/2))+2*IF(circ_int,0,eq_c2/2))+(PI()*(s_0+0*s_r+IF(circ_int,eq_c1/2,0))/2))+2*IF(circ_int,0,eq_c1/2)))/(s_0+0*s_r+IF(circ_int,eq_c1/2,0)))))))))),NA())</f>
        <v/>
      </c>
      <c r="BF61">
        <f>IF(AND(AND(links_on,2&lt;=n_per),INDEX(lk_kind,2)=1,58&lt;INDEX(lk_legs,2)),g_ox+IF(((58+0.5)*(4*IF(circ_int,0,eq_c1/2)+4*IF(circ_int,0,eq_c2/2)+2*PI()*(s_0+1*s_r+IF(circ_int,eq_c1/2,0)))/INDEX(lk_legs,2))&lt;(2*IF(circ_int,0,eq_c2/2)),IF(circ_int,0,eq_c1/2)+(s_0+1*s_r+IF(circ_int,eq_c1/2,0)),IF(((58+0.5)*(4*IF(circ_int,0,eq_c1/2)+4*IF(circ_int,0,eq_c2/2)+2*PI()*(s_0+1*s_r+IF(circ_int,eq_c1/2,0)))/INDEX(lk_legs,2))&lt;((2*IF(circ_int,0,eq_c2/2))+(PI()*(s_0+1*s_r+IF(circ_int,eq_c1/2,0))/2)),IF(circ_int,0,eq_c1/2)+(s_0+1*s_r+IF(circ_int,eq_c1/2,0))*COS((((58+0.5)*(4*IF(circ_int,0,eq_c1/2)+4*IF(circ_int,0,eq_c2/2)+2*PI()*(s_0+1*s_r+IF(circ_int,eq_c1/2,0)))/INDEX(lk_legs,2))-(2*IF(circ_int,0,eq_c2/2)))/(s_0+1*s_r+IF(circ_int,eq_c1/2,0))),IF(((58+0.5)*(4*IF(circ_int,0,eq_c1/2)+4*IF(circ_int,0,eq_c2/2)+2*PI()*(s_0+1*s_r+IF(circ_int,eq_c1/2,0)))/INDEX(lk_legs,2))&lt;(((2*IF(circ_int,0,eq_c2/2))+(PI()*(s_0+1*s_r+IF(circ_int,eq_c1/2,0))/2))+2*IF(circ_int,0,eq_c1/2)),IF(circ_int,0,eq_c1/2)-(((58+0.5)*(4*IF(circ_int,0,eq_c1/2)+4*IF(circ_int,0,eq_c2/2)+2*PI()*(s_0+1*s_r+IF(circ_int,eq_c1/2,0)))/INDEX(lk_legs,2))-((2*IF(circ_int,0,eq_c2/2))+(PI()*(s_0+1*s_r+IF(circ_int,eq_c1/2,0))/2))),IF(((58+0.5)*(4*IF(circ_int,0,eq_c1/2)+4*IF(circ_int,0,eq_c2/2)+2*PI()*(s_0+1*s_r+IF(circ_int,eq_c1/2,0)))/INDEX(lk_legs,2))&lt;((((2*IF(circ_int,0,eq_c2/2))+(PI()*(s_0+1*s_r+IF(circ_int,eq_c1/2,0))/2))+2*IF(circ_int,0,eq_c1/2))+(PI()*(s_0+1*s_r+IF(circ_int,eq_c1/2,0))/2)),-IF(circ_int,0,eq_c1/2)+(s_0+1*s_r+IF(circ_int,eq_c1/2,0))*COS(PI()/2+(((58+0.5)*(4*IF(circ_int,0,eq_c1/2)+4*IF(circ_int,0,eq_c2/2)+2*PI()*(s_0+1*s_r+IF(circ_int,eq_c1/2,0)))/INDEX(lk_legs,2))-(((2*IF(circ_int,0,eq_c2/2))+(PI()*(s_0+1*s_r+IF(circ_int,eq_c1/2,0))/2))+2*IF(circ_int,0,eq_c1/2)))/(s_0+1*s_r+IF(circ_int,eq_c1/2,0))),IF(((58+0.5)*(4*IF(circ_int,0,eq_c1/2)+4*IF(circ_int,0,eq_c2/2)+2*PI()*(s_0+1*s_r+IF(circ_int,eq_c1/2,0)))/INDEX(lk_legs,2))&lt;(((((2*IF(circ_int,0,eq_c2/2))+(PI()*(s_0+1*s_r+IF(circ_int,eq_c1/2,0))/2))+2*IF(circ_int,0,eq_c1/2))+(PI()*(s_0+1*s_r+IF(circ_int,eq_c1/2,0))/2))+2*IF(circ_int,0,eq_c2/2)),-IF(circ_int,0,eq_c1/2)-(s_0+1*s_r+IF(circ_int,eq_c1/2,0)),IF(((58+0.5)*(4*IF(circ_int,0,eq_c1/2)+4*IF(circ_int,0,eq_c2/2)+2*PI()*(s_0+1*s_r+IF(circ_int,eq_c1/2,0)))/INDEX(lk_legs,2))&lt;((((((2*IF(circ_int,0,eq_c2/2))+(PI()*(s_0+1*s_r+IF(circ_int,eq_c1/2,0))/2))+2*IF(circ_int,0,eq_c1/2))+(PI()*(s_0+1*s_r+IF(circ_int,eq_c1/2,0))/2))+2*IF(circ_int,0,eq_c2/2))+(PI()*(s_0+1*s_r+IF(circ_int,eq_c1/2,0))/2)),-IF(circ_int,0,eq_c1/2)+(s_0+1*s_r+IF(circ_int,eq_c1/2,0))*COS(PI()+(((58+0.5)*(4*IF(circ_int,0,eq_c1/2)+4*IF(circ_int,0,eq_c2/2)+2*PI()*(s_0+1*s_r+IF(circ_int,eq_c1/2,0)))/INDEX(lk_legs,2))-(((((2*IF(circ_int,0,eq_c2/2))+(PI()*(s_0+1*s_r+IF(circ_int,eq_c1/2,0))/2))+2*IF(circ_int,0,eq_c1/2))+(PI()*(s_0+1*s_r+IF(circ_int,eq_c1/2,0))/2))+2*IF(circ_int,0,eq_c2/2)))/(s_0+1*s_r+IF(circ_int,eq_c1/2,0))),IF(((58+0.5)*(4*IF(circ_int,0,eq_c1/2)+4*IF(circ_int,0,eq_c2/2)+2*PI()*(s_0+1*s_r+IF(circ_int,eq_c1/2,0)))/INDEX(lk_legs,2))&lt;(((((((2*IF(circ_int,0,eq_c2/2))+(PI()*(s_0+1*s_r+IF(circ_int,eq_c1/2,0))/2))+2*IF(circ_int,0,eq_c1/2))+(PI()*(s_0+1*s_r+IF(circ_int,eq_c1/2,0))/2))+2*IF(circ_int,0,eq_c2/2))+(PI()*(s_0+1*s_r+IF(circ_int,eq_c1/2,0))/2))+2*IF(circ_int,0,eq_c1/2)),-IF(circ_int,0,eq_c1/2)+(((58+0.5)*(4*IF(circ_int,0,eq_c1/2)+4*IF(circ_int,0,eq_c2/2)+2*PI()*(s_0+1*s_r+IF(circ_int,eq_c1/2,0)))/INDEX(lk_legs,2))-((((((2*IF(circ_int,0,eq_c2/2))+(PI()*(s_0+1*s_r+IF(circ_int,eq_c1/2,0))/2))+2*IF(circ_int,0,eq_c1/2))+(PI()*(s_0+1*s_r+IF(circ_int,eq_c1/2,0))/2))+2*IF(circ_int,0,eq_c2/2))+(PI()*(s_0+1*s_r+IF(circ_int,eq_c1/2,0))/2))),IF(circ_int,0,eq_c1/2)+(s_0+1*s_r+IF(circ_int,eq_c1/2,0))*COS(3*PI()/2+(((58+0.5)*(4*IF(circ_int,0,eq_c1/2)+4*IF(circ_int,0,eq_c2/2)+2*PI()*(s_0+1*s_r+IF(circ_int,eq_c1/2,0)))/INDEX(lk_legs,2))-(((((((2*IF(circ_int,0,eq_c2/2))+(PI()*(s_0+1*s_r+IF(circ_int,eq_c1/2,0))/2))+2*IF(circ_int,0,eq_c1/2))+(PI()*(s_0+1*s_r+IF(circ_int,eq_c1/2,0))/2))+2*IF(circ_int,0,eq_c2/2))+(PI()*(s_0+1*s_r+IF(circ_int,eq_c1/2,0))/2))+2*IF(circ_int,0,eq_c1/2)))/(s_0+1*s_r+IF(circ_int,eq_c1/2,0)))))))))),NA())</f>
        <v/>
      </c>
      <c r="BG61">
        <f>IF(AND(AND(links_on,2&lt;=n_per),INDEX(lk_kind,2)=1,58&lt;INDEX(lk_legs,2)),g_oy+IF(((58+0.5)*(4*IF(circ_int,0,eq_c1/2)+4*IF(circ_int,0,eq_c2/2)+2*PI()*(s_0+1*s_r+IF(circ_int,eq_c1/2,0)))/INDEX(lk_legs,2))&lt;(2*IF(circ_int,0,eq_c2/2)),-IF(circ_int,0,eq_c2/2)+((58+0.5)*(4*IF(circ_int,0,eq_c1/2)+4*IF(circ_int,0,eq_c2/2)+2*PI()*(s_0+1*s_r+IF(circ_int,eq_c1/2,0)))/INDEX(lk_legs,2)),IF(((58+0.5)*(4*IF(circ_int,0,eq_c1/2)+4*IF(circ_int,0,eq_c2/2)+2*PI()*(s_0+1*s_r+IF(circ_int,eq_c1/2,0)))/INDEX(lk_legs,2))&lt;((2*IF(circ_int,0,eq_c2/2))+(PI()*(s_0+1*s_r+IF(circ_int,eq_c1/2,0))/2)),IF(circ_int,0,eq_c2/2)+(s_0+1*s_r+IF(circ_int,eq_c1/2,0))*SIN((((58+0.5)*(4*IF(circ_int,0,eq_c1/2)+4*IF(circ_int,0,eq_c2/2)+2*PI()*(s_0+1*s_r+IF(circ_int,eq_c1/2,0)))/INDEX(lk_legs,2))-(2*IF(circ_int,0,eq_c2/2)))/(s_0+1*s_r+IF(circ_int,eq_c1/2,0))),IF(((58+0.5)*(4*IF(circ_int,0,eq_c1/2)+4*IF(circ_int,0,eq_c2/2)+2*PI()*(s_0+1*s_r+IF(circ_int,eq_c1/2,0)))/INDEX(lk_legs,2))&lt;(((2*IF(circ_int,0,eq_c2/2))+(PI()*(s_0+1*s_r+IF(circ_int,eq_c1/2,0))/2))+2*IF(circ_int,0,eq_c1/2)),IF(circ_int,0,eq_c2/2)+(s_0+1*s_r+IF(circ_int,eq_c1/2,0)),IF(((58+0.5)*(4*IF(circ_int,0,eq_c1/2)+4*IF(circ_int,0,eq_c2/2)+2*PI()*(s_0+1*s_r+IF(circ_int,eq_c1/2,0)))/INDEX(lk_legs,2))&lt;((((2*IF(circ_int,0,eq_c2/2))+(PI()*(s_0+1*s_r+IF(circ_int,eq_c1/2,0))/2))+2*IF(circ_int,0,eq_c1/2))+(PI()*(s_0+1*s_r+IF(circ_int,eq_c1/2,0))/2)),IF(circ_int,0,eq_c2/2)+(s_0+1*s_r+IF(circ_int,eq_c1/2,0))*SIN(PI()/2+(((58+0.5)*(4*IF(circ_int,0,eq_c1/2)+4*IF(circ_int,0,eq_c2/2)+2*PI()*(s_0+1*s_r+IF(circ_int,eq_c1/2,0)))/INDEX(lk_legs,2))-(((2*IF(circ_int,0,eq_c2/2))+(PI()*(s_0+1*s_r+IF(circ_int,eq_c1/2,0))/2))+2*IF(circ_int,0,eq_c1/2)))/(s_0+1*s_r+IF(circ_int,eq_c1/2,0))),IF(((58+0.5)*(4*IF(circ_int,0,eq_c1/2)+4*IF(circ_int,0,eq_c2/2)+2*PI()*(s_0+1*s_r+IF(circ_int,eq_c1/2,0)))/INDEX(lk_legs,2))&lt;(((((2*IF(circ_int,0,eq_c2/2))+(PI()*(s_0+1*s_r+IF(circ_int,eq_c1/2,0))/2))+2*IF(circ_int,0,eq_c1/2))+(PI()*(s_0+1*s_r+IF(circ_int,eq_c1/2,0))/2))+2*IF(circ_int,0,eq_c2/2)),IF(circ_int,0,eq_c2/2)-(((58+0.5)*(4*IF(circ_int,0,eq_c1/2)+4*IF(circ_int,0,eq_c2/2)+2*PI()*(s_0+1*s_r+IF(circ_int,eq_c1/2,0)))/INDEX(lk_legs,2))-((((2*IF(circ_int,0,eq_c2/2))+(PI()*(s_0+1*s_r+IF(circ_int,eq_c1/2,0))/2))+2*IF(circ_int,0,eq_c1/2))+(PI()*(s_0+1*s_r+IF(circ_int,eq_c1/2,0))/2))),IF(((58+0.5)*(4*IF(circ_int,0,eq_c1/2)+4*IF(circ_int,0,eq_c2/2)+2*PI()*(s_0+1*s_r+IF(circ_int,eq_c1/2,0)))/INDEX(lk_legs,2))&lt;((((((2*IF(circ_int,0,eq_c2/2))+(PI()*(s_0+1*s_r+IF(circ_int,eq_c1/2,0))/2))+2*IF(circ_int,0,eq_c1/2))+(PI()*(s_0+1*s_r+IF(circ_int,eq_c1/2,0))/2))+2*IF(circ_int,0,eq_c2/2))+(PI()*(s_0+1*s_r+IF(circ_int,eq_c1/2,0))/2)),-IF(circ_int,0,eq_c2/2)+(s_0+1*s_r+IF(circ_int,eq_c1/2,0))*SIN(PI()+(((58+0.5)*(4*IF(circ_int,0,eq_c1/2)+4*IF(circ_int,0,eq_c2/2)+2*PI()*(s_0+1*s_r+IF(circ_int,eq_c1/2,0)))/INDEX(lk_legs,2))-(((((2*IF(circ_int,0,eq_c2/2))+(PI()*(s_0+1*s_r+IF(circ_int,eq_c1/2,0))/2))+2*IF(circ_int,0,eq_c1/2))+(PI()*(s_0+1*s_r+IF(circ_int,eq_c1/2,0))/2))+2*IF(circ_int,0,eq_c2/2)))/(s_0+1*s_r+IF(circ_int,eq_c1/2,0))),IF(((58+0.5)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(58+0.5)*(4*IF(circ_int,0,eq_c1/2)+4*IF(circ_int,0,eq_c2/2)+2*PI()*(s_0+1*s_r+IF(circ_int,eq_c1/2,0)))/INDEX(lk_legs,2))-(((((((2*IF(circ_int,0,eq_c2/2))+(PI()*(s_0+1*s_r+IF(circ_int,eq_c1/2,0))/2))+2*IF(circ_int,0,eq_c1/2))+(PI()*(s_0+1*s_r+IF(circ_int,eq_c1/2,0))/2))+2*IF(circ_int,0,eq_c2/2))+(PI()*(s_0+1*s_r+IF(circ_int,eq_c1/2,0))/2))+2*IF(circ_int,0,eq_c1/2)))/(s_0+1*s_r+IF(circ_int,eq_c1/2,0)))))))))),NA())</f>
        <v/>
      </c>
      <c r="BL61">
        <f>IF(AND(AND(links_on,3&lt;=n_per),INDEX(lk_kind,3)=1,58&lt;INDEX(lk_legs,3)),g_ox+IF(((58+0.5)*(4*IF(circ_int,0,eq_c1/2)+4*IF(circ_int,0,eq_c2/2)+2*PI()*(s_0+2*s_r+IF(circ_int,eq_c1/2,0)))/INDEX(lk_legs,3))&lt;(2*IF(circ_int,0,eq_c2/2)),IF(circ_int,0,eq_c1/2)+(s_0+2*s_r+IF(circ_int,eq_c1/2,0)),IF(((58+0.5)*(4*IF(circ_int,0,eq_c1/2)+4*IF(circ_int,0,eq_c2/2)+2*PI()*(s_0+2*s_r+IF(circ_int,eq_c1/2,0)))/INDEX(lk_legs,3))&lt;((2*IF(circ_int,0,eq_c2/2))+(PI()*(s_0+2*s_r+IF(circ_int,eq_c1/2,0))/2)),IF(circ_int,0,eq_c1/2)+(s_0+2*s_r+IF(circ_int,eq_c1/2,0))*COS((((58+0.5)*(4*IF(circ_int,0,eq_c1/2)+4*IF(circ_int,0,eq_c2/2)+2*PI()*(s_0+2*s_r+IF(circ_int,eq_c1/2,0)))/INDEX(lk_legs,3))-(2*IF(circ_int,0,eq_c2/2)))/(s_0+2*s_r+IF(circ_int,eq_c1/2,0))),IF(((58+0.5)*(4*IF(circ_int,0,eq_c1/2)+4*IF(circ_int,0,eq_c2/2)+2*PI()*(s_0+2*s_r+IF(circ_int,eq_c1/2,0)))/INDEX(lk_legs,3))&lt;(((2*IF(circ_int,0,eq_c2/2))+(PI()*(s_0+2*s_r+IF(circ_int,eq_c1/2,0))/2))+2*IF(circ_int,0,eq_c1/2)),IF(circ_int,0,eq_c1/2)-(((58+0.5)*(4*IF(circ_int,0,eq_c1/2)+4*IF(circ_int,0,eq_c2/2)+2*PI()*(s_0+2*s_r+IF(circ_int,eq_c1/2,0)))/INDEX(lk_legs,3))-((2*IF(circ_int,0,eq_c2/2))+(PI()*(s_0+2*s_r+IF(circ_int,eq_c1/2,0))/2))),IF(((58+0.5)*(4*IF(circ_int,0,eq_c1/2)+4*IF(circ_int,0,eq_c2/2)+2*PI()*(s_0+2*s_r+IF(circ_int,eq_c1/2,0)))/INDEX(lk_legs,3))&lt;((((2*IF(circ_int,0,eq_c2/2))+(PI()*(s_0+2*s_r+IF(circ_int,eq_c1/2,0))/2))+2*IF(circ_int,0,eq_c1/2))+(PI()*(s_0+2*s_r+IF(circ_int,eq_c1/2,0))/2)),-IF(circ_int,0,eq_c1/2)+(s_0+2*s_r+IF(circ_int,eq_c1/2,0))*COS(PI()/2+(((58+0.5)*(4*IF(circ_int,0,eq_c1/2)+4*IF(circ_int,0,eq_c2/2)+2*PI()*(s_0+2*s_r+IF(circ_int,eq_c1/2,0)))/INDEX(lk_legs,3))-(((2*IF(circ_int,0,eq_c2/2))+(PI()*(s_0+2*s_r+IF(circ_int,eq_c1/2,0))/2))+2*IF(circ_int,0,eq_c1/2)))/(s_0+2*s_r+IF(circ_int,eq_c1/2,0))),IF(((58+0.5)*(4*IF(circ_int,0,eq_c1/2)+4*IF(circ_int,0,eq_c2/2)+2*PI()*(s_0+2*s_r+IF(circ_int,eq_c1/2,0)))/INDEX(lk_legs,3))&lt;(((((2*IF(circ_int,0,eq_c2/2))+(PI()*(s_0+2*s_r+IF(circ_int,eq_c1/2,0))/2))+2*IF(circ_int,0,eq_c1/2))+(PI()*(s_0+2*s_r+IF(circ_int,eq_c1/2,0))/2))+2*IF(circ_int,0,eq_c2/2)),-IF(circ_int,0,eq_c1/2)-(s_0+2*s_r+IF(circ_int,eq_c1/2,0)),IF(((58+0.5)*(4*IF(circ_int,0,eq_c1/2)+4*IF(circ_int,0,eq_c2/2)+2*PI()*(s_0+2*s_r+IF(circ_int,eq_c1/2,0)))/INDEX(lk_legs,3))&lt;((((((2*IF(circ_int,0,eq_c2/2))+(PI()*(s_0+2*s_r+IF(circ_int,eq_c1/2,0))/2))+2*IF(circ_int,0,eq_c1/2))+(PI()*(s_0+2*s_r+IF(circ_int,eq_c1/2,0))/2))+2*IF(circ_int,0,eq_c2/2))+(PI()*(s_0+2*s_r+IF(circ_int,eq_c1/2,0))/2)),-IF(circ_int,0,eq_c1/2)+(s_0+2*s_r+IF(circ_int,eq_c1/2,0))*COS(PI()+(((58+0.5)*(4*IF(circ_int,0,eq_c1/2)+4*IF(circ_int,0,eq_c2/2)+2*PI()*(s_0+2*s_r+IF(circ_int,eq_c1/2,0)))/INDEX(lk_legs,3))-(((((2*IF(circ_int,0,eq_c2/2))+(PI()*(s_0+2*s_r+IF(circ_int,eq_c1/2,0))/2))+2*IF(circ_int,0,eq_c1/2))+(PI()*(s_0+2*s_r+IF(circ_int,eq_c1/2,0))/2))+2*IF(circ_int,0,eq_c2/2)))/(s_0+2*s_r+IF(circ_int,eq_c1/2,0))),IF(((58+0.5)*(4*IF(circ_int,0,eq_c1/2)+4*IF(circ_int,0,eq_c2/2)+2*PI()*(s_0+2*s_r+IF(circ_int,eq_c1/2,0)))/INDEX(lk_legs,3))&lt;(((((((2*IF(circ_int,0,eq_c2/2))+(PI()*(s_0+2*s_r+IF(circ_int,eq_c1/2,0))/2))+2*IF(circ_int,0,eq_c1/2))+(PI()*(s_0+2*s_r+IF(circ_int,eq_c1/2,0))/2))+2*IF(circ_int,0,eq_c2/2))+(PI()*(s_0+2*s_r+IF(circ_int,eq_c1/2,0))/2))+2*IF(circ_int,0,eq_c1/2)),-IF(circ_int,0,eq_c1/2)+(((58+0.5)*(4*IF(circ_int,0,eq_c1/2)+4*IF(circ_int,0,eq_c2/2)+2*PI()*(s_0+2*s_r+IF(circ_int,eq_c1/2,0)))/INDEX(lk_legs,3))-((((((2*IF(circ_int,0,eq_c2/2))+(PI()*(s_0+2*s_r+IF(circ_int,eq_c1/2,0))/2))+2*IF(circ_int,0,eq_c1/2))+(PI()*(s_0+2*s_r+IF(circ_int,eq_c1/2,0))/2))+2*IF(circ_int,0,eq_c2/2))+(PI()*(s_0+2*s_r+IF(circ_int,eq_c1/2,0))/2))),IF(circ_int,0,eq_c1/2)+(s_0+2*s_r+IF(circ_int,eq_c1/2,0))*COS(3*PI()/2+(((58+0.5)*(4*IF(circ_int,0,eq_c1/2)+4*IF(circ_int,0,eq_c2/2)+2*PI()*(s_0+2*s_r+IF(circ_int,eq_c1/2,0)))/INDEX(lk_legs,3))-(((((((2*IF(circ_int,0,eq_c2/2))+(PI()*(s_0+2*s_r+IF(circ_int,eq_c1/2,0))/2))+2*IF(circ_int,0,eq_c1/2))+(PI()*(s_0+2*s_r+IF(circ_int,eq_c1/2,0))/2))+2*IF(circ_int,0,eq_c2/2))+(PI()*(s_0+2*s_r+IF(circ_int,eq_c1/2,0))/2))+2*IF(circ_int,0,eq_c1/2)))/(s_0+2*s_r+IF(circ_int,eq_c1/2,0)))))))))),NA())</f>
        <v/>
      </c>
      <c r="BM61">
        <f>IF(AND(AND(links_on,3&lt;=n_per),INDEX(lk_kind,3)=1,58&lt;INDEX(lk_legs,3)),g_oy+IF(((58+0.5)*(4*IF(circ_int,0,eq_c1/2)+4*IF(circ_int,0,eq_c2/2)+2*PI()*(s_0+2*s_r+IF(circ_int,eq_c1/2,0)))/INDEX(lk_legs,3))&lt;(2*IF(circ_int,0,eq_c2/2)),-IF(circ_int,0,eq_c2/2)+((58+0.5)*(4*IF(circ_int,0,eq_c1/2)+4*IF(circ_int,0,eq_c2/2)+2*PI()*(s_0+2*s_r+IF(circ_int,eq_c1/2,0)))/INDEX(lk_legs,3)),IF(((58+0.5)*(4*IF(circ_int,0,eq_c1/2)+4*IF(circ_int,0,eq_c2/2)+2*PI()*(s_0+2*s_r+IF(circ_int,eq_c1/2,0)))/INDEX(lk_legs,3))&lt;((2*IF(circ_int,0,eq_c2/2))+(PI()*(s_0+2*s_r+IF(circ_int,eq_c1/2,0))/2)),IF(circ_int,0,eq_c2/2)+(s_0+2*s_r+IF(circ_int,eq_c1/2,0))*SIN((((58+0.5)*(4*IF(circ_int,0,eq_c1/2)+4*IF(circ_int,0,eq_c2/2)+2*PI()*(s_0+2*s_r+IF(circ_int,eq_c1/2,0)))/INDEX(lk_legs,3))-(2*IF(circ_int,0,eq_c2/2)))/(s_0+2*s_r+IF(circ_int,eq_c1/2,0))),IF(((58+0.5)*(4*IF(circ_int,0,eq_c1/2)+4*IF(circ_int,0,eq_c2/2)+2*PI()*(s_0+2*s_r+IF(circ_int,eq_c1/2,0)))/INDEX(lk_legs,3))&lt;(((2*IF(circ_int,0,eq_c2/2))+(PI()*(s_0+2*s_r+IF(circ_int,eq_c1/2,0))/2))+2*IF(circ_int,0,eq_c1/2)),IF(circ_int,0,eq_c2/2)+(s_0+2*s_r+IF(circ_int,eq_c1/2,0)),IF(((58+0.5)*(4*IF(circ_int,0,eq_c1/2)+4*IF(circ_int,0,eq_c2/2)+2*PI()*(s_0+2*s_r+IF(circ_int,eq_c1/2,0)))/INDEX(lk_legs,3))&lt;((((2*IF(circ_int,0,eq_c2/2))+(PI()*(s_0+2*s_r+IF(circ_int,eq_c1/2,0))/2))+2*IF(circ_int,0,eq_c1/2))+(PI()*(s_0+2*s_r+IF(circ_int,eq_c1/2,0))/2)),IF(circ_int,0,eq_c2/2)+(s_0+2*s_r+IF(circ_int,eq_c1/2,0))*SIN(PI()/2+(((58+0.5)*(4*IF(circ_int,0,eq_c1/2)+4*IF(circ_int,0,eq_c2/2)+2*PI()*(s_0+2*s_r+IF(circ_int,eq_c1/2,0)))/INDEX(lk_legs,3))-(((2*IF(circ_int,0,eq_c2/2))+(PI()*(s_0+2*s_r+IF(circ_int,eq_c1/2,0))/2))+2*IF(circ_int,0,eq_c1/2)))/(s_0+2*s_r+IF(circ_int,eq_c1/2,0))),IF(((58+0.5)*(4*IF(circ_int,0,eq_c1/2)+4*IF(circ_int,0,eq_c2/2)+2*PI()*(s_0+2*s_r+IF(circ_int,eq_c1/2,0)))/INDEX(lk_legs,3))&lt;(((((2*IF(circ_int,0,eq_c2/2))+(PI()*(s_0+2*s_r+IF(circ_int,eq_c1/2,0))/2))+2*IF(circ_int,0,eq_c1/2))+(PI()*(s_0+2*s_r+IF(circ_int,eq_c1/2,0))/2))+2*IF(circ_int,0,eq_c2/2)),IF(circ_int,0,eq_c2/2)-(((58+0.5)*(4*IF(circ_int,0,eq_c1/2)+4*IF(circ_int,0,eq_c2/2)+2*PI()*(s_0+2*s_r+IF(circ_int,eq_c1/2,0)))/INDEX(lk_legs,3))-((((2*IF(circ_int,0,eq_c2/2))+(PI()*(s_0+2*s_r+IF(circ_int,eq_c1/2,0))/2))+2*IF(circ_int,0,eq_c1/2))+(PI()*(s_0+2*s_r+IF(circ_int,eq_c1/2,0))/2))),IF(((58+0.5)*(4*IF(circ_int,0,eq_c1/2)+4*IF(circ_int,0,eq_c2/2)+2*PI()*(s_0+2*s_r+IF(circ_int,eq_c1/2,0)))/INDEX(lk_legs,3))&lt;((((((2*IF(circ_int,0,eq_c2/2))+(PI()*(s_0+2*s_r+IF(circ_int,eq_c1/2,0))/2))+2*IF(circ_int,0,eq_c1/2))+(PI()*(s_0+2*s_r+IF(circ_int,eq_c1/2,0))/2))+2*IF(circ_int,0,eq_c2/2))+(PI()*(s_0+2*s_r+IF(circ_int,eq_c1/2,0))/2)),-IF(circ_int,0,eq_c2/2)+(s_0+2*s_r+IF(circ_int,eq_c1/2,0))*SIN(PI()+(((58+0.5)*(4*IF(circ_int,0,eq_c1/2)+4*IF(circ_int,0,eq_c2/2)+2*PI()*(s_0+2*s_r+IF(circ_int,eq_c1/2,0)))/INDEX(lk_legs,3))-(((((2*IF(circ_int,0,eq_c2/2))+(PI()*(s_0+2*s_r+IF(circ_int,eq_c1/2,0))/2))+2*IF(circ_int,0,eq_c1/2))+(PI()*(s_0+2*s_r+IF(circ_int,eq_c1/2,0))/2))+2*IF(circ_int,0,eq_c2/2)))/(s_0+2*s_r+IF(circ_int,eq_c1/2,0))),IF(((58+0.5)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(58+0.5)*(4*IF(circ_int,0,eq_c1/2)+4*IF(circ_int,0,eq_c2/2)+2*PI()*(s_0+2*s_r+IF(circ_int,eq_c1/2,0)))/INDEX(lk_legs,3))-(((((((2*IF(circ_int,0,eq_c2/2))+(PI()*(s_0+2*s_r+IF(circ_int,eq_c1/2,0))/2))+2*IF(circ_int,0,eq_c1/2))+(PI()*(s_0+2*s_r+IF(circ_int,eq_c1/2,0))/2))+2*IF(circ_int,0,eq_c2/2))+(PI()*(s_0+2*s_r+IF(circ_int,eq_c1/2,0))/2))+2*IF(circ_int,0,eq_c1/2)))/(s_0+2*s_r+IF(circ_int,eq_c1/2,0)))))))))),NA())</f>
        <v/>
      </c>
      <c r="BR61">
        <f>IF(AND(AND(links_on,4&lt;=n_per),INDEX(lk_kind,4)=1,58&lt;INDEX(lk_legs,4)),g_ox+IF(((58+0.5)*(4*IF(circ_int,0,eq_c1/2)+4*IF(circ_int,0,eq_c2/2)+2*PI()*(s_0+3*s_r+IF(circ_int,eq_c1/2,0)))/INDEX(lk_legs,4))&lt;(2*IF(circ_int,0,eq_c2/2)),IF(circ_int,0,eq_c1/2)+(s_0+3*s_r+IF(circ_int,eq_c1/2,0)),IF(((58+0.5)*(4*IF(circ_int,0,eq_c1/2)+4*IF(circ_int,0,eq_c2/2)+2*PI()*(s_0+3*s_r+IF(circ_int,eq_c1/2,0)))/INDEX(lk_legs,4))&lt;((2*IF(circ_int,0,eq_c2/2))+(PI()*(s_0+3*s_r+IF(circ_int,eq_c1/2,0))/2)),IF(circ_int,0,eq_c1/2)+(s_0+3*s_r+IF(circ_int,eq_c1/2,0))*COS((((58+0.5)*(4*IF(circ_int,0,eq_c1/2)+4*IF(circ_int,0,eq_c2/2)+2*PI()*(s_0+3*s_r+IF(circ_int,eq_c1/2,0)))/INDEX(lk_legs,4))-(2*IF(circ_int,0,eq_c2/2)))/(s_0+3*s_r+IF(circ_int,eq_c1/2,0))),IF(((58+0.5)*(4*IF(circ_int,0,eq_c1/2)+4*IF(circ_int,0,eq_c2/2)+2*PI()*(s_0+3*s_r+IF(circ_int,eq_c1/2,0)))/INDEX(lk_legs,4))&lt;(((2*IF(circ_int,0,eq_c2/2))+(PI()*(s_0+3*s_r+IF(circ_int,eq_c1/2,0))/2))+2*IF(circ_int,0,eq_c1/2)),IF(circ_int,0,eq_c1/2)-(((58+0.5)*(4*IF(circ_int,0,eq_c1/2)+4*IF(circ_int,0,eq_c2/2)+2*PI()*(s_0+3*s_r+IF(circ_int,eq_c1/2,0)))/INDEX(lk_legs,4))-((2*IF(circ_int,0,eq_c2/2))+(PI()*(s_0+3*s_r+IF(circ_int,eq_c1/2,0))/2))),IF(((58+0.5)*(4*IF(circ_int,0,eq_c1/2)+4*IF(circ_int,0,eq_c2/2)+2*PI()*(s_0+3*s_r+IF(circ_int,eq_c1/2,0)))/INDEX(lk_legs,4))&lt;((((2*IF(circ_int,0,eq_c2/2))+(PI()*(s_0+3*s_r+IF(circ_int,eq_c1/2,0))/2))+2*IF(circ_int,0,eq_c1/2))+(PI()*(s_0+3*s_r+IF(circ_int,eq_c1/2,0))/2)),-IF(circ_int,0,eq_c1/2)+(s_0+3*s_r+IF(circ_int,eq_c1/2,0))*COS(PI()/2+(((58+0.5)*(4*IF(circ_int,0,eq_c1/2)+4*IF(circ_int,0,eq_c2/2)+2*PI()*(s_0+3*s_r+IF(circ_int,eq_c1/2,0)))/INDEX(lk_legs,4))-(((2*IF(circ_int,0,eq_c2/2))+(PI()*(s_0+3*s_r+IF(circ_int,eq_c1/2,0))/2))+2*IF(circ_int,0,eq_c1/2)))/(s_0+3*s_r+IF(circ_int,eq_c1/2,0))),IF(((58+0.5)*(4*IF(circ_int,0,eq_c1/2)+4*IF(circ_int,0,eq_c2/2)+2*PI()*(s_0+3*s_r+IF(circ_int,eq_c1/2,0)))/INDEX(lk_legs,4))&lt;(((((2*IF(circ_int,0,eq_c2/2))+(PI()*(s_0+3*s_r+IF(circ_int,eq_c1/2,0))/2))+2*IF(circ_int,0,eq_c1/2))+(PI()*(s_0+3*s_r+IF(circ_int,eq_c1/2,0))/2))+2*IF(circ_int,0,eq_c2/2)),-IF(circ_int,0,eq_c1/2)-(s_0+3*s_r+IF(circ_int,eq_c1/2,0)),IF(((58+0.5)*(4*IF(circ_int,0,eq_c1/2)+4*IF(circ_int,0,eq_c2/2)+2*PI()*(s_0+3*s_r+IF(circ_int,eq_c1/2,0)))/INDEX(lk_legs,4))&lt;((((((2*IF(circ_int,0,eq_c2/2))+(PI()*(s_0+3*s_r+IF(circ_int,eq_c1/2,0))/2))+2*IF(circ_int,0,eq_c1/2))+(PI()*(s_0+3*s_r+IF(circ_int,eq_c1/2,0))/2))+2*IF(circ_int,0,eq_c2/2))+(PI()*(s_0+3*s_r+IF(circ_int,eq_c1/2,0))/2)),-IF(circ_int,0,eq_c1/2)+(s_0+3*s_r+IF(circ_int,eq_c1/2,0))*COS(PI()+(((58+0.5)*(4*IF(circ_int,0,eq_c1/2)+4*IF(circ_int,0,eq_c2/2)+2*PI()*(s_0+3*s_r+IF(circ_int,eq_c1/2,0)))/INDEX(lk_legs,4))-(((((2*IF(circ_int,0,eq_c2/2))+(PI()*(s_0+3*s_r+IF(circ_int,eq_c1/2,0))/2))+2*IF(circ_int,0,eq_c1/2))+(PI()*(s_0+3*s_r+IF(circ_int,eq_c1/2,0))/2))+2*IF(circ_int,0,eq_c2/2)))/(s_0+3*s_r+IF(circ_int,eq_c1/2,0))),IF(((58+0.5)*(4*IF(circ_int,0,eq_c1/2)+4*IF(circ_int,0,eq_c2/2)+2*PI()*(s_0+3*s_r+IF(circ_int,eq_c1/2,0)))/INDEX(lk_legs,4))&lt;(((((((2*IF(circ_int,0,eq_c2/2))+(PI()*(s_0+3*s_r+IF(circ_int,eq_c1/2,0))/2))+2*IF(circ_int,0,eq_c1/2))+(PI()*(s_0+3*s_r+IF(circ_int,eq_c1/2,0))/2))+2*IF(circ_int,0,eq_c2/2))+(PI()*(s_0+3*s_r+IF(circ_int,eq_c1/2,0))/2))+2*IF(circ_int,0,eq_c1/2)),-IF(circ_int,0,eq_c1/2)+(((58+0.5)*(4*IF(circ_int,0,eq_c1/2)+4*IF(circ_int,0,eq_c2/2)+2*PI()*(s_0+3*s_r+IF(circ_int,eq_c1/2,0)))/INDEX(lk_legs,4))-((((((2*IF(circ_int,0,eq_c2/2))+(PI()*(s_0+3*s_r+IF(circ_int,eq_c1/2,0))/2))+2*IF(circ_int,0,eq_c1/2))+(PI()*(s_0+3*s_r+IF(circ_int,eq_c1/2,0))/2))+2*IF(circ_int,0,eq_c2/2))+(PI()*(s_0+3*s_r+IF(circ_int,eq_c1/2,0))/2))),IF(circ_int,0,eq_c1/2)+(s_0+3*s_r+IF(circ_int,eq_c1/2,0))*COS(3*PI()/2+(((58+0.5)*(4*IF(circ_int,0,eq_c1/2)+4*IF(circ_int,0,eq_c2/2)+2*PI()*(s_0+3*s_r+IF(circ_int,eq_c1/2,0)))/INDEX(lk_legs,4))-(((((((2*IF(circ_int,0,eq_c2/2))+(PI()*(s_0+3*s_r+IF(circ_int,eq_c1/2,0))/2))+2*IF(circ_int,0,eq_c1/2))+(PI()*(s_0+3*s_r+IF(circ_int,eq_c1/2,0))/2))+2*IF(circ_int,0,eq_c2/2))+(PI()*(s_0+3*s_r+IF(circ_int,eq_c1/2,0))/2))+2*IF(circ_int,0,eq_c1/2)))/(s_0+3*s_r+IF(circ_int,eq_c1/2,0)))))))))),NA())</f>
        <v/>
      </c>
      <c r="BS61">
        <f>IF(AND(AND(links_on,4&lt;=n_per),INDEX(lk_kind,4)=1,58&lt;INDEX(lk_legs,4)),g_oy+IF(((58+0.5)*(4*IF(circ_int,0,eq_c1/2)+4*IF(circ_int,0,eq_c2/2)+2*PI()*(s_0+3*s_r+IF(circ_int,eq_c1/2,0)))/INDEX(lk_legs,4))&lt;(2*IF(circ_int,0,eq_c2/2)),-IF(circ_int,0,eq_c2/2)+((58+0.5)*(4*IF(circ_int,0,eq_c1/2)+4*IF(circ_int,0,eq_c2/2)+2*PI()*(s_0+3*s_r+IF(circ_int,eq_c1/2,0)))/INDEX(lk_legs,4)),IF(((58+0.5)*(4*IF(circ_int,0,eq_c1/2)+4*IF(circ_int,0,eq_c2/2)+2*PI()*(s_0+3*s_r+IF(circ_int,eq_c1/2,0)))/INDEX(lk_legs,4))&lt;((2*IF(circ_int,0,eq_c2/2))+(PI()*(s_0+3*s_r+IF(circ_int,eq_c1/2,0))/2)),IF(circ_int,0,eq_c2/2)+(s_0+3*s_r+IF(circ_int,eq_c1/2,0))*SIN((((58+0.5)*(4*IF(circ_int,0,eq_c1/2)+4*IF(circ_int,0,eq_c2/2)+2*PI()*(s_0+3*s_r+IF(circ_int,eq_c1/2,0)))/INDEX(lk_legs,4))-(2*IF(circ_int,0,eq_c2/2)))/(s_0+3*s_r+IF(circ_int,eq_c1/2,0))),IF(((58+0.5)*(4*IF(circ_int,0,eq_c1/2)+4*IF(circ_int,0,eq_c2/2)+2*PI()*(s_0+3*s_r+IF(circ_int,eq_c1/2,0)))/INDEX(lk_legs,4))&lt;(((2*IF(circ_int,0,eq_c2/2))+(PI()*(s_0+3*s_r+IF(circ_int,eq_c1/2,0))/2))+2*IF(circ_int,0,eq_c1/2)),IF(circ_int,0,eq_c2/2)+(s_0+3*s_r+IF(circ_int,eq_c1/2,0)),IF(((58+0.5)*(4*IF(circ_int,0,eq_c1/2)+4*IF(circ_int,0,eq_c2/2)+2*PI()*(s_0+3*s_r+IF(circ_int,eq_c1/2,0)))/INDEX(lk_legs,4))&lt;((((2*IF(circ_int,0,eq_c2/2))+(PI()*(s_0+3*s_r+IF(circ_int,eq_c1/2,0))/2))+2*IF(circ_int,0,eq_c1/2))+(PI()*(s_0+3*s_r+IF(circ_int,eq_c1/2,0))/2)),IF(circ_int,0,eq_c2/2)+(s_0+3*s_r+IF(circ_int,eq_c1/2,0))*SIN(PI()/2+(((58+0.5)*(4*IF(circ_int,0,eq_c1/2)+4*IF(circ_int,0,eq_c2/2)+2*PI()*(s_0+3*s_r+IF(circ_int,eq_c1/2,0)))/INDEX(lk_legs,4))-(((2*IF(circ_int,0,eq_c2/2))+(PI()*(s_0+3*s_r+IF(circ_int,eq_c1/2,0))/2))+2*IF(circ_int,0,eq_c1/2)))/(s_0+3*s_r+IF(circ_int,eq_c1/2,0))),IF(((58+0.5)*(4*IF(circ_int,0,eq_c1/2)+4*IF(circ_int,0,eq_c2/2)+2*PI()*(s_0+3*s_r+IF(circ_int,eq_c1/2,0)))/INDEX(lk_legs,4))&lt;(((((2*IF(circ_int,0,eq_c2/2))+(PI()*(s_0+3*s_r+IF(circ_int,eq_c1/2,0))/2))+2*IF(circ_int,0,eq_c1/2))+(PI()*(s_0+3*s_r+IF(circ_int,eq_c1/2,0))/2))+2*IF(circ_int,0,eq_c2/2)),IF(circ_int,0,eq_c2/2)-(((58+0.5)*(4*IF(circ_int,0,eq_c1/2)+4*IF(circ_int,0,eq_c2/2)+2*PI()*(s_0+3*s_r+IF(circ_int,eq_c1/2,0)))/INDEX(lk_legs,4))-((((2*IF(circ_int,0,eq_c2/2))+(PI()*(s_0+3*s_r+IF(circ_int,eq_c1/2,0))/2))+2*IF(circ_int,0,eq_c1/2))+(PI()*(s_0+3*s_r+IF(circ_int,eq_c1/2,0))/2))),IF(((58+0.5)*(4*IF(circ_int,0,eq_c1/2)+4*IF(circ_int,0,eq_c2/2)+2*PI()*(s_0+3*s_r+IF(circ_int,eq_c1/2,0)))/INDEX(lk_legs,4))&lt;((((((2*IF(circ_int,0,eq_c2/2))+(PI()*(s_0+3*s_r+IF(circ_int,eq_c1/2,0))/2))+2*IF(circ_int,0,eq_c1/2))+(PI()*(s_0+3*s_r+IF(circ_int,eq_c1/2,0))/2))+2*IF(circ_int,0,eq_c2/2))+(PI()*(s_0+3*s_r+IF(circ_int,eq_c1/2,0))/2)),-IF(circ_int,0,eq_c2/2)+(s_0+3*s_r+IF(circ_int,eq_c1/2,0))*SIN(PI()+(((58+0.5)*(4*IF(circ_int,0,eq_c1/2)+4*IF(circ_int,0,eq_c2/2)+2*PI()*(s_0+3*s_r+IF(circ_int,eq_c1/2,0)))/INDEX(lk_legs,4))-(((((2*IF(circ_int,0,eq_c2/2))+(PI()*(s_0+3*s_r+IF(circ_int,eq_c1/2,0))/2))+2*IF(circ_int,0,eq_c1/2))+(PI()*(s_0+3*s_r+IF(circ_int,eq_c1/2,0))/2))+2*IF(circ_int,0,eq_c2/2)))/(s_0+3*s_r+IF(circ_int,eq_c1/2,0))),IF(((58+0.5)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(58+0.5)*(4*IF(circ_int,0,eq_c1/2)+4*IF(circ_int,0,eq_c2/2)+2*PI()*(s_0+3*s_r+IF(circ_int,eq_c1/2,0)))/INDEX(lk_legs,4))-(((((((2*IF(circ_int,0,eq_c2/2))+(PI()*(s_0+3*s_r+IF(circ_int,eq_c1/2,0))/2))+2*IF(circ_int,0,eq_c1/2))+(PI()*(s_0+3*s_r+IF(circ_int,eq_c1/2,0))/2))+2*IF(circ_int,0,eq_c2/2))+(PI()*(s_0+3*s_r+IF(circ_int,eq_c1/2,0))/2))+2*IF(circ_int,0,eq_c1/2)))/(s_0+3*s_r+IF(circ_int,eq_c1/2,0)))))))))),NA())</f>
        <v/>
      </c>
      <c r="BX61">
        <f>IF(AND(AND(links_on,5&lt;=n_per),INDEX(lk_kind,5)=1,58&lt;INDEX(lk_legs,5)),g_ox+IF(((58+0.5)*(4*IF(circ_int,0,eq_c1/2)+4*IF(circ_int,0,eq_c2/2)+2*PI()*(s_0+4*s_r+IF(circ_int,eq_c1/2,0)))/INDEX(lk_legs,5))&lt;(2*IF(circ_int,0,eq_c2/2)),IF(circ_int,0,eq_c1/2)+(s_0+4*s_r+IF(circ_int,eq_c1/2,0)),IF(((58+0.5)*(4*IF(circ_int,0,eq_c1/2)+4*IF(circ_int,0,eq_c2/2)+2*PI()*(s_0+4*s_r+IF(circ_int,eq_c1/2,0)))/INDEX(lk_legs,5))&lt;((2*IF(circ_int,0,eq_c2/2))+(PI()*(s_0+4*s_r+IF(circ_int,eq_c1/2,0))/2)),IF(circ_int,0,eq_c1/2)+(s_0+4*s_r+IF(circ_int,eq_c1/2,0))*COS((((58+0.5)*(4*IF(circ_int,0,eq_c1/2)+4*IF(circ_int,0,eq_c2/2)+2*PI()*(s_0+4*s_r+IF(circ_int,eq_c1/2,0)))/INDEX(lk_legs,5))-(2*IF(circ_int,0,eq_c2/2)))/(s_0+4*s_r+IF(circ_int,eq_c1/2,0))),IF(((58+0.5)*(4*IF(circ_int,0,eq_c1/2)+4*IF(circ_int,0,eq_c2/2)+2*PI()*(s_0+4*s_r+IF(circ_int,eq_c1/2,0)))/INDEX(lk_legs,5))&lt;(((2*IF(circ_int,0,eq_c2/2))+(PI()*(s_0+4*s_r+IF(circ_int,eq_c1/2,0))/2))+2*IF(circ_int,0,eq_c1/2)),IF(circ_int,0,eq_c1/2)-(((58+0.5)*(4*IF(circ_int,0,eq_c1/2)+4*IF(circ_int,0,eq_c2/2)+2*PI()*(s_0+4*s_r+IF(circ_int,eq_c1/2,0)))/INDEX(lk_legs,5))-((2*IF(circ_int,0,eq_c2/2))+(PI()*(s_0+4*s_r+IF(circ_int,eq_c1/2,0))/2))),IF(((58+0.5)*(4*IF(circ_int,0,eq_c1/2)+4*IF(circ_int,0,eq_c2/2)+2*PI()*(s_0+4*s_r+IF(circ_int,eq_c1/2,0)))/INDEX(lk_legs,5))&lt;((((2*IF(circ_int,0,eq_c2/2))+(PI()*(s_0+4*s_r+IF(circ_int,eq_c1/2,0))/2))+2*IF(circ_int,0,eq_c1/2))+(PI()*(s_0+4*s_r+IF(circ_int,eq_c1/2,0))/2)),-IF(circ_int,0,eq_c1/2)+(s_0+4*s_r+IF(circ_int,eq_c1/2,0))*COS(PI()/2+(((58+0.5)*(4*IF(circ_int,0,eq_c1/2)+4*IF(circ_int,0,eq_c2/2)+2*PI()*(s_0+4*s_r+IF(circ_int,eq_c1/2,0)))/INDEX(lk_legs,5))-(((2*IF(circ_int,0,eq_c2/2))+(PI()*(s_0+4*s_r+IF(circ_int,eq_c1/2,0))/2))+2*IF(circ_int,0,eq_c1/2)))/(s_0+4*s_r+IF(circ_int,eq_c1/2,0))),IF(((58+0.5)*(4*IF(circ_int,0,eq_c1/2)+4*IF(circ_int,0,eq_c2/2)+2*PI()*(s_0+4*s_r+IF(circ_int,eq_c1/2,0)))/INDEX(lk_legs,5))&lt;(((((2*IF(circ_int,0,eq_c2/2))+(PI()*(s_0+4*s_r+IF(circ_int,eq_c1/2,0))/2))+2*IF(circ_int,0,eq_c1/2))+(PI()*(s_0+4*s_r+IF(circ_int,eq_c1/2,0))/2))+2*IF(circ_int,0,eq_c2/2)),-IF(circ_int,0,eq_c1/2)-(s_0+4*s_r+IF(circ_int,eq_c1/2,0)),IF(((58+0.5)*(4*IF(circ_int,0,eq_c1/2)+4*IF(circ_int,0,eq_c2/2)+2*PI()*(s_0+4*s_r+IF(circ_int,eq_c1/2,0)))/INDEX(lk_legs,5))&lt;((((((2*IF(circ_int,0,eq_c2/2))+(PI()*(s_0+4*s_r+IF(circ_int,eq_c1/2,0))/2))+2*IF(circ_int,0,eq_c1/2))+(PI()*(s_0+4*s_r+IF(circ_int,eq_c1/2,0))/2))+2*IF(circ_int,0,eq_c2/2))+(PI()*(s_0+4*s_r+IF(circ_int,eq_c1/2,0))/2)),-IF(circ_int,0,eq_c1/2)+(s_0+4*s_r+IF(circ_int,eq_c1/2,0))*COS(PI()+(((58+0.5)*(4*IF(circ_int,0,eq_c1/2)+4*IF(circ_int,0,eq_c2/2)+2*PI()*(s_0+4*s_r+IF(circ_int,eq_c1/2,0)))/INDEX(lk_legs,5))-(((((2*IF(circ_int,0,eq_c2/2))+(PI()*(s_0+4*s_r+IF(circ_int,eq_c1/2,0))/2))+2*IF(circ_int,0,eq_c1/2))+(PI()*(s_0+4*s_r+IF(circ_int,eq_c1/2,0))/2))+2*IF(circ_int,0,eq_c2/2)))/(s_0+4*s_r+IF(circ_int,eq_c1/2,0))),IF(((58+0.5)*(4*IF(circ_int,0,eq_c1/2)+4*IF(circ_int,0,eq_c2/2)+2*PI()*(s_0+4*s_r+IF(circ_int,eq_c1/2,0)))/INDEX(lk_legs,5))&lt;(((((((2*IF(circ_int,0,eq_c2/2))+(PI()*(s_0+4*s_r+IF(circ_int,eq_c1/2,0))/2))+2*IF(circ_int,0,eq_c1/2))+(PI()*(s_0+4*s_r+IF(circ_int,eq_c1/2,0))/2))+2*IF(circ_int,0,eq_c2/2))+(PI()*(s_0+4*s_r+IF(circ_int,eq_c1/2,0))/2))+2*IF(circ_int,0,eq_c1/2)),-IF(circ_int,0,eq_c1/2)+(((58+0.5)*(4*IF(circ_int,0,eq_c1/2)+4*IF(circ_int,0,eq_c2/2)+2*PI()*(s_0+4*s_r+IF(circ_int,eq_c1/2,0)))/INDEX(lk_legs,5))-((((((2*IF(circ_int,0,eq_c2/2))+(PI()*(s_0+4*s_r+IF(circ_int,eq_c1/2,0))/2))+2*IF(circ_int,0,eq_c1/2))+(PI()*(s_0+4*s_r+IF(circ_int,eq_c1/2,0))/2))+2*IF(circ_int,0,eq_c2/2))+(PI()*(s_0+4*s_r+IF(circ_int,eq_c1/2,0))/2))),IF(circ_int,0,eq_c1/2)+(s_0+4*s_r+IF(circ_int,eq_c1/2,0))*COS(3*PI()/2+(((58+0.5)*(4*IF(circ_int,0,eq_c1/2)+4*IF(circ_int,0,eq_c2/2)+2*PI()*(s_0+4*s_r+IF(circ_int,eq_c1/2,0)))/INDEX(lk_legs,5))-(((((((2*IF(circ_int,0,eq_c2/2))+(PI()*(s_0+4*s_r+IF(circ_int,eq_c1/2,0))/2))+2*IF(circ_int,0,eq_c1/2))+(PI()*(s_0+4*s_r+IF(circ_int,eq_c1/2,0))/2))+2*IF(circ_int,0,eq_c2/2))+(PI()*(s_0+4*s_r+IF(circ_int,eq_c1/2,0))/2))+2*IF(circ_int,0,eq_c1/2)))/(s_0+4*s_r+IF(circ_int,eq_c1/2,0)))))))))),NA())</f>
        <v/>
      </c>
      <c r="BY61">
        <f>IF(AND(AND(links_on,5&lt;=n_per),INDEX(lk_kind,5)=1,58&lt;INDEX(lk_legs,5)),g_oy+IF(((58+0.5)*(4*IF(circ_int,0,eq_c1/2)+4*IF(circ_int,0,eq_c2/2)+2*PI()*(s_0+4*s_r+IF(circ_int,eq_c1/2,0)))/INDEX(lk_legs,5))&lt;(2*IF(circ_int,0,eq_c2/2)),-IF(circ_int,0,eq_c2/2)+((58+0.5)*(4*IF(circ_int,0,eq_c1/2)+4*IF(circ_int,0,eq_c2/2)+2*PI()*(s_0+4*s_r+IF(circ_int,eq_c1/2,0)))/INDEX(lk_legs,5)),IF(((58+0.5)*(4*IF(circ_int,0,eq_c1/2)+4*IF(circ_int,0,eq_c2/2)+2*PI()*(s_0+4*s_r+IF(circ_int,eq_c1/2,0)))/INDEX(lk_legs,5))&lt;((2*IF(circ_int,0,eq_c2/2))+(PI()*(s_0+4*s_r+IF(circ_int,eq_c1/2,0))/2)),IF(circ_int,0,eq_c2/2)+(s_0+4*s_r+IF(circ_int,eq_c1/2,0))*SIN((((58+0.5)*(4*IF(circ_int,0,eq_c1/2)+4*IF(circ_int,0,eq_c2/2)+2*PI()*(s_0+4*s_r+IF(circ_int,eq_c1/2,0)))/INDEX(lk_legs,5))-(2*IF(circ_int,0,eq_c2/2)))/(s_0+4*s_r+IF(circ_int,eq_c1/2,0))),IF(((58+0.5)*(4*IF(circ_int,0,eq_c1/2)+4*IF(circ_int,0,eq_c2/2)+2*PI()*(s_0+4*s_r+IF(circ_int,eq_c1/2,0)))/INDEX(lk_legs,5))&lt;(((2*IF(circ_int,0,eq_c2/2))+(PI()*(s_0+4*s_r+IF(circ_int,eq_c1/2,0))/2))+2*IF(circ_int,0,eq_c1/2)),IF(circ_int,0,eq_c2/2)+(s_0+4*s_r+IF(circ_int,eq_c1/2,0)),IF(((58+0.5)*(4*IF(circ_int,0,eq_c1/2)+4*IF(circ_int,0,eq_c2/2)+2*PI()*(s_0+4*s_r+IF(circ_int,eq_c1/2,0)))/INDEX(lk_legs,5))&lt;((((2*IF(circ_int,0,eq_c2/2))+(PI()*(s_0+4*s_r+IF(circ_int,eq_c1/2,0))/2))+2*IF(circ_int,0,eq_c1/2))+(PI()*(s_0+4*s_r+IF(circ_int,eq_c1/2,0))/2)),IF(circ_int,0,eq_c2/2)+(s_0+4*s_r+IF(circ_int,eq_c1/2,0))*SIN(PI()/2+(((58+0.5)*(4*IF(circ_int,0,eq_c1/2)+4*IF(circ_int,0,eq_c2/2)+2*PI()*(s_0+4*s_r+IF(circ_int,eq_c1/2,0)))/INDEX(lk_legs,5))-(((2*IF(circ_int,0,eq_c2/2))+(PI()*(s_0+4*s_r+IF(circ_int,eq_c1/2,0))/2))+2*IF(circ_int,0,eq_c1/2)))/(s_0+4*s_r+IF(circ_int,eq_c1/2,0))),IF(((58+0.5)*(4*IF(circ_int,0,eq_c1/2)+4*IF(circ_int,0,eq_c2/2)+2*PI()*(s_0+4*s_r+IF(circ_int,eq_c1/2,0)))/INDEX(lk_legs,5))&lt;(((((2*IF(circ_int,0,eq_c2/2))+(PI()*(s_0+4*s_r+IF(circ_int,eq_c1/2,0))/2))+2*IF(circ_int,0,eq_c1/2))+(PI()*(s_0+4*s_r+IF(circ_int,eq_c1/2,0))/2))+2*IF(circ_int,0,eq_c2/2)),IF(circ_int,0,eq_c2/2)-(((58+0.5)*(4*IF(circ_int,0,eq_c1/2)+4*IF(circ_int,0,eq_c2/2)+2*PI()*(s_0+4*s_r+IF(circ_int,eq_c1/2,0)))/INDEX(lk_legs,5))-((((2*IF(circ_int,0,eq_c2/2))+(PI()*(s_0+4*s_r+IF(circ_int,eq_c1/2,0))/2))+2*IF(circ_int,0,eq_c1/2))+(PI()*(s_0+4*s_r+IF(circ_int,eq_c1/2,0))/2))),IF(((58+0.5)*(4*IF(circ_int,0,eq_c1/2)+4*IF(circ_int,0,eq_c2/2)+2*PI()*(s_0+4*s_r+IF(circ_int,eq_c1/2,0)))/INDEX(lk_legs,5))&lt;((((((2*IF(circ_int,0,eq_c2/2))+(PI()*(s_0+4*s_r+IF(circ_int,eq_c1/2,0))/2))+2*IF(circ_int,0,eq_c1/2))+(PI()*(s_0+4*s_r+IF(circ_int,eq_c1/2,0))/2))+2*IF(circ_int,0,eq_c2/2))+(PI()*(s_0+4*s_r+IF(circ_int,eq_c1/2,0))/2)),-IF(circ_int,0,eq_c2/2)+(s_0+4*s_r+IF(circ_int,eq_c1/2,0))*SIN(PI()+(((58+0.5)*(4*IF(circ_int,0,eq_c1/2)+4*IF(circ_int,0,eq_c2/2)+2*PI()*(s_0+4*s_r+IF(circ_int,eq_c1/2,0)))/INDEX(lk_legs,5))-(((((2*IF(circ_int,0,eq_c2/2))+(PI()*(s_0+4*s_r+IF(circ_int,eq_c1/2,0))/2))+2*IF(circ_int,0,eq_c1/2))+(PI()*(s_0+4*s_r+IF(circ_int,eq_c1/2,0))/2))+2*IF(circ_int,0,eq_c2/2)))/(s_0+4*s_r+IF(circ_int,eq_c1/2,0))),IF(((58+0.5)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(58+0.5)*(4*IF(circ_int,0,eq_c1/2)+4*IF(circ_int,0,eq_c2/2)+2*PI()*(s_0+4*s_r+IF(circ_int,eq_c1/2,0)))/INDEX(lk_legs,5))-(((((((2*IF(circ_int,0,eq_c2/2))+(PI()*(s_0+4*s_r+IF(circ_int,eq_c1/2,0))/2))+2*IF(circ_int,0,eq_c1/2))+(PI()*(s_0+4*s_r+IF(circ_int,eq_c1/2,0))/2))+2*IF(circ_int,0,eq_c2/2))+(PI()*(s_0+4*s_r+IF(circ_int,eq_c1/2,0))/2))+2*IF(circ_int,0,eq_c1/2)))/(s_0+4*s_r+IF(circ_int,eq_c1/2,0)))))))))),NA())</f>
        <v/>
      </c>
      <c r="CD61">
        <f>IF(AND(AND(links_on,6&lt;=n_per),INDEX(lk_kind,6)=1,58&lt;INDEX(lk_legs,6)),g_ox+IF(((58+0.5)*(4*IF(circ_int,0,eq_c1/2)+4*IF(circ_int,0,eq_c2/2)+2*PI()*(s_0+5*s_r+IF(circ_int,eq_c1/2,0)))/INDEX(lk_legs,6))&lt;(2*IF(circ_int,0,eq_c2/2)),IF(circ_int,0,eq_c1/2)+(s_0+5*s_r+IF(circ_int,eq_c1/2,0)),IF(((58+0.5)*(4*IF(circ_int,0,eq_c1/2)+4*IF(circ_int,0,eq_c2/2)+2*PI()*(s_0+5*s_r+IF(circ_int,eq_c1/2,0)))/INDEX(lk_legs,6))&lt;((2*IF(circ_int,0,eq_c2/2))+(PI()*(s_0+5*s_r+IF(circ_int,eq_c1/2,0))/2)),IF(circ_int,0,eq_c1/2)+(s_0+5*s_r+IF(circ_int,eq_c1/2,0))*COS((((58+0.5)*(4*IF(circ_int,0,eq_c1/2)+4*IF(circ_int,0,eq_c2/2)+2*PI()*(s_0+5*s_r+IF(circ_int,eq_c1/2,0)))/INDEX(lk_legs,6))-(2*IF(circ_int,0,eq_c2/2)))/(s_0+5*s_r+IF(circ_int,eq_c1/2,0))),IF(((58+0.5)*(4*IF(circ_int,0,eq_c1/2)+4*IF(circ_int,0,eq_c2/2)+2*PI()*(s_0+5*s_r+IF(circ_int,eq_c1/2,0)))/INDEX(lk_legs,6))&lt;(((2*IF(circ_int,0,eq_c2/2))+(PI()*(s_0+5*s_r+IF(circ_int,eq_c1/2,0))/2))+2*IF(circ_int,0,eq_c1/2)),IF(circ_int,0,eq_c1/2)-(((58+0.5)*(4*IF(circ_int,0,eq_c1/2)+4*IF(circ_int,0,eq_c2/2)+2*PI()*(s_0+5*s_r+IF(circ_int,eq_c1/2,0)))/INDEX(lk_legs,6))-((2*IF(circ_int,0,eq_c2/2))+(PI()*(s_0+5*s_r+IF(circ_int,eq_c1/2,0))/2))),IF(((58+0.5)*(4*IF(circ_int,0,eq_c1/2)+4*IF(circ_int,0,eq_c2/2)+2*PI()*(s_0+5*s_r+IF(circ_int,eq_c1/2,0)))/INDEX(lk_legs,6))&lt;((((2*IF(circ_int,0,eq_c2/2))+(PI()*(s_0+5*s_r+IF(circ_int,eq_c1/2,0))/2))+2*IF(circ_int,0,eq_c1/2))+(PI()*(s_0+5*s_r+IF(circ_int,eq_c1/2,0))/2)),-IF(circ_int,0,eq_c1/2)+(s_0+5*s_r+IF(circ_int,eq_c1/2,0))*COS(PI()/2+(((58+0.5)*(4*IF(circ_int,0,eq_c1/2)+4*IF(circ_int,0,eq_c2/2)+2*PI()*(s_0+5*s_r+IF(circ_int,eq_c1/2,0)))/INDEX(lk_legs,6))-(((2*IF(circ_int,0,eq_c2/2))+(PI()*(s_0+5*s_r+IF(circ_int,eq_c1/2,0))/2))+2*IF(circ_int,0,eq_c1/2)))/(s_0+5*s_r+IF(circ_int,eq_c1/2,0))),IF(((58+0.5)*(4*IF(circ_int,0,eq_c1/2)+4*IF(circ_int,0,eq_c2/2)+2*PI()*(s_0+5*s_r+IF(circ_int,eq_c1/2,0)))/INDEX(lk_legs,6))&lt;(((((2*IF(circ_int,0,eq_c2/2))+(PI()*(s_0+5*s_r+IF(circ_int,eq_c1/2,0))/2))+2*IF(circ_int,0,eq_c1/2))+(PI()*(s_0+5*s_r+IF(circ_int,eq_c1/2,0))/2))+2*IF(circ_int,0,eq_c2/2)),-IF(circ_int,0,eq_c1/2)-(s_0+5*s_r+IF(circ_int,eq_c1/2,0)),IF(((58+0.5)*(4*IF(circ_int,0,eq_c1/2)+4*IF(circ_int,0,eq_c2/2)+2*PI()*(s_0+5*s_r+IF(circ_int,eq_c1/2,0)))/INDEX(lk_legs,6))&lt;((((((2*IF(circ_int,0,eq_c2/2))+(PI()*(s_0+5*s_r+IF(circ_int,eq_c1/2,0))/2))+2*IF(circ_int,0,eq_c1/2))+(PI()*(s_0+5*s_r+IF(circ_int,eq_c1/2,0))/2))+2*IF(circ_int,0,eq_c2/2))+(PI()*(s_0+5*s_r+IF(circ_int,eq_c1/2,0))/2)),-IF(circ_int,0,eq_c1/2)+(s_0+5*s_r+IF(circ_int,eq_c1/2,0))*COS(PI()+(((58+0.5)*(4*IF(circ_int,0,eq_c1/2)+4*IF(circ_int,0,eq_c2/2)+2*PI()*(s_0+5*s_r+IF(circ_int,eq_c1/2,0)))/INDEX(lk_legs,6))-(((((2*IF(circ_int,0,eq_c2/2))+(PI()*(s_0+5*s_r+IF(circ_int,eq_c1/2,0))/2))+2*IF(circ_int,0,eq_c1/2))+(PI()*(s_0+5*s_r+IF(circ_int,eq_c1/2,0))/2))+2*IF(circ_int,0,eq_c2/2)))/(s_0+5*s_r+IF(circ_int,eq_c1/2,0))),IF(((58+0.5)*(4*IF(circ_int,0,eq_c1/2)+4*IF(circ_int,0,eq_c2/2)+2*PI()*(s_0+5*s_r+IF(circ_int,eq_c1/2,0)))/INDEX(lk_legs,6))&lt;(((((((2*IF(circ_int,0,eq_c2/2))+(PI()*(s_0+5*s_r+IF(circ_int,eq_c1/2,0))/2))+2*IF(circ_int,0,eq_c1/2))+(PI()*(s_0+5*s_r+IF(circ_int,eq_c1/2,0))/2))+2*IF(circ_int,0,eq_c2/2))+(PI()*(s_0+5*s_r+IF(circ_int,eq_c1/2,0))/2))+2*IF(circ_int,0,eq_c1/2)),-IF(circ_int,0,eq_c1/2)+(((58+0.5)*(4*IF(circ_int,0,eq_c1/2)+4*IF(circ_int,0,eq_c2/2)+2*PI()*(s_0+5*s_r+IF(circ_int,eq_c1/2,0)))/INDEX(lk_legs,6))-((((((2*IF(circ_int,0,eq_c2/2))+(PI()*(s_0+5*s_r+IF(circ_int,eq_c1/2,0))/2))+2*IF(circ_int,0,eq_c1/2))+(PI()*(s_0+5*s_r+IF(circ_int,eq_c1/2,0))/2))+2*IF(circ_int,0,eq_c2/2))+(PI()*(s_0+5*s_r+IF(circ_int,eq_c1/2,0))/2))),IF(circ_int,0,eq_c1/2)+(s_0+5*s_r+IF(circ_int,eq_c1/2,0))*COS(3*PI()/2+(((58+0.5)*(4*IF(circ_int,0,eq_c1/2)+4*IF(circ_int,0,eq_c2/2)+2*PI()*(s_0+5*s_r+IF(circ_int,eq_c1/2,0)))/INDEX(lk_legs,6))-(((((((2*IF(circ_int,0,eq_c2/2))+(PI()*(s_0+5*s_r+IF(circ_int,eq_c1/2,0))/2))+2*IF(circ_int,0,eq_c1/2))+(PI()*(s_0+5*s_r+IF(circ_int,eq_c1/2,0))/2))+2*IF(circ_int,0,eq_c2/2))+(PI()*(s_0+5*s_r+IF(circ_int,eq_c1/2,0))/2))+2*IF(circ_int,0,eq_c1/2)))/(s_0+5*s_r+IF(circ_int,eq_c1/2,0)))))))))),NA())</f>
        <v/>
      </c>
      <c r="CE61">
        <f>IF(AND(AND(links_on,6&lt;=n_per),INDEX(lk_kind,6)=1,58&lt;INDEX(lk_legs,6)),g_oy+IF(((58+0.5)*(4*IF(circ_int,0,eq_c1/2)+4*IF(circ_int,0,eq_c2/2)+2*PI()*(s_0+5*s_r+IF(circ_int,eq_c1/2,0)))/INDEX(lk_legs,6))&lt;(2*IF(circ_int,0,eq_c2/2)),-IF(circ_int,0,eq_c2/2)+((58+0.5)*(4*IF(circ_int,0,eq_c1/2)+4*IF(circ_int,0,eq_c2/2)+2*PI()*(s_0+5*s_r+IF(circ_int,eq_c1/2,0)))/INDEX(lk_legs,6)),IF(((58+0.5)*(4*IF(circ_int,0,eq_c1/2)+4*IF(circ_int,0,eq_c2/2)+2*PI()*(s_0+5*s_r+IF(circ_int,eq_c1/2,0)))/INDEX(lk_legs,6))&lt;((2*IF(circ_int,0,eq_c2/2))+(PI()*(s_0+5*s_r+IF(circ_int,eq_c1/2,0))/2)),IF(circ_int,0,eq_c2/2)+(s_0+5*s_r+IF(circ_int,eq_c1/2,0))*SIN((((58+0.5)*(4*IF(circ_int,0,eq_c1/2)+4*IF(circ_int,0,eq_c2/2)+2*PI()*(s_0+5*s_r+IF(circ_int,eq_c1/2,0)))/INDEX(lk_legs,6))-(2*IF(circ_int,0,eq_c2/2)))/(s_0+5*s_r+IF(circ_int,eq_c1/2,0))),IF(((58+0.5)*(4*IF(circ_int,0,eq_c1/2)+4*IF(circ_int,0,eq_c2/2)+2*PI()*(s_0+5*s_r+IF(circ_int,eq_c1/2,0)))/INDEX(lk_legs,6))&lt;(((2*IF(circ_int,0,eq_c2/2))+(PI()*(s_0+5*s_r+IF(circ_int,eq_c1/2,0))/2))+2*IF(circ_int,0,eq_c1/2)),IF(circ_int,0,eq_c2/2)+(s_0+5*s_r+IF(circ_int,eq_c1/2,0)),IF(((58+0.5)*(4*IF(circ_int,0,eq_c1/2)+4*IF(circ_int,0,eq_c2/2)+2*PI()*(s_0+5*s_r+IF(circ_int,eq_c1/2,0)))/INDEX(lk_legs,6))&lt;((((2*IF(circ_int,0,eq_c2/2))+(PI()*(s_0+5*s_r+IF(circ_int,eq_c1/2,0))/2))+2*IF(circ_int,0,eq_c1/2))+(PI()*(s_0+5*s_r+IF(circ_int,eq_c1/2,0))/2)),IF(circ_int,0,eq_c2/2)+(s_0+5*s_r+IF(circ_int,eq_c1/2,0))*SIN(PI()/2+(((58+0.5)*(4*IF(circ_int,0,eq_c1/2)+4*IF(circ_int,0,eq_c2/2)+2*PI()*(s_0+5*s_r+IF(circ_int,eq_c1/2,0)))/INDEX(lk_legs,6))-(((2*IF(circ_int,0,eq_c2/2))+(PI()*(s_0+5*s_r+IF(circ_int,eq_c1/2,0))/2))+2*IF(circ_int,0,eq_c1/2)))/(s_0+5*s_r+IF(circ_int,eq_c1/2,0))),IF(((58+0.5)*(4*IF(circ_int,0,eq_c1/2)+4*IF(circ_int,0,eq_c2/2)+2*PI()*(s_0+5*s_r+IF(circ_int,eq_c1/2,0)))/INDEX(lk_legs,6))&lt;(((((2*IF(circ_int,0,eq_c2/2))+(PI()*(s_0+5*s_r+IF(circ_int,eq_c1/2,0))/2))+2*IF(circ_int,0,eq_c1/2))+(PI()*(s_0+5*s_r+IF(circ_int,eq_c1/2,0))/2))+2*IF(circ_int,0,eq_c2/2)),IF(circ_int,0,eq_c2/2)-(((58+0.5)*(4*IF(circ_int,0,eq_c1/2)+4*IF(circ_int,0,eq_c2/2)+2*PI()*(s_0+5*s_r+IF(circ_int,eq_c1/2,0)))/INDEX(lk_legs,6))-((((2*IF(circ_int,0,eq_c2/2))+(PI()*(s_0+5*s_r+IF(circ_int,eq_c1/2,0))/2))+2*IF(circ_int,0,eq_c1/2))+(PI()*(s_0+5*s_r+IF(circ_int,eq_c1/2,0))/2))),IF(((58+0.5)*(4*IF(circ_int,0,eq_c1/2)+4*IF(circ_int,0,eq_c2/2)+2*PI()*(s_0+5*s_r+IF(circ_int,eq_c1/2,0)))/INDEX(lk_legs,6))&lt;((((((2*IF(circ_int,0,eq_c2/2))+(PI()*(s_0+5*s_r+IF(circ_int,eq_c1/2,0))/2))+2*IF(circ_int,0,eq_c1/2))+(PI()*(s_0+5*s_r+IF(circ_int,eq_c1/2,0))/2))+2*IF(circ_int,0,eq_c2/2))+(PI()*(s_0+5*s_r+IF(circ_int,eq_c1/2,0))/2)),-IF(circ_int,0,eq_c2/2)+(s_0+5*s_r+IF(circ_int,eq_c1/2,0))*SIN(PI()+(((58+0.5)*(4*IF(circ_int,0,eq_c1/2)+4*IF(circ_int,0,eq_c2/2)+2*PI()*(s_0+5*s_r+IF(circ_int,eq_c1/2,0)))/INDEX(lk_legs,6))-(((((2*IF(circ_int,0,eq_c2/2))+(PI()*(s_0+5*s_r+IF(circ_int,eq_c1/2,0))/2))+2*IF(circ_int,0,eq_c1/2))+(PI()*(s_0+5*s_r+IF(circ_int,eq_c1/2,0))/2))+2*IF(circ_int,0,eq_c2/2)))/(s_0+5*s_r+IF(circ_int,eq_c1/2,0))),IF(((58+0.5)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(58+0.5)*(4*IF(circ_int,0,eq_c1/2)+4*IF(circ_int,0,eq_c2/2)+2*PI()*(s_0+5*s_r+IF(circ_int,eq_c1/2,0)))/INDEX(lk_legs,6))-(((((((2*IF(circ_int,0,eq_c2/2))+(PI()*(s_0+5*s_r+IF(circ_int,eq_c1/2,0))/2))+2*IF(circ_int,0,eq_c1/2))+(PI()*(s_0+5*s_r+IF(circ_int,eq_c1/2,0))/2))+2*IF(circ_int,0,eq_c2/2))+(PI()*(s_0+5*s_r+IF(circ_int,eq_c1/2,0))/2))+2*IF(circ_int,0,eq_c1/2)))/(s_0+5*s_r+IF(circ_int,eq_c1/2,0)))))))))),NA())</f>
        <v/>
      </c>
      <c r="CJ61">
        <f>IF(AND(AND(links_on,7&lt;=n_per),INDEX(lk_kind,7)=1,58&lt;INDEX(lk_legs,7)),g_ox+IF(((58+0.5)*(4*IF(circ_int,0,eq_c1/2)+4*IF(circ_int,0,eq_c2/2)+2*PI()*(s_0+6*s_r+IF(circ_int,eq_c1/2,0)))/INDEX(lk_legs,7))&lt;(2*IF(circ_int,0,eq_c2/2)),IF(circ_int,0,eq_c1/2)+(s_0+6*s_r+IF(circ_int,eq_c1/2,0)),IF(((58+0.5)*(4*IF(circ_int,0,eq_c1/2)+4*IF(circ_int,0,eq_c2/2)+2*PI()*(s_0+6*s_r+IF(circ_int,eq_c1/2,0)))/INDEX(lk_legs,7))&lt;((2*IF(circ_int,0,eq_c2/2))+(PI()*(s_0+6*s_r+IF(circ_int,eq_c1/2,0))/2)),IF(circ_int,0,eq_c1/2)+(s_0+6*s_r+IF(circ_int,eq_c1/2,0))*COS((((58+0.5)*(4*IF(circ_int,0,eq_c1/2)+4*IF(circ_int,0,eq_c2/2)+2*PI()*(s_0+6*s_r+IF(circ_int,eq_c1/2,0)))/INDEX(lk_legs,7))-(2*IF(circ_int,0,eq_c2/2)))/(s_0+6*s_r+IF(circ_int,eq_c1/2,0))),IF(((58+0.5)*(4*IF(circ_int,0,eq_c1/2)+4*IF(circ_int,0,eq_c2/2)+2*PI()*(s_0+6*s_r+IF(circ_int,eq_c1/2,0)))/INDEX(lk_legs,7))&lt;(((2*IF(circ_int,0,eq_c2/2))+(PI()*(s_0+6*s_r+IF(circ_int,eq_c1/2,0))/2))+2*IF(circ_int,0,eq_c1/2)),IF(circ_int,0,eq_c1/2)-(((58+0.5)*(4*IF(circ_int,0,eq_c1/2)+4*IF(circ_int,0,eq_c2/2)+2*PI()*(s_0+6*s_r+IF(circ_int,eq_c1/2,0)))/INDEX(lk_legs,7))-((2*IF(circ_int,0,eq_c2/2))+(PI()*(s_0+6*s_r+IF(circ_int,eq_c1/2,0))/2))),IF(((58+0.5)*(4*IF(circ_int,0,eq_c1/2)+4*IF(circ_int,0,eq_c2/2)+2*PI()*(s_0+6*s_r+IF(circ_int,eq_c1/2,0)))/INDEX(lk_legs,7))&lt;((((2*IF(circ_int,0,eq_c2/2))+(PI()*(s_0+6*s_r+IF(circ_int,eq_c1/2,0))/2))+2*IF(circ_int,0,eq_c1/2))+(PI()*(s_0+6*s_r+IF(circ_int,eq_c1/2,0))/2)),-IF(circ_int,0,eq_c1/2)+(s_0+6*s_r+IF(circ_int,eq_c1/2,0))*COS(PI()/2+(((58+0.5)*(4*IF(circ_int,0,eq_c1/2)+4*IF(circ_int,0,eq_c2/2)+2*PI()*(s_0+6*s_r+IF(circ_int,eq_c1/2,0)))/INDEX(lk_legs,7))-(((2*IF(circ_int,0,eq_c2/2))+(PI()*(s_0+6*s_r+IF(circ_int,eq_c1/2,0))/2))+2*IF(circ_int,0,eq_c1/2)))/(s_0+6*s_r+IF(circ_int,eq_c1/2,0))),IF(((58+0.5)*(4*IF(circ_int,0,eq_c1/2)+4*IF(circ_int,0,eq_c2/2)+2*PI()*(s_0+6*s_r+IF(circ_int,eq_c1/2,0)))/INDEX(lk_legs,7))&lt;(((((2*IF(circ_int,0,eq_c2/2))+(PI()*(s_0+6*s_r+IF(circ_int,eq_c1/2,0))/2))+2*IF(circ_int,0,eq_c1/2))+(PI()*(s_0+6*s_r+IF(circ_int,eq_c1/2,0))/2))+2*IF(circ_int,0,eq_c2/2)),-IF(circ_int,0,eq_c1/2)-(s_0+6*s_r+IF(circ_int,eq_c1/2,0)),IF(((58+0.5)*(4*IF(circ_int,0,eq_c1/2)+4*IF(circ_int,0,eq_c2/2)+2*PI()*(s_0+6*s_r+IF(circ_int,eq_c1/2,0)))/INDEX(lk_legs,7))&lt;((((((2*IF(circ_int,0,eq_c2/2))+(PI()*(s_0+6*s_r+IF(circ_int,eq_c1/2,0))/2))+2*IF(circ_int,0,eq_c1/2))+(PI()*(s_0+6*s_r+IF(circ_int,eq_c1/2,0))/2))+2*IF(circ_int,0,eq_c2/2))+(PI()*(s_0+6*s_r+IF(circ_int,eq_c1/2,0))/2)),-IF(circ_int,0,eq_c1/2)+(s_0+6*s_r+IF(circ_int,eq_c1/2,0))*COS(PI()+(((58+0.5)*(4*IF(circ_int,0,eq_c1/2)+4*IF(circ_int,0,eq_c2/2)+2*PI()*(s_0+6*s_r+IF(circ_int,eq_c1/2,0)))/INDEX(lk_legs,7))-(((((2*IF(circ_int,0,eq_c2/2))+(PI()*(s_0+6*s_r+IF(circ_int,eq_c1/2,0))/2))+2*IF(circ_int,0,eq_c1/2))+(PI()*(s_0+6*s_r+IF(circ_int,eq_c1/2,0))/2))+2*IF(circ_int,0,eq_c2/2)))/(s_0+6*s_r+IF(circ_int,eq_c1/2,0))),IF(((58+0.5)*(4*IF(circ_int,0,eq_c1/2)+4*IF(circ_int,0,eq_c2/2)+2*PI()*(s_0+6*s_r+IF(circ_int,eq_c1/2,0)))/INDEX(lk_legs,7))&lt;(((((((2*IF(circ_int,0,eq_c2/2))+(PI()*(s_0+6*s_r+IF(circ_int,eq_c1/2,0))/2))+2*IF(circ_int,0,eq_c1/2))+(PI()*(s_0+6*s_r+IF(circ_int,eq_c1/2,0))/2))+2*IF(circ_int,0,eq_c2/2))+(PI()*(s_0+6*s_r+IF(circ_int,eq_c1/2,0))/2))+2*IF(circ_int,0,eq_c1/2)),-IF(circ_int,0,eq_c1/2)+(((58+0.5)*(4*IF(circ_int,0,eq_c1/2)+4*IF(circ_int,0,eq_c2/2)+2*PI()*(s_0+6*s_r+IF(circ_int,eq_c1/2,0)))/INDEX(lk_legs,7))-((((((2*IF(circ_int,0,eq_c2/2))+(PI()*(s_0+6*s_r+IF(circ_int,eq_c1/2,0))/2))+2*IF(circ_int,0,eq_c1/2))+(PI()*(s_0+6*s_r+IF(circ_int,eq_c1/2,0))/2))+2*IF(circ_int,0,eq_c2/2))+(PI()*(s_0+6*s_r+IF(circ_int,eq_c1/2,0))/2))),IF(circ_int,0,eq_c1/2)+(s_0+6*s_r+IF(circ_int,eq_c1/2,0))*COS(3*PI()/2+(((58+0.5)*(4*IF(circ_int,0,eq_c1/2)+4*IF(circ_int,0,eq_c2/2)+2*PI()*(s_0+6*s_r+IF(circ_int,eq_c1/2,0)))/INDEX(lk_legs,7))-(((((((2*IF(circ_int,0,eq_c2/2))+(PI()*(s_0+6*s_r+IF(circ_int,eq_c1/2,0))/2))+2*IF(circ_int,0,eq_c1/2))+(PI()*(s_0+6*s_r+IF(circ_int,eq_c1/2,0))/2))+2*IF(circ_int,0,eq_c2/2))+(PI()*(s_0+6*s_r+IF(circ_int,eq_c1/2,0))/2))+2*IF(circ_int,0,eq_c1/2)))/(s_0+6*s_r+IF(circ_int,eq_c1/2,0)))))))))),NA())</f>
        <v/>
      </c>
      <c r="CK61">
        <f>IF(AND(AND(links_on,7&lt;=n_per),INDEX(lk_kind,7)=1,58&lt;INDEX(lk_legs,7)),g_oy+IF(((58+0.5)*(4*IF(circ_int,0,eq_c1/2)+4*IF(circ_int,0,eq_c2/2)+2*PI()*(s_0+6*s_r+IF(circ_int,eq_c1/2,0)))/INDEX(lk_legs,7))&lt;(2*IF(circ_int,0,eq_c2/2)),-IF(circ_int,0,eq_c2/2)+((58+0.5)*(4*IF(circ_int,0,eq_c1/2)+4*IF(circ_int,0,eq_c2/2)+2*PI()*(s_0+6*s_r+IF(circ_int,eq_c1/2,0)))/INDEX(lk_legs,7)),IF(((58+0.5)*(4*IF(circ_int,0,eq_c1/2)+4*IF(circ_int,0,eq_c2/2)+2*PI()*(s_0+6*s_r+IF(circ_int,eq_c1/2,0)))/INDEX(lk_legs,7))&lt;((2*IF(circ_int,0,eq_c2/2))+(PI()*(s_0+6*s_r+IF(circ_int,eq_c1/2,0))/2)),IF(circ_int,0,eq_c2/2)+(s_0+6*s_r+IF(circ_int,eq_c1/2,0))*SIN((((58+0.5)*(4*IF(circ_int,0,eq_c1/2)+4*IF(circ_int,0,eq_c2/2)+2*PI()*(s_0+6*s_r+IF(circ_int,eq_c1/2,0)))/INDEX(lk_legs,7))-(2*IF(circ_int,0,eq_c2/2)))/(s_0+6*s_r+IF(circ_int,eq_c1/2,0))),IF(((58+0.5)*(4*IF(circ_int,0,eq_c1/2)+4*IF(circ_int,0,eq_c2/2)+2*PI()*(s_0+6*s_r+IF(circ_int,eq_c1/2,0)))/INDEX(lk_legs,7))&lt;(((2*IF(circ_int,0,eq_c2/2))+(PI()*(s_0+6*s_r+IF(circ_int,eq_c1/2,0))/2))+2*IF(circ_int,0,eq_c1/2)),IF(circ_int,0,eq_c2/2)+(s_0+6*s_r+IF(circ_int,eq_c1/2,0)),IF(((58+0.5)*(4*IF(circ_int,0,eq_c1/2)+4*IF(circ_int,0,eq_c2/2)+2*PI()*(s_0+6*s_r+IF(circ_int,eq_c1/2,0)))/INDEX(lk_legs,7))&lt;((((2*IF(circ_int,0,eq_c2/2))+(PI()*(s_0+6*s_r+IF(circ_int,eq_c1/2,0))/2))+2*IF(circ_int,0,eq_c1/2))+(PI()*(s_0+6*s_r+IF(circ_int,eq_c1/2,0))/2)),IF(circ_int,0,eq_c2/2)+(s_0+6*s_r+IF(circ_int,eq_c1/2,0))*SIN(PI()/2+(((58+0.5)*(4*IF(circ_int,0,eq_c1/2)+4*IF(circ_int,0,eq_c2/2)+2*PI()*(s_0+6*s_r+IF(circ_int,eq_c1/2,0)))/INDEX(lk_legs,7))-(((2*IF(circ_int,0,eq_c2/2))+(PI()*(s_0+6*s_r+IF(circ_int,eq_c1/2,0))/2))+2*IF(circ_int,0,eq_c1/2)))/(s_0+6*s_r+IF(circ_int,eq_c1/2,0))),IF(((58+0.5)*(4*IF(circ_int,0,eq_c1/2)+4*IF(circ_int,0,eq_c2/2)+2*PI()*(s_0+6*s_r+IF(circ_int,eq_c1/2,0)))/INDEX(lk_legs,7))&lt;(((((2*IF(circ_int,0,eq_c2/2))+(PI()*(s_0+6*s_r+IF(circ_int,eq_c1/2,0))/2))+2*IF(circ_int,0,eq_c1/2))+(PI()*(s_0+6*s_r+IF(circ_int,eq_c1/2,0))/2))+2*IF(circ_int,0,eq_c2/2)),IF(circ_int,0,eq_c2/2)-(((58+0.5)*(4*IF(circ_int,0,eq_c1/2)+4*IF(circ_int,0,eq_c2/2)+2*PI()*(s_0+6*s_r+IF(circ_int,eq_c1/2,0)))/INDEX(lk_legs,7))-((((2*IF(circ_int,0,eq_c2/2))+(PI()*(s_0+6*s_r+IF(circ_int,eq_c1/2,0))/2))+2*IF(circ_int,0,eq_c1/2))+(PI()*(s_0+6*s_r+IF(circ_int,eq_c1/2,0))/2))),IF(((58+0.5)*(4*IF(circ_int,0,eq_c1/2)+4*IF(circ_int,0,eq_c2/2)+2*PI()*(s_0+6*s_r+IF(circ_int,eq_c1/2,0)))/INDEX(lk_legs,7))&lt;((((((2*IF(circ_int,0,eq_c2/2))+(PI()*(s_0+6*s_r+IF(circ_int,eq_c1/2,0))/2))+2*IF(circ_int,0,eq_c1/2))+(PI()*(s_0+6*s_r+IF(circ_int,eq_c1/2,0))/2))+2*IF(circ_int,0,eq_c2/2))+(PI()*(s_0+6*s_r+IF(circ_int,eq_c1/2,0))/2)),-IF(circ_int,0,eq_c2/2)+(s_0+6*s_r+IF(circ_int,eq_c1/2,0))*SIN(PI()+(((58+0.5)*(4*IF(circ_int,0,eq_c1/2)+4*IF(circ_int,0,eq_c2/2)+2*PI()*(s_0+6*s_r+IF(circ_int,eq_c1/2,0)))/INDEX(lk_legs,7))-(((((2*IF(circ_int,0,eq_c2/2))+(PI()*(s_0+6*s_r+IF(circ_int,eq_c1/2,0))/2))+2*IF(circ_int,0,eq_c1/2))+(PI()*(s_0+6*s_r+IF(circ_int,eq_c1/2,0))/2))+2*IF(circ_int,0,eq_c2/2)))/(s_0+6*s_r+IF(circ_int,eq_c1/2,0))),IF(((58+0.5)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(58+0.5)*(4*IF(circ_int,0,eq_c1/2)+4*IF(circ_int,0,eq_c2/2)+2*PI()*(s_0+6*s_r+IF(circ_int,eq_c1/2,0)))/INDEX(lk_legs,7))-(((((((2*IF(circ_int,0,eq_c2/2))+(PI()*(s_0+6*s_r+IF(circ_int,eq_c1/2,0))/2))+2*IF(circ_int,0,eq_c1/2))+(PI()*(s_0+6*s_r+IF(circ_int,eq_c1/2,0))/2))+2*IF(circ_int,0,eq_c2/2))+(PI()*(s_0+6*s_r+IF(circ_int,eq_c1/2,0))/2))+2*IF(circ_int,0,eq_c1/2)))/(s_0+6*s_r+IF(circ_int,eq_c1/2,0)))))))))),NA())</f>
        <v/>
      </c>
      <c r="CP61">
        <f>IF(AND(AND(links_on,8&lt;=n_per),INDEX(lk_kind,8)=1,58&lt;INDEX(lk_legs,8)),g_ox+IF(((58+0.5)*(4*IF(circ_int,0,eq_c1/2)+4*IF(circ_int,0,eq_c2/2)+2*PI()*(s_0+7*s_r+IF(circ_int,eq_c1/2,0)))/INDEX(lk_legs,8))&lt;(2*IF(circ_int,0,eq_c2/2)),IF(circ_int,0,eq_c1/2)+(s_0+7*s_r+IF(circ_int,eq_c1/2,0)),IF(((58+0.5)*(4*IF(circ_int,0,eq_c1/2)+4*IF(circ_int,0,eq_c2/2)+2*PI()*(s_0+7*s_r+IF(circ_int,eq_c1/2,0)))/INDEX(lk_legs,8))&lt;((2*IF(circ_int,0,eq_c2/2))+(PI()*(s_0+7*s_r+IF(circ_int,eq_c1/2,0))/2)),IF(circ_int,0,eq_c1/2)+(s_0+7*s_r+IF(circ_int,eq_c1/2,0))*COS((((58+0.5)*(4*IF(circ_int,0,eq_c1/2)+4*IF(circ_int,0,eq_c2/2)+2*PI()*(s_0+7*s_r+IF(circ_int,eq_c1/2,0)))/INDEX(lk_legs,8))-(2*IF(circ_int,0,eq_c2/2)))/(s_0+7*s_r+IF(circ_int,eq_c1/2,0))),IF(((58+0.5)*(4*IF(circ_int,0,eq_c1/2)+4*IF(circ_int,0,eq_c2/2)+2*PI()*(s_0+7*s_r+IF(circ_int,eq_c1/2,0)))/INDEX(lk_legs,8))&lt;(((2*IF(circ_int,0,eq_c2/2))+(PI()*(s_0+7*s_r+IF(circ_int,eq_c1/2,0))/2))+2*IF(circ_int,0,eq_c1/2)),IF(circ_int,0,eq_c1/2)-(((58+0.5)*(4*IF(circ_int,0,eq_c1/2)+4*IF(circ_int,0,eq_c2/2)+2*PI()*(s_0+7*s_r+IF(circ_int,eq_c1/2,0)))/INDEX(lk_legs,8))-((2*IF(circ_int,0,eq_c2/2))+(PI()*(s_0+7*s_r+IF(circ_int,eq_c1/2,0))/2))),IF(((58+0.5)*(4*IF(circ_int,0,eq_c1/2)+4*IF(circ_int,0,eq_c2/2)+2*PI()*(s_0+7*s_r+IF(circ_int,eq_c1/2,0)))/INDEX(lk_legs,8))&lt;((((2*IF(circ_int,0,eq_c2/2))+(PI()*(s_0+7*s_r+IF(circ_int,eq_c1/2,0))/2))+2*IF(circ_int,0,eq_c1/2))+(PI()*(s_0+7*s_r+IF(circ_int,eq_c1/2,0))/2)),-IF(circ_int,0,eq_c1/2)+(s_0+7*s_r+IF(circ_int,eq_c1/2,0))*COS(PI()/2+(((58+0.5)*(4*IF(circ_int,0,eq_c1/2)+4*IF(circ_int,0,eq_c2/2)+2*PI()*(s_0+7*s_r+IF(circ_int,eq_c1/2,0)))/INDEX(lk_legs,8))-(((2*IF(circ_int,0,eq_c2/2))+(PI()*(s_0+7*s_r+IF(circ_int,eq_c1/2,0))/2))+2*IF(circ_int,0,eq_c1/2)))/(s_0+7*s_r+IF(circ_int,eq_c1/2,0))),IF(((58+0.5)*(4*IF(circ_int,0,eq_c1/2)+4*IF(circ_int,0,eq_c2/2)+2*PI()*(s_0+7*s_r+IF(circ_int,eq_c1/2,0)))/INDEX(lk_legs,8))&lt;(((((2*IF(circ_int,0,eq_c2/2))+(PI()*(s_0+7*s_r+IF(circ_int,eq_c1/2,0))/2))+2*IF(circ_int,0,eq_c1/2))+(PI()*(s_0+7*s_r+IF(circ_int,eq_c1/2,0))/2))+2*IF(circ_int,0,eq_c2/2)),-IF(circ_int,0,eq_c1/2)-(s_0+7*s_r+IF(circ_int,eq_c1/2,0)),IF(((58+0.5)*(4*IF(circ_int,0,eq_c1/2)+4*IF(circ_int,0,eq_c2/2)+2*PI()*(s_0+7*s_r+IF(circ_int,eq_c1/2,0)))/INDEX(lk_legs,8))&lt;((((((2*IF(circ_int,0,eq_c2/2))+(PI()*(s_0+7*s_r+IF(circ_int,eq_c1/2,0))/2))+2*IF(circ_int,0,eq_c1/2))+(PI()*(s_0+7*s_r+IF(circ_int,eq_c1/2,0))/2))+2*IF(circ_int,0,eq_c2/2))+(PI()*(s_0+7*s_r+IF(circ_int,eq_c1/2,0))/2)),-IF(circ_int,0,eq_c1/2)+(s_0+7*s_r+IF(circ_int,eq_c1/2,0))*COS(PI()+(((58+0.5)*(4*IF(circ_int,0,eq_c1/2)+4*IF(circ_int,0,eq_c2/2)+2*PI()*(s_0+7*s_r+IF(circ_int,eq_c1/2,0)))/INDEX(lk_legs,8))-(((((2*IF(circ_int,0,eq_c2/2))+(PI()*(s_0+7*s_r+IF(circ_int,eq_c1/2,0))/2))+2*IF(circ_int,0,eq_c1/2))+(PI()*(s_0+7*s_r+IF(circ_int,eq_c1/2,0))/2))+2*IF(circ_int,0,eq_c2/2)))/(s_0+7*s_r+IF(circ_int,eq_c1/2,0))),IF(((58+0.5)*(4*IF(circ_int,0,eq_c1/2)+4*IF(circ_int,0,eq_c2/2)+2*PI()*(s_0+7*s_r+IF(circ_int,eq_c1/2,0)))/INDEX(lk_legs,8))&lt;(((((((2*IF(circ_int,0,eq_c2/2))+(PI()*(s_0+7*s_r+IF(circ_int,eq_c1/2,0))/2))+2*IF(circ_int,0,eq_c1/2))+(PI()*(s_0+7*s_r+IF(circ_int,eq_c1/2,0))/2))+2*IF(circ_int,0,eq_c2/2))+(PI()*(s_0+7*s_r+IF(circ_int,eq_c1/2,0))/2))+2*IF(circ_int,0,eq_c1/2)),-IF(circ_int,0,eq_c1/2)+(((58+0.5)*(4*IF(circ_int,0,eq_c1/2)+4*IF(circ_int,0,eq_c2/2)+2*PI()*(s_0+7*s_r+IF(circ_int,eq_c1/2,0)))/INDEX(lk_legs,8))-((((((2*IF(circ_int,0,eq_c2/2))+(PI()*(s_0+7*s_r+IF(circ_int,eq_c1/2,0))/2))+2*IF(circ_int,0,eq_c1/2))+(PI()*(s_0+7*s_r+IF(circ_int,eq_c1/2,0))/2))+2*IF(circ_int,0,eq_c2/2))+(PI()*(s_0+7*s_r+IF(circ_int,eq_c1/2,0))/2))),IF(circ_int,0,eq_c1/2)+(s_0+7*s_r+IF(circ_int,eq_c1/2,0))*COS(3*PI()/2+(((58+0.5)*(4*IF(circ_int,0,eq_c1/2)+4*IF(circ_int,0,eq_c2/2)+2*PI()*(s_0+7*s_r+IF(circ_int,eq_c1/2,0)))/INDEX(lk_legs,8))-(((((((2*IF(circ_int,0,eq_c2/2))+(PI()*(s_0+7*s_r+IF(circ_int,eq_c1/2,0))/2))+2*IF(circ_int,0,eq_c1/2))+(PI()*(s_0+7*s_r+IF(circ_int,eq_c1/2,0))/2))+2*IF(circ_int,0,eq_c2/2))+(PI()*(s_0+7*s_r+IF(circ_int,eq_c1/2,0))/2))+2*IF(circ_int,0,eq_c1/2)))/(s_0+7*s_r+IF(circ_int,eq_c1/2,0)))))))))),NA())</f>
        <v/>
      </c>
      <c r="CQ61">
        <f>IF(AND(AND(links_on,8&lt;=n_per),INDEX(lk_kind,8)=1,58&lt;INDEX(lk_legs,8)),g_oy+IF(((58+0.5)*(4*IF(circ_int,0,eq_c1/2)+4*IF(circ_int,0,eq_c2/2)+2*PI()*(s_0+7*s_r+IF(circ_int,eq_c1/2,0)))/INDEX(lk_legs,8))&lt;(2*IF(circ_int,0,eq_c2/2)),-IF(circ_int,0,eq_c2/2)+((58+0.5)*(4*IF(circ_int,0,eq_c1/2)+4*IF(circ_int,0,eq_c2/2)+2*PI()*(s_0+7*s_r+IF(circ_int,eq_c1/2,0)))/INDEX(lk_legs,8)),IF(((58+0.5)*(4*IF(circ_int,0,eq_c1/2)+4*IF(circ_int,0,eq_c2/2)+2*PI()*(s_0+7*s_r+IF(circ_int,eq_c1/2,0)))/INDEX(lk_legs,8))&lt;((2*IF(circ_int,0,eq_c2/2))+(PI()*(s_0+7*s_r+IF(circ_int,eq_c1/2,0))/2)),IF(circ_int,0,eq_c2/2)+(s_0+7*s_r+IF(circ_int,eq_c1/2,0))*SIN((((58+0.5)*(4*IF(circ_int,0,eq_c1/2)+4*IF(circ_int,0,eq_c2/2)+2*PI()*(s_0+7*s_r+IF(circ_int,eq_c1/2,0)))/INDEX(lk_legs,8))-(2*IF(circ_int,0,eq_c2/2)))/(s_0+7*s_r+IF(circ_int,eq_c1/2,0))),IF(((58+0.5)*(4*IF(circ_int,0,eq_c1/2)+4*IF(circ_int,0,eq_c2/2)+2*PI()*(s_0+7*s_r+IF(circ_int,eq_c1/2,0)))/INDEX(lk_legs,8))&lt;(((2*IF(circ_int,0,eq_c2/2))+(PI()*(s_0+7*s_r+IF(circ_int,eq_c1/2,0))/2))+2*IF(circ_int,0,eq_c1/2)),IF(circ_int,0,eq_c2/2)+(s_0+7*s_r+IF(circ_int,eq_c1/2,0)),IF(((58+0.5)*(4*IF(circ_int,0,eq_c1/2)+4*IF(circ_int,0,eq_c2/2)+2*PI()*(s_0+7*s_r+IF(circ_int,eq_c1/2,0)))/INDEX(lk_legs,8))&lt;((((2*IF(circ_int,0,eq_c2/2))+(PI()*(s_0+7*s_r+IF(circ_int,eq_c1/2,0))/2))+2*IF(circ_int,0,eq_c1/2))+(PI()*(s_0+7*s_r+IF(circ_int,eq_c1/2,0))/2)),IF(circ_int,0,eq_c2/2)+(s_0+7*s_r+IF(circ_int,eq_c1/2,0))*SIN(PI()/2+(((58+0.5)*(4*IF(circ_int,0,eq_c1/2)+4*IF(circ_int,0,eq_c2/2)+2*PI()*(s_0+7*s_r+IF(circ_int,eq_c1/2,0)))/INDEX(lk_legs,8))-(((2*IF(circ_int,0,eq_c2/2))+(PI()*(s_0+7*s_r+IF(circ_int,eq_c1/2,0))/2))+2*IF(circ_int,0,eq_c1/2)))/(s_0+7*s_r+IF(circ_int,eq_c1/2,0))),IF(((58+0.5)*(4*IF(circ_int,0,eq_c1/2)+4*IF(circ_int,0,eq_c2/2)+2*PI()*(s_0+7*s_r+IF(circ_int,eq_c1/2,0)))/INDEX(lk_legs,8))&lt;(((((2*IF(circ_int,0,eq_c2/2))+(PI()*(s_0+7*s_r+IF(circ_int,eq_c1/2,0))/2))+2*IF(circ_int,0,eq_c1/2))+(PI()*(s_0+7*s_r+IF(circ_int,eq_c1/2,0))/2))+2*IF(circ_int,0,eq_c2/2)),IF(circ_int,0,eq_c2/2)-(((58+0.5)*(4*IF(circ_int,0,eq_c1/2)+4*IF(circ_int,0,eq_c2/2)+2*PI()*(s_0+7*s_r+IF(circ_int,eq_c1/2,0)))/INDEX(lk_legs,8))-((((2*IF(circ_int,0,eq_c2/2))+(PI()*(s_0+7*s_r+IF(circ_int,eq_c1/2,0))/2))+2*IF(circ_int,0,eq_c1/2))+(PI()*(s_0+7*s_r+IF(circ_int,eq_c1/2,0))/2))),IF(((58+0.5)*(4*IF(circ_int,0,eq_c1/2)+4*IF(circ_int,0,eq_c2/2)+2*PI()*(s_0+7*s_r+IF(circ_int,eq_c1/2,0)))/INDEX(lk_legs,8))&lt;((((((2*IF(circ_int,0,eq_c2/2))+(PI()*(s_0+7*s_r+IF(circ_int,eq_c1/2,0))/2))+2*IF(circ_int,0,eq_c1/2))+(PI()*(s_0+7*s_r+IF(circ_int,eq_c1/2,0))/2))+2*IF(circ_int,0,eq_c2/2))+(PI()*(s_0+7*s_r+IF(circ_int,eq_c1/2,0))/2)),-IF(circ_int,0,eq_c2/2)+(s_0+7*s_r+IF(circ_int,eq_c1/2,0))*SIN(PI()+(((58+0.5)*(4*IF(circ_int,0,eq_c1/2)+4*IF(circ_int,0,eq_c2/2)+2*PI()*(s_0+7*s_r+IF(circ_int,eq_c1/2,0)))/INDEX(lk_legs,8))-(((((2*IF(circ_int,0,eq_c2/2))+(PI()*(s_0+7*s_r+IF(circ_int,eq_c1/2,0))/2))+2*IF(circ_int,0,eq_c1/2))+(PI()*(s_0+7*s_r+IF(circ_int,eq_c1/2,0))/2))+2*IF(circ_int,0,eq_c2/2)))/(s_0+7*s_r+IF(circ_int,eq_c1/2,0))),IF(((58+0.5)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(58+0.5)*(4*IF(circ_int,0,eq_c1/2)+4*IF(circ_int,0,eq_c2/2)+2*PI()*(s_0+7*s_r+IF(circ_int,eq_c1/2,0)))/INDEX(lk_legs,8))-(((((((2*IF(circ_int,0,eq_c2/2))+(PI()*(s_0+7*s_r+IF(circ_int,eq_c1/2,0))/2))+2*IF(circ_int,0,eq_c1/2))+(PI()*(s_0+7*s_r+IF(circ_int,eq_c1/2,0))/2))+2*IF(circ_int,0,eq_c2/2))+(PI()*(s_0+7*s_r+IF(circ_int,eq_c1/2,0))/2))+2*IF(circ_int,0,eq_c1/2)))/(s_0+7*s_r+IF(circ_int,eq_c1/2,0)))))))))),NA())</f>
        <v/>
      </c>
      <c r="CV61">
        <f>IF(AND(AND(links_on,9&lt;=n_per),INDEX(lk_kind,9)=1,58&lt;INDEX(lk_legs,9)),g_ox+IF(((58+0.5)*(4*IF(circ_int,0,eq_c1/2)+4*IF(circ_int,0,eq_c2/2)+2*PI()*(s_0+8*s_r+IF(circ_int,eq_c1/2,0)))/INDEX(lk_legs,9))&lt;(2*IF(circ_int,0,eq_c2/2)),IF(circ_int,0,eq_c1/2)+(s_0+8*s_r+IF(circ_int,eq_c1/2,0)),IF(((58+0.5)*(4*IF(circ_int,0,eq_c1/2)+4*IF(circ_int,0,eq_c2/2)+2*PI()*(s_0+8*s_r+IF(circ_int,eq_c1/2,0)))/INDEX(lk_legs,9))&lt;((2*IF(circ_int,0,eq_c2/2))+(PI()*(s_0+8*s_r+IF(circ_int,eq_c1/2,0))/2)),IF(circ_int,0,eq_c1/2)+(s_0+8*s_r+IF(circ_int,eq_c1/2,0))*COS((((58+0.5)*(4*IF(circ_int,0,eq_c1/2)+4*IF(circ_int,0,eq_c2/2)+2*PI()*(s_0+8*s_r+IF(circ_int,eq_c1/2,0)))/INDEX(lk_legs,9))-(2*IF(circ_int,0,eq_c2/2)))/(s_0+8*s_r+IF(circ_int,eq_c1/2,0))),IF(((58+0.5)*(4*IF(circ_int,0,eq_c1/2)+4*IF(circ_int,0,eq_c2/2)+2*PI()*(s_0+8*s_r+IF(circ_int,eq_c1/2,0)))/INDEX(lk_legs,9))&lt;(((2*IF(circ_int,0,eq_c2/2))+(PI()*(s_0+8*s_r+IF(circ_int,eq_c1/2,0))/2))+2*IF(circ_int,0,eq_c1/2)),IF(circ_int,0,eq_c1/2)-(((58+0.5)*(4*IF(circ_int,0,eq_c1/2)+4*IF(circ_int,0,eq_c2/2)+2*PI()*(s_0+8*s_r+IF(circ_int,eq_c1/2,0)))/INDEX(lk_legs,9))-((2*IF(circ_int,0,eq_c2/2))+(PI()*(s_0+8*s_r+IF(circ_int,eq_c1/2,0))/2))),IF(((58+0.5)*(4*IF(circ_int,0,eq_c1/2)+4*IF(circ_int,0,eq_c2/2)+2*PI()*(s_0+8*s_r+IF(circ_int,eq_c1/2,0)))/INDEX(lk_legs,9))&lt;((((2*IF(circ_int,0,eq_c2/2))+(PI()*(s_0+8*s_r+IF(circ_int,eq_c1/2,0))/2))+2*IF(circ_int,0,eq_c1/2))+(PI()*(s_0+8*s_r+IF(circ_int,eq_c1/2,0))/2)),-IF(circ_int,0,eq_c1/2)+(s_0+8*s_r+IF(circ_int,eq_c1/2,0))*COS(PI()/2+(((58+0.5)*(4*IF(circ_int,0,eq_c1/2)+4*IF(circ_int,0,eq_c2/2)+2*PI()*(s_0+8*s_r+IF(circ_int,eq_c1/2,0)))/INDEX(lk_legs,9))-(((2*IF(circ_int,0,eq_c2/2))+(PI()*(s_0+8*s_r+IF(circ_int,eq_c1/2,0))/2))+2*IF(circ_int,0,eq_c1/2)))/(s_0+8*s_r+IF(circ_int,eq_c1/2,0))),IF(((58+0.5)*(4*IF(circ_int,0,eq_c1/2)+4*IF(circ_int,0,eq_c2/2)+2*PI()*(s_0+8*s_r+IF(circ_int,eq_c1/2,0)))/INDEX(lk_legs,9))&lt;(((((2*IF(circ_int,0,eq_c2/2))+(PI()*(s_0+8*s_r+IF(circ_int,eq_c1/2,0))/2))+2*IF(circ_int,0,eq_c1/2))+(PI()*(s_0+8*s_r+IF(circ_int,eq_c1/2,0))/2))+2*IF(circ_int,0,eq_c2/2)),-IF(circ_int,0,eq_c1/2)-(s_0+8*s_r+IF(circ_int,eq_c1/2,0)),IF(((58+0.5)*(4*IF(circ_int,0,eq_c1/2)+4*IF(circ_int,0,eq_c2/2)+2*PI()*(s_0+8*s_r+IF(circ_int,eq_c1/2,0)))/INDEX(lk_legs,9))&lt;((((((2*IF(circ_int,0,eq_c2/2))+(PI()*(s_0+8*s_r+IF(circ_int,eq_c1/2,0))/2))+2*IF(circ_int,0,eq_c1/2))+(PI()*(s_0+8*s_r+IF(circ_int,eq_c1/2,0))/2))+2*IF(circ_int,0,eq_c2/2))+(PI()*(s_0+8*s_r+IF(circ_int,eq_c1/2,0))/2)),-IF(circ_int,0,eq_c1/2)+(s_0+8*s_r+IF(circ_int,eq_c1/2,0))*COS(PI()+(((58+0.5)*(4*IF(circ_int,0,eq_c1/2)+4*IF(circ_int,0,eq_c2/2)+2*PI()*(s_0+8*s_r+IF(circ_int,eq_c1/2,0)))/INDEX(lk_legs,9))-(((((2*IF(circ_int,0,eq_c2/2))+(PI()*(s_0+8*s_r+IF(circ_int,eq_c1/2,0))/2))+2*IF(circ_int,0,eq_c1/2))+(PI()*(s_0+8*s_r+IF(circ_int,eq_c1/2,0))/2))+2*IF(circ_int,0,eq_c2/2)))/(s_0+8*s_r+IF(circ_int,eq_c1/2,0))),IF(((58+0.5)*(4*IF(circ_int,0,eq_c1/2)+4*IF(circ_int,0,eq_c2/2)+2*PI()*(s_0+8*s_r+IF(circ_int,eq_c1/2,0)))/INDEX(lk_legs,9))&lt;(((((((2*IF(circ_int,0,eq_c2/2))+(PI()*(s_0+8*s_r+IF(circ_int,eq_c1/2,0))/2))+2*IF(circ_int,0,eq_c1/2))+(PI()*(s_0+8*s_r+IF(circ_int,eq_c1/2,0))/2))+2*IF(circ_int,0,eq_c2/2))+(PI()*(s_0+8*s_r+IF(circ_int,eq_c1/2,0))/2))+2*IF(circ_int,0,eq_c1/2)),-IF(circ_int,0,eq_c1/2)+(((58+0.5)*(4*IF(circ_int,0,eq_c1/2)+4*IF(circ_int,0,eq_c2/2)+2*PI()*(s_0+8*s_r+IF(circ_int,eq_c1/2,0)))/INDEX(lk_legs,9))-((((((2*IF(circ_int,0,eq_c2/2))+(PI()*(s_0+8*s_r+IF(circ_int,eq_c1/2,0))/2))+2*IF(circ_int,0,eq_c1/2))+(PI()*(s_0+8*s_r+IF(circ_int,eq_c1/2,0))/2))+2*IF(circ_int,0,eq_c2/2))+(PI()*(s_0+8*s_r+IF(circ_int,eq_c1/2,0))/2))),IF(circ_int,0,eq_c1/2)+(s_0+8*s_r+IF(circ_int,eq_c1/2,0))*COS(3*PI()/2+(((58+0.5)*(4*IF(circ_int,0,eq_c1/2)+4*IF(circ_int,0,eq_c2/2)+2*PI()*(s_0+8*s_r+IF(circ_int,eq_c1/2,0)))/INDEX(lk_legs,9))-(((((((2*IF(circ_int,0,eq_c2/2))+(PI()*(s_0+8*s_r+IF(circ_int,eq_c1/2,0))/2))+2*IF(circ_int,0,eq_c1/2))+(PI()*(s_0+8*s_r+IF(circ_int,eq_c1/2,0))/2))+2*IF(circ_int,0,eq_c2/2))+(PI()*(s_0+8*s_r+IF(circ_int,eq_c1/2,0))/2))+2*IF(circ_int,0,eq_c1/2)))/(s_0+8*s_r+IF(circ_int,eq_c1/2,0)))))))))),NA())</f>
        <v/>
      </c>
      <c r="CW61">
        <f>IF(AND(AND(links_on,9&lt;=n_per),INDEX(lk_kind,9)=1,58&lt;INDEX(lk_legs,9)),g_oy+IF(((58+0.5)*(4*IF(circ_int,0,eq_c1/2)+4*IF(circ_int,0,eq_c2/2)+2*PI()*(s_0+8*s_r+IF(circ_int,eq_c1/2,0)))/INDEX(lk_legs,9))&lt;(2*IF(circ_int,0,eq_c2/2)),-IF(circ_int,0,eq_c2/2)+((58+0.5)*(4*IF(circ_int,0,eq_c1/2)+4*IF(circ_int,0,eq_c2/2)+2*PI()*(s_0+8*s_r+IF(circ_int,eq_c1/2,0)))/INDEX(lk_legs,9)),IF(((58+0.5)*(4*IF(circ_int,0,eq_c1/2)+4*IF(circ_int,0,eq_c2/2)+2*PI()*(s_0+8*s_r+IF(circ_int,eq_c1/2,0)))/INDEX(lk_legs,9))&lt;((2*IF(circ_int,0,eq_c2/2))+(PI()*(s_0+8*s_r+IF(circ_int,eq_c1/2,0))/2)),IF(circ_int,0,eq_c2/2)+(s_0+8*s_r+IF(circ_int,eq_c1/2,0))*SIN((((58+0.5)*(4*IF(circ_int,0,eq_c1/2)+4*IF(circ_int,0,eq_c2/2)+2*PI()*(s_0+8*s_r+IF(circ_int,eq_c1/2,0)))/INDEX(lk_legs,9))-(2*IF(circ_int,0,eq_c2/2)))/(s_0+8*s_r+IF(circ_int,eq_c1/2,0))),IF(((58+0.5)*(4*IF(circ_int,0,eq_c1/2)+4*IF(circ_int,0,eq_c2/2)+2*PI()*(s_0+8*s_r+IF(circ_int,eq_c1/2,0)))/INDEX(lk_legs,9))&lt;(((2*IF(circ_int,0,eq_c2/2))+(PI()*(s_0+8*s_r+IF(circ_int,eq_c1/2,0))/2))+2*IF(circ_int,0,eq_c1/2)),IF(circ_int,0,eq_c2/2)+(s_0+8*s_r+IF(circ_int,eq_c1/2,0)),IF(((58+0.5)*(4*IF(circ_int,0,eq_c1/2)+4*IF(circ_int,0,eq_c2/2)+2*PI()*(s_0+8*s_r+IF(circ_int,eq_c1/2,0)))/INDEX(lk_legs,9))&lt;((((2*IF(circ_int,0,eq_c2/2))+(PI()*(s_0+8*s_r+IF(circ_int,eq_c1/2,0))/2))+2*IF(circ_int,0,eq_c1/2))+(PI()*(s_0+8*s_r+IF(circ_int,eq_c1/2,0))/2)),IF(circ_int,0,eq_c2/2)+(s_0+8*s_r+IF(circ_int,eq_c1/2,0))*SIN(PI()/2+(((58+0.5)*(4*IF(circ_int,0,eq_c1/2)+4*IF(circ_int,0,eq_c2/2)+2*PI()*(s_0+8*s_r+IF(circ_int,eq_c1/2,0)))/INDEX(lk_legs,9))-(((2*IF(circ_int,0,eq_c2/2))+(PI()*(s_0+8*s_r+IF(circ_int,eq_c1/2,0))/2))+2*IF(circ_int,0,eq_c1/2)))/(s_0+8*s_r+IF(circ_int,eq_c1/2,0))),IF(((58+0.5)*(4*IF(circ_int,0,eq_c1/2)+4*IF(circ_int,0,eq_c2/2)+2*PI()*(s_0+8*s_r+IF(circ_int,eq_c1/2,0)))/INDEX(lk_legs,9))&lt;(((((2*IF(circ_int,0,eq_c2/2))+(PI()*(s_0+8*s_r+IF(circ_int,eq_c1/2,0))/2))+2*IF(circ_int,0,eq_c1/2))+(PI()*(s_0+8*s_r+IF(circ_int,eq_c1/2,0))/2))+2*IF(circ_int,0,eq_c2/2)),IF(circ_int,0,eq_c2/2)-(((58+0.5)*(4*IF(circ_int,0,eq_c1/2)+4*IF(circ_int,0,eq_c2/2)+2*PI()*(s_0+8*s_r+IF(circ_int,eq_c1/2,0)))/INDEX(lk_legs,9))-((((2*IF(circ_int,0,eq_c2/2))+(PI()*(s_0+8*s_r+IF(circ_int,eq_c1/2,0))/2))+2*IF(circ_int,0,eq_c1/2))+(PI()*(s_0+8*s_r+IF(circ_int,eq_c1/2,0))/2))),IF(((58+0.5)*(4*IF(circ_int,0,eq_c1/2)+4*IF(circ_int,0,eq_c2/2)+2*PI()*(s_0+8*s_r+IF(circ_int,eq_c1/2,0)))/INDEX(lk_legs,9))&lt;((((((2*IF(circ_int,0,eq_c2/2))+(PI()*(s_0+8*s_r+IF(circ_int,eq_c1/2,0))/2))+2*IF(circ_int,0,eq_c1/2))+(PI()*(s_0+8*s_r+IF(circ_int,eq_c1/2,0))/2))+2*IF(circ_int,0,eq_c2/2))+(PI()*(s_0+8*s_r+IF(circ_int,eq_c1/2,0))/2)),-IF(circ_int,0,eq_c2/2)+(s_0+8*s_r+IF(circ_int,eq_c1/2,0))*SIN(PI()+(((58+0.5)*(4*IF(circ_int,0,eq_c1/2)+4*IF(circ_int,0,eq_c2/2)+2*PI()*(s_0+8*s_r+IF(circ_int,eq_c1/2,0)))/INDEX(lk_legs,9))-(((((2*IF(circ_int,0,eq_c2/2))+(PI()*(s_0+8*s_r+IF(circ_int,eq_c1/2,0))/2))+2*IF(circ_int,0,eq_c1/2))+(PI()*(s_0+8*s_r+IF(circ_int,eq_c1/2,0))/2))+2*IF(circ_int,0,eq_c2/2)))/(s_0+8*s_r+IF(circ_int,eq_c1/2,0))),IF(((58+0.5)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(58+0.5)*(4*IF(circ_int,0,eq_c1/2)+4*IF(circ_int,0,eq_c2/2)+2*PI()*(s_0+8*s_r+IF(circ_int,eq_c1/2,0)))/INDEX(lk_legs,9))-(((((((2*IF(circ_int,0,eq_c2/2))+(PI()*(s_0+8*s_r+IF(circ_int,eq_c1/2,0))/2))+2*IF(circ_int,0,eq_c1/2))+(PI()*(s_0+8*s_r+IF(circ_int,eq_c1/2,0))/2))+2*IF(circ_int,0,eq_c2/2))+(PI()*(s_0+8*s_r+IF(circ_int,eq_c1/2,0))/2))+2*IF(circ_int,0,eq_c1/2)))/(s_0+8*s_r+IF(circ_int,eq_c1/2,0)))))))))),NA())</f>
        <v/>
      </c>
      <c r="DB61">
        <f>IF(AND(AND(links_on,10&lt;=n_per),INDEX(lk_kind,10)=1,58&lt;INDEX(lk_legs,10)),g_ox+IF(((58+0.5)*(4*IF(circ_int,0,eq_c1/2)+4*IF(circ_int,0,eq_c2/2)+2*PI()*(s_0+9*s_r+IF(circ_int,eq_c1/2,0)))/INDEX(lk_legs,10))&lt;(2*IF(circ_int,0,eq_c2/2)),IF(circ_int,0,eq_c1/2)+(s_0+9*s_r+IF(circ_int,eq_c1/2,0)),IF(((58+0.5)*(4*IF(circ_int,0,eq_c1/2)+4*IF(circ_int,0,eq_c2/2)+2*PI()*(s_0+9*s_r+IF(circ_int,eq_c1/2,0)))/INDEX(lk_legs,10))&lt;((2*IF(circ_int,0,eq_c2/2))+(PI()*(s_0+9*s_r+IF(circ_int,eq_c1/2,0))/2)),IF(circ_int,0,eq_c1/2)+(s_0+9*s_r+IF(circ_int,eq_c1/2,0))*COS((((58+0.5)*(4*IF(circ_int,0,eq_c1/2)+4*IF(circ_int,0,eq_c2/2)+2*PI()*(s_0+9*s_r+IF(circ_int,eq_c1/2,0)))/INDEX(lk_legs,10))-(2*IF(circ_int,0,eq_c2/2)))/(s_0+9*s_r+IF(circ_int,eq_c1/2,0))),IF(((58+0.5)*(4*IF(circ_int,0,eq_c1/2)+4*IF(circ_int,0,eq_c2/2)+2*PI()*(s_0+9*s_r+IF(circ_int,eq_c1/2,0)))/INDEX(lk_legs,10))&lt;(((2*IF(circ_int,0,eq_c2/2))+(PI()*(s_0+9*s_r+IF(circ_int,eq_c1/2,0))/2))+2*IF(circ_int,0,eq_c1/2)),IF(circ_int,0,eq_c1/2)-(((58+0.5)*(4*IF(circ_int,0,eq_c1/2)+4*IF(circ_int,0,eq_c2/2)+2*PI()*(s_0+9*s_r+IF(circ_int,eq_c1/2,0)))/INDEX(lk_legs,10))-((2*IF(circ_int,0,eq_c2/2))+(PI()*(s_0+9*s_r+IF(circ_int,eq_c1/2,0))/2))),IF(((58+0.5)*(4*IF(circ_int,0,eq_c1/2)+4*IF(circ_int,0,eq_c2/2)+2*PI()*(s_0+9*s_r+IF(circ_int,eq_c1/2,0)))/INDEX(lk_legs,10))&lt;((((2*IF(circ_int,0,eq_c2/2))+(PI()*(s_0+9*s_r+IF(circ_int,eq_c1/2,0))/2))+2*IF(circ_int,0,eq_c1/2))+(PI()*(s_0+9*s_r+IF(circ_int,eq_c1/2,0))/2)),-IF(circ_int,0,eq_c1/2)+(s_0+9*s_r+IF(circ_int,eq_c1/2,0))*COS(PI()/2+(((58+0.5)*(4*IF(circ_int,0,eq_c1/2)+4*IF(circ_int,0,eq_c2/2)+2*PI()*(s_0+9*s_r+IF(circ_int,eq_c1/2,0)))/INDEX(lk_legs,10))-(((2*IF(circ_int,0,eq_c2/2))+(PI()*(s_0+9*s_r+IF(circ_int,eq_c1/2,0))/2))+2*IF(circ_int,0,eq_c1/2)))/(s_0+9*s_r+IF(circ_int,eq_c1/2,0))),IF(((58+0.5)*(4*IF(circ_int,0,eq_c1/2)+4*IF(circ_int,0,eq_c2/2)+2*PI()*(s_0+9*s_r+IF(circ_int,eq_c1/2,0)))/INDEX(lk_legs,10))&lt;(((((2*IF(circ_int,0,eq_c2/2))+(PI()*(s_0+9*s_r+IF(circ_int,eq_c1/2,0))/2))+2*IF(circ_int,0,eq_c1/2))+(PI()*(s_0+9*s_r+IF(circ_int,eq_c1/2,0))/2))+2*IF(circ_int,0,eq_c2/2)),-IF(circ_int,0,eq_c1/2)-(s_0+9*s_r+IF(circ_int,eq_c1/2,0)),IF(((58+0.5)*(4*IF(circ_int,0,eq_c1/2)+4*IF(circ_int,0,eq_c2/2)+2*PI()*(s_0+9*s_r+IF(circ_int,eq_c1/2,0)))/INDEX(lk_legs,10))&lt;((((((2*IF(circ_int,0,eq_c2/2))+(PI()*(s_0+9*s_r+IF(circ_int,eq_c1/2,0))/2))+2*IF(circ_int,0,eq_c1/2))+(PI()*(s_0+9*s_r+IF(circ_int,eq_c1/2,0))/2))+2*IF(circ_int,0,eq_c2/2))+(PI()*(s_0+9*s_r+IF(circ_int,eq_c1/2,0))/2)),-IF(circ_int,0,eq_c1/2)+(s_0+9*s_r+IF(circ_int,eq_c1/2,0))*COS(PI()+(((58+0.5)*(4*IF(circ_int,0,eq_c1/2)+4*IF(circ_int,0,eq_c2/2)+2*PI()*(s_0+9*s_r+IF(circ_int,eq_c1/2,0)))/INDEX(lk_legs,10))-(((((2*IF(circ_int,0,eq_c2/2))+(PI()*(s_0+9*s_r+IF(circ_int,eq_c1/2,0))/2))+2*IF(circ_int,0,eq_c1/2))+(PI()*(s_0+9*s_r+IF(circ_int,eq_c1/2,0))/2))+2*IF(circ_int,0,eq_c2/2)))/(s_0+9*s_r+IF(circ_int,eq_c1/2,0))),IF(((58+0.5)*(4*IF(circ_int,0,eq_c1/2)+4*IF(circ_int,0,eq_c2/2)+2*PI()*(s_0+9*s_r+IF(circ_int,eq_c1/2,0)))/INDEX(lk_legs,10))&lt;(((((((2*IF(circ_int,0,eq_c2/2))+(PI()*(s_0+9*s_r+IF(circ_int,eq_c1/2,0))/2))+2*IF(circ_int,0,eq_c1/2))+(PI()*(s_0+9*s_r+IF(circ_int,eq_c1/2,0))/2))+2*IF(circ_int,0,eq_c2/2))+(PI()*(s_0+9*s_r+IF(circ_int,eq_c1/2,0))/2))+2*IF(circ_int,0,eq_c1/2)),-IF(circ_int,0,eq_c1/2)+(((58+0.5)*(4*IF(circ_int,0,eq_c1/2)+4*IF(circ_int,0,eq_c2/2)+2*PI()*(s_0+9*s_r+IF(circ_int,eq_c1/2,0)))/INDEX(lk_legs,10))-((((((2*IF(circ_int,0,eq_c2/2))+(PI()*(s_0+9*s_r+IF(circ_int,eq_c1/2,0))/2))+2*IF(circ_int,0,eq_c1/2))+(PI()*(s_0+9*s_r+IF(circ_int,eq_c1/2,0))/2))+2*IF(circ_int,0,eq_c2/2))+(PI()*(s_0+9*s_r+IF(circ_int,eq_c1/2,0))/2))),IF(circ_int,0,eq_c1/2)+(s_0+9*s_r+IF(circ_int,eq_c1/2,0))*COS(3*PI()/2+(((58+0.5)*(4*IF(circ_int,0,eq_c1/2)+4*IF(circ_int,0,eq_c2/2)+2*PI()*(s_0+9*s_r+IF(circ_int,eq_c1/2,0)))/INDEX(lk_legs,10))-(((((((2*IF(circ_int,0,eq_c2/2))+(PI()*(s_0+9*s_r+IF(circ_int,eq_c1/2,0))/2))+2*IF(circ_int,0,eq_c1/2))+(PI()*(s_0+9*s_r+IF(circ_int,eq_c1/2,0))/2))+2*IF(circ_int,0,eq_c2/2))+(PI()*(s_0+9*s_r+IF(circ_int,eq_c1/2,0))/2))+2*IF(circ_int,0,eq_c1/2)))/(s_0+9*s_r+IF(circ_int,eq_c1/2,0)))))))))),NA())</f>
        <v/>
      </c>
      <c r="DC61">
        <f>IF(AND(AND(links_on,10&lt;=n_per),INDEX(lk_kind,10)=1,58&lt;INDEX(lk_legs,10)),g_oy+IF(((58+0.5)*(4*IF(circ_int,0,eq_c1/2)+4*IF(circ_int,0,eq_c2/2)+2*PI()*(s_0+9*s_r+IF(circ_int,eq_c1/2,0)))/INDEX(lk_legs,10))&lt;(2*IF(circ_int,0,eq_c2/2)),-IF(circ_int,0,eq_c2/2)+((58+0.5)*(4*IF(circ_int,0,eq_c1/2)+4*IF(circ_int,0,eq_c2/2)+2*PI()*(s_0+9*s_r+IF(circ_int,eq_c1/2,0)))/INDEX(lk_legs,10)),IF(((58+0.5)*(4*IF(circ_int,0,eq_c1/2)+4*IF(circ_int,0,eq_c2/2)+2*PI()*(s_0+9*s_r+IF(circ_int,eq_c1/2,0)))/INDEX(lk_legs,10))&lt;((2*IF(circ_int,0,eq_c2/2))+(PI()*(s_0+9*s_r+IF(circ_int,eq_c1/2,0))/2)),IF(circ_int,0,eq_c2/2)+(s_0+9*s_r+IF(circ_int,eq_c1/2,0))*SIN((((58+0.5)*(4*IF(circ_int,0,eq_c1/2)+4*IF(circ_int,0,eq_c2/2)+2*PI()*(s_0+9*s_r+IF(circ_int,eq_c1/2,0)))/INDEX(lk_legs,10))-(2*IF(circ_int,0,eq_c2/2)))/(s_0+9*s_r+IF(circ_int,eq_c1/2,0))),IF(((58+0.5)*(4*IF(circ_int,0,eq_c1/2)+4*IF(circ_int,0,eq_c2/2)+2*PI()*(s_0+9*s_r+IF(circ_int,eq_c1/2,0)))/INDEX(lk_legs,10))&lt;(((2*IF(circ_int,0,eq_c2/2))+(PI()*(s_0+9*s_r+IF(circ_int,eq_c1/2,0))/2))+2*IF(circ_int,0,eq_c1/2)),IF(circ_int,0,eq_c2/2)+(s_0+9*s_r+IF(circ_int,eq_c1/2,0)),IF(((58+0.5)*(4*IF(circ_int,0,eq_c1/2)+4*IF(circ_int,0,eq_c2/2)+2*PI()*(s_0+9*s_r+IF(circ_int,eq_c1/2,0)))/INDEX(lk_legs,10))&lt;((((2*IF(circ_int,0,eq_c2/2))+(PI()*(s_0+9*s_r+IF(circ_int,eq_c1/2,0))/2))+2*IF(circ_int,0,eq_c1/2))+(PI()*(s_0+9*s_r+IF(circ_int,eq_c1/2,0))/2)),IF(circ_int,0,eq_c2/2)+(s_0+9*s_r+IF(circ_int,eq_c1/2,0))*SIN(PI()/2+(((58+0.5)*(4*IF(circ_int,0,eq_c1/2)+4*IF(circ_int,0,eq_c2/2)+2*PI()*(s_0+9*s_r+IF(circ_int,eq_c1/2,0)))/INDEX(lk_legs,10))-(((2*IF(circ_int,0,eq_c2/2))+(PI()*(s_0+9*s_r+IF(circ_int,eq_c1/2,0))/2))+2*IF(circ_int,0,eq_c1/2)))/(s_0+9*s_r+IF(circ_int,eq_c1/2,0))),IF(((58+0.5)*(4*IF(circ_int,0,eq_c1/2)+4*IF(circ_int,0,eq_c2/2)+2*PI()*(s_0+9*s_r+IF(circ_int,eq_c1/2,0)))/INDEX(lk_legs,10))&lt;(((((2*IF(circ_int,0,eq_c2/2))+(PI()*(s_0+9*s_r+IF(circ_int,eq_c1/2,0))/2))+2*IF(circ_int,0,eq_c1/2))+(PI()*(s_0+9*s_r+IF(circ_int,eq_c1/2,0))/2))+2*IF(circ_int,0,eq_c2/2)),IF(circ_int,0,eq_c2/2)-(((58+0.5)*(4*IF(circ_int,0,eq_c1/2)+4*IF(circ_int,0,eq_c2/2)+2*PI()*(s_0+9*s_r+IF(circ_int,eq_c1/2,0)))/INDEX(lk_legs,10))-((((2*IF(circ_int,0,eq_c2/2))+(PI()*(s_0+9*s_r+IF(circ_int,eq_c1/2,0))/2))+2*IF(circ_int,0,eq_c1/2))+(PI()*(s_0+9*s_r+IF(circ_int,eq_c1/2,0))/2))),IF(((58+0.5)*(4*IF(circ_int,0,eq_c1/2)+4*IF(circ_int,0,eq_c2/2)+2*PI()*(s_0+9*s_r+IF(circ_int,eq_c1/2,0)))/INDEX(lk_legs,10))&lt;((((((2*IF(circ_int,0,eq_c2/2))+(PI()*(s_0+9*s_r+IF(circ_int,eq_c1/2,0))/2))+2*IF(circ_int,0,eq_c1/2))+(PI()*(s_0+9*s_r+IF(circ_int,eq_c1/2,0))/2))+2*IF(circ_int,0,eq_c2/2))+(PI()*(s_0+9*s_r+IF(circ_int,eq_c1/2,0))/2)),-IF(circ_int,0,eq_c2/2)+(s_0+9*s_r+IF(circ_int,eq_c1/2,0))*SIN(PI()+(((58+0.5)*(4*IF(circ_int,0,eq_c1/2)+4*IF(circ_int,0,eq_c2/2)+2*PI()*(s_0+9*s_r+IF(circ_int,eq_c1/2,0)))/INDEX(lk_legs,10))-(((((2*IF(circ_int,0,eq_c2/2))+(PI()*(s_0+9*s_r+IF(circ_int,eq_c1/2,0))/2))+2*IF(circ_int,0,eq_c1/2))+(PI()*(s_0+9*s_r+IF(circ_int,eq_c1/2,0))/2))+2*IF(circ_int,0,eq_c2/2)))/(s_0+9*s_r+IF(circ_int,eq_c1/2,0))),IF(((58+0.5)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(58+0.5)*(4*IF(circ_int,0,eq_c1/2)+4*IF(circ_int,0,eq_c2/2)+2*PI()*(s_0+9*s_r+IF(circ_int,eq_c1/2,0)))/INDEX(lk_legs,10))-(((((((2*IF(circ_int,0,eq_c2/2))+(PI()*(s_0+9*s_r+IF(circ_int,eq_c1/2,0))/2))+2*IF(circ_int,0,eq_c1/2))+(PI()*(s_0+9*s_r+IF(circ_int,eq_c1/2,0))/2))+2*IF(circ_int,0,eq_c2/2))+(PI()*(s_0+9*s_r+IF(circ_int,eq_c1/2,0))/2))+2*IF(circ_int,0,eq_c1/2)))/(s_0+9*s_r+IF(circ_int,eq_c1/2,0)))))))))),NA())</f>
        <v/>
      </c>
      <c r="DH61">
        <f>IF(AND(AND(links_on,11&lt;=n_per),INDEX(lk_kind,11)=1,58&lt;INDEX(lk_legs,11)),g_ox+IF(((58+0.5)*(4*IF(circ_int,0,eq_c1/2)+4*IF(circ_int,0,eq_c2/2)+2*PI()*(s_0+10*s_r+IF(circ_int,eq_c1/2,0)))/INDEX(lk_legs,11))&lt;(2*IF(circ_int,0,eq_c2/2)),IF(circ_int,0,eq_c1/2)+(s_0+10*s_r+IF(circ_int,eq_c1/2,0)),IF(((58+0.5)*(4*IF(circ_int,0,eq_c1/2)+4*IF(circ_int,0,eq_c2/2)+2*PI()*(s_0+10*s_r+IF(circ_int,eq_c1/2,0)))/INDEX(lk_legs,11))&lt;((2*IF(circ_int,0,eq_c2/2))+(PI()*(s_0+10*s_r+IF(circ_int,eq_c1/2,0))/2)),IF(circ_int,0,eq_c1/2)+(s_0+10*s_r+IF(circ_int,eq_c1/2,0))*COS((((58+0.5)*(4*IF(circ_int,0,eq_c1/2)+4*IF(circ_int,0,eq_c2/2)+2*PI()*(s_0+10*s_r+IF(circ_int,eq_c1/2,0)))/INDEX(lk_legs,11))-(2*IF(circ_int,0,eq_c2/2)))/(s_0+10*s_r+IF(circ_int,eq_c1/2,0))),IF(((58+0.5)*(4*IF(circ_int,0,eq_c1/2)+4*IF(circ_int,0,eq_c2/2)+2*PI()*(s_0+10*s_r+IF(circ_int,eq_c1/2,0)))/INDEX(lk_legs,11))&lt;(((2*IF(circ_int,0,eq_c2/2))+(PI()*(s_0+10*s_r+IF(circ_int,eq_c1/2,0))/2))+2*IF(circ_int,0,eq_c1/2)),IF(circ_int,0,eq_c1/2)-(((58+0.5)*(4*IF(circ_int,0,eq_c1/2)+4*IF(circ_int,0,eq_c2/2)+2*PI()*(s_0+10*s_r+IF(circ_int,eq_c1/2,0)))/INDEX(lk_legs,11))-((2*IF(circ_int,0,eq_c2/2))+(PI()*(s_0+10*s_r+IF(circ_int,eq_c1/2,0))/2))),IF(((58+0.5)*(4*IF(circ_int,0,eq_c1/2)+4*IF(circ_int,0,eq_c2/2)+2*PI()*(s_0+10*s_r+IF(circ_int,eq_c1/2,0)))/INDEX(lk_legs,11))&lt;((((2*IF(circ_int,0,eq_c2/2))+(PI()*(s_0+10*s_r+IF(circ_int,eq_c1/2,0))/2))+2*IF(circ_int,0,eq_c1/2))+(PI()*(s_0+10*s_r+IF(circ_int,eq_c1/2,0))/2)),-IF(circ_int,0,eq_c1/2)+(s_0+10*s_r+IF(circ_int,eq_c1/2,0))*COS(PI()/2+(((58+0.5)*(4*IF(circ_int,0,eq_c1/2)+4*IF(circ_int,0,eq_c2/2)+2*PI()*(s_0+10*s_r+IF(circ_int,eq_c1/2,0)))/INDEX(lk_legs,11))-(((2*IF(circ_int,0,eq_c2/2))+(PI()*(s_0+10*s_r+IF(circ_int,eq_c1/2,0))/2))+2*IF(circ_int,0,eq_c1/2)))/(s_0+10*s_r+IF(circ_int,eq_c1/2,0))),IF(((58+0.5)*(4*IF(circ_int,0,eq_c1/2)+4*IF(circ_int,0,eq_c2/2)+2*PI()*(s_0+10*s_r+IF(circ_int,eq_c1/2,0)))/INDEX(lk_legs,11))&lt;(((((2*IF(circ_int,0,eq_c2/2))+(PI()*(s_0+10*s_r+IF(circ_int,eq_c1/2,0))/2))+2*IF(circ_int,0,eq_c1/2))+(PI()*(s_0+10*s_r+IF(circ_int,eq_c1/2,0))/2))+2*IF(circ_int,0,eq_c2/2)),-IF(circ_int,0,eq_c1/2)-(s_0+10*s_r+IF(circ_int,eq_c1/2,0)),IF(((58+0.5)*(4*IF(circ_int,0,eq_c1/2)+4*IF(circ_int,0,eq_c2/2)+2*PI()*(s_0+10*s_r+IF(circ_int,eq_c1/2,0)))/INDEX(lk_legs,11))&lt;((((((2*IF(circ_int,0,eq_c2/2))+(PI()*(s_0+10*s_r+IF(circ_int,eq_c1/2,0))/2))+2*IF(circ_int,0,eq_c1/2))+(PI()*(s_0+10*s_r+IF(circ_int,eq_c1/2,0))/2))+2*IF(circ_int,0,eq_c2/2))+(PI()*(s_0+10*s_r+IF(circ_int,eq_c1/2,0))/2)),-IF(circ_int,0,eq_c1/2)+(s_0+10*s_r+IF(circ_int,eq_c1/2,0))*COS(PI()+(((58+0.5)*(4*IF(circ_int,0,eq_c1/2)+4*IF(circ_int,0,eq_c2/2)+2*PI()*(s_0+10*s_r+IF(circ_int,eq_c1/2,0)))/INDEX(lk_legs,11))-(((((2*IF(circ_int,0,eq_c2/2))+(PI()*(s_0+10*s_r+IF(circ_int,eq_c1/2,0))/2))+2*IF(circ_int,0,eq_c1/2))+(PI()*(s_0+10*s_r+IF(circ_int,eq_c1/2,0))/2))+2*IF(circ_int,0,eq_c2/2)))/(s_0+10*s_r+IF(circ_int,eq_c1/2,0))),IF(((58+0.5)*(4*IF(circ_int,0,eq_c1/2)+4*IF(circ_int,0,eq_c2/2)+2*PI()*(s_0+10*s_r+IF(circ_int,eq_c1/2,0)))/INDEX(lk_legs,11))&lt;(((((((2*IF(circ_int,0,eq_c2/2))+(PI()*(s_0+10*s_r+IF(circ_int,eq_c1/2,0))/2))+2*IF(circ_int,0,eq_c1/2))+(PI()*(s_0+10*s_r+IF(circ_int,eq_c1/2,0))/2))+2*IF(circ_int,0,eq_c2/2))+(PI()*(s_0+10*s_r+IF(circ_int,eq_c1/2,0))/2))+2*IF(circ_int,0,eq_c1/2)),-IF(circ_int,0,eq_c1/2)+(((58+0.5)*(4*IF(circ_int,0,eq_c1/2)+4*IF(circ_int,0,eq_c2/2)+2*PI()*(s_0+10*s_r+IF(circ_int,eq_c1/2,0)))/INDEX(lk_legs,11))-((((((2*IF(circ_int,0,eq_c2/2))+(PI()*(s_0+10*s_r+IF(circ_int,eq_c1/2,0))/2))+2*IF(circ_int,0,eq_c1/2))+(PI()*(s_0+10*s_r+IF(circ_int,eq_c1/2,0))/2))+2*IF(circ_int,0,eq_c2/2))+(PI()*(s_0+10*s_r+IF(circ_int,eq_c1/2,0))/2))),IF(circ_int,0,eq_c1/2)+(s_0+10*s_r+IF(circ_int,eq_c1/2,0))*COS(3*PI()/2+(((58+0.5)*(4*IF(circ_int,0,eq_c1/2)+4*IF(circ_int,0,eq_c2/2)+2*PI()*(s_0+10*s_r+IF(circ_int,eq_c1/2,0)))/INDEX(lk_legs,11))-(((((((2*IF(circ_int,0,eq_c2/2))+(PI()*(s_0+10*s_r+IF(circ_int,eq_c1/2,0))/2))+2*IF(circ_int,0,eq_c1/2))+(PI()*(s_0+10*s_r+IF(circ_int,eq_c1/2,0))/2))+2*IF(circ_int,0,eq_c2/2))+(PI()*(s_0+10*s_r+IF(circ_int,eq_c1/2,0))/2))+2*IF(circ_int,0,eq_c1/2)))/(s_0+10*s_r+IF(circ_int,eq_c1/2,0)))))))))),NA())</f>
        <v/>
      </c>
      <c r="DI61">
        <f>IF(AND(AND(links_on,11&lt;=n_per),INDEX(lk_kind,11)=1,58&lt;INDEX(lk_legs,11)),g_oy+IF(((58+0.5)*(4*IF(circ_int,0,eq_c1/2)+4*IF(circ_int,0,eq_c2/2)+2*PI()*(s_0+10*s_r+IF(circ_int,eq_c1/2,0)))/INDEX(lk_legs,11))&lt;(2*IF(circ_int,0,eq_c2/2)),-IF(circ_int,0,eq_c2/2)+((58+0.5)*(4*IF(circ_int,0,eq_c1/2)+4*IF(circ_int,0,eq_c2/2)+2*PI()*(s_0+10*s_r+IF(circ_int,eq_c1/2,0)))/INDEX(lk_legs,11)),IF(((58+0.5)*(4*IF(circ_int,0,eq_c1/2)+4*IF(circ_int,0,eq_c2/2)+2*PI()*(s_0+10*s_r+IF(circ_int,eq_c1/2,0)))/INDEX(lk_legs,11))&lt;((2*IF(circ_int,0,eq_c2/2))+(PI()*(s_0+10*s_r+IF(circ_int,eq_c1/2,0))/2)),IF(circ_int,0,eq_c2/2)+(s_0+10*s_r+IF(circ_int,eq_c1/2,0))*SIN((((58+0.5)*(4*IF(circ_int,0,eq_c1/2)+4*IF(circ_int,0,eq_c2/2)+2*PI()*(s_0+10*s_r+IF(circ_int,eq_c1/2,0)))/INDEX(lk_legs,11))-(2*IF(circ_int,0,eq_c2/2)))/(s_0+10*s_r+IF(circ_int,eq_c1/2,0))),IF(((58+0.5)*(4*IF(circ_int,0,eq_c1/2)+4*IF(circ_int,0,eq_c2/2)+2*PI()*(s_0+10*s_r+IF(circ_int,eq_c1/2,0)))/INDEX(lk_legs,11))&lt;(((2*IF(circ_int,0,eq_c2/2))+(PI()*(s_0+10*s_r+IF(circ_int,eq_c1/2,0))/2))+2*IF(circ_int,0,eq_c1/2)),IF(circ_int,0,eq_c2/2)+(s_0+10*s_r+IF(circ_int,eq_c1/2,0)),IF(((58+0.5)*(4*IF(circ_int,0,eq_c1/2)+4*IF(circ_int,0,eq_c2/2)+2*PI()*(s_0+10*s_r+IF(circ_int,eq_c1/2,0)))/INDEX(lk_legs,11))&lt;((((2*IF(circ_int,0,eq_c2/2))+(PI()*(s_0+10*s_r+IF(circ_int,eq_c1/2,0))/2))+2*IF(circ_int,0,eq_c1/2))+(PI()*(s_0+10*s_r+IF(circ_int,eq_c1/2,0))/2)),IF(circ_int,0,eq_c2/2)+(s_0+10*s_r+IF(circ_int,eq_c1/2,0))*SIN(PI()/2+(((58+0.5)*(4*IF(circ_int,0,eq_c1/2)+4*IF(circ_int,0,eq_c2/2)+2*PI()*(s_0+10*s_r+IF(circ_int,eq_c1/2,0)))/INDEX(lk_legs,11))-(((2*IF(circ_int,0,eq_c2/2))+(PI()*(s_0+10*s_r+IF(circ_int,eq_c1/2,0))/2))+2*IF(circ_int,0,eq_c1/2)))/(s_0+10*s_r+IF(circ_int,eq_c1/2,0))),IF(((58+0.5)*(4*IF(circ_int,0,eq_c1/2)+4*IF(circ_int,0,eq_c2/2)+2*PI()*(s_0+10*s_r+IF(circ_int,eq_c1/2,0)))/INDEX(lk_legs,11))&lt;(((((2*IF(circ_int,0,eq_c2/2))+(PI()*(s_0+10*s_r+IF(circ_int,eq_c1/2,0))/2))+2*IF(circ_int,0,eq_c1/2))+(PI()*(s_0+10*s_r+IF(circ_int,eq_c1/2,0))/2))+2*IF(circ_int,0,eq_c2/2)),IF(circ_int,0,eq_c2/2)-(((58+0.5)*(4*IF(circ_int,0,eq_c1/2)+4*IF(circ_int,0,eq_c2/2)+2*PI()*(s_0+10*s_r+IF(circ_int,eq_c1/2,0)))/INDEX(lk_legs,11))-((((2*IF(circ_int,0,eq_c2/2))+(PI()*(s_0+10*s_r+IF(circ_int,eq_c1/2,0))/2))+2*IF(circ_int,0,eq_c1/2))+(PI()*(s_0+10*s_r+IF(circ_int,eq_c1/2,0))/2))),IF(((58+0.5)*(4*IF(circ_int,0,eq_c1/2)+4*IF(circ_int,0,eq_c2/2)+2*PI()*(s_0+10*s_r+IF(circ_int,eq_c1/2,0)))/INDEX(lk_legs,11))&lt;((((((2*IF(circ_int,0,eq_c2/2))+(PI()*(s_0+10*s_r+IF(circ_int,eq_c1/2,0))/2))+2*IF(circ_int,0,eq_c1/2))+(PI()*(s_0+10*s_r+IF(circ_int,eq_c1/2,0))/2))+2*IF(circ_int,0,eq_c2/2))+(PI()*(s_0+10*s_r+IF(circ_int,eq_c1/2,0))/2)),-IF(circ_int,0,eq_c2/2)+(s_0+10*s_r+IF(circ_int,eq_c1/2,0))*SIN(PI()+(((58+0.5)*(4*IF(circ_int,0,eq_c1/2)+4*IF(circ_int,0,eq_c2/2)+2*PI()*(s_0+10*s_r+IF(circ_int,eq_c1/2,0)))/INDEX(lk_legs,11))-(((((2*IF(circ_int,0,eq_c2/2))+(PI()*(s_0+10*s_r+IF(circ_int,eq_c1/2,0))/2))+2*IF(circ_int,0,eq_c1/2))+(PI()*(s_0+10*s_r+IF(circ_int,eq_c1/2,0))/2))+2*IF(circ_int,0,eq_c2/2)))/(s_0+10*s_r+IF(circ_int,eq_c1/2,0))),IF(((58+0.5)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(58+0.5)*(4*IF(circ_int,0,eq_c1/2)+4*IF(circ_int,0,eq_c2/2)+2*PI()*(s_0+10*s_r+IF(circ_int,eq_c1/2,0)))/INDEX(lk_legs,11))-(((((((2*IF(circ_int,0,eq_c2/2))+(PI()*(s_0+10*s_r+IF(circ_int,eq_c1/2,0))/2))+2*IF(circ_int,0,eq_c1/2))+(PI()*(s_0+10*s_r+IF(circ_int,eq_c1/2,0))/2))+2*IF(circ_int,0,eq_c2/2))+(PI()*(s_0+10*s_r+IF(circ_int,eq_c1/2,0))/2))+2*IF(circ_int,0,eq_c1/2)))/(s_0+10*s_r+IF(circ_int,eq_c1/2,0)))))))))),NA())</f>
        <v/>
      </c>
      <c r="DN61">
        <f>IF(AND(AND(links_on,12&lt;=n_per),INDEX(lk_kind,12)=1,58&lt;INDEX(lk_legs,12)),g_ox+IF(((58+0.5)*(4*IF(circ_int,0,eq_c1/2)+4*IF(circ_int,0,eq_c2/2)+2*PI()*(s_0+11*s_r+IF(circ_int,eq_c1/2,0)))/INDEX(lk_legs,12))&lt;(2*IF(circ_int,0,eq_c2/2)),IF(circ_int,0,eq_c1/2)+(s_0+11*s_r+IF(circ_int,eq_c1/2,0)),IF(((58+0.5)*(4*IF(circ_int,0,eq_c1/2)+4*IF(circ_int,0,eq_c2/2)+2*PI()*(s_0+11*s_r+IF(circ_int,eq_c1/2,0)))/INDEX(lk_legs,12))&lt;((2*IF(circ_int,0,eq_c2/2))+(PI()*(s_0+11*s_r+IF(circ_int,eq_c1/2,0))/2)),IF(circ_int,0,eq_c1/2)+(s_0+11*s_r+IF(circ_int,eq_c1/2,0))*COS((((58+0.5)*(4*IF(circ_int,0,eq_c1/2)+4*IF(circ_int,0,eq_c2/2)+2*PI()*(s_0+11*s_r+IF(circ_int,eq_c1/2,0)))/INDEX(lk_legs,12))-(2*IF(circ_int,0,eq_c2/2)))/(s_0+11*s_r+IF(circ_int,eq_c1/2,0))),IF(((58+0.5)*(4*IF(circ_int,0,eq_c1/2)+4*IF(circ_int,0,eq_c2/2)+2*PI()*(s_0+11*s_r+IF(circ_int,eq_c1/2,0)))/INDEX(lk_legs,12))&lt;(((2*IF(circ_int,0,eq_c2/2))+(PI()*(s_0+11*s_r+IF(circ_int,eq_c1/2,0))/2))+2*IF(circ_int,0,eq_c1/2)),IF(circ_int,0,eq_c1/2)-(((58+0.5)*(4*IF(circ_int,0,eq_c1/2)+4*IF(circ_int,0,eq_c2/2)+2*PI()*(s_0+11*s_r+IF(circ_int,eq_c1/2,0)))/INDEX(lk_legs,12))-((2*IF(circ_int,0,eq_c2/2))+(PI()*(s_0+11*s_r+IF(circ_int,eq_c1/2,0))/2))),IF(((58+0.5)*(4*IF(circ_int,0,eq_c1/2)+4*IF(circ_int,0,eq_c2/2)+2*PI()*(s_0+11*s_r+IF(circ_int,eq_c1/2,0)))/INDEX(lk_legs,12))&lt;((((2*IF(circ_int,0,eq_c2/2))+(PI()*(s_0+11*s_r+IF(circ_int,eq_c1/2,0))/2))+2*IF(circ_int,0,eq_c1/2))+(PI()*(s_0+11*s_r+IF(circ_int,eq_c1/2,0))/2)),-IF(circ_int,0,eq_c1/2)+(s_0+11*s_r+IF(circ_int,eq_c1/2,0))*COS(PI()/2+(((58+0.5)*(4*IF(circ_int,0,eq_c1/2)+4*IF(circ_int,0,eq_c2/2)+2*PI()*(s_0+11*s_r+IF(circ_int,eq_c1/2,0)))/INDEX(lk_legs,12))-(((2*IF(circ_int,0,eq_c2/2))+(PI()*(s_0+11*s_r+IF(circ_int,eq_c1/2,0))/2))+2*IF(circ_int,0,eq_c1/2)))/(s_0+11*s_r+IF(circ_int,eq_c1/2,0))),IF(((58+0.5)*(4*IF(circ_int,0,eq_c1/2)+4*IF(circ_int,0,eq_c2/2)+2*PI()*(s_0+11*s_r+IF(circ_int,eq_c1/2,0)))/INDEX(lk_legs,12))&lt;(((((2*IF(circ_int,0,eq_c2/2))+(PI()*(s_0+11*s_r+IF(circ_int,eq_c1/2,0))/2))+2*IF(circ_int,0,eq_c1/2))+(PI()*(s_0+11*s_r+IF(circ_int,eq_c1/2,0))/2))+2*IF(circ_int,0,eq_c2/2)),-IF(circ_int,0,eq_c1/2)-(s_0+11*s_r+IF(circ_int,eq_c1/2,0)),IF(((58+0.5)*(4*IF(circ_int,0,eq_c1/2)+4*IF(circ_int,0,eq_c2/2)+2*PI()*(s_0+11*s_r+IF(circ_int,eq_c1/2,0)))/INDEX(lk_legs,12))&lt;((((((2*IF(circ_int,0,eq_c2/2))+(PI()*(s_0+11*s_r+IF(circ_int,eq_c1/2,0))/2))+2*IF(circ_int,0,eq_c1/2))+(PI()*(s_0+11*s_r+IF(circ_int,eq_c1/2,0))/2))+2*IF(circ_int,0,eq_c2/2))+(PI()*(s_0+11*s_r+IF(circ_int,eq_c1/2,0))/2)),-IF(circ_int,0,eq_c1/2)+(s_0+11*s_r+IF(circ_int,eq_c1/2,0))*COS(PI()+(((58+0.5)*(4*IF(circ_int,0,eq_c1/2)+4*IF(circ_int,0,eq_c2/2)+2*PI()*(s_0+11*s_r+IF(circ_int,eq_c1/2,0)))/INDEX(lk_legs,12))-(((((2*IF(circ_int,0,eq_c2/2))+(PI()*(s_0+11*s_r+IF(circ_int,eq_c1/2,0))/2))+2*IF(circ_int,0,eq_c1/2))+(PI()*(s_0+11*s_r+IF(circ_int,eq_c1/2,0))/2))+2*IF(circ_int,0,eq_c2/2)))/(s_0+11*s_r+IF(circ_int,eq_c1/2,0))),IF(((58+0.5)*(4*IF(circ_int,0,eq_c1/2)+4*IF(circ_int,0,eq_c2/2)+2*PI()*(s_0+11*s_r+IF(circ_int,eq_c1/2,0)))/INDEX(lk_legs,12))&lt;(((((((2*IF(circ_int,0,eq_c2/2))+(PI()*(s_0+11*s_r+IF(circ_int,eq_c1/2,0))/2))+2*IF(circ_int,0,eq_c1/2))+(PI()*(s_0+11*s_r+IF(circ_int,eq_c1/2,0))/2))+2*IF(circ_int,0,eq_c2/2))+(PI()*(s_0+11*s_r+IF(circ_int,eq_c1/2,0))/2))+2*IF(circ_int,0,eq_c1/2)),-IF(circ_int,0,eq_c1/2)+(((58+0.5)*(4*IF(circ_int,0,eq_c1/2)+4*IF(circ_int,0,eq_c2/2)+2*PI()*(s_0+11*s_r+IF(circ_int,eq_c1/2,0)))/INDEX(lk_legs,12))-((((((2*IF(circ_int,0,eq_c2/2))+(PI()*(s_0+11*s_r+IF(circ_int,eq_c1/2,0))/2))+2*IF(circ_int,0,eq_c1/2))+(PI()*(s_0+11*s_r+IF(circ_int,eq_c1/2,0))/2))+2*IF(circ_int,0,eq_c2/2))+(PI()*(s_0+11*s_r+IF(circ_int,eq_c1/2,0))/2))),IF(circ_int,0,eq_c1/2)+(s_0+11*s_r+IF(circ_int,eq_c1/2,0))*COS(3*PI()/2+(((58+0.5)*(4*IF(circ_int,0,eq_c1/2)+4*IF(circ_int,0,eq_c2/2)+2*PI()*(s_0+11*s_r+IF(circ_int,eq_c1/2,0)))/INDEX(lk_legs,12))-(((((((2*IF(circ_int,0,eq_c2/2))+(PI()*(s_0+11*s_r+IF(circ_int,eq_c1/2,0))/2))+2*IF(circ_int,0,eq_c1/2))+(PI()*(s_0+11*s_r+IF(circ_int,eq_c1/2,0))/2))+2*IF(circ_int,0,eq_c2/2))+(PI()*(s_0+11*s_r+IF(circ_int,eq_c1/2,0))/2))+2*IF(circ_int,0,eq_c1/2)))/(s_0+11*s_r+IF(circ_int,eq_c1/2,0)))))))))),NA())</f>
        <v/>
      </c>
      <c r="DO61">
        <f>IF(AND(AND(links_on,12&lt;=n_per),INDEX(lk_kind,12)=1,58&lt;INDEX(lk_legs,12)),g_oy+IF(((58+0.5)*(4*IF(circ_int,0,eq_c1/2)+4*IF(circ_int,0,eq_c2/2)+2*PI()*(s_0+11*s_r+IF(circ_int,eq_c1/2,0)))/INDEX(lk_legs,12))&lt;(2*IF(circ_int,0,eq_c2/2)),-IF(circ_int,0,eq_c2/2)+((58+0.5)*(4*IF(circ_int,0,eq_c1/2)+4*IF(circ_int,0,eq_c2/2)+2*PI()*(s_0+11*s_r+IF(circ_int,eq_c1/2,0)))/INDEX(lk_legs,12)),IF(((58+0.5)*(4*IF(circ_int,0,eq_c1/2)+4*IF(circ_int,0,eq_c2/2)+2*PI()*(s_0+11*s_r+IF(circ_int,eq_c1/2,0)))/INDEX(lk_legs,12))&lt;((2*IF(circ_int,0,eq_c2/2))+(PI()*(s_0+11*s_r+IF(circ_int,eq_c1/2,0))/2)),IF(circ_int,0,eq_c2/2)+(s_0+11*s_r+IF(circ_int,eq_c1/2,0))*SIN((((58+0.5)*(4*IF(circ_int,0,eq_c1/2)+4*IF(circ_int,0,eq_c2/2)+2*PI()*(s_0+11*s_r+IF(circ_int,eq_c1/2,0)))/INDEX(lk_legs,12))-(2*IF(circ_int,0,eq_c2/2)))/(s_0+11*s_r+IF(circ_int,eq_c1/2,0))),IF(((58+0.5)*(4*IF(circ_int,0,eq_c1/2)+4*IF(circ_int,0,eq_c2/2)+2*PI()*(s_0+11*s_r+IF(circ_int,eq_c1/2,0)))/INDEX(lk_legs,12))&lt;(((2*IF(circ_int,0,eq_c2/2))+(PI()*(s_0+11*s_r+IF(circ_int,eq_c1/2,0))/2))+2*IF(circ_int,0,eq_c1/2)),IF(circ_int,0,eq_c2/2)+(s_0+11*s_r+IF(circ_int,eq_c1/2,0)),IF(((58+0.5)*(4*IF(circ_int,0,eq_c1/2)+4*IF(circ_int,0,eq_c2/2)+2*PI()*(s_0+11*s_r+IF(circ_int,eq_c1/2,0)))/INDEX(lk_legs,12))&lt;((((2*IF(circ_int,0,eq_c2/2))+(PI()*(s_0+11*s_r+IF(circ_int,eq_c1/2,0))/2))+2*IF(circ_int,0,eq_c1/2))+(PI()*(s_0+11*s_r+IF(circ_int,eq_c1/2,0))/2)),IF(circ_int,0,eq_c2/2)+(s_0+11*s_r+IF(circ_int,eq_c1/2,0))*SIN(PI()/2+(((58+0.5)*(4*IF(circ_int,0,eq_c1/2)+4*IF(circ_int,0,eq_c2/2)+2*PI()*(s_0+11*s_r+IF(circ_int,eq_c1/2,0)))/INDEX(lk_legs,12))-(((2*IF(circ_int,0,eq_c2/2))+(PI()*(s_0+11*s_r+IF(circ_int,eq_c1/2,0))/2))+2*IF(circ_int,0,eq_c1/2)))/(s_0+11*s_r+IF(circ_int,eq_c1/2,0))),IF(((58+0.5)*(4*IF(circ_int,0,eq_c1/2)+4*IF(circ_int,0,eq_c2/2)+2*PI()*(s_0+11*s_r+IF(circ_int,eq_c1/2,0)))/INDEX(lk_legs,12))&lt;(((((2*IF(circ_int,0,eq_c2/2))+(PI()*(s_0+11*s_r+IF(circ_int,eq_c1/2,0))/2))+2*IF(circ_int,0,eq_c1/2))+(PI()*(s_0+11*s_r+IF(circ_int,eq_c1/2,0))/2))+2*IF(circ_int,0,eq_c2/2)),IF(circ_int,0,eq_c2/2)-(((58+0.5)*(4*IF(circ_int,0,eq_c1/2)+4*IF(circ_int,0,eq_c2/2)+2*PI()*(s_0+11*s_r+IF(circ_int,eq_c1/2,0)))/INDEX(lk_legs,12))-((((2*IF(circ_int,0,eq_c2/2))+(PI()*(s_0+11*s_r+IF(circ_int,eq_c1/2,0))/2))+2*IF(circ_int,0,eq_c1/2))+(PI()*(s_0+11*s_r+IF(circ_int,eq_c1/2,0))/2))),IF(((58+0.5)*(4*IF(circ_int,0,eq_c1/2)+4*IF(circ_int,0,eq_c2/2)+2*PI()*(s_0+11*s_r+IF(circ_int,eq_c1/2,0)))/INDEX(lk_legs,12))&lt;((((((2*IF(circ_int,0,eq_c2/2))+(PI()*(s_0+11*s_r+IF(circ_int,eq_c1/2,0))/2))+2*IF(circ_int,0,eq_c1/2))+(PI()*(s_0+11*s_r+IF(circ_int,eq_c1/2,0))/2))+2*IF(circ_int,0,eq_c2/2))+(PI()*(s_0+11*s_r+IF(circ_int,eq_c1/2,0))/2)),-IF(circ_int,0,eq_c2/2)+(s_0+11*s_r+IF(circ_int,eq_c1/2,0))*SIN(PI()+(((58+0.5)*(4*IF(circ_int,0,eq_c1/2)+4*IF(circ_int,0,eq_c2/2)+2*PI()*(s_0+11*s_r+IF(circ_int,eq_c1/2,0)))/INDEX(lk_legs,12))-(((((2*IF(circ_int,0,eq_c2/2))+(PI()*(s_0+11*s_r+IF(circ_int,eq_c1/2,0))/2))+2*IF(circ_int,0,eq_c1/2))+(PI()*(s_0+11*s_r+IF(circ_int,eq_c1/2,0))/2))+2*IF(circ_int,0,eq_c2/2)))/(s_0+11*s_r+IF(circ_int,eq_c1/2,0))),IF(((58+0.5)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(58+0.5)*(4*IF(circ_int,0,eq_c1/2)+4*IF(circ_int,0,eq_c2/2)+2*PI()*(s_0+11*s_r+IF(circ_int,eq_c1/2,0)))/INDEX(lk_legs,12))-(((((((2*IF(circ_int,0,eq_c2/2))+(PI()*(s_0+11*s_r+IF(circ_int,eq_c1/2,0))/2))+2*IF(circ_int,0,eq_c1/2))+(PI()*(s_0+11*s_r+IF(circ_int,eq_c1/2,0))/2))+2*IF(circ_int,0,eq_c2/2))+(PI()*(s_0+11*s_r+IF(circ_int,eq_c1/2,0))/2))+2*IF(circ_int,0,eq_c1/2)))/(s_0+11*s_r+IF(circ_int,eq_c1/2,0)))))))))),NA())</f>
        <v/>
      </c>
    </row>
    <row r="62">
      <c r="AZ62">
        <f>IF(AND(AND(links_on,1&lt;=n_per),INDEX(lk_kind,1)=1,59&lt;INDEX(lk_legs,1)),g_ox+IF(((59+0.5)*(4*IF(circ_int,0,eq_c1/2)+4*IF(circ_int,0,eq_c2/2)+2*PI()*(s_0+0*s_r+IF(circ_int,eq_c1/2,0)))/INDEX(lk_legs,1))&lt;(2*IF(circ_int,0,eq_c2/2)),IF(circ_int,0,eq_c1/2)+(s_0+0*s_r+IF(circ_int,eq_c1/2,0)),IF(((59+0.5)*(4*IF(circ_int,0,eq_c1/2)+4*IF(circ_int,0,eq_c2/2)+2*PI()*(s_0+0*s_r+IF(circ_int,eq_c1/2,0)))/INDEX(lk_legs,1))&lt;((2*IF(circ_int,0,eq_c2/2))+(PI()*(s_0+0*s_r+IF(circ_int,eq_c1/2,0))/2)),IF(circ_int,0,eq_c1/2)+(s_0+0*s_r+IF(circ_int,eq_c1/2,0))*COS((((59+0.5)*(4*IF(circ_int,0,eq_c1/2)+4*IF(circ_int,0,eq_c2/2)+2*PI()*(s_0+0*s_r+IF(circ_int,eq_c1/2,0)))/INDEX(lk_legs,1))-(2*IF(circ_int,0,eq_c2/2)))/(s_0+0*s_r+IF(circ_int,eq_c1/2,0))),IF(((59+0.5)*(4*IF(circ_int,0,eq_c1/2)+4*IF(circ_int,0,eq_c2/2)+2*PI()*(s_0+0*s_r+IF(circ_int,eq_c1/2,0)))/INDEX(lk_legs,1))&lt;(((2*IF(circ_int,0,eq_c2/2))+(PI()*(s_0+0*s_r+IF(circ_int,eq_c1/2,0))/2))+2*IF(circ_int,0,eq_c1/2)),IF(circ_int,0,eq_c1/2)-(((59+0.5)*(4*IF(circ_int,0,eq_c1/2)+4*IF(circ_int,0,eq_c2/2)+2*PI()*(s_0+0*s_r+IF(circ_int,eq_c1/2,0)))/INDEX(lk_legs,1))-((2*IF(circ_int,0,eq_c2/2))+(PI()*(s_0+0*s_r+IF(circ_int,eq_c1/2,0))/2))),IF(((59+0.5)*(4*IF(circ_int,0,eq_c1/2)+4*IF(circ_int,0,eq_c2/2)+2*PI()*(s_0+0*s_r+IF(circ_int,eq_c1/2,0)))/INDEX(lk_legs,1))&lt;((((2*IF(circ_int,0,eq_c2/2))+(PI()*(s_0+0*s_r+IF(circ_int,eq_c1/2,0))/2))+2*IF(circ_int,0,eq_c1/2))+(PI()*(s_0+0*s_r+IF(circ_int,eq_c1/2,0))/2)),-IF(circ_int,0,eq_c1/2)+(s_0+0*s_r+IF(circ_int,eq_c1/2,0))*COS(PI()/2+(((59+0.5)*(4*IF(circ_int,0,eq_c1/2)+4*IF(circ_int,0,eq_c2/2)+2*PI()*(s_0+0*s_r+IF(circ_int,eq_c1/2,0)))/INDEX(lk_legs,1))-(((2*IF(circ_int,0,eq_c2/2))+(PI()*(s_0+0*s_r+IF(circ_int,eq_c1/2,0))/2))+2*IF(circ_int,0,eq_c1/2)))/(s_0+0*s_r+IF(circ_int,eq_c1/2,0))),IF(((59+0.5)*(4*IF(circ_int,0,eq_c1/2)+4*IF(circ_int,0,eq_c2/2)+2*PI()*(s_0+0*s_r+IF(circ_int,eq_c1/2,0)))/INDEX(lk_legs,1))&lt;(((((2*IF(circ_int,0,eq_c2/2))+(PI()*(s_0+0*s_r+IF(circ_int,eq_c1/2,0))/2))+2*IF(circ_int,0,eq_c1/2))+(PI()*(s_0+0*s_r+IF(circ_int,eq_c1/2,0))/2))+2*IF(circ_int,0,eq_c2/2)),-IF(circ_int,0,eq_c1/2)-(s_0+0*s_r+IF(circ_int,eq_c1/2,0)),IF(((59+0.5)*(4*IF(circ_int,0,eq_c1/2)+4*IF(circ_int,0,eq_c2/2)+2*PI()*(s_0+0*s_r+IF(circ_int,eq_c1/2,0)))/INDEX(lk_legs,1))&lt;((((((2*IF(circ_int,0,eq_c2/2))+(PI()*(s_0+0*s_r+IF(circ_int,eq_c1/2,0))/2))+2*IF(circ_int,0,eq_c1/2))+(PI()*(s_0+0*s_r+IF(circ_int,eq_c1/2,0))/2))+2*IF(circ_int,0,eq_c2/2))+(PI()*(s_0+0*s_r+IF(circ_int,eq_c1/2,0))/2)),-IF(circ_int,0,eq_c1/2)+(s_0+0*s_r+IF(circ_int,eq_c1/2,0))*COS(PI()+(((59+0.5)*(4*IF(circ_int,0,eq_c1/2)+4*IF(circ_int,0,eq_c2/2)+2*PI()*(s_0+0*s_r+IF(circ_int,eq_c1/2,0)))/INDEX(lk_legs,1))-(((((2*IF(circ_int,0,eq_c2/2))+(PI()*(s_0+0*s_r+IF(circ_int,eq_c1/2,0))/2))+2*IF(circ_int,0,eq_c1/2))+(PI()*(s_0+0*s_r+IF(circ_int,eq_c1/2,0))/2))+2*IF(circ_int,0,eq_c2/2)))/(s_0+0*s_r+IF(circ_int,eq_c1/2,0))),IF(((59+0.5)*(4*IF(circ_int,0,eq_c1/2)+4*IF(circ_int,0,eq_c2/2)+2*PI()*(s_0+0*s_r+IF(circ_int,eq_c1/2,0)))/INDEX(lk_legs,1))&lt;(((((((2*IF(circ_int,0,eq_c2/2))+(PI()*(s_0+0*s_r+IF(circ_int,eq_c1/2,0))/2))+2*IF(circ_int,0,eq_c1/2))+(PI()*(s_0+0*s_r+IF(circ_int,eq_c1/2,0))/2))+2*IF(circ_int,0,eq_c2/2))+(PI()*(s_0+0*s_r+IF(circ_int,eq_c1/2,0))/2))+2*IF(circ_int,0,eq_c1/2)),-IF(circ_int,0,eq_c1/2)+(((59+0.5)*(4*IF(circ_int,0,eq_c1/2)+4*IF(circ_int,0,eq_c2/2)+2*PI()*(s_0+0*s_r+IF(circ_int,eq_c1/2,0)))/INDEX(lk_legs,1))-((((((2*IF(circ_int,0,eq_c2/2))+(PI()*(s_0+0*s_r+IF(circ_int,eq_c1/2,0))/2))+2*IF(circ_int,0,eq_c1/2))+(PI()*(s_0+0*s_r+IF(circ_int,eq_c1/2,0))/2))+2*IF(circ_int,0,eq_c2/2))+(PI()*(s_0+0*s_r+IF(circ_int,eq_c1/2,0))/2))),IF(circ_int,0,eq_c1/2)+(s_0+0*s_r+IF(circ_int,eq_c1/2,0))*COS(3*PI()/2+(((59+0.5)*(4*IF(circ_int,0,eq_c1/2)+4*IF(circ_int,0,eq_c2/2)+2*PI()*(s_0+0*s_r+IF(circ_int,eq_c1/2,0)))/INDEX(lk_legs,1))-(((((((2*IF(circ_int,0,eq_c2/2))+(PI()*(s_0+0*s_r+IF(circ_int,eq_c1/2,0))/2))+2*IF(circ_int,0,eq_c1/2))+(PI()*(s_0+0*s_r+IF(circ_int,eq_c1/2,0))/2))+2*IF(circ_int,0,eq_c2/2))+(PI()*(s_0+0*s_r+IF(circ_int,eq_c1/2,0))/2))+2*IF(circ_int,0,eq_c1/2)))/(s_0+0*s_r+IF(circ_int,eq_c1/2,0)))))))))),NA())</f>
        <v/>
      </c>
      <c r="BA62">
        <f>IF(AND(AND(links_on,1&lt;=n_per),INDEX(lk_kind,1)=1,59&lt;INDEX(lk_legs,1)),g_oy+IF(((59+0.5)*(4*IF(circ_int,0,eq_c1/2)+4*IF(circ_int,0,eq_c2/2)+2*PI()*(s_0+0*s_r+IF(circ_int,eq_c1/2,0)))/INDEX(lk_legs,1))&lt;(2*IF(circ_int,0,eq_c2/2)),-IF(circ_int,0,eq_c2/2)+((59+0.5)*(4*IF(circ_int,0,eq_c1/2)+4*IF(circ_int,0,eq_c2/2)+2*PI()*(s_0+0*s_r+IF(circ_int,eq_c1/2,0)))/INDEX(lk_legs,1)),IF(((59+0.5)*(4*IF(circ_int,0,eq_c1/2)+4*IF(circ_int,0,eq_c2/2)+2*PI()*(s_0+0*s_r+IF(circ_int,eq_c1/2,0)))/INDEX(lk_legs,1))&lt;((2*IF(circ_int,0,eq_c2/2))+(PI()*(s_0+0*s_r+IF(circ_int,eq_c1/2,0))/2)),IF(circ_int,0,eq_c2/2)+(s_0+0*s_r+IF(circ_int,eq_c1/2,0))*SIN((((59+0.5)*(4*IF(circ_int,0,eq_c1/2)+4*IF(circ_int,0,eq_c2/2)+2*PI()*(s_0+0*s_r+IF(circ_int,eq_c1/2,0)))/INDEX(lk_legs,1))-(2*IF(circ_int,0,eq_c2/2)))/(s_0+0*s_r+IF(circ_int,eq_c1/2,0))),IF(((59+0.5)*(4*IF(circ_int,0,eq_c1/2)+4*IF(circ_int,0,eq_c2/2)+2*PI()*(s_0+0*s_r+IF(circ_int,eq_c1/2,0)))/INDEX(lk_legs,1))&lt;(((2*IF(circ_int,0,eq_c2/2))+(PI()*(s_0+0*s_r+IF(circ_int,eq_c1/2,0))/2))+2*IF(circ_int,0,eq_c1/2)),IF(circ_int,0,eq_c2/2)+(s_0+0*s_r+IF(circ_int,eq_c1/2,0)),IF(((59+0.5)*(4*IF(circ_int,0,eq_c1/2)+4*IF(circ_int,0,eq_c2/2)+2*PI()*(s_0+0*s_r+IF(circ_int,eq_c1/2,0)))/INDEX(lk_legs,1))&lt;((((2*IF(circ_int,0,eq_c2/2))+(PI()*(s_0+0*s_r+IF(circ_int,eq_c1/2,0))/2))+2*IF(circ_int,0,eq_c1/2))+(PI()*(s_0+0*s_r+IF(circ_int,eq_c1/2,0))/2)),IF(circ_int,0,eq_c2/2)+(s_0+0*s_r+IF(circ_int,eq_c1/2,0))*SIN(PI()/2+(((59+0.5)*(4*IF(circ_int,0,eq_c1/2)+4*IF(circ_int,0,eq_c2/2)+2*PI()*(s_0+0*s_r+IF(circ_int,eq_c1/2,0)))/INDEX(lk_legs,1))-(((2*IF(circ_int,0,eq_c2/2))+(PI()*(s_0+0*s_r+IF(circ_int,eq_c1/2,0))/2))+2*IF(circ_int,0,eq_c1/2)))/(s_0+0*s_r+IF(circ_int,eq_c1/2,0))),IF(((59+0.5)*(4*IF(circ_int,0,eq_c1/2)+4*IF(circ_int,0,eq_c2/2)+2*PI()*(s_0+0*s_r+IF(circ_int,eq_c1/2,0)))/INDEX(lk_legs,1))&lt;(((((2*IF(circ_int,0,eq_c2/2))+(PI()*(s_0+0*s_r+IF(circ_int,eq_c1/2,0))/2))+2*IF(circ_int,0,eq_c1/2))+(PI()*(s_0+0*s_r+IF(circ_int,eq_c1/2,0))/2))+2*IF(circ_int,0,eq_c2/2)),IF(circ_int,0,eq_c2/2)-(((59+0.5)*(4*IF(circ_int,0,eq_c1/2)+4*IF(circ_int,0,eq_c2/2)+2*PI()*(s_0+0*s_r+IF(circ_int,eq_c1/2,0)))/INDEX(lk_legs,1))-((((2*IF(circ_int,0,eq_c2/2))+(PI()*(s_0+0*s_r+IF(circ_int,eq_c1/2,0))/2))+2*IF(circ_int,0,eq_c1/2))+(PI()*(s_0+0*s_r+IF(circ_int,eq_c1/2,0))/2))),IF(((59+0.5)*(4*IF(circ_int,0,eq_c1/2)+4*IF(circ_int,0,eq_c2/2)+2*PI()*(s_0+0*s_r+IF(circ_int,eq_c1/2,0)))/INDEX(lk_legs,1))&lt;((((((2*IF(circ_int,0,eq_c2/2))+(PI()*(s_0+0*s_r+IF(circ_int,eq_c1/2,0))/2))+2*IF(circ_int,0,eq_c1/2))+(PI()*(s_0+0*s_r+IF(circ_int,eq_c1/2,0))/2))+2*IF(circ_int,0,eq_c2/2))+(PI()*(s_0+0*s_r+IF(circ_int,eq_c1/2,0))/2)),-IF(circ_int,0,eq_c2/2)+(s_0+0*s_r+IF(circ_int,eq_c1/2,0))*SIN(PI()+(((59+0.5)*(4*IF(circ_int,0,eq_c1/2)+4*IF(circ_int,0,eq_c2/2)+2*PI()*(s_0+0*s_r+IF(circ_int,eq_c1/2,0)))/INDEX(lk_legs,1))-(((((2*IF(circ_int,0,eq_c2/2))+(PI()*(s_0+0*s_r+IF(circ_int,eq_c1/2,0))/2))+2*IF(circ_int,0,eq_c1/2))+(PI()*(s_0+0*s_r+IF(circ_int,eq_c1/2,0))/2))+2*IF(circ_int,0,eq_c2/2)))/(s_0+0*s_r+IF(circ_int,eq_c1/2,0))),IF(((59+0.5)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(59+0.5)*(4*IF(circ_int,0,eq_c1/2)+4*IF(circ_int,0,eq_c2/2)+2*PI()*(s_0+0*s_r+IF(circ_int,eq_c1/2,0)))/INDEX(lk_legs,1))-(((((((2*IF(circ_int,0,eq_c2/2))+(PI()*(s_0+0*s_r+IF(circ_int,eq_c1/2,0))/2))+2*IF(circ_int,0,eq_c1/2))+(PI()*(s_0+0*s_r+IF(circ_int,eq_c1/2,0))/2))+2*IF(circ_int,0,eq_c2/2))+(PI()*(s_0+0*s_r+IF(circ_int,eq_c1/2,0))/2))+2*IF(circ_int,0,eq_c1/2)))/(s_0+0*s_r+IF(circ_int,eq_c1/2,0)))))))))),NA())</f>
        <v/>
      </c>
      <c r="BF62">
        <f>IF(AND(AND(links_on,2&lt;=n_per),INDEX(lk_kind,2)=1,59&lt;INDEX(lk_legs,2)),g_ox+IF(((59+0.5)*(4*IF(circ_int,0,eq_c1/2)+4*IF(circ_int,0,eq_c2/2)+2*PI()*(s_0+1*s_r+IF(circ_int,eq_c1/2,0)))/INDEX(lk_legs,2))&lt;(2*IF(circ_int,0,eq_c2/2)),IF(circ_int,0,eq_c1/2)+(s_0+1*s_r+IF(circ_int,eq_c1/2,0)),IF(((59+0.5)*(4*IF(circ_int,0,eq_c1/2)+4*IF(circ_int,0,eq_c2/2)+2*PI()*(s_0+1*s_r+IF(circ_int,eq_c1/2,0)))/INDEX(lk_legs,2))&lt;((2*IF(circ_int,0,eq_c2/2))+(PI()*(s_0+1*s_r+IF(circ_int,eq_c1/2,0))/2)),IF(circ_int,0,eq_c1/2)+(s_0+1*s_r+IF(circ_int,eq_c1/2,0))*COS((((59+0.5)*(4*IF(circ_int,0,eq_c1/2)+4*IF(circ_int,0,eq_c2/2)+2*PI()*(s_0+1*s_r+IF(circ_int,eq_c1/2,0)))/INDEX(lk_legs,2))-(2*IF(circ_int,0,eq_c2/2)))/(s_0+1*s_r+IF(circ_int,eq_c1/2,0))),IF(((59+0.5)*(4*IF(circ_int,0,eq_c1/2)+4*IF(circ_int,0,eq_c2/2)+2*PI()*(s_0+1*s_r+IF(circ_int,eq_c1/2,0)))/INDEX(lk_legs,2))&lt;(((2*IF(circ_int,0,eq_c2/2))+(PI()*(s_0+1*s_r+IF(circ_int,eq_c1/2,0))/2))+2*IF(circ_int,0,eq_c1/2)),IF(circ_int,0,eq_c1/2)-(((59+0.5)*(4*IF(circ_int,0,eq_c1/2)+4*IF(circ_int,0,eq_c2/2)+2*PI()*(s_0+1*s_r+IF(circ_int,eq_c1/2,0)))/INDEX(lk_legs,2))-((2*IF(circ_int,0,eq_c2/2))+(PI()*(s_0+1*s_r+IF(circ_int,eq_c1/2,0))/2))),IF(((59+0.5)*(4*IF(circ_int,0,eq_c1/2)+4*IF(circ_int,0,eq_c2/2)+2*PI()*(s_0+1*s_r+IF(circ_int,eq_c1/2,0)))/INDEX(lk_legs,2))&lt;((((2*IF(circ_int,0,eq_c2/2))+(PI()*(s_0+1*s_r+IF(circ_int,eq_c1/2,0))/2))+2*IF(circ_int,0,eq_c1/2))+(PI()*(s_0+1*s_r+IF(circ_int,eq_c1/2,0))/2)),-IF(circ_int,0,eq_c1/2)+(s_0+1*s_r+IF(circ_int,eq_c1/2,0))*COS(PI()/2+(((59+0.5)*(4*IF(circ_int,0,eq_c1/2)+4*IF(circ_int,0,eq_c2/2)+2*PI()*(s_0+1*s_r+IF(circ_int,eq_c1/2,0)))/INDEX(lk_legs,2))-(((2*IF(circ_int,0,eq_c2/2))+(PI()*(s_0+1*s_r+IF(circ_int,eq_c1/2,0))/2))+2*IF(circ_int,0,eq_c1/2)))/(s_0+1*s_r+IF(circ_int,eq_c1/2,0))),IF(((59+0.5)*(4*IF(circ_int,0,eq_c1/2)+4*IF(circ_int,0,eq_c2/2)+2*PI()*(s_0+1*s_r+IF(circ_int,eq_c1/2,0)))/INDEX(lk_legs,2))&lt;(((((2*IF(circ_int,0,eq_c2/2))+(PI()*(s_0+1*s_r+IF(circ_int,eq_c1/2,0))/2))+2*IF(circ_int,0,eq_c1/2))+(PI()*(s_0+1*s_r+IF(circ_int,eq_c1/2,0))/2))+2*IF(circ_int,0,eq_c2/2)),-IF(circ_int,0,eq_c1/2)-(s_0+1*s_r+IF(circ_int,eq_c1/2,0)),IF(((59+0.5)*(4*IF(circ_int,0,eq_c1/2)+4*IF(circ_int,0,eq_c2/2)+2*PI()*(s_0+1*s_r+IF(circ_int,eq_c1/2,0)))/INDEX(lk_legs,2))&lt;((((((2*IF(circ_int,0,eq_c2/2))+(PI()*(s_0+1*s_r+IF(circ_int,eq_c1/2,0))/2))+2*IF(circ_int,0,eq_c1/2))+(PI()*(s_0+1*s_r+IF(circ_int,eq_c1/2,0))/2))+2*IF(circ_int,0,eq_c2/2))+(PI()*(s_0+1*s_r+IF(circ_int,eq_c1/2,0))/2)),-IF(circ_int,0,eq_c1/2)+(s_0+1*s_r+IF(circ_int,eq_c1/2,0))*COS(PI()+(((59+0.5)*(4*IF(circ_int,0,eq_c1/2)+4*IF(circ_int,0,eq_c2/2)+2*PI()*(s_0+1*s_r+IF(circ_int,eq_c1/2,0)))/INDEX(lk_legs,2))-(((((2*IF(circ_int,0,eq_c2/2))+(PI()*(s_0+1*s_r+IF(circ_int,eq_c1/2,0))/2))+2*IF(circ_int,0,eq_c1/2))+(PI()*(s_0+1*s_r+IF(circ_int,eq_c1/2,0))/2))+2*IF(circ_int,0,eq_c2/2)))/(s_0+1*s_r+IF(circ_int,eq_c1/2,0))),IF(((59+0.5)*(4*IF(circ_int,0,eq_c1/2)+4*IF(circ_int,0,eq_c2/2)+2*PI()*(s_0+1*s_r+IF(circ_int,eq_c1/2,0)))/INDEX(lk_legs,2))&lt;(((((((2*IF(circ_int,0,eq_c2/2))+(PI()*(s_0+1*s_r+IF(circ_int,eq_c1/2,0))/2))+2*IF(circ_int,0,eq_c1/2))+(PI()*(s_0+1*s_r+IF(circ_int,eq_c1/2,0))/2))+2*IF(circ_int,0,eq_c2/2))+(PI()*(s_0+1*s_r+IF(circ_int,eq_c1/2,0))/2))+2*IF(circ_int,0,eq_c1/2)),-IF(circ_int,0,eq_c1/2)+(((59+0.5)*(4*IF(circ_int,0,eq_c1/2)+4*IF(circ_int,0,eq_c2/2)+2*PI()*(s_0+1*s_r+IF(circ_int,eq_c1/2,0)))/INDEX(lk_legs,2))-((((((2*IF(circ_int,0,eq_c2/2))+(PI()*(s_0+1*s_r+IF(circ_int,eq_c1/2,0))/2))+2*IF(circ_int,0,eq_c1/2))+(PI()*(s_0+1*s_r+IF(circ_int,eq_c1/2,0))/2))+2*IF(circ_int,0,eq_c2/2))+(PI()*(s_0+1*s_r+IF(circ_int,eq_c1/2,0))/2))),IF(circ_int,0,eq_c1/2)+(s_0+1*s_r+IF(circ_int,eq_c1/2,0))*COS(3*PI()/2+(((59+0.5)*(4*IF(circ_int,0,eq_c1/2)+4*IF(circ_int,0,eq_c2/2)+2*PI()*(s_0+1*s_r+IF(circ_int,eq_c1/2,0)))/INDEX(lk_legs,2))-(((((((2*IF(circ_int,0,eq_c2/2))+(PI()*(s_0+1*s_r+IF(circ_int,eq_c1/2,0))/2))+2*IF(circ_int,0,eq_c1/2))+(PI()*(s_0+1*s_r+IF(circ_int,eq_c1/2,0))/2))+2*IF(circ_int,0,eq_c2/2))+(PI()*(s_0+1*s_r+IF(circ_int,eq_c1/2,0))/2))+2*IF(circ_int,0,eq_c1/2)))/(s_0+1*s_r+IF(circ_int,eq_c1/2,0)))))))))),NA())</f>
        <v/>
      </c>
      <c r="BG62">
        <f>IF(AND(AND(links_on,2&lt;=n_per),INDEX(lk_kind,2)=1,59&lt;INDEX(lk_legs,2)),g_oy+IF(((59+0.5)*(4*IF(circ_int,0,eq_c1/2)+4*IF(circ_int,0,eq_c2/2)+2*PI()*(s_0+1*s_r+IF(circ_int,eq_c1/2,0)))/INDEX(lk_legs,2))&lt;(2*IF(circ_int,0,eq_c2/2)),-IF(circ_int,0,eq_c2/2)+((59+0.5)*(4*IF(circ_int,0,eq_c1/2)+4*IF(circ_int,0,eq_c2/2)+2*PI()*(s_0+1*s_r+IF(circ_int,eq_c1/2,0)))/INDEX(lk_legs,2)),IF(((59+0.5)*(4*IF(circ_int,0,eq_c1/2)+4*IF(circ_int,0,eq_c2/2)+2*PI()*(s_0+1*s_r+IF(circ_int,eq_c1/2,0)))/INDEX(lk_legs,2))&lt;((2*IF(circ_int,0,eq_c2/2))+(PI()*(s_0+1*s_r+IF(circ_int,eq_c1/2,0))/2)),IF(circ_int,0,eq_c2/2)+(s_0+1*s_r+IF(circ_int,eq_c1/2,0))*SIN((((59+0.5)*(4*IF(circ_int,0,eq_c1/2)+4*IF(circ_int,0,eq_c2/2)+2*PI()*(s_0+1*s_r+IF(circ_int,eq_c1/2,0)))/INDEX(lk_legs,2))-(2*IF(circ_int,0,eq_c2/2)))/(s_0+1*s_r+IF(circ_int,eq_c1/2,0))),IF(((59+0.5)*(4*IF(circ_int,0,eq_c1/2)+4*IF(circ_int,0,eq_c2/2)+2*PI()*(s_0+1*s_r+IF(circ_int,eq_c1/2,0)))/INDEX(lk_legs,2))&lt;(((2*IF(circ_int,0,eq_c2/2))+(PI()*(s_0+1*s_r+IF(circ_int,eq_c1/2,0))/2))+2*IF(circ_int,0,eq_c1/2)),IF(circ_int,0,eq_c2/2)+(s_0+1*s_r+IF(circ_int,eq_c1/2,0)),IF(((59+0.5)*(4*IF(circ_int,0,eq_c1/2)+4*IF(circ_int,0,eq_c2/2)+2*PI()*(s_0+1*s_r+IF(circ_int,eq_c1/2,0)))/INDEX(lk_legs,2))&lt;((((2*IF(circ_int,0,eq_c2/2))+(PI()*(s_0+1*s_r+IF(circ_int,eq_c1/2,0))/2))+2*IF(circ_int,0,eq_c1/2))+(PI()*(s_0+1*s_r+IF(circ_int,eq_c1/2,0))/2)),IF(circ_int,0,eq_c2/2)+(s_0+1*s_r+IF(circ_int,eq_c1/2,0))*SIN(PI()/2+(((59+0.5)*(4*IF(circ_int,0,eq_c1/2)+4*IF(circ_int,0,eq_c2/2)+2*PI()*(s_0+1*s_r+IF(circ_int,eq_c1/2,0)))/INDEX(lk_legs,2))-(((2*IF(circ_int,0,eq_c2/2))+(PI()*(s_0+1*s_r+IF(circ_int,eq_c1/2,0))/2))+2*IF(circ_int,0,eq_c1/2)))/(s_0+1*s_r+IF(circ_int,eq_c1/2,0))),IF(((59+0.5)*(4*IF(circ_int,0,eq_c1/2)+4*IF(circ_int,0,eq_c2/2)+2*PI()*(s_0+1*s_r+IF(circ_int,eq_c1/2,0)))/INDEX(lk_legs,2))&lt;(((((2*IF(circ_int,0,eq_c2/2))+(PI()*(s_0+1*s_r+IF(circ_int,eq_c1/2,0))/2))+2*IF(circ_int,0,eq_c1/2))+(PI()*(s_0+1*s_r+IF(circ_int,eq_c1/2,0))/2))+2*IF(circ_int,0,eq_c2/2)),IF(circ_int,0,eq_c2/2)-(((59+0.5)*(4*IF(circ_int,0,eq_c1/2)+4*IF(circ_int,0,eq_c2/2)+2*PI()*(s_0+1*s_r+IF(circ_int,eq_c1/2,0)))/INDEX(lk_legs,2))-((((2*IF(circ_int,0,eq_c2/2))+(PI()*(s_0+1*s_r+IF(circ_int,eq_c1/2,0))/2))+2*IF(circ_int,0,eq_c1/2))+(PI()*(s_0+1*s_r+IF(circ_int,eq_c1/2,0))/2))),IF(((59+0.5)*(4*IF(circ_int,0,eq_c1/2)+4*IF(circ_int,0,eq_c2/2)+2*PI()*(s_0+1*s_r+IF(circ_int,eq_c1/2,0)))/INDEX(lk_legs,2))&lt;((((((2*IF(circ_int,0,eq_c2/2))+(PI()*(s_0+1*s_r+IF(circ_int,eq_c1/2,0))/2))+2*IF(circ_int,0,eq_c1/2))+(PI()*(s_0+1*s_r+IF(circ_int,eq_c1/2,0))/2))+2*IF(circ_int,0,eq_c2/2))+(PI()*(s_0+1*s_r+IF(circ_int,eq_c1/2,0))/2)),-IF(circ_int,0,eq_c2/2)+(s_0+1*s_r+IF(circ_int,eq_c1/2,0))*SIN(PI()+(((59+0.5)*(4*IF(circ_int,0,eq_c1/2)+4*IF(circ_int,0,eq_c2/2)+2*PI()*(s_0+1*s_r+IF(circ_int,eq_c1/2,0)))/INDEX(lk_legs,2))-(((((2*IF(circ_int,0,eq_c2/2))+(PI()*(s_0+1*s_r+IF(circ_int,eq_c1/2,0))/2))+2*IF(circ_int,0,eq_c1/2))+(PI()*(s_0+1*s_r+IF(circ_int,eq_c1/2,0))/2))+2*IF(circ_int,0,eq_c2/2)))/(s_0+1*s_r+IF(circ_int,eq_c1/2,0))),IF(((59+0.5)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(59+0.5)*(4*IF(circ_int,0,eq_c1/2)+4*IF(circ_int,0,eq_c2/2)+2*PI()*(s_0+1*s_r+IF(circ_int,eq_c1/2,0)))/INDEX(lk_legs,2))-(((((((2*IF(circ_int,0,eq_c2/2))+(PI()*(s_0+1*s_r+IF(circ_int,eq_c1/2,0))/2))+2*IF(circ_int,0,eq_c1/2))+(PI()*(s_0+1*s_r+IF(circ_int,eq_c1/2,0))/2))+2*IF(circ_int,0,eq_c2/2))+(PI()*(s_0+1*s_r+IF(circ_int,eq_c1/2,0))/2))+2*IF(circ_int,0,eq_c1/2)))/(s_0+1*s_r+IF(circ_int,eq_c1/2,0)))))))))),NA())</f>
        <v/>
      </c>
      <c r="BL62">
        <f>IF(AND(AND(links_on,3&lt;=n_per),INDEX(lk_kind,3)=1,59&lt;INDEX(lk_legs,3)),g_ox+IF(((59+0.5)*(4*IF(circ_int,0,eq_c1/2)+4*IF(circ_int,0,eq_c2/2)+2*PI()*(s_0+2*s_r+IF(circ_int,eq_c1/2,0)))/INDEX(lk_legs,3))&lt;(2*IF(circ_int,0,eq_c2/2)),IF(circ_int,0,eq_c1/2)+(s_0+2*s_r+IF(circ_int,eq_c1/2,0)),IF(((59+0.5)*(4*IF(circ_int,0,eq_c1/2)+4*IF(circ_int,0,eq_c2/2)+2*PI()*(s_0+2*s_r+IF(circ_int,eq_c1/2,0)))/INDEX(lk_legs,3))&lt;((2*IF(circ_int,0,eq_c2/2))+(PI()*(s_0+2*s_r+IF(circ_int,eq_c1/2,0))/2)),IF(circ_int,0,eq_c1/2)+(s_0+2*s_r+IF(circ_int,eq_c1/2,0))*COS((((59+0.5)*(4*IF(circ_int,0,eq_c1/2)+4*IF(circ_int,0,eq_c2/2)+2*PI()*(s_0+2*s_r+IF(circ_int,eq_c1/2,0)))/INDEX(lk_legs,3))-(2*IF(circ_int,0,eq_c2/2)))/(s_0+2*s_r+IF(circ_int,eq_c1/2,0))),IF(((59+0.5)*(4*IF(circ_int,0,eq_c1/2)+4*IF(circ_int,0,eq_c2/2)+2*PI()*(s_0+2*s_r+IF(circ_int,eq_c1/2,0)))/INDEX(lk_legs,3))&lt;(((2*IF(circ_int,0,eq_c2/2))+(PI()*(s_0+2*s_r+IF(circ_int,eq_c1/2,0))/2))+2*IF(circ_int,0,eq_c1/2)),IF(circ_int,0,eq_c1/2)-(((59+0.5)*(4*IF(circ_int,0,eq_c1/2)+4*IF(circ_int,0,eq_c2/2)+2*PI()*(s_0+2*s_r+IF(circ_int,eq_c1/2,0)))/INDEX(lk_legs,3))-((2*IF(circ_int,0,eq_c2/2))+(PI()*(s_0+2*s_r+IF(circ_int,eq_c1/2,0))/2))),IF(((59+0.5)*(4*IF(circ_int,0,eq_c1/2)+4*IF(circ_int,0,eq_c2/2)+2*PI()*(s_0+2*s_r+IF(circ_int,eq_c1/2,0)))/INDEX(lk_legs,3))&lt;((((2*IF(circ_int,0,eq_c2/2))+(PI()*(s_0+2*s_r+IF(circ_int,eq_c1/2,0))/2))+2*IF(circ_int,0,eq_c1/2))+(PI()*(s_0+2*s_r+IF(circ_int,eq_c1/2,0))/2)),-IF(circ_int,0,eq_c1/2)+(s_0+2*s_r+IF(circ_int,eq_c1/2,0))*COS(PI()/2+(((59+0.5)*(4*IF(circ_int,0,eq_c1/2)+4*IF(circ_int,0,eq_c2/2)+2*PI()*(s_0+2*s_r+IF(circ_int,eq_c1/2,0)))/INDEX(lk_legs,3))-(((2*IF(circ_int,0,eq_c2/2))+(PI()*(s_0+2*s_r+IF(circ_int,eq_c1/2,0))/2))+2*IF(circ_int,0,eq_c1/2)))/(s_0+2*s_r+IF(circ_int,eq_c1/2,0))),IF(((59+0.5)*(4*IF(circ_int,0,eq_c1/2)+4*IF(circ_int,0,eq_c2/2)+2*PI()*(s_0+2*s_r+IF(circ_int,eq_c1/2,0)))/INDEX(lk_legs,3))&lt;(((((2*IF(circ_int,0,eq_c2/2))+(PI()*(s_0+2*s_r+IF(circ_int,eq_c1/2,0))/2))+2*IF(circ_int,0,eq_c1/2))+(PI()*(s_0+2*s_r+IF(circ_int,eq_c1/2,0))/2))+2*IF(circ_int,0,eq_c2/2)),-IF(circ_int,0,eq_c1/2)-(s_0+2*s_r+IF(circ_int,eq_c1/2,0)),IF(((59+0.5)*(4*IF(circ_int,0,eq_c1/2)+4*IF(circ_int,0,eq_c2/2)+2*PI()*(s_0+2*s_r+IF(circ_int,eq_c1/2,0)))/INDEX(lk_legs,3))&lt;((((((2*IF(circ_int,0,eq_c2/2))+(PI()*(s_0+2*s_r+IF(circ_int,eq_c1/2,0))/2))+2*IF(circ_int,0,eq_c1/2))+(PI()*(s_0+2*s_r+IF(circ_int,eq_c1/2,0))/2))+2*IF(circ_int,0,eq_c2/2))+(PI()*(s_0+2*s_r+IF(circ_int,eq_c1/2,0))/2)),-IF(circ_int,0,eq_c1/2)+(s_0+2*s_r+IF(circ_int,eq_c1/2,0))*COS(PI()+(((59+0.5)*(4*IF(circ_int,0,eq_c1/2)+4*IF(circ_int,0,eq_c2/2)+2*PI()*(s_0+2*s_r+IF(circ_int,eq_c1/2,0)))/INDEX(lk_legs,3))-(((((2*IF(circ_int,0,eq_c2/2))+(PI()*(s_0+2*s_r+IF(circ_int,eq_c1/2,0))/2))+2*IF(circ_int,0,eq_c1/2))+(PI()*(s_0+2*s_r+IF(circ_int,eq_c1/2,0))/2))+2*IF(circ_int,0,eq_c2/2)))/(s_0+2*s_r+IF(circ_int,eq_c1/2,0))),IF(((59+0.5)*(4*IF(circ_int,0,eq_c1/2)+4*IF(circ_int,0,eq_c2/2)+2*PI()*(s_0+2*s_r+IF(circ_int,eq_c1/2,0)))/INDEX(lk_legs,3))&lt;(((((((2*IF(circ_int,0,eq_c2/2))+(PI()*(s_0+2*s_r+IF(circ_int,eq_c1/2,0))/2))+2*IF(circ_int,0,eq_c1/2))+(PI()*(s_0+2*s_r+IF(circ_int,eq_c1/2,0))/2))+2*IF(circ_int,0,eq_c2/2))+(PI()*(s_0+2*s_r+IF(circ_int,eq_c1/2,0))/2))+2*IF(circ_int,0,eq_c1/2)),-IF(circ_int,0,eq_c1/2)+(((59+0.5)*(4*IF(circ_int,0,eq_c1/2)+4*IF(circ_int,0,eq_c2/2)+2*PI()*(s_0+2*s_r+IF(circ_int,eq_c1/2,0)))/INDEX(lk_legs,3))-((((((2*IF(circ_int,0,eq_c2/2))+(PI()*(s_0+2*s_r+IF(circ_int,eq_c1/2,0))/2))+2*IF(circ_int,0,eq_c1/2))+(PI()*(s_0+2*s_r+IF(circ_int,eq_c1/2,0))/2))+2*IF(circ_int,0,eq_c2/2))+(PI()*(s_0+2*s_r+IF(circ_int,eq_c1/2,0))/2))),IF(circ_int,0,eq_c1/2)+(s_0+2*s_r+IF(circ_int,eq_c1/2,0))*COS(3*PI()/2+(((59+0.5)*(4*IF(circ_int,0,eq_c1/2)+4*IF(circ_int,0,eq_c2/2)+2*PI()*(s_0+2*s_r+IF(circ_int,eq_c1/2,0)))/INDEX(lk_legs,3))-(((((((2*IF(circ_int,0,eq_c2/2))+(PI()*(s_0+2*s_r+IF(circ_int,eq_c1/2,0))/2))+2*IF(circ_int,0,eq_c1/2))+(PI()*(s_0+2*s_r+IF(circ_int,eq_c1/2,0))/2))+2*IF(circ_int,0,eq_c2/2))+(PI()*(s_0+2*s_r+IF(circ_int,eq_c1/2,0))/2))+2*IF(circ_int,0,eq_c1/2)))/(s_0+2*s_r+IF(circ_int,eq_c1/2,0)))))))))),NA())</f>
        <v/>
      </c>
      <c r="BM62">
        <f>IF(AND(AND(links_on,3&lt;=n_per),INDEX(lk_kind,3)=1,59&lt;INDEX(lk_legs,3)),g_oy+IF(((59+0.5)*(4*IF(circ_int,0,eq_c1/2)+4*IF(circ_int,0,eq_c2/2)+2*PI()*(s_0+2*s_r+IF(circ_int,eq_c1/2,0)))/INDEX(lk_legs,3))&lt;(2*IF(circ_int,0,eq_c2/2)),-IF(circ_int,0,eq_c2/2)+((59+0.5)*(4*IF(circ_int,0,eq_c1/2)+4*IF(circ_int,0,eq_c2/2)+2*PI()*(s_0+2*s_r+IF(circ_int,eq_c1/2,0)))/INDEX(lk_legs,3)),IF(((59+0.5)*(4*IF(circ_int,0,eq_c1/2)+4*IF(circ_int,0,eq_c2/2)+2*PI()*(s_0+2*s_r+IF(circ_int,eq_c1/2,0)))/INDEX(lk_legs,3))&lt;((2*IF(circ_int,0,eq_c2/2))+(PI()*(s_0+2*s_r+IF(circ_int,eq_c1/2,0))/2)),IF(circ_int,0,eq_c2/2)+(s_0+2*s_r+IF(circ_int,eq_c1/2,0))*SIN((((59+0.5)*(4*IF(circ_int,0,eq_c1/2)+4*IF(circ_int,0,eq_c2/2)+2*PI()*(s_0+2*s_r+IF(circ_int,eq_c1/2,0)))/INDEX(lk_legs,3))-(2*IF(circ_int,0,eq_c2/2)))/(s_0+2*s_r+IF(circ_int,eq_c1/2,0))),IF(((59+0.5)*(4*IF(circ_int,0,eq_c1/2)+4*IF(circ_int,0,eq_c2/2)+2*PI()*(s_0+2*s_r+IF(circ_int,eq_c1/2,0)))/INDEX(lk_legs,3))&lt;(((2*IF(circ_int,0,eq_c2/2))+(PI()*(s_0+2*s_r+IF(circ_int,eq_c1/2,0))/2))+2*IF(circ_int,0,eq_c1/2)),IF(circ_int,0,eq_c2/2)+(s_0+2*s_r+IF(circ_int,eq_c1/2,0)),IF(((59+0.5)*(4*IF(circ_int,0,eq_c1/2)+4*IF(circ_int,0,eq_c2/2)+2*PI()*(s_0+2*s_r+IF(circ_int,eq_c1/2,0)))/INDEX(lk_legs,3))&lt;((((2*IF(circ_int,0,eq_c2/2))+(PI()*(s_0+2*s_r+IF(circ_int,eq_c1/2,0))/2))+2*IF(circ_int,0,eq_c1/2))+(PI()*(s_0+2*s_r+IF(circ_int,eq_c1/2,0))/2)),IF(circ_int,0,eq_c2/2)+(s_0+2*s_r+IF(circ_int,eq_c1/2,0))*SIN(PI()/2+(((59+0.5)*(4*IF(circ_int,0,eq_c1/2)+4*IF(circ_int,0,eq_c2/2)+2*PI()*(s_0+2*s_r+IF(circ_int,eq_c1/2,0)))/INDEX(lk_legs,3))-(((2*IF(circ_int,0,eq_c2/2))+(PI()*(s_0+2*s_r+IF(circ_int,eq_c1/2,0))/2))+2*IF(circ_int,0,eq_c1/2)))/(s_0+2*s_r+IF(circ_int,eq_c1/2,0))),IF(((59+0.5)*(4*IF(circ_int,0,eq_c1/2)+4*IF(circ_int,0,eq_c2/2)+2*PI()*(s_0+2*s_r+IF(circ_int,eq_c1/2,0)))/INDEX(lk_legs,3))&lt;(((((2*IF(circ_int,0,eq_c2/2))+(PI()*(s_0+2*s_r+IF(circ_int,eq_c1/2,0))/2))+2*IF(circ_int,0,eq_c1/2))+(PI()*(s_0+2*s_r+IF(circ_int,eq_c1/2,0))/2))+2*IF(circ_int,0,eq_c2/2)),IF(circ_int,0,eq_c2/2)-(((59+0.5)*(4*IF(circ_int,0,eq_c1/2)+4*IF(circ_int,0,eq_c2/2)+2*PI()*(s_0+2*s_r+IF(circ_int,eq_c1/2,0)))/INDEX(lk_legs,3))-((((2*IF(circ_int,0,eq_c2/2))+(PI()*(s_0+2*s_r+IF(circ_int,eq_c1/2,0))/2))+2*IF(circ_int,0,eq_c1/2))+(PI()*(s_0+2*s_r+IF(circ_int,eq_c1/2,0))/2))),IF(((59+0.5)*(4*IF(circ_int,0,eq_c1/2)+4*IF(circ_int,0,eq_c2/2)+2*PI()*(s_0+2*s_r+IF(circ_int,eq_c1/2,0)))/INDEX(lk_legs,3))&lt;((((((2*IF(circ_int,0,eq_c2/2))+(PI()*(s_0+2*s_r+IF(circ_int,eq_c1/2,0))/2))+2*IF(circ_int,0,eq_c1/2))+(PI()*(s_0+2*s_r+IF(circ_int,eq_c1/2,0))/2))+2*IF(circ_int,0,eq_c2/2))+(PI()*(s_0+2*s_r+IF(circ_int,eq_c1/2,0))/2)),-IF(circ_int,0,eq_c2/2)+(s_0+2*s_r+IF(circ_int,eq_c1/2,0))*SIN(PI()+(((59+0.5)*(4*IF(circ_int,0,eq_c1/2)+4*IF(circ_int,0,eq_c2/2)+2*PI()*(s_0+2*s_r+IF(circ_int,eq_c1/2,0)))/INDEX(lk_legs,3))-(((((2*IF(circ_int,0,eq_c2/2))+(PI()*(s_0+2*s_r+IF(circ_int,eq_c1/2,0))/2))+2*IF(circ_int,0,eq_c1/2))+(PI()*(s_0+2*s_r+IF(circ_int,eq_c1/2,0))/2))+2*IF(circ_int,0,eq_c2/2)))/(s_0+2*s_r+IF(circ_int,eq_c1/2,0))),IF(((59+0.5)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(59+0.5)*(4*IF(circ_int,0,eq_c1/2)+4*IF(circ_int,0,eq_c2/2)+2*PI()*(s_0+2*s_r+IF(circ_int,eq_c1/2,0)))/INDEX(lk_legs,3))-(((((((2*IF(circ_int,0,eq_c2/2))+(PI()*(s_0+2*s_r+IF(circ_int,eq_c1/2,0))/2))+2*IF(circ_int,0,eq_c1/2))+(PI()*(s_0+2*s_r+IF(circ_int,eq_c1/2,0))/2))+2*IF(circ_int,0,eq_c2/2))+(PI()*(s_0+2*s_r+IF(circ_int,eq_c1/2,0))/2))+2*IF(circ_int,0,eq_c1/2)))/(s_0+2*s_r+IF(circ_int,eq_c1/2,0)))))))))),NA())</f>
        <v/>
      </c>
      <c r="BR62">
        <f>IF(AND(AND(links_on,4&lt;=n_per),INDEX(lk_kind,4)=1,59&lt;INDEX(lk_legs,4)),g_ox+IF(((59+0.5)*(4*IF(circ_int,0,eq_c1/2)+4*IF(circ_int,0,eq_c2/2)+2*PI()*(s_0+3*s_r+IF(circ_int,eq_c1/2,0)))/INDEX(lk_legs,4))&lt;(2*IF(circ_int,0,eq_c2/2)),IF(circ_int,0,eq_c1/2)+(s_0+3*s_r+IF(circ_int,eq_c1/2,0)),IF(((59+0.5)*(4*IF(circ_int,0,eq_c1/2)+4*IF(circ_int,0,eq_c2/2)+2*PI()*(s_0+3*s_r+IF(circ_int,eq_c1/2,0)))/INDEX(lk_legs,4))&lt;((2*IF(circ_int,0,eq_c2/2))+(PI()*(s_0+3*s_r+IF(circ_int,eq_c1/2,0))/2)),IF(circ_int,0,eq_c1/2)+(s_0+3*s_r+IF(circ_int,eq_c1/2,0))*COS((((59+0.5)*(4*IF(circ_int,0,eq_c1/2)+4*IF(circ_int,0,eq_c2/2)+2*PI()*(s_0+3*s_r+IF(circ_int,eq_c1/2,0)))/INDEX(lk_legs,4))-(2*IF(circ_int,0,eq_c2/2)))/(s_0+3*s_r+IF(circ_int,eq_c1/2,0))),IF(((59+0.5)*(4*IF(circ_int,0,eq_c1/2)+4*IF(circ_int,0,eq_c2/2)+2*PI()*(s_0+3*s_r+IF(circ_int,eq_c1/2,0)))/INDEX(lk_legs,4))&lt;(((2*IF(circ_int,0,eq_c2/2))+(PI()*(s_0+3*s_r+IF(circ_int,eq_c1/2,0))/2))+2*IF(circ_int,0,eq_c1/2)),IF(circ_int,0,eq_c1/2)-(((59+0.5)*(4*IF(circ_int,0,eq_c1/2)+4*IF(circ_int,0,eq_c2/2)+2*PI()*(s_0+3*s_r+IF(circ_int,eq_c1/2,0)))/INDEX(lk_legs,4))-((2*IF(circ_int,0,eq_c2/2))+(PI()*(s_0+3*s_r+IF(circ_int,eq_c1/2,0))/2))),IF(((59+0.5)*(4*IF(circ_int,0,eq_c1/2)+4*IF(circ_int,0,eq_c2/2)+2*PI()*(s_0+3*s_r+IF(circ_int,eq_c1/2,0)))/INDEX(lk_legs,4))&lt;((((2*IF(circ_int,0,eq_c2/2))+(PI()*(s_0+3*s_r+IF(circ_int,eq_c1/2,0))/2))+2*IF(circ_int,0,eq_c1/2))+(PI()*(s_0+3*s_r+IF(circ_int,eq_c1/2,0))/2)),-IF(circ_int,0,eq_c1/2)+(s_0+3*s_r+IF(circ_int,eq_c1/2,0))*COS(PI()/2+(((59+0.5)*(4*IF(circ_int,0,eq_c1/2)+4*IF(circ_int,0,eq_c2/2)+2*PI()*(s_0+3*s_r+IF(circ_int,eq_c1/2,0)))/INDEX(lk_legs,4))-(((2*IF(circ_int,0,eq_c2/2))+(PI()*(s_0+3*s_r+IF(circ_int,eq_c1/2,0))/2))+2*IF(circ_int,0,eq_c1/2)))/(s_0+3*s_r+IF(circ_int,eq_c1/2,0))),IF(((59+0.5)*(4*IF(circ_int,0,eq_c1/2)+4*IF(circ_int,0,eq_c2/2)+2*PI()*(s_0+3*s_r+IF(circ_int,eq_c1/2,0)))/INDEX(lk_legs,4))&lt;(((((2*IF(circ_int,0,eq_c2/2))+(PI()*(s_0+3*s_r+IF(circ_int,eq_c1/2,0))/2))+2*IF(circ_int,0,eq_c1/2))+(PI()*(s_0+3*s_r+IF(circ_int,eq_c1/2,0))/2))+2*IF(circ_int,0,eq_c2/2)),-IF(circ_int,0,eq_c1/2)-(s_0+3*s_r+IF(circ_int,eq_c1/2,0)),IF(((59+0.5)*(4*IF(circ_int,0,eq_c1/2)+4*IF(circ_int,0,eq_c2/2)+2*PI()*(s_0+3*s_r+IF(circ_int,eq_c1/2,0)))/INDEX(lk_legs,4))&lt;((((((2*IF(circ_int,0,eq_c2/2))+(PI()*(s_0+3*s_r+IF(circ_int,eq_c1/2,0))/2))+2*IF(circ_int,0,eq_c1/2))+(PI()*(s_0+3*s_r+IF(circ_int,eq_c1/2,0))/2))+2*IF(circ_int,0,eq_c2/2))+(PI()*(s_0+3*s_r+IF(circ_int,eq_c1/2,0))/2)),-IF(circ_int,0,eq_c1/2)+(s_0+3*s_r+IF(circ_int,eq_c1/2,0))*COS(PI()+(((59+0.5)*(4*IF(circ_int,0,eq_c1/2)+4*IF(circ_int,0,eq_c2/2)+2*PI()*(s_0+3*s_r+IF(circ_int,eq_c1/2,0)))/INDEX(lk_legs,4))-(((((2*IF(circ_int,0,eq_c2/2))+(PI()*(s_0+3*s_r+IF(circ_int,eq_c1/2,0))/2))+2*IF(circ_int,0,eq_c1/2))+(PI()*(s_0+3*s_r+IF(circ_int,eq_c1/2,0))/2))+2*IF(circ_int,0,eq_c2/2)))/(s_0+3*s_r+IF(circ_int,eq_c1/2,0))),IF(((59+0.5)*(4*IF(circ_int,0,eq_c1/2)+4*IF(circ_int,0,eq_c2/2)+2*PI()*(s_0+3*s_r+IF(circ_int,eq_c1/2,0)))/INDEX(lk_legs,4))&lt;(((((((2*IF(circ_int,0,eq_c2/2))+(PI()*(s_0+3*s_r+IF(circ_int,eq_c1/2,0))/2))+2*IF(circ_int,0,eq_c1/2))+(PI()*(s_0+3*s_r+IF(circ_int,eq_c1/2,0))/2))+2*IF(circ_int,0,eq_c2/2))+(PI()*(s_0+3*s_r+IF(circ_int,eq_c1/2,0))/2))+2*IF(circ_int,0,eq_c1/2)),-IF(circ_int,0,eq_c1/2)+(((59+0.5)*(4*IF(circ_int,0,eq_c1/2)+4*IF(circ_int,0,eq_c2/2)+2*PI()*(s_0+3*s_r+IF(circ_int,eq_c1/2,0)))/INDEX(lk_legs,4))-((((((2*IF(circ_int,0,eq_c2/2))+(PI()*(s_0+3*s_r+IF(circ_int,eq_c1/2,0))/2))+2*IF(circ_int,0,eq_c1/2))+(PI()*(s_0+3*s_r+IF(circ_int,eq_c1/2,0))/2))+2*IF(circ_int,0,eq_c2/2))+(PI()*(s_0+3*s_r+IF(circ_int,eq_c1/2,0))/2))),IF(circ_int,0,eq_c1/2)+(s_0+3*s_r+IF(circ_int,eq_c1/2,0))*COS(3*PI()/2+(((59+0.5)*(4*IF(circ_int,0,eq_c1/2)+4*IF(circ_int,0,eq_c2/2)+2*PI()*(s_0+3*s_r+IF(circ_int,eq_c1/2,0)))/INDEX(lk_legs,4))-(((((((2*IF(circ_int,0,eq_c2/2))+(PI()*(s_0+3*s_r+IF(circ_int,eq_c1/2,0))/2))+2*IF(circ_int,0,eq_c1/2))+(PI()*(s_0+3*s_r+IF(circ_int,eq_c1/2,0))/2))+2*IF(circ_int,0,eq_c2/2))+(PI()*(s_0+3*s_r+IF(circ_int,eq_c1/2,0))/2))+2*IF(circ_int,0,eq_c1/2)))/(s_0+3*s_r+IF(circ_int,eq_c1/2,0)))))))))),NA())</f>
        <v/>
      </c>
      <c r="BS62">
        <f>IF(AND(AND(links_on,4&lt;=n_per),INDEX(lk_kind,4)=1,59&lt;INDEX(lk_legs,4)),g_oy+IF(((59+0.5)*(4*IF(circ_int,0,eq_c1/2)+4*IF(circ_int,0,eq_c2/2)+2*PI()*(s_0+3*s_r+IF(circ_int,eq_c1/2,0)))/INDEX(lk_legs,4))&lt;(2*IF(circ_int,0,eq_c2/2)),-IF(circ_int,0,eq_c2/2)+((59+0.5)*(4*IF(circ_int,0,eq_c1/2)+4*IF(circ_int,0,eq_c2/2)+2*PI()*(s_0+3*s_r+IF(circ_int,eq_c1/2,0)))/INDEX(lk_legs,4)),IF(((59+0.5)*(4*IF(circ_int,0,eq_c1/2)+4*IF(circ_int,0,eq_c2/2)+2*PI()*(s_0+3*s_r+IF(circ_int,eq_c1/2,0)))/INDEX(lk_legs,4))&lt;((2*IF(circ_int,0,eq_c2/2))+(PI()*(s_0+3*s_r+IF(circ_int,eq_c1/2,0))/2)),IF(circ_int,0,eq_c2/2)+(s_0+3*s_r+IF(circ_int,eq_c1/2,0))*SIN((((59+0.5)*(4*IF(circ_int,0,eq_c1/2)+4*IF(circ_int,0,eq_c2/2)+2*PI()*(s_0+3*s_r+IF(circ_int,eq_c1/2,0)))/INDEX(lk_legs,4))-(2*IF(circ_int,0,eq_c2/2)))/(s_0+3*s_r+IF(circ_int,eq_c1/2,0))),IF(((59+0.5)*(4*IF(circ_int,0,eq_c1/2)+4*IF(circ_int,0,eq_c2/2)+2*PI()*(s_0+3*s_r+IF(circ_int,eq_c1/2,0)))/INDEX(lk_legs,4))&lt;(((2*IF(circ_int,0,eq_c2/2))+(PI()*(s_0+3*s_r+IF(circ_int,eq_c1/2,0))/2))+2*IF(circ_int,0,eq_c1/2)),IF(circ_int,0,eq_c2/2)+(s_0+3*s_r+IF(circ_int,eq_c1/2,0)),IF(((59+0.5)*(4*IF(circ_int,0,eq_c1/2)+4*IF(circ_int,0,eq_c2/2)+2*PI()*(s_0+3*s_r+IF(circ_int,eq_c1/2,0)))/INDEX(lk_legs,4))&lt;((((2*IF(circ_int,0,eq_c2/2))+(PI()*(s_0+3*s_r+IF(circ_int,eq_c1/2,0))/2))+2*IF(circ_int,0,eq_c1/2))+(PI()*(s_0+3*s_r+IF(circ_int,eq_c1/2,0))/2)),IF(circ_int,0,eq_c2/2)+(s_0+3*s_r+IF(circ_int,eq_c1/2,0))*SIN(PI()/2+(((59+0.5)*(4*IF(circ_int,0,eq_c1/2)+4*IF(circ_int,0,eq_c2/2)+2*PI()*(s_0+3*s_r+IF(circ_int,eq_c1/2,0)))/INDEX(lk_legs,4))-(((2*IF(circ_int,0,eq_c2/2))+(PI()*(s_0+3*s_r+IF(circ_int,eq_c1/2,0))/2))+2*IF(circ_int,0,eq_c1/2)))/(s_0+3*s_r+IF(circ_int,eq_c1/2,0))),IF(((59+0.5)*(4*IF(circ_int,0,eq_c1/2)+4*IF(circ_int,0,eq_c2/2)+2*PI()*(s_0+3*s_r+IF(circ_int,eq_c1/2,0)))/INDEX(lk_legs,4))&lt;(((((2*IF(circ_int,0,eq_c2/2))+(PI()*(s_0+3*s_r+IF(circ_int,eq_c1/2,0))/2))+2*IF(circ_int,0,eq_c1/2))+(PI()*(s_0+3*s_r+IF(circ_int,eq_c1/2,0))/2))+2*IF(circ_int,0,eq_c2/2)),IF(circ_int,0,eq_c2/2)-(((59+0.5)*(4*IF(circ_int,0,eq_c1/2)+4*IF(circ_int,0,eq_c2/2)+2*PI()*(s_0+3*s_r+IF(circ_int,eq_c1/2,0)))/INDEX(lk_legs,4))-((((2*IF(circ_int,0,eq_c2/2))+(PI()*(s_0+3*s_r+IF(circ_int,eq_c1/2,0))/2))+2*IF(circ_int,0,eq_c1/2))+(PI()*(s_0+3*s_r+IF(circ_int,eq_c1/2,0))/2))),IF(((59+0.5)*(4*IF(circ_int,0,eq_c1/2)+4*IF(circ_int,0,eq_c2/2)+2*PI()*(s_0+3*s_r+IF(circ_int,eq_c1/2,0)))/INDEX(lk_legs,4))&lt;((((((2*IF(circ_int,0,eq_c2/2))+(PI()*(s_0+3*s_r+IF(circ_int,eq_c1/2,0))/2))+2*IF(circ_int,0,eq_c1/2))+(PI()*(s_0+3*s_r+IF(circ_int,eq_c1/2,0))/2))+2*IF(circ_int,0,eq_c2/2))+(PI()*(s_0+3*s_r+IF(circ_int,eq_c1/2,0))/2)),-IF(circ_int,0,eq_c2/2)+(s_0+3*s_r+IF(circ_int,eq_c1/2,0))*SIN(PI()+(((59+0.5)*(4*IF(circ_int,0,eq_c1/2)+4*IF(circ_int,0,eq_c2/2)+2*PI()*(s_0+3*s_r+IF(circ_int,eq_c1/2,0)))/INDEX(lk_legs,4))-(((((2*IF(circ_int,0,eq_c2/2))+(PI()*(s_0+3*s_r+IF(circ_int,eq_c1/2,0))/2))+2*IF(circ_int,0,eq_c1/2))+(PI()*(s_0+3*s_r+IF(circ_int,eq_c1/2,0))/2))+2*IF(circ_int,0,eq_c2/2)))/(s_0+3*s_r+IF(circ_int,eq_c1/2,0))),IF(((59+0.5)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(59+0.5)*(4*IF(circ_int,0,eq_c1/2)+4*IF(circ_int,0,eq_c2/2)+2*PI()*(s_0+3*s_r+IF(circ_int,eq_c1/2,0)))/INDEX(lk_legs,4))-(((((((2*IF(circ_int,0,eq_c2/2))+(PI()*(s_0+3*s_r+IF(circ_int,eq_c1/2,0))/2))+2*IF(circ_int,0,eq_c1/2))+(PI()*(s_0+3*s_r+IF(circ_int,eq_c1/2,0))/2))+2*IF(circ_int,0,eq_c2/2))+(PI()*(s_0+3*s_r+IF(circ_int,eq_c1/2,0))/2))+2*IF(circ_int,0,eq_c1/2)))/(s_0+3*s_r+IF(circ_int,eq_c1/2,0)))))))))),NA())</f>
        <v/>
      </c>
      <c r="BX62">
        <f>IF(AND(AND(links_on,5&lt;=n_per),INDEX(lk_kind,5)=1,59&lt;INDEX(lk_legs,5)),g_ox+IF(((59+0.5)*(4*IF(circ_int,0,eq_c1/2)+4*IF(circ_int,0,eq_c2/2)+2*PI()*(s_0+4*s_r+IF(circ_int,eq_c1/2,0)))/INDEX(lk_legs,5))&lt;(2*IF(circ_int,0,eq_c2/2)),IF(circ_int,0,eq_c1/2)+(s_0+4*s_r+IF(circ_int,eq_c1/2,0)),IF(((59+0.5)*(4*IF(circ_int,0,eq_c1/2)+4*IF(circ_int,0,eq_c2/2)+2*PI()*(s_0+4*s_r+IF(circ_int,eq_c1/2,0)))/INDEX(lk_legs,5))&lt;((2*IF(circ_int,0,eq_c2/2))+(PI()*(s_0+4*s_r+IF(circ_int,eq_c1/2,0))/2)),IF(circ_int,0,eq_c1/2)+(s_0+4*s_r+IF(circ_int,eq_c1/2,0))*COS((((59+0.5)*(4*IF(circ_int,0,eq_c1/2)+4*IF(circ_int,0,eq_c2/2)+2*PI()*(s_0+4*s_r+IF(circ_int,eq_c1/2,0)))/INDEX(lk_legs,5))-(2*IF(circ_int,0,eq_c2/2)))/(s_0+4*s_r+IF(circ_int,eq_c1/2,0))),IF(((59+0.5)*(4*IF(circ_int,0,eq_c1/2)+4*IF(circ_int,0,eq_c2/2)+2*PI()*(s_0+4*s_r+IF(circ_int,eq_c1/2,0)))/INDEX(lk_legs,5))&lt;(((2*IF(circ_int,0,eq_c2/2))+(PI()*(s_0+4*s_r+IF(circ_int,eq_c1/2,0))/2))+2*IF(circ_int,0,eq_c1/2)),IF(circ_int,0,eq_c1/2)-(((59+0.5)*(4*IF(circ_int,0,eq_c1/2)+4*IF(circ_int,0,eq_c2/2)+2*PI()*(s_0+4*s_r+IF(circ_int,eq_c1/2,0)))/INDEX(lk_legs,5))-((2*IF(circ_int,0,eq_c2/2))+(PI()*(s_0+4*s_r+IF(circ_int,eq_c1/2,0))/2))),IF(((59+0.5)*(4*IF(circ_int,0,eq_c1/2)+4*IF(circ_int,0,eq_c2/2)+2*PI()*(s_0+4*s_r+IF(circ_int,eq_c1/2,0)))/INDEX(lk_legs,5))&lt;((((2*IF(circ_int,0,eq_c2/2))+(PI()*(s_0+4*s_r+IF(circ_int,eq_c1/2,0))/2))+2*IF(circ_int,0,eq_c1/2))+(PI()*(s_0+4*s_r+IF(circ_int,eq_c1/2,0))/2)),-IF(circ_int,0,eq_c1/2)+(s_0+4*s_r+IF(circ_int,eq_c1/2,0))*COS(PI()/2+(((59+0.5)*(4*IF(circ_int,0,eq_c1/2)+4*IF(circ_int,0,eq_c2/2)+2*PI()*(s_0+4*s_r+IF(circ_int,eq_c1/2,0)))/INDEX(lk_legs,5))-(((2*IF(circ_int,0,eq_c2/2))+(PI()*(s_0+4*s_r+IF(circ_int,eq_c1/2,0))/2))+2*IF(circ_int,0,eq_c1/2)))/(s_0+4*s_r+IF(circ_int,eq_c1/2,0))),IF(((59+0.5)*(4*IF(circ_int,0,eq_c1/2)+4*IF(circ_int,0,eq_c2/2)+2*PI()*(s_0+4*s_r+IF(circ_int,eq_c1/2,0)))/INDEX(lk_legs,5))&lt;(((((2*IF(circ_int,0,eq_c2/2))+(PI()*(s_0+4*s_r+IF(circ_int,eq_c1/2,0))/2))+2*IF(circ_int,0,eq_c1/2))+(PI()*(s_0+4*s_r+IF(circ_int,eq_c1/2,0))/2))+2*IF(circ_int,0,eq_c2/2)),-IF(circ_int,0,eq_c1/2)-(s_0+4*s_r+IF(circ_int,eq_c1/2,0)),IF(((59+0.5)*(4*IF(circ_int,0,eq_c1/2)+4*IF(circ_int,0,eq_c2/2)+2*PI()*(s_0+4*s_r+IF(circ_int,eq_c1/2,0)))/INDEX(lk_legs,5))&lt;((((((2*IF(circ_int,0,eq_c2/2))+(PI()*(s_0+4*s_r+IF(circ_int,eq_c1/2,0))/2))+2*IF(circ_int,0,eq_c1/2))+(PI()*(s_0+4*s_r+IF(circ_int,eq_c1/2,0))/2))+2*IF(circ_int,0,eq_c2/2))+(PI()*(s_0+4*s_r+IF(circ_int,eq_c1/2,0))/2)),-IF(circ_int,0,eq_c1/2)+(s_0+4*s_r+IF(circ_int,eq_c1/2,0))*COS(PI()+(((59+0.5)*(4*IF(circ_int,0,eq_c1/2)+4*IF(circ_int,0,eq_c2/2)+2*PI()*(s_0+4*s_r+IF(circ_int,eq_c1/2,0)))/INDEX(lk_legs,5))-(((((2*IF(circ_int,0,eq_c2/2))+(PI()*(s_0+4*s_r+IF(circ_int,eq_c1/2,0))/2))+2*IF(circ_int,0,eq_c1/2))+(PI()*(s_0+4*s_r+IF(circ_int,eq_c1/2,0))/2))+2*IF(circ_int,0,eq_c2/2)))/(s_0+4*s_r+IF(circ_int,eq_c1/2,0))),IF(((59+0.5)*(4*IF(circ_int,0,eq_c1/2)+4*IF(circ_int,0,eq_c2/2)+2*PI()*(s_0+4*s_r+IF(circ_int,eq_c1/2,0)))/INDEX(lk_legs,5))&lt;(((((((2*IF(circ_int,0,eq_c2/2))+(PI()*(s_0+4*s_r+IF(circ_int,eq_c1/2,0))/2))+2*IF(circ_int,0,eq_c1/2))+(PI()*(s_0+4*s_r+IF(circ_int,eq_c1/2,0))/2))+2*IF(circ_int,0,eq_c2/2))+(PI()*(s_0+4*s_r+IF(circ_int,eq_c1/2,0))/2))+2*IF(circ_int,0,eq_c1/2)),-IF(circ_int,0,eq_c1/2)+(((59+0.5)*(4*IF(circ_int,0,eq_c1/2)+4*IF(circ_int,0,eq_c2/2)+2*PI()*(s_0+4*s_r+IF(circ_int,eq_c1/2,0)))/INDEX(lk_legs,5))-((((((2*IF(circ_int,0,eq_c2/2))+(PI()*(s_0+4*s_r+IF(circ_int,eq_c1/2,0))/2))+2*IF(circ_int,0,eq_c1/2))+(PI()*(s_0+4*s_r+IF(circ_int,eq_c1/2,0))/2))+2*IF(circ_int,0,eq_c2/2))+(PI()*(s_0+4*s_r+IF(circ_int,eq_c1/2,0))/2))),IF(circ_int,0,eq_c1/2)+(s_0+4*s_r+IF(circ_int,eq_c1/2,0))*COS(3*PI()/2+(((59+0.5)*(4*IF(circ_int,0,eq_c1/2)+4*IF(circ_int,0,eq_c2/2)+2*PI()*(s_0+4*s_r+IF(circ_int,eq_c1/2,0)))/INDEX(lk_legs,5))-(((((((2*IF(circ_int,0,eq_c2/2))+(PI()*(s_0+4*s_r+IF(circ_int,eq_c1/2,0))/2))+2*IF(circ_int,0,eq_c1/2))+(PI()*(s_0+4*s_r+IF(circ_int,eq_c1/2,0))/2))+2*IF(circ_int,0,eq_c2/2))+(PI()*(s_0+4*s_r+IF(circ_int,eq_c1/2,0))/2))+2*IF(circ_int,0,eq_c1/2)))/(s_0+4*s_r+IF(circ_int,eq_c1/2,0)))))))))),NA())</f>
        <v/>
      </c>
      <c r="BY62">
        <f>IF(AND(AND(links_on,5&lt;=n_per),INDEX(lk_kind,5)=1,59&lt;INDEX(lk_legs,5)),g_oy+IF(((59+0.5)*(4*IF(circ_int,0,eq_c1/2)+4*IF(circ_int,0,eq_c2/2)+2*PI()*(s_0+4*s_r+IF(circ_int,eq_c1/2,0)))/INDEX(lk_legs,5))&lt;(2*IF(circ_int,0,eq_c2/2)),-IF(circ_int,0,eq_c2/2)+((59+0.5)*(4*IF(circ_int,0,eq_c1/2)+4*IF(circ_int,0,eq_c2/2)+2*PI()*(s_0+4*s_r+IF(circ_int,eq_c1/2,0)))/INDEX(lk_legs,5)),IF(((59+0.5)*(4*IF(circ_int,0,eq_c1/2)+4*IF(circ_int,0,eq_c2/2)+2*PI()*(s_0+4*s_r+IF(circ_int,eq_c1/2,0)))/INDEX(lk_legs,5))&lt;((2*IF(circ_int,0,eq_c2/2))+(PI()*(s_0+4*s_r+IF(circ_int,eq_c1/2,0))/2)),IF(circ_int,0,eq_c2/2)+(s_0+4*s_r+IF(circ_int,eq_c1/2,0))*SIN((((59+0.5)*(4*IF(circ_int,0,eq_c1/2)+4*IF(circ_int,0,eq_c2/2)+2*PI()*(s_0+4*s_r+IF(circ_int,eq_c1/2,0)))/INDEX(lk_legs,5))-(2*IF(circ_int,0,eq_c2/2)))/(s_0+4*s_r+IF(circ_int,eq_c1/2,0))),IF(((59+0.5)*(4*IF(circ_int,0,eq_c1/2)+4*IF(circ_int,0,eq_c2/2)+2*PI()*(s_0+4*s_r+IF(circ_int,eq_c1/2,0)))/INDEX(lk_legs,5))&lt;(((2*IF(circ_int,0,eq_c2/2))+(PI()*(s_0+4*s_r+IF(circ_int,eq_c1/2,0))/2))+2*IF(circ_int,0,eq_c1/2)),IF(circ_int,0,eq_c2/2)+(s_0+4*s_r+IF(circ_int,eq_c1/2,0)),IF(((59+0.5)*(4*IF(circ_int,0,eq_c1/2)+4*IF(circ_int,0,eq_c2/2)+2*PI()*(s_0+4*s_r+IF(circ_int,eq_c1/2,0)))/INDEX(lk_legs,5))&lt;((((2*IF(circ_int,0,eq_c2/2))+(PI()*(s_0+4*s_r+IF(circ_int,eq_c1/2,0))/2))+2*IF(circ_int,0,eq_c1/2))+(PI()*(s_0+4*s_r+IF(circ_int,eq_c1/2,0))/2)),IF(circ_int,0,eq_c2/2)+(s_0+4*s_r+IF(circ_int,eq_c1/2,0))*SIN(PI()/2+(((59+0.5)*(4*IF(circ_int,0,eq_c1/2)+4*IF(circ_int,0,eq_c2/2)+2*PI()*(s_0+4*s_r+IF(circ_int,eq_c1/2,0)))/INDEX(lk_legs,5))-(((2*IF(circ_int,0,eq_c2/2))+(PI()*(s_0+4*s_r+IF(circ_int,eq_c1/2,0))/2))+2*IF(circ_int,0,eq_c1/2)))/(s_0+4*s_r+IF(circ_int,eq_c1/2,0))),IF(((59+0.5)*(4*IF(circ_int,0,eq_c1/2)+4*IF(circ_int,0,eq_c2/2)+2*PI()*(s_0+4*s_r+IF(circ_int,eq_c1/2,0)))/INDEX(lk_legs,5))&lt;(((((2*IF(circ_int,0,eq_c2/2))+(PI()*(s_0+4*s_r+IF(circ_int,eq_c1/2,0))/2))+2*IF(circ_int,0,eq_c1/2))+(PI()*(s_0+4*s_r+IF(circ_int,eq_c1/2,0))/2))+2*IF(circ_int,0,eq_c2/2)),IF(circ_int,0,eq_c2/2)-(((59+0.5)*(4*IF(circ_int,0,eq_c1/2)+4*IF(circ_int,0,eq_c2/2)+2*PI()*(s_0+4*s_r+IF(circ_int,eq_c1/2,0)))/INDEX(lk_legs,5))-((((2*IF(circ_int,0,eq_c2/2))+(PI()*(s_0+4*s_r+IF(circ_int,eq_c1/2,0))/2))+2*IF(circ_int,0,eq_c1/2))+(PI()*(s_0+4*s_r+IF(circ_int,eq_c1/2,0))/2))),IF(((59+0.5)*(4*IF(circ_int,0,eq_c1/2)+4*IF(circ_int,0,eq_c2/2)+2*PI()*(s_0+4*s_r+IF(circ_int,eq_c1/2,0)))/INDEX(lk_legs,5))&lt;((((((2*IF(circ_int,0,eq_c2/2))+(PI()*(s_0+4*s_r+IF(circ_int,eq_c1/2,0))/2))+2*IF(circ_int,0,eq_c1/2))+(PI()*(s_0+4*s_r+IF(circ_int,eq_c1/2,0))/2))+2*IF(circ_int,0,eq_c2/2))+(PI()*(s_0+4*s_r+IF(circ_int,eq_c1/2,0))/2)),-IF(circ_int,0,eq_c2/2)+(s_0+4*s_r+IF(circ_int,eq_c1/2,0))*SIN(PI()+(((59+0.5)*(4*IF(circ_int,0,eq_c1/2)+4*IF(circ_int,0,eq_c2/2)+2*PI()*(s_0+4*s_r+IF(circ_int,eq_c1/2,0)))/INDEX(lk_legs,5))-(((((2*IF(circ_int,0,eq_c2/2))+(PI()*(s_0+4*s_r+IF(circ_int,eq_c1/2,0))/2))+2*IF(circ_int,0,eq_c1/2))+(PI()*(s_0+4*s_r+IF(circ_int,eq_c1/2,0))/2))+2*IF(circ_int,0,eq_c2/2)))/(s_0+4*s_r+IF(circ_int,eq_c1/2,0))),IF(((59+0.5)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(59+0.5)*(4*IF(circ_int,0,eq_c1/2)+4*IF(circ_int,0,eq_c2/2)+2*PI()*(s_0+4*s_r+IF(circ_int,eq_c1/2,0)))/INDEX(lk_legs,5))-(((((((2*IF(circ_int,0,eq_c2/2))+(PI()*(s_0+4*s_r+IF(circ_int,eq_c1/2,0))/2))+2*IF(circ_int,0,eq_c1/2))+(PI()*(s_0+4*s_r+IF(circ_int,eq_c1/2,0))/2))+2*IF(circ_int,0,eq_c2/2))+(PI()*(s_0+4*s_r+IF(circ_int,eq_c1/2,0))/2))+2*IF(circ_int,0,eq_c1/2)))/(s_0+4*s_r+IF(circ_int,eq_c1/2,0)))))))))),NA())</f>
        <v/>
      </c>
      <c r="CD62">
        <f>IF(AND(AND(links_on,6&lt;=n_per),INDEX(lk_kind,6)=1,59&lt;INDEX(lk_legs,6)),g_ox+IF(((59+0.5)*(4*IF(circ_int,0,eq_c1/2)+4*IF(circ_int,0,eq_c2/2)+2*PI()*(s_0+5*s_r+IF(circ_int,eq_c1/2,0)))/INDEX(lk_legs,6))&lt;(2*IF(circ_int,0,eq_c2/2)),IF(circ_int,0,eq_c1/2)+(s_0+5*s_r+IF(circ_int,eq_c1/2,0)),IF(((59+0.5)*(4*IF(circ_int,0,eq_c1/2)+4*IF(circ_int,0,eq_c2/2)+2*PI()*(s_0+5*s_r+IF(circ_int,eq_c1/2,0)))/INDEX(lk_legs,6))&lt;((2*IF(circ_int,0,eq_c2/2))+(PI()*(s_0+5*s_r+IF(circ_int,eq_c1/2,0))/2)),IF(circ_int,0,eq_c1/2)+(s_0+5*s_r+IF(circ_int,eq_c1/2,0))*COS((((59+0.5)*(4*IF(circ_int,0,eq_c1/2)+4*IF(circ_int,0,eq_c2/2)+2*PI()*(s_0+5*s_r+IF(circ_int,eq_c1/2,0)))/INDEX(lk_legs,6))-(2*IF(circ_int,0,eq_c2/2)))/(s_0+5*s_r+IF(circ_int,eq_c1/2,0))),IF(((59+0.5)*(4*IF(circ_int,0,eq_c1/2)+4*IF(circ_int,0,eq_c2/2)+2*PI()*(s_0+5*s_r+IF(circ_int,eq_c1/2,0)))/INDEX(lk_legs,6))&lt;(((2*IF(circ_int,0,eq_c2/2))+(PI()*(s_0+5*s_r+IF(circ_int,eq_c1/2,0))/2))+2*IF(circ_int,0,eq_c1/2)),IF(circ_int,0,eq_c1/2)-(((59+0.5)*(4*IF(circ_int,0,eq_c1/2)+4*IF(circ_int,0,eq_c2/2)+2*PI()*(s_0+5*s_r+IF(circ_int,eq_c1/2,0)))/INDEX(lk_legs,6))-((2*IF(circ_int,0,eq_c2/2))+(PI()*(s_0+5*s_r+IF(circ_int,eq_c1/2,0))/2))),IF(((59+0.5)*(4*IF(circ_int,0,eq_c1/2)+4*IF(circ_int,0,eq_c2/2)+2*PI()*(s_0+5*s_r+IF(circ_int,eq_c1/2,0)))/INDEX(lk_legs,6))&lt;((((2*IF(circ_int,0,eq_c2/2))+(PI()*(s_0+5*s_r+IF(circ_int,eq_c1/2,0))/2))+2*IF(circ_int,0,eq_c1/2))+(PI()*(s_0+5*s_r+IF(circ_int,eq_c1/2,0))/2)),-IF(circ_int,0,eq_c1/2)+(s_0+5*s_r+IF(circ_int,eq_c1/2,0))*COS(PI()/2+(((59+0.5)*(4*IF(circ_int,0,eq_c1/2)+4*IF(circ_int,0,eq_c2/2)+2*PI()*(s_0+5*s_r+IF(circ_int,eq_c1/2,0)))/INDEX(lk_legs,6))-(((2*IF(circ_int,0,eq_c2/2))+(PI()*(s_0+5*s_r+IF(circ_int,eq_c1/2,0))/2))+2*IF(circ_int,0,eq_c1/2)))/(s_0+5*s_r+IF(circ_int,eq_c1/2,0))),IF(((59+0.5)*(4*IF(circ_int,0,eq_c1/2)+4*IF(circ_int,0,eq_c2/2)+2*PI()*(s_0+5*s_r+IF(circ_int,eq_c1/2,0)))/INDEX(lk_legs,6))&lt;(((((2*IF(circ_int,0,eq_c2/2))+(PI()*(s_0+5*s_r+IF(circ_int,eq_c1/2,0))/2))+2*IF(circ_int,0,eq_c1/2))+(PI()*(s_0+5*s_r+IF(circ_int,eq_c1/2,0))/2))+2*IF(circ_int,0,eq_c2/2)),-IF(circ_int,0,eq_c1/2)-(s_0+5*s_r+IF(circ_int,eq_c1/2,0)),IF(((59+0.5)*(4*IF(circ_int,0,eq_c1/2)+4*IF(circ_int,0,eq_c2/2)+2*PI()*(s_0+5*s_r+IF(circ_int,eq_c1/2,0)))/INDEX(lk_legs,6))&lt;((((((2*IF(circ_int,0,eq_c2/2))+(PI()*(s_0+5*s_r+IF(circ_int,eq_c1/2,0))/2))+2*IF(circ_int,0,eq_c1/2))+(PI()*(s_0+5*s_r+IF(circ_int,eq_c1/2,0))/2))+2*IF(circ_int,0,eq_c2/2))+(PI()*(s_0+5*s_r+IF(circ_int,eq_c1/2,0))/2)),-IF(circ_int,0,eq_c1/2)+(s_0+5*s_r+IF(circ_int,eq_c1/2,0))*COS(PI()+(((59+0.5)*(4*IF(circ_int,0,eq_c1/2)+4*IF(circ_int,0,eq_c2/2)+2*PI()*(s_0+5*s_r+IF(circ_int,eq_c1/2,0)))/INDEX(lk_legs,6))-(((((2*IF(circ_int,0,eq_c2/2))+(PI()*(s_0+5*s_r+IF(circ_int,eq_c1/2,0))/2))+2*IF(circ_int,0,eq_c1/2))+(PI()*(s_0+5*s_r+IF(circ_int,eq_c1/2,0))/2))+2*IF(circ_int,0,eq_c2/2)))/(s_0+5*s_r+IF(circ_int,eq_c1/2,0))),IF(((59+0.5)*(4*IF(circ_int,0,eq_c1/2)+4*IF(circ_int,0,eq_c2/2)+2*PI()*(s_0+5*s_r+IF(circ_int,eq_c1/2,0)))/INDEX(lk_legs,6))&lt;(((((((2*IF(circ_int,0,eq_c2/2))+(PI()*(s_0+5*s_r+IF(circ_int,eq_c1/2,0))/2))+2*IF(circ_int,0,eq_c1/2))+(PI()*(s_0+5*s_r+IF(circ_int,eq_c1/2,0))/2))+2*IF(circ_int,0,eq_c2/2))+(PI()*(s_0+5*s_r+IF(circ_int,eq_c1/2,0))/2))+2*IF(circ_int,0,eq_c1/2)),-IF(circ_int,0,eq_c1/2)+(((59+0.5)*(4*IF(circ_int,0,eq_c1/2)+4*IF(circ_int,0,eq_c2/2)+2*PI()*(s_0+5*s_r+IF(circ_int,eq_c1/2,0)))/INDEX(lk_legs,6))-((((((2*IF(circ_int,0,eq_c2/2))+(PI()*(s_0+5*s_r+IF(circ_int,eq_c1/2,0))/2))+2*IF(circ_int,0,eq_c1/2))+(PI()*(s_0+5*s_r+IF(circ_int,eq_c1/2,0))/2))+2*IF(circ_int,0,eq_c2/2))+(PI()*(s_0+5*s_r+IF(circ_int,eq_c1/2,0))/2))),IF(circ_int,0,eq_c1/2)+(s_0+5*s_r+IF(circ_int,eq_c1/2,0))*COS(3*PI()/2+(((59+0.5)*(4*IF(circ_int,0,eq_c1/2)+4*IF(circ_int,0,eq_c2/2)+2*PI()*(s_0+5*s_r+IF(circ_int,eq_c1/2,0)))/INDEX(lk_legs,6))-(((((((2*IF(circ_int,0,eq_c2/2))+(PI()*(s_0+5*s_r+IF(circ_int,eq_c1/2,0))/2))+2*IF(circ_int,0,eq_c1/2))+(PI()*(s_0+5*s_r+IF(circ_int,eq_c1/2,0))/2))+2*IF(circ_int,0,eq_c2/2))+(PI()*(s_0+5*s_r+IF(circ_int,eq_c1/2,0))/2))+2*IF(circ_int,0,eq_c1/2)))/(s_0+5*s_r+IF(circ_int,eq_c1/2,0)))))))))),NA())</f>
        <v/>
      </c>
      <c r="CE62">
        <f>IF(AND(AND(links_on,6&lt;=n_per),INDEX(lk_kind,6)=1,59&lt;INDEX(lk_legs,6)),g_oy+IF(((59+0.5)*(4*IF(circ_int,0,eq_c1/2)+4*IF(circ_int,0,eq_c2/2)+2*PI()*(s_0+5*s_r+IF(circ_int,eq_c1/2,0)))/INDEX(lk_legs,6))&lt;(2*IF(circ_int,0,eq_c2/2)),-IF(circ_int,0,eq_c2/2)+((59+0.5)*(4*IF(circ_int,0,eq_c1/2)+4*IF(circ_int,0,eq_c2/2)+2*PI()*(s_0+5*s_r+IF(circ_int,eq_c1/2,0)))/INDEX(lk_legs,6)),IF(((59+0.5)*(4*IF(circ_int,0,eq_c1/2)+4*IF(circ_int,0,eq_c2/2)+2*PI()*(s_0+5*s_r+IF(circ_int,eq_c1/2,0)))/INDEX(lk_legs,6))&lt;((2*IF(circ_int,0,eq_c2/2))+(PI()*(s_0+5*s_r+IF(circ_int,eq_c1/2,0))/2)),IF(circ_int,0,eq_c2/2)+(s_0+5*s_r+IF(circ_int,eq_c1/2,0))*SIN((((59+0.5)*(4*IF(circ_int,0,eq_c1/2)+4*IF(circ_int,0,eq_c2/2)+2*PI()*(s_0+5*s_r+IF(circ_int,eq_c1/2,0)))/INDEX(lk_legs,6))-(2*IF(circ_int,0,eq_c2/2)))/(s_0+5*s_r+IF(circ_int,eq_c1/2,0))),IF(((59+0.5)*(4*IF(circ_int,0,eq_c1/2)+4*IF(circ_int,0,eq_c2/2)+2*PI()*(s_0+5*s_r+IF(circ_int,eq_c1/2,0)))/INDEX(lk_legs,6))&lt;(((2*IF(circ_int,0,eq_c2/2))+(PI()*(s_0+5*s_r+IF(circ_int,eq_c1/2,0))/2))+2*IF(circ_int,0,eq_c1/2)),IF(circ_int,0,eq_c2/2)+(s_0+5*s_r+IF(circ_int,eq_c1/2,0)),IF(((59+0.5)*(4*IF(circ_int,0,eq_c1/2)+4*IF(circ_int,0,eq_c2/2)+2*PI()*(s_0+5*s_r+IF(circ_int,eq_c1/2,0)))/INDEX(lk_legs,6))&lt;((((2*IF(circ_int,0,eq_c2/2))+(PI()*(s_0+5*s_r+IF(circ_int,eq_c1/2,0))/2))+2*IF(circ_int,0,eq_c1/2))+(PI()*(s_0+5*s_r+IF(circ_int,eq_c1/2,0))/2)),IF(circ_int,0,eq_c2/2)+(s_0+5*s_r+IF(circ_int,eq_c1/2,0))*SIN(PI()/2+(((59+0.5)*(4*IF(circ_int,0,eq_c1/2)+4*IF(circ_int,0,eq_c2/2)+2*PI()*(s_0+5*s_r+IF(circ_int,eq_c1/2,0)))/INDEX(lk_legs,6))-(((2*IF(circ_int,0,eq_c2/2))+(PI()*(s_0+5*s_r+IF(circ_int,eq_c1/2,0))/2))+2*IF(circ_int,0,eq_c1/2)))/(s_0+5*s_r+IF(circ_int,eq_c1/2,0))),IF(((59+0.5)*(4*IF(circ_int,0,eq_c1/2)+4*IF(circ_int,0,eq_c2/2)+2*PI()*(s_0+5*s_r+IF(circ_int,eq_c1/2,0)))/INDEX(lk_legs,6))&lt;(((((2*IF(circ_int,0,eq_c2/2))+(PI()*(s_0+5*s_r+IF(circ_int,eq_c1/2,0))/2))+2*IF(circ_int,0,eq_c1/2))+(PI()*(s_0+5*s_r+IF(circ_int,eq_c1/2,0))/2))+2*IF(circ_int,0,eq_c2/2)),IF(circ_int,0,eq_c2/2)-(((59+0.5)*(4*IF(circ_int,0,eq_c1/2)+4*IF(circ_int,0,eq_c2/2)+2*PI()*(s_0+5*s_r+IF(circ_int,eq_c1/2,0)))/INDEX(lk_legs,6))-((((2*IF(circ_int,0,eq_c2/2))+(PI()*(s_0+5*s_r+IF(circ_int,eq_c1/2,0))/2))+2*IF(circ_int,0,eq_c1/2))+(PI()*(s_0+5*s_r+IF(circ_int,eq_c1/2,0))/2))),IF(((59+0.5)*(4*IF(circ_int,0,eq_c1/2)+4*IF(circ_int,0,eq_c2/2)+2*PI()*(s_0+5*s_r+IF(circ_int,eq_c1/2,0)))/INDEX(lk_legs,6))&lt;((((((2*IF(circ_int,0,eq_c2/2))+(PI()*(s_0+5*s_r+IF(circ_int,eq_c1/2,0))/2))+2*IF(circ_int,0,eq_c1/2))+(PI()*(s_0+5*s_r+IF(circ_int,eq_c1/2,0))/2))+2*IF(circ_int,0,eq_c2/2))+(PI()*(s_0+5*s_r+IF(circ_int,eq_c1/2,0))/2)),-IF(circ_int,0,eq_c2/2)+(s_0+5*s_r+IF(circ_int,eq_c1/2,0))*SIN(PI()+(((59+0.5)*(4*IF(circ_int,0,eq_c1/2)+4*IF(circ_int,0,eq_c2/2)+2*PI()*(s_0+5*s_r+IF(circ_int,eq_c1/2,0)))/INDEX(lk_legs,6))-(((((2*IF(circ_int,0,eq_c2/2))+(PI()*(s_0+5*s_r+IF(circ_int,eq_c1/2,0))/2))+2*IF(circ_int,0,eq_c1/2))+(PI()*(s_0+5*s_r+IF(circ_int,eq_c1/2,0))/2))+2*IF(circ_int,0,eq_c2/2)))/(s_0+5*s_r+IF(circ_int,eq_c1/2,0))),IF(((59+0.5)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(59+0.5)*(4*IF(circ_int,0,eq_c1/2)+4*IF(circ_int,0,eq_c2/2)+2*PI()*(s_0+5*s_r+IF(circ_int,eq_c1/2,0)))/INDEX(lk_legs,6))-(((((((2*IF(circ_int,0,eq_c2/2))+(PI()*(s_0+5*s_r+IF(circ_int,eq_c1/2,0))/2))+2*IF(circ_int,0,eq_c1/2))+(PI()*(s_0+5*s_r+IF(circ_int,eq_c1/2,0))/2))+2*IF(circ_int,0,eq_c2/2))+(PI()*(s_0+5*s_r+IF(circ_int,eq_c1/2,0))/2))+2*IF(circ_int,0,eq_c1/2)))/(s_0+5*s_r+IF(circ_int,eq_c1/2,0)))))))))),NA())</f>
        <v/>
      </c>
      <c r="CJ62">
        <f>IF(AND(AND(links_on,7&lt;=n_per),INDEX(lk_kind,7)=1,59&lt;INDEX(lk_legs,7)),g_ox+IF(((59+0.5)*(4*IF(circ_int,0,eq_c1/2)+4*IF(circ_int,0,eq_c2/2)+2*PI()*(s_0+6*s_r+IF(circ_int,eq_c1/2,0)))/INDEX(lk_legs,7))&lt;(2*IF(circ_int,0,eq_c2/2)),IF(circ_int,0,eq_c1/2)+(s_0+6*s_r+IF(circ_int,eq_c1/2,0)),IF(((59+0.5)*(4*IF(circ_int,0,eq_c1/2)+4*IF(circ_int,0,eq_c2/2)+2*PI()*(s_0+6*s_r+IF(circ_int,eq_c1/2,0)))/INDEX(lk_legs,7))&lt;((2*IF(circ_int,0,eq_c2/2))+(PI()*(s_0+6*s_r+IF(circ_int,eq_c1/2,0))/2)),IF(circ_int,0,eq_c1/2)+(s_0+6*s_r+IF(circ_int,eq_c1/2,0))*COS((((59+0.5)*(4*IF(circ_int,0,eq_c1/2)+4*IF(circ_int,0,eq_c2/2)+2*PI()*(s_0+6*s_r+IF(circ_int,eq_c1/2,0)))/INDEX(lk_legs,7))-(2*IF(circ_int,0,eq_c2/2)))/(s_0+6*s_r+IF(circ_int,eq_c1/2,0))),IF(((59+0.5)*(4*IF(circ_int,0,eq_c1/2)+4*IF(circ_int,0,eq_c2/2)+2*PI()*(s_0+6*s_r+IF(circ_int,eq_c1/2,0)))/INDEX(lk_legs,7))&lt;(((2*IF(circ_int,0,eq_c2/2))+(PI()*(s_0+6*s_r+IF(circ_int,eq_c1/2,0))/2))+2*IF(circ_int,0,eq_c1/2)),IF(circ_int,0,eq_c1/2)-(((59+0.5)*(4*IF(circ_int,0,eq_c1/2)+4*IF(circ_int,0,eq_c2/2)+2*PI()*(s_0+6*s_r+IF(circ_int,eq_c1/2,0)))/INDEX(lk_legs,7))-((2*IF(circ_int,0,eq_c2/2))+(PI()*(s_0+6*s_r+IF(circ_int,eq_c1/2,0))/2))),IF(((59+0.5)*(4*IF(circ_int,0,eq_c1/2)+4*IF(circ_int,0,eq_c2/2)+2*PI()*(s_0+6*s_r+IF(circ_int,eq_c1/2,0)))/INDEX(lk_legs,7))&lt;((((2*IF(circ_int,0,eq_c2/2))+(PI()*(s_0+6*s_r+IF(circ_int,eq_c1/2,0))/2))+2*IF(circ_int,0,eq_c1/2))+(PI()*(s_0+6*s_r+IF(circ_int,eq_c1/2,0))/2)),-IF(circ_int,0,eq_c1/2)+(s_0+6*s_r+IF(circ_int,eq_c1/2,0))*COS(PI()/2+(((59+0.5)*(4*IF(circ_int,0,eq_c1/2)+4*IF(circ_int,0,eq_c2/2)+2*PI()*(s_0+6*s_r+IF(circ_int,eq_c1/2,0)))/INDEX(lk_legs,7))-(((2*IF(circ_int,0,eq_c2/2))+(PI()*(s_0+6*s_r+IF(circ_int,eq_c1/2,0))/2))+2*IF(circ_int,0,eq_c1/2)))/(s_0+6*s_r+IF(circ_int,eq_c1/2,0))),IF(((59+0.5)*(4*IF(circ_int,0,eq_c1/2)+4*IF(circ_int,0,eq_c2/2)+2*PI()*(s_0+6*s_r+IF(circ_int,eq_c1/2,0)))/INDEX(lk_legs,7))&lt;(((((2*IF(circ_int,0,eq_c2/2))+(PI()*(s_0+6*s_r+IF(circ_int,eq_c1/2,0))/2))+2*IF(circ_int,0,eq_c1/2))+(PI()*(s_0+6*s_r+IF(circ_int,eq_c1/2,0))/2))+2*IF(circ_int,0,eq_c2/2)),-IF(circ_int,0,eq_c1/2)-(s_0+6*s_r+IF(circ_int,eq_c1/2,0)),IF(((59+0.5)*(4*IF(circ_int,0,eq_c1/2)+4*IF(circ_int,0,eq_c2/2)+2*PI()*(s_0+6*s_r+IF(circ_int,eq_c1/2,0)))/INDEX(lk_legs,7))&lt;((((((2*IF(circ_int,0,eq_c2/2))+(PI()*(s_0+6*s_r+IF(circ_int,eq_c1/2,0))/2))+2*IF(circ_int,0,eq_c1/2))+(PI()*(s_0+6*s_r+IF(circ_int,eq_c1/2,0))/2))+2*IF(circ_int,0,eq_c2/2))+(PI()*(s_0+6*s_r+IF(circ_int,eq_c1/2,0))/2)),-IF(circ_int,0,eq_c1/2)+(s_0+6*s_r+IF(circ_int,eq_c1/2,0))*COS(PI()+(((59+0.5)*(4*IF(circ_int,0,eq_c1/2)+4*IF(circ_int,0,eq_c2/2)+2*PI()*(s_0+6*s_r+IF(circ_int,eq_c1/2,0)))/INDEX(lk_legs,7))-(((((2*IF(circ_int,0,eq_c2/2))+(PI()*(s_0+6*s_r+IF(circ_int,eq_c1/2,0))/2))+2*IF(circ_int,0,eq_c1/2))+(PI()*(s_0+6*s_r+IF(circ_int,eq_c1/2,0))/2))+2*IF(circ_int,0,eq_c2/2)))/(s_0+6*s_r+IF(circ_int,eq_c1/2,0))),IF(((59+0.5)*(4*IF(circ_int,0,eq_c1/2)+4*IF(circ_int,0,eq_c2/2)+2*PI()*(s_0+6*s_r+IF(circ_int,eq_c1/2,0)))/INDEX(lk_legs,7))&lt;(((((((2*IF(circ_int,0,eq_c2/2))+(PI()*(s_0+6*s_r+IF(circ_int,eq_c1/2,0))/2))+2*IF(circ_int,0,eq_c1/2))+(PI()*(s_0+6*s_r+IF(circ_int,eq_c1/2,0))/2))+2*IF(circ_int,0,eq_c2/2))+(PI()*(s_0+6*s_r+IF(circ_int,eq_c1/2,0))/2))+2*IF(circ_int,0,eq_c1/2)),-IF(circ_int,0,eq_c1/2)+(((59+0.5)*(4*IF(circ_int,0,eq_c1/2)+4*IF(circ_int,0,eq_c2/2)+2*PI()*(s_0+6*s_r+IF(circ_int,eq_c1/2,0)))/INDEX(lk_legs,7))-((((((2*IF(circ_int,0,eq_c2/2))+(PI()*(s_0+6*s_r+IF(circ_int,eq_c1/2,0))/2))+2*IF(circ_int,0,eq_c1/2))+(PI()*(s_0+6*s_r+IF(circ_int,eq_c1/2,0))/2))+2*IF(circ_int,0,eq_c2/2))+(PI()*(s_0+6*s_r+IF(circ_int,eq_c1/2,0))/2))),IF(circ_int,0,eq_c1/2)+(s_0+6*s_r+IF(circ_int,eq_c1/2,0))*COS(3*PI()/2+(((59+0.5)*(4*IF(circ_int,0,eq_c1/2)+4*IF(circ_int,0,eq_c2/2)+2*PI()*(s_0+6*s_r+IF(circ_int,eq_c1/2,0)))/INDEX(lk_legs,7))-(((((((2*IF(circ_int,0,eq_c2/2))+(PI()*(s_0+6*s_r+IF(circ_int,eq_c1/2,0))/2))+2*IF(circ_int,0,eq_c1/2))+(PI()*(s_0+6*s_r+IF(circ_int,eq_c1/2,0))/2))+2*IF(circ_int,0,eq_c2/2))+(PI()*(s_0+6*s_r+IF(circ_int,eq_c1/2,0))/2))+2*IF(circ_int,0,eq_c1/2)))/(s_0+6*s_r+IF(circ_int,eq_c1/2,0)))))))))),NA())</f>
        <v/>
      </c>
      <c r="CK62">
        <f>IF(AND(AND(links_on,7&lt;=n_per),INDEX(lk_kind,7)=1,59&lt;INDEX(lk_legs,7)),g_oy+IF(((59+0.5)*(4*IF(circ_int,0,eq_c1/2)+4*IF(circ_int,0,eq_c2/2)+2*PI()*(s_0+6*s_r+IF(circ_int,eq_c1/2,0)))/INDEX(lk_legs,7))&lt;(2*IF(circ_int,0,eq_c2/2)),-IF(circ_int,0,eq_c2/2)+((59+0.5)*(4*IF(circ_int,0,eq_c1/2)+4*IF(circ_int,0,eq_c2/2)+2*PI()*(s_0+6*s_r+IF(circ_int,eq_c1/2,0)))/INDEX(lk_legs,7)),IF(((59+0.5)*(4*IF(circ_int,0,eq_c1/2)+4*IF(circ_int,0,eq_c2/2)+2*PI()*(s_0+6*s_r+IF(circ_int,eq_c1/2,0)))/INDEX(lk_legs,7))&lt;((2*IF(circ_int,0,eq_c2/2))+(PI()*(s_0+6*s_r+IF(circ_int,eq_c1/2,0))/2)),IF(circ_int,0,eq_c2/2)+(s_0+6*s_r+IF(circ_int,eq_c1/2,0))*SIN((((59+0.5)*(4*IF(circ_int,0,eq_c1/2)+4*IF(circ_int,0,eq_c2/2)+2*PI()*(s_0+6*s_r+IF(circ_int,eq_c1/2,0)))/INDEX(lk_legs,7))-(2*IF(circ_int,0,eq_c2/2)))/(s_0+6*s_r+IF(circ_int,eq_c1/2,0))),IF(((59+0.5)*(4*IF(circ_int,0,eq_c1/2)+4*IF(circ_int,0,eq_c2/2)+2*PI()*(s_0+6*s_r+IF(circ_int,eq_c1/2,0)))/INDEX(lk_legs,7))&lt;(((2*IF(circ_int,0,eq_c2/2))+(PI()*(s_0+6*s_r+IF(circ_int,eq_c1/2,0))/2))+2*IF(circ_int,0,eq_c1/2)),IF(circ_int,0,eq_c2/2)+(s_0+6*s_r+IF(circ_int,eq_c1/2,0)),IF(((59+0.5)*(4*IF(circ_int,0,eq_c1/2)+4*IF(circ_int,0,eq_c2/2)+2*PI()*(s_0+6*s_r+IF(circ_int,eq_c1/2,0)))/INDEX(lk_legs,7))&lt;((((2*IF(circ_int,0,eq_c2/2))+(PI()*(s_0+6*s_r+IF(circ_int,eq_c1/2,0))/2))+2*IF(circ_int,0,eq_c1/2))+(PI()*(s_0+6*s_r+IF(circ_int,eq_c1/2,0))/2)),IF(circ_int,0,eq_c2/2)+(s_0+6*s_r+IF(circ_int,eq_c1/2,0))*SIN(PI()/2+(((59+0.5)*(4*IF(circ_int,0,eq_c1/2)+4*IF(circ_int,0,eq_c2/2)+2*PI()*(s_0+6*s_r+IF(circ_int,eq_c1/2,0)))/INDEX(lk_legs,7))-(((2*IF(circ_int,0,eq_c2/2))+(PI()*(s_0+6*s_r+IF(circ_int,eq_c1/2,0))/2))+2*IF(circ_int,0,eq_c1/2)))/(s_0+6*s_r+IF(circ_int,eq_c1/2,0))),IF(((59+0.5)*(4*IF(circ_int,0,eq_c1/2)+4*IF(circ_int,0,eq_c2/2)+2*PI()*(s_0+6*s_r+IF(circ_int,eq_c1/2,0)))/INDEX(lk_legs,7))&lt;(((((2*IF(circ_int,0,eq_c2/2))+(PI()*(s_0+6*s_r+IF(circ_int,eq_c1/2,0))/2))+2*IF(circ_int,0,eq_c1/2))+(PI()*(s_0+6*s_r+IF(circ_int,eq_c1/2,0))/2))+2*IF(circ_int,0,eq_c2/2)),IF(circ_int,0,eq_c2/2)-(((59+0.5)*(4*IF(circ_int,0,eq_c1/2)+4*IF(circ_int,0,eq_c2/2)+2*PI()*(s_0+6*s_r+IF(circ_int,eq_c1/2,0)))/INDEX(lk_legs,7))-((((2*IF(circ_int,0,eq_c2/2))+(PI()*(s_0+6*s_r+IF(circ_int,eq_c1/2,0))/2))+2*IF(circ_int,0,eq_c1/2))+(PI()*(s_0+6*s_r+IF(circ_int,eq_c1/2,0))/2))),IF(((59+0.5)*(4*IF(circ_int,0,eq_c1/2)+4*IF(circ_int,0,eq_c2/2)+2*PI()*(s_0+6*s_r+IF(circ_int,eq_c1/2,0)))/INDEX(lk_legs,7))&lt;((((((2*IF(circ_int,0,eq_c2/2))+(PI()*(s_0+6*s_r+IF(circ_int,eq_c1/2,0))/2))+2*IF(circ_int,0,eq_c1/2))+(PI()*(s_0+6*s_r+IF(circ_int,eq_c1/2,0))/2))+2*IF(circ_int,0,eq_c2/2))+(PI()*(s_0+6*s_r+IF(circ_int,eq_c1/2,0))/2)),-IF(circ_int,0,eq_c2/2)+(s_0+6*s_r+IF(circ_int,eq_c1/2,0))*SIN(PI()+(((59+0.5)*(4*IF(circ_int,0,eq_c1/2)+4*IF(circ_int,0,eq_c2/2)+2*PI()*(s_0+6*s_r+IF(circ_int,eq_c1/2,0)))/INDEX(lk_legs,7))-(((((2*IF(circ_int,0,eq_c2/2))+(PI()*(s_0+6*s_r+IF(circ_int,eq_c1/2,0))/2))+2*IF(circ_int,0,eq_c1/2))+(PI()*(s_0+6*s_r+IF(circ_int,eq_c1/2,0))/2))+2*IF(circ_int,0,eq_c2/2)))/(s_0+6*s_r+IF(circ_int,eq_c1/2,0))),IF(((59+0.5)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(59+0.5)*(4*IF(circ_int,0,eq_c1/2)+4*IF(circ_int,0,eq_c2/2)+2*PI()*(s_0+6*s_r+IF(circ_int,eq_c1/2,0)))/INDEX(lk_legs,7))-(((((((2*IF(circ_int,0,eq_c2/2))+(PI()*(s_0+6*s_r+IF(circ_int,eq_c1/2,0))/2))+2*IF(circ_int,0,eq_c1/2))+(PI()*(s_0+6*s_r+IF(circ_int,eq_c1/2,0))/2))+2*IF(circ_int,0,eq_c2/2))+(PI()*(s_0+6*s_r+IF(circ_int,eq_c1/2,0))/2))+2*IF(circ_int,0,eq_c1/2)))/(s_0+6*s_r+IF(circ_int,eq_c1/2,0)))))))))),NA())</f>
        <v/>
      </c>
      <c r="CP62">
        <f>IF(AND(AND(links_on,8&lt;=n_per),INDEX(lk_kind,8)=1,59&lt;INDEX(lk_legs,8)),g_ox+IF(((59+0.5)*(4*IF(circ_int,0,eq_c1/2)+4*IF(circ_int,0,eq_c2/2)+2*PI()*(s_0+7*s_r+IF(circ_int,eq_c1/2,0)))/INDEX(lk_legs,8))&lt;(2*IF(circ_int,0,eq_c2/2)),IF(circ_int,0,eq_c1/2)+(s_0+7*s_r+IF(circ_int,eq_c1/2,0)),IF(((59+0.5)*(4*IF(circ_int,0,eq_c1/2)+4*IF(circ_int,0,eq_c2/2)+2*PI()*(s_0+7*s_r+IF(circ_int,eq_c1/2,0)))/INDEX(lk_legs,8))&lt;((2*IF(circ_int,0,eq_c2/2))+(PI()*(s_0+7*s_r+IF(circ_int,eq_c1/2,0))/2)),IF(circ_int,0,eq_c1/2)+(s_0+7*s_r+IF(circ_int,eq_c1/2,0))*COS((((59+0.5)*(4*IF(circ_int,0,eq_c1/2)+4*IF(circ_int,0,eq_c2/2)+2*PI()*(s_0+7*s_r+IF(circ_int,eq_c1/2,0)))/INDEX(lk_legs,8))-(2*IF(circ_int,0,eq_c2/2)))/(s_0+7*s_r+IF(circ_int,eq_c1/2,0))),IF(((59+0.5)*(4*IF(circ_int,0,eq_c1/2)+4*IF(circ_int,0,eq_c2/2)+2*PI()*(s_0+7*s_r+IF(circ_int,eq_c1/2,0)))/INDEX(lk_legs,8))&lt;(((2*IF(circ_int,0,eq_c2/2))+(PI()*(s_0+7*s_r+IF(circ_int,eq_c1/2,0))/2))+2*IF(circ_int,0,eq_c1/2)),IF(circ_int,0,eq_c1/2)-(((59+0.5)*(4*IF(circ_int,0,eq_c1/2)+4*IF(circ_int,0,eq_c2/2)+2*PI()*(s_0+7*s_r+IF(circ_int,eq_c1/2,0)))/INDEX(lk_legs,8))-((2*IF(circ_int,0,eq_c2/2))+(PI()*(s_0+7*s_r+IF(circ_int,eq_c1/2,0))/2))),IF(((59+0.5)*(4*IF(circ_int,0,eq_c1/2)+4*IF(circ_int,0,eq_c2/2)+2*PI()*(s_0+7*s_r+IF(circ_int,eq_c1/2,0)))/INDEX(lk_legs,8))&lt;((((2*IF(circ_int,0,eq_c2/2))+(PI()*(s_0+7*s_r+IF(circ_int,eq_c1/2,0))/2))+2*IF(circ_int,0,eq_c1/2))+(PI()*(s_0+7*s_r+IF(circ_int,eq_c1/2,0))/2)),-IF(circ_int,0,eq_c1/2)+(s_0+7*s_r+IF(circ_int,eq_c1/2,0))*COS(PI()/2+(((59+0.5)*(4*IF(circ_int,0,eq_c1/2)+4*IF(circ_int,0,eq_c2/2)+2*PI()*(s_0+7*s_r+IF(circ_int,eq_c1/2,0)))/INDEX(lk_legs,8))-(((2*IF(circ_int,0,eq_c2/2))+(PI()*(s_0+7*s_r+IF(circ_int,eq_c1/2,0))/2))+2*IF(circ_int,0,eq_c1/2)))/(s_0+7*s_r+IF(circ_int,eq_c1/2,0))),IF(((59+0.5)*(4*IF(circ_int,0,eq_c1/2)+4*IF(circ_int,0,eq_c2/2)+2*PI()*(s_0+7*s_r+IF(circ_int,eq_c1/2,0)))/INDEX(lk_legs,8))&lt;(((((2*IF(circ_int,0,eq_c2/2))+(PI()*(s_0+7*s_r+IF(circ_int,eq_c1/2,0))/2))+2*IF(circ_int,0,eq_c1/2))+(PI()*(s_0+7*s_r+IF(circ_int,eq_c1/2,0))/2))+2*IF(circ_int,0,eq_c2/2)),-IF(circ_int,0,eq_c1/2)-(s_0+7*s_r+IF(circ_int,eq_c1/2,0)),IF(((59+0.5)*(4*IF(circ_int,0,eq_c1/2)+4*IF(circ_int,0,eq_c2/2)+2*PI()*(s_0+7*s_r+IF(circ_int,eq_c1/2,0)))/INDEX(lk_legs,8))&lt;((((((2*IF(circ_int,0,eq_c2/2))+(PI()*(s_0+7*s_r+IF(circ_int,eq_c1/2,0))/2))+2*IF(circ_int,0,eq_c1/2))+(PI()*(s_0+7*s_r+IF(circ_int,eq_c1/2,0))/2))+2*IF(circ_int,0,eq_c2/2))+(PI()*(s_0+7*s_r+IF(circ_int,eq_c1/2,0))/2)),-IF(circ_int,0,eq_c1/2)+(s_0+7*s_r+IF(circ_int,eq_c1/2,0))*COS(PI()+(((59+0.5)*(4*IF(circ_int,0,eq_c1/2)+4*IF(circ_int,0,eq_c2/2)+2*PI()*(s_0+7*s_r+IF(circ_int,eq_c1/2,0)))/INDEX(lk_legs,8))-(((((2*IF(circ_int,0,eq_c2/2))+(PI()*(s_0+7*s_r+IF(circ_int,eq_c1/2,0))/2))+2*IF(circ_int,0,eq_c1/2))+(PI()*(s_0+7*s_r+IF(circ_int,eq_c1/2,0))/2))+2*IF(circ_int,0,eq_c2/2)))/(s_0+7*s_r+IF(circ_int,eq_c1/2,0))),IF(((59+0.5)*(4*IF(circ_int,0,eq_c1/2)+4*IF(circ_int,0,eq_c2/2)+2*PI()*(s_0+7*s_r+IF(circ_int,eq_c1/2,0)))/INDEX(lk_legs,8))&lt;(((((((2*IF(circ_int,0,eq_c2/2))+(PI()*(s_0+7*s_r+IF(circ_int,eq_c1/2,0))/2))+2*IF(circ_int,0,eq_c1/2))+(PI()*(s_0+7*s_r+IF(circ_int,eq_c1/2,0))/2))+2*IF(circ_int,0,eq_c2/2))+(PI()*(s_0+7*s_r+IF(circ_int,eq_c1/2,0))/2))+2*IF(circ_int,0,eq_c1/2)),-IF(circ_int,0,eq_c1/2)+(((59+0.5)*(4*IF(circ_int,0,eq_c1/2)+4*IF(circ_int,0,eq_c2/2)+2*PI()*(s_0+7*s_r+IF(circ_int,eq_c1/2,0)))/INDEX(lk_legs,8))-((((((2*IF(circ_int,0,eq_c2/2))+(PI()*(s_0+7*s_r+IF(circ_int,eq_c1/2,0))/2))+2*IF(circ_int,0,eq_c1/2))+(PI()*(s_0+7*s_r+IF(circ_int,eq_c1/2,0))/2))+2*IF(circ_int,0,eq_c2/2))+(PI()*(s_0+7*s_r+IF(circ_int,eq_c1/2,0))/2))),IF(circ_int,0,eq_c1/2)+(s_0+7*s_r+IF(circ_int,eq_c1/2,0))*COS(3*PI()/2+(((59+0.5)*(4*IF(circ_int,0,eq_c1/2)+4*IF(circ_int,0,eq_c2/2)+2*PI()*(s_0+7*s_r+IF(circ_int,eq_c1/2,0)))/INDEX(lk_legs,8))-(((((((2*IF(circ_int,0,eq_c2/2))+(PI()*(s_0+7*s_r+IF(circ_int,eq_c1/2,0))/2))+2*IF(circ_int,0,eq_c1/2))+(PI()*(s_0+7*s_r+IF(circ_int,eq_c1/2,0))/2))+2*IF(circ_int,0,eq_c2/2))+(PI()*(s_0+7*s_r+IF(circ_int,eq_c1/2,0))/2))+2*IF(circ_int,0,eq_c1/2)))/(s_0+7*s_r+IF(circ_int,eq_c1/2,0)))))))))),NA())</f>
        <v/>
      </c>
      <c r="CQ62">
        <f>IF(AND(AND(links_on,8&lt;=n_per),INDEX(lk_kind,8)=1,59&lt;INDEX(lk_legs,8)),g_oy+IF(((59+0.5)*(4*IF(circ_int,0,eq_c1/2)+4*IF(circ_int,0,eq_c2/2)+2*PI()*(s_0+7*s_r+IF(circ_int,eq_c1/2,0)))/INDEX(lk_legs,8))&lt;(2*IF(circ_int,0,eq_c2/2)),-IF(circ_int,0,eq_c2/2)+((59+0.5)*(4*IF(circ_int,0,eq_c1/2)+4*IF(circ_int,0,eq_c2/2)+2*PI()*(s_0+7*s_r+IF(circ_int,eq_c1/2,0)))/INDEX(lk_legs,8)),IF(((59+0.5)*(4*IF(circ_int,0,eq_c1/2)+4*IF(circ_int,0,eq_c2/2)+2*PI()*(s_0+7*s_r+IF(circ_int,eq_c1/2,0)))/INDEX(lk_legs,8))&lt;((2*IF(circ_int,0,eq_c2/2))+(PI()*(s_0+7*s_r+IF(circ_int,eq_c1/2,0))/2)),IF(circ_int,0,eq_c2/2)+(s_0+7*s_r+IF(circ_int,eq_c1/2,0))*SIN((((59+0.5)*(4*IF(circ_int,0,eq_c1/2)+4*IF(circ_int,0,eq_c2/2)+2*PI()*(s_0+7*s_r+IF(circ_int,eq_c1/2,0)))/INDEX(lk_legs,8))-(2*IF(circ_int,0,eq_c2/2)))/(s_0+7*s_r+IF(circ_int,eq_c1/2,0))),IF(((59+0.5)*(4*IF(circ_int,0,eq_c1/2)+4*IF(circ_int,0,eq_c2/2)+2*PI()*(s_0+7*s_r+IF(circ_int,eq_c1/2,0)))/INDEX(lk_legs,8))&lt;(((2*IF(circ_int,0,eq_c2/2))+(PI()*(s_0+7*s_r+IF(circ_int,eq_c1/2,0))/2))+2*IF(circ_int,0,eq_c1/2)),IF(circ_int,0,eq_c2/2)+(s_0+7*s_r+IF(circ_int,eq_c1/2,0)),IF(((59+0.5)*(4*IF(circ_int,0,eq_c1/2)+4*IF(circ_int,0,eq_c2/2)+2*PI()*(s_0+7*s_r+IF(circ_int,eq_c1/2,0)))/INDEX(lk_legs,8))&lt;((((2*IF(circ_int,0,eq_c2/2))+(PI()*(s_0+7*s_r+IF(circ_int,eq_c1/2,0))/2))+2*IF(circ_int,0,eq_c1/2))+(PI()*(s_0+7*s_r+IF(circ_int,eq_c1/2,0))/2)),IF(circ_int,0,eq_c2/2)+(s_0+7*s_r+IF(circ_int,eq_c1/2,0))*SIN(PI()/2+(((59+0.5)*(4*IF(circ_int,0,eq_c1/2)+4*IF(circ_int,0,eq_c2/2)+2*PI()*(s_0+7*s_r+IF(circ_int,eq_c1/2,0)))/INDEX(lk_legs,8))-(((2*IF(circ_int,0,eq_c2/2))+(PI()*(s_0+7*s_r+IF(circ_int,eq_c1/2,0))/2))+2*IF(circ_int,0,eq_c1/2)))/(s_0+7*s_r+IF(circ_int,eq_c1/2,0))),IF(((59+0.5)*(4*IF(circ_int,0,eq_c1/2)+4*IF(circ_int,0,eq_c2/2)+2*PI()*(s_0+7*s_r+IF(circ_int,eq_c1/2,0)))/INDEX(lk_legs,8))&lt;(((((2*IF(circ_int,0,eq_c2/2))+(PI()*(s_0+7*s_r+IF(circ_int,eq_c1/2,0))/2))+2*IF(circ_int,0,eq_c1/2))+(PI()*(s_0+7*s_r+IF(circ_int,eq_c1/2,0))/2))+2*IF(circ_int,0,eq_c2/2)),IF(circ_int,0,eq_c2/2)-(((59+0.5)*(4*IF(circ_int,0,eq_c1/2)+4*IF(circ_int,0,eq_c2/2)+2*PI()*(s_0+7*s_r+IF(circ_int,eq_c1/2,0)))/INDEX(lk_legs,8))-((((2*IF(circ_int,0,eq_c2/2))+(PI()*(s_0+7*s_r+IF(circ_int,eq_c1/2,0))/2))+2*IF(circ_int,0,eq_c1/2))+(PI()*(s_0+7*s_r+IF(circ_int,eq_c1/2,0))/2))),IF(((59+0.5)*(4*IF(circ_int,0,eq_c1/2)+4*IF(circ_int,0,eq_c2/2)+2*PI()*(s_0+7*s_r+IF(circ_int,eq_c1/2,0)))/INDEX(lk_legs,8))&lt;((((((2*IF(circ_int,0,eq_c2/2))+(PI()*(s_0+7*s_r+IF(circ_int,eq_c1/2,0))/2))+2*IF(circ_int,0,eq_c1/2))+(PI()*(s_0+7*s_r+IF(circ_int,eq_c1/2,0))/2))+2*IF(circ_int,0,eq_c2/2))+(PI()*(s_0+7*s_r+IF(circ_int,eq_c1/2,0))/2)),-IF(circ_int,0,eq_c2/2)+(s_0+7*s_r+IF(circ_int,eq_c1/2,0))*SIN(PI()+(((59+0.5)*(4*IF(circ_int,0,eq_c1/2)+4*IF(circ_int,0,eq_c2/2)+2*PI()*(s_0+7*s_r+IF(circ_int,eq_c1/2,0)))/INDEX(lk_legs,8))-(((((2*IF(circ_int,0,eq_c2/2))+(PI()*(s_0+7*s_r+IF(circ_int,eq_c1/2,0))/2))+2*IF(circ_int,0,eq_c1/2))+(PI()*(s_0+7*s_r+IF(circ_int,eq_c1/2,0))/2))+2*IF(circ_int,0,eq_c2/2)))/(s_0+7*s_r+IF(circ_int,eq_c1/2,0))),IF(((59+0.5)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(59+0.5)*(4*IF(circ_int,0,eq_c1/2)+4*IF(circ_int,0,eq_c2/2)+2*PI()*(s_0+7*s_r+IF(circ_int,eq_c1/2,0)))/INDEX(lk_legs,8))-(((((((2*IF(circ_int,0,eq_c2/2))+(PI()*(s_0+7*s_r+IF(circ_int,eq_c1/2,0))/2))+2*IF(circ_int,0,eq_c1/2))+(PI()*(s_0+7*s_r+IF(circ_int,eq_c1/2,0))/2))+2*IF(circ_int,0,eq_c2/2))+(PI()*(s_0+7*s_r+IF(circ_int,eq_c1/2,0))/2))+2*IF(circ_int,0,eq_c1/2)))/(s_0+7*s_r+IF(circ_int,eq_c1/2,0)))))))))),NA())</f>
        <v/>
      </c>
      <c r="CV62">
        <f>IF(AND(AND(links_on,9&lt;=n_per),INDEX(lk_kind,9)=1,59&lt;INDEX(lk_legs,9)),g_ox+IF(((59+0.5)*(4*IF(circ_int,0,eq_c1/2)+4*IF(circ_int,0,eq_c2/2)+2*PI()*(s_0+8*s_r+IF(circ_int,eq_c1/2,0)))/INDEX(lk_legs,9))&lt;(2*IF(circ_int,0,eq_c2/2)),IF(circ_int,0,eq_c1/2)+(s_0+8*s_r+IF(circ_int,eq_c1/2,0)),IF(((59+0.5)*(4*IF(circ_int,0,eq_c1/2)+4*IF(circ_int,0,eq_c2/2)+2*PI()*(s_0+8*s_r+IF(circ_int,eq_c1/2,0)))/INDEX(lk_legs,9))&lt;((2*IF(circ_int,0,eq_c2/2))+(PI()*(s_0+8*s_r+IF(circ_int,eq_c1/2,0))/2)),IF(circ_int,0,eq_c1/2)+(s_0+8*s_r+IF(circ_int,eq_c1/2,0))*COS((((59+0.5)*(4*IF(circ_int,0,eq_c1/2)+4*IF(circ_int,0,eq_c2/2)+2*PI()*(s_0+8*s_r+IF(circ_int,eq_c1/2,0)))/INDEX(lk_legs,9))-(2*IF(circ_int,0,eq_c2/2)))/(s_0+8*s_r+IF(circ_int,eq_c1/2,0))),IF(((59+0.5)*(4*IF(circ_int,0,eq_c1/2)+4*IF(circ_int,0,eq_c2/2)+2*PI()*(s_0+8*s_r+IF(circ_int,eq_c1/2,0)))/INDEX(lk_legs,9))&lt;(((2*IF(circ_int,0,eq_c2/2))+(PI()*(s_0+8*s_r+IF(circ_int,eq_c1/2,0))/2))+2*IF(circ_int,0,eq_c1/2)),IF(circ_int,0,eq_c1/2)-(((59+0.5)*(4*IF(circ_int,0,eq_c1/2)+4*IF(circ_int,0,eq_c2/2)+2*PI()*(s_0+8*s_r+IF(circ_int,eq_c1/2,0)))/INDEX(lk_legs,9))-((2*IF(circ_int,0,eq_c2/2))+(PI()*(s_0+8*s_r+IF(circ_int,eq_c1/2,0))/2))),IF(((59+0.5)*(4*IF(circ_int,0,eq_c1/2)+4*IF(circ_int,0,eq_c2/2)+2*PI()*(s_0+8*s_r+IF(circ_int,eq_c1/2,0)))/INDEX(lk_legs,9))&lt;((((2*IF(circ_int,0,eq_c2/2))+(PI()*(s_0+8*s_r+IF(circ_int,eq_c1/2,0))/2))+2*IF(circ_int,0,eq_c1/2))+(PI()*(s_0+8*s_r+IF(circ_int,eq_c1/2,0))/2)),-IF(circ_int,0,eq_c1/2)+(s_0+8*s_r+IF(circ_int,eq_c1/2,0))*COS(PI()/2+(((59+0.5)*(4*IF(circ_int,0,eq_c1/2)+4*IF(circ_int,0,eq_c2/2)+2*PI()*(s_0+8*s_r+IF(circ_int,eq_c1/2,0)))/INDEX(lk_legs,9))-(((2*IF(circ_int,0,eq_c2/2))+(PI()*(s_0+8*s_r+IF(circ_int,eq_c1/2,0))/2))+2*IF(circ_int,0,eq_c1/2)))/(s_0+8*s_r+IF(circ_int,eq_c1/2,0))),IF(((59+0.5)*(4*IF(circ_int,0,eq_c1/2)+4*IF(circ_int,0,eq_c2/2)+2*PI()*(s_0+8*s_r+IF(circ_int,eq_c1/2,0)))/INDEX(lk_legs,9))&lt;(((((2*IF(circ_int,0,eq_c2/2))+(PI()*(s_0+8*s_r+IF(circ_int,eq_c1/2,0))/2))+2*IF(circ_int,0,eq_c1/2))+(PI()*(s_0+8*s_r+IF(circ_int,eq_c1/2,0))/2))+2*IF(circ_int,0,eq_c2/2)),-IF(circ_int,0,eq_c1/2)-(s_0+8*s_r+IF(circ_int,eq_c1/2,0)),IF(((59+0.5)*(4*IF(circ_int,0,eq_c1/2)+4*IF(circ_int,0,eq_c2/2)+2*PI()*(s_0+8*s_r+IF(circ_int,eq_c1/2,0)))/INDEX(lk_legs,9))&lt;((((((2*IF(circ_int,0,eq_c2/2))+(PI()*(s_0+8*s_r+IF(circ_int,eq_c1/2,0))/2))+2*IF(circ_int,0,eq_c1/2))+(PI()*(s_0+8*s_r+IF(circ_int,eq_c1/2,0))/2))+2*IF(circ_int,0,eq_c2/2))+(PI()*(s_0+8*s_r+IF(circ_int,eq_c1/2,0))/2)),-IF(circ_int,0,eq_c1/2)+(s_0+8*s_r+IF(circ_int,eq_c1/2,0))*COS(PI()+(((59+0.5)*(4*IF(circ_int,0,eq_c1/2)+4*IF(circ_int,0,eq_c2/2)+2*PI()*(s_0+8*s_r+IF(circ_int,eq_c1/2,0)))/INDEX(lk_legs,9))-(((((2*IF(circ_int,0,eq_c2/2))+(PI()*(s_0+8*s_r+IF(circ_int,eq_c1/2,0))/2))+2*IF(circ_int,0,eq_c1/2))+(PI()*(s_0+8*s_r+IF(circ_int,eq_c1/2,0))/2))+2*IF(circ_int,0,eq_c2/2)))/(s_0+8*s_r+IF(circ_int,eq_c1/2,0))),IF(((59+0.5)*(4*IF(circ_int,0,eq_c1/2)+4*IF(circ_int,0,eq_c2/2)+2*PI()*(s_0+8*s_r+IF(circ_int,eq_c1/2,0)))/INDEX(lk_legs,9))&lt;(((((((2*IF(circ_int,0,eq_c2/2))+(PI()*(s_0+8*s_r+IF(circ_int,eq_c1/2,0))/2))+2*IF(circ_int,0,eq_c1/2))+(PI()*(s_0+8*s_r+IF(circ_int,eq_c1/2,0))/2))+2*IF(circ_int,0,eq_c2/2))+(PI()*(s_0+8*s_r+IF(circ_int,eq_c1/2,0))/2))+2*IF(circ_int,0,eq_c1/2)),-IF(circ_int,0,eq_c1/2)+(((59+0.5)*(4*IF(circ_int,0,eq_c1/2)+4*IF(circ_int,0,eq_c2/2)+2*PI()*(s_0+8*s_r+IF(circ_int,eq_c1/2,0)))/INDEX(lk_legs,9))-((((((2*IF(circ_int,0,eq_c2/2))+(PI()*(s_0+8*s_r+IF(circ_int,eq_c1/2,0))/2))+2*IF(circ_int,0,eq_c1/2))+(PI()*(s_0+8*s_r+IF(circ_int,eq_c1/2,0))/2))+2*IF(circ_int,0,eq_c2/2))+(PI()*(s_0+8*s_r+IF(circ_int,eq_c1/2,0))/2))),IF(circ_int,0,eq_c1/2)+(s_0+8*s_r+IF(circ_int,eq_c1/2,0))*COS(3*PI()/2+(((59+0.5)*(4*IF(circ_int,0,eq_c1/2)+4*IF(circ_int,0,eq_c2/2)+2*PI()*(s_0+8*s_r+IF(circ_int,eq_c1/2,0)))/INDEX(lk_legs,9))-(((((((2*IF(circ_int,0,eq_c2/2))+(PI()*(s_0+8*s_r+IF(circ_int,eq_c1/2,0))/2))+2*IF(circ_int,0,eq_c1/2))+(PI()*(s_0+8*s_r+IF(circ_int,eq_c1/2,0))/2))+2*IF(circ_int,0,eq_c2/2))+(PI()*(s_0+8*s_r+IF(circ_int,eq_c1/2,0))/2))+2*IF(circ_int,0,eq_c1/2)))/(s_0+8*s_r+IF(circ_int,eq_c1/2,0)))))))))),NA())</f>
        <v/>
      </c>
      <c r="CW62">
        <f>IF(AND(AND(links_on,9&lt;=n_per),INDEX(lk_kind,9)=1,59&lt;INDEX(lk_legs,9)),g_oy+IF(((59+0.5)*(4*IF(circ_int,0,eq_c1/2)+4*IF(circ_int,0,eq_c2/2)+2*PI()*(s_0+8*s_r+IF(circ_int,eq_c1/2,0)))/INDEX(lk_legs,9))&lt;(2*IF(circ_int,0,eq_c2/2)),-IF(circ_int,0,eq_c2/2)+((59+0.5)*(4*IF(circ_int,0,eq_c1/2)+4*IF(circ_int,0,eq_c2/2)+2*PI()*(s_0+8*s_r+IF(circ_int,eq_c1/2,0)))/INDEX(lk_legs,9)),IF(((59+0.5)*(4*IF(circ_int,0,eq_c1/2)+4*IF(circ_int,0,eq_c2/2)+2*PI()*(s_0+8*s_r+IF(circ_int,eq_c1/2,0)))/INDEX(lk_legs,9))&lt;((2*IF(circ_int,0,eq_c2/2))+(PI()*(s_0+8*s_r+IF(circ_int,eq_c1/2,0))/2)),IF(circ_int,0,eq_c2/2)+(s_0+8*s_r+IF(circ_int,eq_c1/2,0))*SIN((((59+0.5)*(4*IF(circ_int,0,eq_c1/2)+4*IF(circ_int,0,eq_c2/2)+2*PI()*(s_0+8*s_r+IF(circ_int,eq_c1/2,0)))/INDEX(lk_legs,9))-(2*IF(circ_int,0,eq_c2/2)))/(s_0+8*s_r+IF(circ_int,eq_c1/2,0))),IF(((59+0.5)*(4*IF(circ_int,0,eq_c1/2)+4*IF(circ_int,0,eq_c2/2)+2*PI()*(s_0+8*s_r+IF(circ_int,eq_c1/2,0)))/INDEX(lk_legs,9))&lt;(((2*IF(circ_int,0,eq_c2/2))+(PI()*(s_0+8*s_r+IF(circ_int,eq_c1/2,0))/2))+2*IF(circ_int,0,eq_c1/2)),IF(circ_int,0,eq_c2/2)+(s_0+8*s_r+IF(circ_int,eq_c1/2,0)),IF(((59+0.5)*(4*IF(circ_int,0,eq_c1/2)+4*IF(circ_int,0,eq_c2/2)+2*PI()*(s_0+8*s_r+IF(circ_int,eq_c1/2,0)))/INDEX(lk_legs,9))&lt;((((2*IF(circ_int,0,eq_c2/2))+(PI()*(s_0+8*s_r+IF(circ_int,eq_c1/2,0))/2))+2*IF(circ_int,0,eq_c1/2))+(PI()*(s_0+8*s_r+IF(circ_int,eq_c1/2,0))/2)),IF(circ_int,0,eq_c2/2)+(s_0+8*s_r+IF(circ_int,eq_c1/2,0))*SIN(PI()/2+(((59+0.5)*(4*IF(circ_int,0,eq_c1/2)+4*IF(circ_int,0,eq_c2/2)+2*PI()*(s_0+8*s_r+IF(circ_int,eq_c1/2,0)))/INDEX(lk_legs,9))-(((2*IF(circ_int,0,eq_c2/2))+(PI()*(s_0+8*s_r+IF(circ_int,eq_c1/2,0))/2))+2*IF(circ_int,0,eq_c1/2)))/(s_0+8*s_r+IF(circ_int,eq_c1/2,0))),IF(((59+0.5)*(4*IF(circ_int,0,eq_c1/2)+4*IF(circ_int,0,eq_c2/2)+2*PI()*(s_0+8*s_r+IF(circ_int,eq_c1/2,0)))/INDEX(lk_legs,9))&lt;(((((2*IF(circ_int,0,eq_c2/2))+(PI()*(s_0+8*s_r+IF(circ_int,eq_c1/2,0))/2))+2*IF(circ_int,0,eq_c1/2))+(PI()*(s_0+8*s_r+IF(circ_int,eq_c1/2,0))/2))+2*IF(circ_int,0,eq_c2/2)),IF(circ_int,0,eq_c2/2)-(((59+0.5)*(4*IF(circ_int,0,eq_c1/2)+4*IF(circ_int,0,eq_c2/2)+2*PI()*(s_0+8*s_r+IF(circ_int,eq_c1/2,0)))/INDEX(lk_legs,9))-((((2*IF(circ_int,0,eq_c2/2))+(PI()*(s_0+8*s_r+IF(circ_int,eq_c1/2,0))/2))+2*IF(circ_int,0,eq_c1/2))+(PI()*(s_0+8*s_r+IF(circ_int,eq_c1/2,0))/2))),IF(((59+0.5)*(4*IF(circ_int,0,eq_c1/2)+4*IF(circ_int,0,eq_c2/2)+2*PI()*(s_0+8*s_r+IF(circ_int,eq_c1/2,0)))/INDEX(lk_legs,9))&lt;((((((2*IF(circ_int,0,eq_c2/2))+(PI()*(s_0+8*s_r+IF(circ_int,eq_c1/2,0))/2))+2*IF(circ_int,0,eq_c1/2))+(PI()*(s_0+8*s_r+IF(circ_int,eq_c1/2,0))/2))+2*IF(circ_int,0,eq_c2/2))+(PI()*(s_0+8*s_r+IF(circ_int,eq_c1/2,0))/2)),-IF(circ_int,0,eq_c2/2)+(s_0+8*s_r+IF(circ_int,eq_c1/2,0))*SIN(PI()+(((59+0.5)*(4*IF(circ_int,0,eq_c1/2)+4*IF(circ_int,0,eq_c2/2)+2*PI()*(s_0+8*s_r+IF(circ_int,eq_c1/2,0)))/INDEX(lk_legs,9))-(((((2*IF(circ_int,0,eq_c2/2))+(PI()*(s_0+8*s_r+IF(circ_int,eq_c1/2,0))/2))+2*IF(circ_int,0,eq_c1/2))+(PI()*(s_0+8*s_r+IF(circ_int,eq_c1/2,0))/2))+2*IF(circ_int,0,eq_c2/2)))/(s_0+8*s_r+IF(circ_int,eq_c1/2,0))),IF(((59+0.5)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(59+0.5)*(4*IF(circ_int,0,eq_c1/2)+4*IF(circ_int,0,eq_c2/2)+2*PI()*(s_0+8*s_r+IF(circ_int,eq_c1/2,0)))/INDEX(lk_legs,9))-(((((((2*IF(circ_int,0,eq_c2/2))+(PI()*(s_0+8*s_r+IF(circ_int,eq_c1/2,0))/2))+2*IF(circ_int,0,eq_c1/2))+(PI()*(s_0+8*s_r+IF(circ_int,eq_c1/2,0))/2))+2*IF(circ_int,0,eq_c2/2))+(PI()*(s_0+8*s_r+IF(circ_int,eq_c1/2,0))/2))+2*IF(circ_int,0,eq_c1/2)))/(s_0+8*s_r+IF(circ_int,eq_c1/2,0)))))))))),NA())</f>
        <v/>
      </c>
      <c r="DB62">
        <f>IF(AND(AND(links_on,10&lt;=n_per),INDEX(lk_kind,10)=1,59&lt;INDEX(lk_legs,10)),g_ox+IF(((59+0.5)*(4*IF(circ_int,0,eq_c1/2)+4*IF(circ_int,0,eq_c2/2)+2*PI()*(s_0+9*s_r+IF(circ_int,eq_c1/2,0)))/INDEX(lk_legs,10))&lt;(2*IF(circ_int,0,eq_c2/2)),IF(circ_int,0,eq_c1/2)+(s_0+9*s_r+IF(circ_int,eq_c1/2,0)),IF(((59+0.5)*(4*IF(circ_int,0,eq_c1/2)+4*IF(circ_int,0,eq_c2/2)+2*PI()*(s_0+9*s_r+IF(circ_int,eq_c1/2,0)))/INDEX(lk_legs,10))&lt;((2*IF(circ_int,0,eq_c2/2))+(PI()*(s_0+9*s_r+IF(circ_int,eq_c1/2,0))/2)),IF(circ_int,0,eq_c1/2)+(s_0+9*s_r+IF(circ_int,eq_c1/2,0))*COS((((59+0.5)*(4*IF(circ_int,0,eq_c1/2)+4*IF(circ_int,0,eq_c2/2)+2*PI()*(s_0+9*s_r+IF(circ_int,eq_c1/2,0)))/INDEX(lk_legs,10))-(2*IF(circ_int,0,eq_c2/2)))/(s_0+9*s_r+IF(circ_int,eq_c1/2,0))),IF(((59+0.5)*(4*IF(circ_int,0,eq_c1/2)+4*IF(circ_int,0,eq_c2/2)+2*PI()*(s_0+9*s_r+IF(circ_int,eq_c1/2,0)))/INDEX(lk_legs,10))&lt;(((2*IF(circ_int,0,eq_c2/2))+(PI()*(s_0+9*s_r+IF(circ_int,eq_c1/2,0))/2))+2*IF(circ_int,0,eq_c1/2)),IF(circ_int,0,eq_c1/2)-(((59+0.5)*(4*IF(circ_int,0,eq_c1/2)+4*IF(circ_int,0,eq_c2/2)+2*PI()*(s_0+9*s_r+IF(circ_int,eq_c1/2,0)))/INDEX(lk_legs,10))-((2*IF(circ_int,0,eq_c2/2))+(PI()*(s_0+9*s_r+IF(circ_int,eq_c1/2,0))/2))),IF(((59+0.5)*(4*IF(circ_int,0,eq_c1/2)+4*IF(circ_int,0,eq_c2/2)+2*PI()*(s_0+9*s_r+IF(circ_int,eq_c1/2,0)))/INDEX(lk_legs,10))&lt;((((2*IF(circ_int,0,eq_c2/2))+(PI()*(s_0+9*s_r+IF(circ_int,eq_c1/2,0))/2))+2*IF(circ_int,0,eq_c1/2))+(PI()*(s_0+9*s_r+IF(circ_int,eq_c1/2,0))/2)),-IF(circ_int,0,eq_c1/2)+(s_0+9*s_r+IF(circ_int,eq_c1/2,0))*COS(PI()/2+(((59+0.5)*(4*IF(circ_int,0,eq_c1/2)+4*IF(circ_int,0,eq_c2/2)+2*PI()*(s_0+9*s_r+IF(circ_int,eq_c1/2,0)))/INDEX(lk_legs,10))-(((2*IF(circ_int,0,eq_c2/2))+(PI()*(s_0+9*s_r+IF(circ_int,eq_c1/2,0))/2))+2*IF(circ_int,0,eq_c1/2)))/(s_0+9*s_r+IF(circ_int,eq_c1/2,0))),IF(((59+0.5)*(4*IF(circ_int,0,eq_c1/2)+4*IF(circ_int,0,eq_c2/2)+2*PI()*(s_0+9*s_r+IF(circ_int,eq_c1/2,0)))/INDEX(lk_legs,10))&lt;(((((2*IF(circ_int,0,eq_c2/2))+(PI()*(s_0+9*s_r+IF(circ_int,eq_c1/2,0))/2))+2*IF(circ_int,0,eq_c1/2))+(PI()*(s_0+9*s_r+IF(circ_int,eq_c1/2,0))/2))+2*IF(circ_int,0,eq_c2/2)),-IF(circ_int,0,eq_c1/2)-(s_0+9*s_r+IF(circ_int,eq_c1/2,0)),IF(((59+0.5)*(4*IF(circ_int,0,eq_c1/2)+4*IF(circ_int,0,eq_c2/2)+2*PI()*(s_0+9*s_r+IF(circ_int,eq_c1/2,0)))/INDEX(lk_legs,10))&lt;((((((2*IF(circ_int,0,eq_c2/2))+(PI()*(s_0+9*s_r+IF(circ_int,eq_c1/2,0))/2))+2*IF(circ_int,0,eq_c1/2))+(PI()*(s_0+9*s_r+IF(circ_int,eq_c1/2,0))/2))+2*IF(circ_int,0,eq_c2/2))+(PI()*(s_0+9*s_r+IF(circ_int,eq_c1/2,0))/2)),-IF(circ_int,0,eq_c1/2)+(s_0+9*s_r+IF(circ_int,eq_c1/2,0))*COS(PI()+(((59+0.5)*(4*IF(circ_int,0,eq_c1/2)+4*IF(circ_int,0,eq_c2/2)+2*PI()*(s_0+9*s_r+IF(circ_int,eq_c1/2,0)))/INDEX(lk_legs,10))-(((((2*IF(circ_int,0,eq_c2/2))+(PI()*(s_0+9*s_r+IF(circ_int,eq_c1/2,0))/2))+2*IF(circ_int,0,eq_c1/2))+(PI()*(s_0+9*s_r+IF(circ_int,eq_c1/2,0))/2))+2*IF(circ_int,0,eq_c2/2)))/(s_0+9*s_r+IF(circ_int,eq_c1/2,0))),IF(((59+0.5)*(4*IF(circ_int,0,eq_c1/2)+4*IF(circ_int,0,eq_c2/2)+2*PI()*(s_0+9*s_r+IF(circ_int,eq_c1/2,0)))/INDEX(lk_legs,10))&lt;(((((((2*IF(circ_int,0,eq_c2/2))+(PI()*(s_0+9*s_r+IF(circ_int,eq_c1/2,0))/2))+2*IF(circ_int,0,eq_c1/2))+(PI()*(s_0+9*s_r+IF(circ_int,eq_c1/2,0))/2))+2*IF(circ_int,0,eq_c2/2))+(PI()*(s_0+9*s_r+IF(circ_int,eq_c1/2,0))/2))+2*IF(circ_int,0,eq_c1/2)),-IF(circ_int,0,eq_c1/2)+(((59+0.5)*(4*IF(circ_int,0,eq_c1/2)+4*IF(circ_int,0,eq_c2/2)+2*PI()*(s_0+9*s_r+IF(circ_int,eq_c1/2,0)))/INDEX(lk_legs,10))-((((((2*IF(circ_int,0,eq_c2/2))+(PI()*(s_0+9*s_r+IF(circ_int,eq_c1/2,0))/2))+2*IF(circ_int,0,eq_c1/2))+(PI()*(s_0+9*s_r+IF(circ_int,eq_c1/2,0))/2))+2*IF(circ_int,0,eq_c2/2))+(PI()*(s_0+9*s_r+IF(circ_int,eq_c1/2,0))/2))),IF(circ_int,0,eq_c1/2)+(s_0+9*s_r+IF(circ_int,eq_c1/2,0))*COS(3*PI()/2+(((59+0.5)*(4*IF(circ_int,0,eq_c1/2)+4*IF(circ_int,0,eq_c2/2)+2*PI()*(s_0+9*s_r+IF(circ_int,eq_c1/2,0)))/INDEX(lk_legs,10))-(((((((2*IF(circ_int,0,eq_c2/2))+(PI()*(s_0+9*s_r+IF(circ_int,eq_c1/2,0))/2))+2*IF(circ_int,0,eq_c1/2))+(PI()*(s_0+9*s_r+IF(circ_int,eq_c1/2,0))/2))+2*IF(circ_int,0,eq_c2/2))+(PI()*(s_0+9*s_r+IF(circ_int,eq_c1/2,0))/2))+2*IF(circ_int,0,eq_c1/2)))/(s_0+9*s_r+IF(circ_int,eq_c1/2,0)))))))))),NA())</f>
        <v/>
      </c>
      <c r="DC62">
        <f>IF(AND(AND(links_on,10&lt;=n_per),INDEX(lk_kind,10)=1,59&lt;INDEX(lk_legs,10)),g_oy+IF(((59+0.5)*(4*IF(circ_int,0,eq_c1/2)+4*IF(circ_int,0,eq_c2/2)+2*PI()*(s_0+9*s_r+IF(circ_int,eq_c1/2,0)))/INDEX(lk_legs,10))&lt;(2*IF(circ_int,0,eq_c2/2)),-IF(circ_int,0,eq_c2/2)+((59+0.5)*(4*IF(circ_int,0,eq_c1/2)+4*IF(circ_int,0,eq_c2/2)+2*PI()*(s_0+9*s_r+IF(circ_int,eq_c1/2,0)))/INDEX(lk_legs,10)),IF(((59+0.5)*(4*IF(circ_int,0,eq_c1/2)+4*IF(circ_int,0,eq_c2/2)+2*PI()*(s_0+9*s_r+IF(circ_int,eq_c1/2,0)))/INDEX(lk_legs,10))&lt;((2*IF(circ_int,0,eq_c2/2))+(PI()*(s_0+9*s_r+IF(circ_int,eq_c1/2,0))/2)),IF(circ_int,0,eq_c2/2)+(s_0+9*s_r+IF(circ_int,eq_c1/2,0))*SIN((((59+0.5)*(4*IF(circ_int,0,eq_c1/2)+4*IF(circ_int,0,eq_c2/2)+2*PI()*(s_0+9*s_r+IF(circ_int,eq_c1/2,0)))/INDEX(lk_legs,10))-(2*IF(circ_int,0,eq_c2/2)))/(s_0+9*s_r+IF(circ_int,eq_c1/2,0))),IF(((59+0.5)*(4*IF(circ_int,0,eq_c1/2)+4*IF(circ_int,0,eq_c2/2)+2*PI()*(s_0+9*s_r+IF(circ_int,eq_c1/2,0)))/INDEX(lk_legs,10))&lt;(((2*IF(circ_int,0,eq_c2/2))+(PI()*(s_0+9*s_r+IF(circ_int,eq_c1/2,0))/2))+2*IF(circ_int,0,eq_c1/2)),IF(circ_int,0,eq_c2/2)+(s_0+9*s_r+IF(circ_int,eq_c1/2,0)),IF(((59+0.5)*(4*IF(circ_int,0,eq_c1/2)+4*IF(circ_int,0,eq_c2/2)+2*PI()*(s_0+9*s_r+IF(circ_int,eq_c1/2,0)))/INDEX(lk_legs,10))&lt;((((2*IF(circ_int,0,eq_c2/2))+(PI()*(s_0+9*s_r+IF(circ_int,eq_c1/2,0))/2))+2*IF(circ_int,0,eq_c1/2))+(PI()*(s_0+9*s_r+IF(circ_int,eq_c1/2,0))/2)),IF(circ_int,0,eq_c2/2)+(s_0+9*s_r+IF(circ_int,eq_c1/2,0))*SIN(PI()/2+(((59+0.5)*(4*IF(circ_int,0,eq_c1/2)+4*IF(circ_int,0,eq_c2/2)+2*PI()*(s_0+9*s_r+IF(circ_int,eq_c1/2,0)))/INDEX(lk_legs,10))-(((2*IF(circ_int,0,eq_c2/2))+(PI()*(s_0+9*s_r+IF(circ_int,eq_c1/2,0))/2))+2*IF(circ_int,0,eq_c1/2)))/(s_0+9*s_r+IF(circ_int,eq_c1/2,0))),IF(((59+0.5)*(4*IF(circ_int,0,eq_c1/2)+4*IF(circ_int,0,eq_c2/2)+2*PI()*(s_0+9*s_r+IF(circ_int,eq_c1/2,0)))/INDEX(lk_legs,10))&lt;(((((2*IF(circ_int,0,eq_c2/2))+(PI()*(s_0+9*s_r+IF(circ_int,eq_c1/2,0))/2))+2*IF(circ_int,0,eq_c1/2))+(PI()*(s_0+9*s_r+IF(circ_int,eq_c1/2,0))/2))+2*IF(circ_int,0,eq_c2/2)),IF(circ_int,0,eq_c2/2)-(((59+0.5)*(4*IF(circ_int,0,eq_c1/2)+4*IF(circ_int,0,eq_c2/2)+2*PI()*(s_0+9*s_r+IF(circ_int,eq_c1/2,0)))/INDEX(lk_legs,10))-((((2*IF(circ_int,0,eq_c2/2))+(PI()*(s_0+9*s_r+IF(circ_int,eq_c1/2,0))/2))+2*IF(circ_int,0,eq_c1/2))+(PI()*(s_0+9*s_r+IF(circ_int,eq_c1/2,0))/2))),IF(((59+0.5)*(4*IF(circ_int,0,eq_c1/2)+4*IF(circ_int,0,eq_c2/2)+2*PI()*(s_0+9*s_r+IF(circ_int,eq_c1/2,0)))/INDEX(lk_legs,10))&lt;((((((2*IF(circ_int,0,eq_c2/2))+(PI()*(s_0+9*s_r+IF(circ_int,eq_c1/2,0))/2))+2*IF(circ_int,0,eq_c1/2))+(PI()*(s_0+9*s_r+IF(circ_int,eq_c1/2,0))/2))+2*IF(circ_int,0,eq_c2/2))+(PI()*(s_0+9*s_r+IF(circ_int,eq_c1/2,0))/2)),-IF(circ_int,0,eq_c2/2)+(s_0+9*s_r+IF(circ_int,eq_c1/2,0))*SIN(PI()+(((59+0.5)*(4*IF(circ_int,0,eq_c1/2)+4*IF(circ_int,0,eq_c2/2)+2*PI()*(s_0+9*s_r+IF(circ_int,eq_c1/2,0)))/INDEX(lk_legs,10))-(((((2*IF(circ_int,0,eq_c2/2))+(PI()*(s_0+9*s_r+IF(circ_int,eq_c1/2,0))/2))+2*IF(circ_int,0,eq_c1/2))+(PI()*(s_0+9*s_r+IF(circ_int,eq_c1/2,0))/2))+2*IF(circ_int,0,eq_c2/2)))/(s_0+9*s_r+IF(circ_int,eq_c1/2,0))),IF(((59+0.5)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(59+0.5)*(4*IF(circ_int,0,eq_c1/2)+4*IF(circ_int,0,eq_c2/2)+2*PI()*(s_0+9*s_r+IF(circ_int,eq_c1/2,0)))/INDEX(lk_legs,10))-(((((((2*IF(circ_int,0,eq_c2/2))+(PI()*(s_0+9*s_r+IF(circ_int,eq_c1/2,0))/2))+2*IF(circ_int,0,eq_c1/2))+(PI()*(s_0+9*s_r+IF(circ_int,eq_c1/2,0))/2))+2*IF(circ_int,0,eq_c2/2))+(PI()*(s_0+9*s_r+IF(circ_int,eq_c1/2,0))/2))+2*IF(circ_int,0,eq_c1/2)))/(s_0+9*s_r+IF(circ_int,eq_c1/2,0)))))))))),NA())</f>
        <v/>
      </c>
      <c r="DH62">
        <f>IF(AND(AND(links_on,11&lt;=n_per),INDEX(lk_kind,11)=1,59&lt;INDEX(lk_legs,11)),g_ox+IF(((59+0.5)*(4*IF(circ_int,0,eq_c1/2)+4*IF(circ_int,0,eq_c2/2)+2*PI()*(s_0+10*s_r+IF(circ_int,eq_c1/2,0)))/INDEX(lk_legs,11))&lt;(2*IF(circ_int,0,eq_c2/2)),IF(circ_int,0,eq_c1/2)+(s_0+10*s_r+IF(circ_int,eq_c1/2,0)),IF(((59+0.5)*(4*IF(circ_int,0,eq_c1/2)+4*IF(circ_int,0,eq_c2/2)+2*PI()*(s_0+10*s_r+IF(circ_int,eq_c1/2,0)))/INDEX(lk_legs,11))&lt;((2*IF(circ_int,0,eq_c2/2))+(PI()*(s_0+10*s_r+IF(circ_int,eq_c1/2,0))/2)),IF(circ_int,0,eq_c1/2)+(s_0+10*s_r+IF(circ_int,eq_c1/2,0))*COS((((59+0.5)*(4*IF(circ_int,0,eq_c1/2)+4*IF(circ_int,0,eq_c2/2)+2*PI()*(s_0+10*s_r+IF(circ_int,eq_c1/2,0)))/INDEX(lk_legs,11))-(2*IF(circ_int,0,eq_c2/2)))/(s_0+10*s_r+IF(circ_int,eq_c1/2,0))),IF(((59+0.5)*(4*IF(circ_int,0,eq_c1/2)+4*IF(circ_int,0,eq_c2/2)+2*PI()*(s_0+10*s_r+IF(circ_int,eq_c1/2,0)))/INDEX(lk_legs,11))&lt;(((2*IF(circ_int,0,eq_c2/2))+(PI()*(s_0+10*s_r+IF(circ_int,eq_c1/2,0))/2))+2*IF(circ_int,0,eq_c1/2)),IF(circ_int,0,eq_c1/2)-(((59+0.5)*(4*IF(circ_int,0,eq_c1/2)+4*IF(circ_int,0,eq_c2/2)+2*PI()*(s_0+10*s_r+IF(circ_int,eq_c1/2,0)))/INDEX(lk_legs,11))-((2*IF(circ_int,0,eq_c2/2))+(PI()*(s_0+10*s_r+IF(circ_int,eq_c1/2,0))/2))),IF(((59+0.5)*(4*IF(circ_int,0,eq_c1/2)+4*IF(circ_int,0,eq_c2/2)+2*PI()*(s_0+10*s_r+IF(circ_int,eq_c1/2,0)))/INDEX(lk_legs,11))&lt;((((2*IF(circ_int,0,eq_c2/2))+(PI()*(s_0+10*s_r+IF(circ_int,eq_c1/2,0))/2))+2*IF(circ_int,0,eq_c1/2))+(PI()*(s_0+10*s_r+IF(circ_int,eq_c1/2,0))/2)),-IF(circ_int,0,eq_c1/2)+(s_0+10*s_r+IF(circ_int,eq_c1/2,0))*COS(PI()/2+(((59+0.5)*(4*IF(circ_int,0,eq_c1/2)+4*IF(circ_int,0,eq_c2/2)+2*PI()*(s_0+10*s_r+IF(circ_int,eq_c1/2,0)))/INDEX(lk_legs,11))-(((2*IF(circ_int,0,eq_c2/2))+(PI()*(s_0+10*s_r+IF(circ_int,eq_c1/2,0))/2))+2*IF(circ_int,0,eq_c1/2)))/(s_0+10*s_r+IF(circ_int,eq_c1/2,0))),IF(((59+0.5)*(4*IF(circ_int,0,eq_c1/2)+4*IF(circ_int,0,eq_c2/2)+2*PI()*(s_0+10*s_r+IF(circ_int,eq_c1/2,0)))/INDEX(lk_legs,11))&lt;(((((2*IF(circ_int,0,eq_c2/2))+(PI()*(s_0+10*s_r+IF(circ_int,eq_c1/2,0))/2))+2*IF(circ_int,0,eq_c1/2))+(PI()*(s_0+10*s_r+IF(circ_int,eq_c1/2,0))/2))+2*IF(circ_int,0,eq_c2/2)),-IF(circ_int,0,eq_c1/2)-(s_0+10*s_r+IF(circ_int,eq_c1/2,0)),IF(((59+0.5)*(4*IF(circ_int,0,eq_c1/2)+4*IF(circ_int,0,eq_c2/2)+2*PI()*(s_0+10*s_r+IF(circ_int,eq_c1/2,0)))/INDEX(lk_legs,11))&lt;((((((2*IF(circ_int,0,eq_c2/2))+(PI()*(s_0+10*s_r+IF(circ_int,eq_c1/2,0))/2))+2*IF(circ_int,0,eq_c1/2))+(PI()*(s_0+10*s_r+IF(circ_int,eq_c1/2,0))/2))+2*IF(circ_int,0,eq_c2/2))+(PI()*(s_0+10*s_r+IF(circ_int,eq_c1/2,0))/2)),-IF(circ_int,0,eq_c1/2)+(s_0+10*s_r+IF(circ_int,eq_c1/2,0))*COS(PI()+(((59+0.5)*(4*IF(circ_int,0,eq_c1/2)+4*IF(circ_int,0,eq_c2/2)+2*PI()*(s_0+10*s_r+IF(circ_int,eq_c1/2,0)))/INDEX(lk_legs,11))-(((((2*IF(circ_int,0,eq_c2/2))+(PI()*(s_0+10*s_r+IF(circ_int,eq_c1/2,0))/2))+2*IF(circ_int,0,eq_c1/2))+(PI()*(s_0+10*s_r+IF(circ_int,eq_c1/2,0))/2))+2*IF(circ_int,0,eq_c2/2)))/(s_0+10*s_r+IF(circ_int,eq_c1/2,0))),IF(((59+0.5)*(4*IF(circ_int,0,eq_c1/2)+4*IF(circ_int,0,eq_c2/2)+2*PI()*(s_0+10*s_r+IF(circ_int,eq_c1/2,0)))/INDEX(lk_legs,11))&lt;(((((((2*IF(circ_int,0,eq_c2/2))+(PI()*(s_0+10*s_r+IF(circ_int,eq_c1/2,0))/2))+2*IF(circ_int,0,eq_c1/2))+(PI()*(s_0+10*s_r+IF(circ_int,eq_c1/2,0))/2))+2*IF(circ_int,0,eq_c2/2))+(PI()*(s_0+10*s_r+IF(circ_int,eq_c1/2,0))/2))+2*IF(circ_int,0,eq_c1/2)),-IF(circ_int,0,eq_c1/2)+(((59+0.5)*(4*IF(circ_int,0,eq_c1/2)+4*IF(circ_int,0,eq_c2/2)+2*PI()*(s_0+10*s_r+IF(circ_int,eq_c1/2,0)))/INDEX(lk_legs,11))-((((((2*IF(circ_int,0,eq_c2/2))+(PI()*(s_0+10*s_r+IF(circ_int,eq_c1/2,0))/2))+2*IF(circ_int,0,eq_c1/2))+(PI()*(s_0+10*s_r+IF(circ_int,eq_c1/2,0))/2))+2*IF(circ_int,0,eq_c2/2))+(PI()*(s_0+10*s_r+IF(circ_int,eq_c1/2,0))/2))),IF(circ_int,0,eq_c1/2)+(s_0+10*s_r+IF(circ_int,eq_c1/2,0))*COS(3*PI()/2+(((59+0.5)*(4*IF(circ_int,0,eq_c1/2)+4*IF(circ_int,0,eq_c2/2)+2*PI()*(s_0+10*s_r+IF(circ_int,eq_c1/2,0)))/INDEX(lk_legs,11))-(((((((2*IF(circ_int,0,eq_c2/2))+(PI()*(s_0+10*s_r+IF(circ_int,eq_c1/2,0))/2))+2*IF(circ_int,0,eq_c1/2))+(PI()*(s_0+10*s_r+IF(circ_int,eq_c1/2,0))/2))+2*IF(circ_int,0,eq_c2/2))+(PI()*(s_0+10*s_r+IF(circ_int,eq_c1/2,0))/2))+2*IF(circ_int,0,eq_c1/2)))/(s_0+10*s_r+IF(circ_int,eq_c1/2,0)))))))))),NA())</f>
        <v/>
      </c>
      <c r="DI62">
        <f>IF(AND(AND(links_on,11&lt;=n_per),INDEX(lk_kind,11)=1,59&lt;INDEX(lk_legs,11)),g_oy+IF(((59+0.5)*(4*IF(circ_int,0,eq_c1/2)+4*IF(circ_int,0,eq_c2/2)+2*PI()*(s_0+10*s_r+IF(circ_int,eq_c1/2,0)))/INDEX(lk_legs,11))&lt;(2*IF(circ_int,0,eq_c2/2)),-IF(circ_int,0,eq_c2/2)+((59+0.5)*(4*IF(circ_int,0,eq_c1/2)+4*IF(circ_int,0,eq_c2/2)+2*PI()*(s_0+10*s_r+IF(circ_int,eq_c1/2,0)))/INDEX(lk_legs,11)),IF(((59+0.5)*(4*IF(circ_int,0,eq_c1/2)+4*IF(circ_int,0,eq_c2/2)+2*PI()*(s_0+10*s_r+IF(circ_int,eq_c1/2,0)))/INDEX(lk_legs,11))&lt;((2*IF(circ_int,0,eq_c2/2))+(PI()*(s_0+10*s_r+IF(circ_int,eq_c1/2,0))/2)),IF(circ_int,0,eq_c2/2)+(s_0+10*s_r+IF(circ_int,eq_c1/2,0))*SIN((((59+0.5)*(4*IF(circ_int,0,eq_c1/2)+4*IF(circ_int,0,eq_c2/2)+2*PI()*(s_0+10*s_r+IF(circ_int,eq_c1/2,0)))/INDEX(lk_legs,11))-(2*IF(circ_int,0,eq_c2/2)))/(s_0+10*s_r+IF(circ_int,eq_c1/2,0))),IF(((59+0.5)*(4*IF(circ_int,0,eq_c1/2)+4*IF(circ_int,0,eq_c2/2)+2*PI()*(s_0+10*s_r+IF(circ_int,eq_c1/2,0)))/INDEX(lk_legs,11))&lt;(((2*IF(circ_int,0,eq_c2/2))+(PI()*(s_0+10*s_r+IF(circ_int,eq_c1/2,0))/2))+2*IF(circ_int,0,eq_c1/2)),IF(circ_int,0,eq_c2/2)+(s_0+10*s_r+IF(circ_int,eq_c1/2,0)),IF(((59+0.5)*(4*IF(circ_int,0,eq_c1/2)+4*IF(circ_int,0,eq_c2/2)+2*PI()*(s_0+10*s_r+IF(circ_int,eq_c1/2,0)))/INDEX(lk_legs,11))&lt;((((2*IF(circ_int,0,eq_c2/2))+(PI()*(s_0+10*s_r+IF(circ_int,eq_c1/2,0))/2))+2*IF(circ_int,0,eq_c1/2))+(PI()*(s_0+10*s_r+IF(circ_int,eq_c1/2,0))/2)),IF(circ_int,0,eq_c2/2)+(s_0+10*s_r+IF(circ_int,eq_c1/2,0))*SIN(PI()/2+(((59+0.5)*(4*IF(circ_int,0,eq_c1/2)+4*IF(circ_int,0,eq_c2/2)+2*PI()*(s_0+10*s_r+IF(circ_int,eq_c1/2,0)))/INDEX(lk_legs,11))-(((2*IF(circ_int,0,eq_c2/2))+(PI()*(s_0+10*s_r+IF(circ_int,eq_c1/2,0))/2))+2*IF(circ_int,0,eq_c1/2)))/(s_0+10*s_r+IF(circ_int,eq_c1/2,0))),IF(((59+0.5)*(4*IF(circ_int,0,eq_c1/2)+4*IF(circ_int,0,eq_c2/2)+2*PI()*(s_0+10*s_r+IF(circ_int,eq_c1/2,0)))/INDEX(lk_legs,11))&lt;(((((2*IF(circ_int,0,eq_c2/2))+(PI()*(s_0+10*s_r+IF(circ_int,eq_c1/2,0))/2))+2*IF(circ_int,0,eq_c1/2))+(PI()*(s_0+10*s_r+IF(circ_int,eq_c1/2,0))/2))+2*IF(circ_int,0,eq_c2/2)),IF(circ_int,0,eq_c2/2)-(((59+0.5)*(4*IF(circ_int,0,eq_c1/2)+4*IF(circ_int,0,eq_c2/2)+2*PI()*(s_0+10*s_r+IF(circ_int,eq_c1/2,0)))/INDEX(lk_legs,11))-((((2*IF(circ_int,0,eq_c2/2))+(PI()*(s_0+10*s_r+IF(circ_int,eq_c1/2,0))/2))+2*IF(circ_int,0,eq_c1/2))+(PI()*(s_0+10*s_r+IF(circ_int,eq_c1/2,0))/2))),IF(((59+0.5)*(4*IF(circ_int,0,eq_c1/2)+4*IF(circ_int,0,eq_c2/2)+2*PI()*(s_0+10*s_r+IF(circ_int,eq_c1/2,0)))/INDEX(lk_legs,11))&lt;((((((2*IF(circ_int,0,eq_c2/2))+(PI()*(s_0+10*s_r+IF(circ_int,eq_c1/2,0))/2))+2*IF(circ_int,0,eq_c1/2))+(PI()*(s_0+10*s_r+IF(circ_int,eq_c1/2,0))/2))+2*IF(circ_int,0,eq_c2/2))+(PI()*(s_0+10*s_r+IF(circ_int,eq_c1/2,0))/2)),-IF(circ_int,0,eq_c2/2)+(s_0+10*s_r+IF(circ_int,eq_c1/2,0))*SIN(PI()+(((59+0.5)*(4*IF(circ_int,0,eq_c1/2)+4*IF(circ_int,0,eq_c2/2)+2*PI()*(s_0+10*s_r+IF(circ_int,eq_c1/2,0)))/INDEX(lk_legs,11))-(((((2*IF(circ_int,0,eq_c2/2))+(PI()*(s_0+10*s_r+IF(circ_int,eq_c1/2,0))/2))+2*IF(circ_int,0,eq_c1/2))+(PI()*(s_0+10*s_r+IF(circ_int,eq_c1/2,0))/2))+2*IF(circ_int,0,eq_c2/2)))/(s_0+10*s_r+IF(circ_int,eq_c1/2,0))),IF(((59+0.5)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(59+0.5)*(4*IF(circ_int,0,eq_c1/2)+4*IF(circ_int,0,eq_c2/2)+2*PI()*(s_0+10*s_r+IF(circ_int,eq_c1/2,0)))/INDEX(lk_legs,11))-(((((((2*IF(circ_int,0,eq_c2/2))+(PI()*(s_0+10*s_r+IF(circ_int,eq_c1/2,0))/2))+2*IF(circ_int,0,eq_c1/2))+(PI()*(s_0+10*s_r+IF(circ_int,eq_c1/2,0))/2))+2*IF(circ_int,0,eq_c2/2))+(PI()*(s_0+10*s_r+IF(circ_int,eq_c1/2,0))/2))+2*IF(circ_int,0,eq_c1/2)))/(s_0+10*s_r+IF(circ_int,eq_c1/2,0)))))))))),NA())</f>
        <v/>
      </c>
      <c r="DN62">
        <f>IF(AND(AND(links_on,12&lt;=n_per),INDEX(lk_kind,12)=1,59&lt;INDEX(lk_legs,12)),g_ox+IF(((59+0.5)*(4*IF(circ_int,0,eq_c1/2)+4*IF(circ_int,0,eq_c2/2)+2*PI()*(s_0+11*s_r+IF(circ_int,eq_c1/2,0)))/INDEX(lk_legs,12))&lt;(2*IF(circ_int,0,eq_c2/2)),IF(circ_int,0,eq_c1/2)+(s_0+11*s_r+IF(circ_int,eq_c1/2,0)),IF(((59+0.5)*(4*IF(circ_int,0,eq_c1/2)+4*IF(circ_int,0,eq_c2/2)+2*PI()*(s_0+11*s_r+IF(circ_int,eq_c1/2,0)))/INDEX(lk_legs,12))&lt;((2*IF(circ_int,0,eq_c2/2))+(PI()*(s_0+11*s_r+IF(circ_int,eq_c1/2,0))/2)),IF(circ_int,0,eq_c1/2)+(s_0+11*s_r+IF(circ_int,eq_c1/2,0))*COS((((59+0.5)*(4*IF(circ_int,0,eq_c1/2)+4*IF(circ_int,0,eq_c2/2)+2*PI()*(s_0+11*s_r+IF(circ_int,eq_c1/2,0)))/INDEX(lk_legs,12))-(2*IF(circ_int,0,eq_c2/2)))/(s_0+11*s_r+IF(circ_int,eq_c1/2,0))),IF(((59+0.5)*(4*IF(circ_int,0,eq_c1/2)+4*IF(circ_int,0,eq_c2/2)+2*PI()*(s_0+11*s_r+IF(circ_int,eq_c1/2,0)))/INDEX(lk_legs,12))&lt;(((2*IF(circ_int,0,eq_c2/2))+(PI()*(s_0+11*s_r+IF(circ_int,eq_c1/2,0))/2))+2*IF(circ_int,0,eq_c1/2)),IF(circ_int,0,eq_c1/2)-(((59+0.5)*(4*IF(circ_int,0,eq_c1/2)+4*IF(circ_int,0,eq_c2/2)+2*PI()*(s_0+11*s_r+IF(circ_int,eq_c1/2,0)))/INDEX(lk_legs,12))-((2*IF(circ_int,0,eq_c2/2))+(PI()*(s_0+11*s_r+IF(circ_int,eq_c1/2,0))/2))),IF(((59+0.5)*(4*IF(circ_int,0,eq_c1/2)+4*IF(circ_int,0,eq_c2/2)+2*PI()*(s_0+11*s_r+IF(circ_int,eq_c1/2,0)))/INDEX(lk_legs,12))&lt;((((2*IF(circ_int,0,eq_c2/2))+(PI()*(s_0+11*s_r+IF(circ_int,eq_c1/2,0))/2))+2*IF(circ_int,0,eq_c1/2))+(PI()*(s_0+11*s_r+IF(circ_int,eq_c1/2,0))/2)),-IF(circ_int,0,eq_c1/2)+(s_0+11*s_r+IF(circ_int,eq_c1/2,0))*COS(PI()/2+(((59+0.5)*(4*IF(circ_int,0,eq_c1/2)+4*IF(circ_int,0,eq_c2/2)+2*PI()*(s_0+11*s_r+IF(circ_int,eq_c1/2,0)))/INDEX(lk_legs,12))-(((2*IF(circ_int,0,eq_c2/2))+(PI()*(s_0+11*s_r+IF(circ_int,eq_c1/2,0))/2))+2*IF(circ_int,0,eq_c1/2)))/(s_0+11*s_r+IF(circ_int,eq_c1/2,0))),IF(((59+0.5)*(4*IF(circ_int,0,eq_c1/2)+4*IF(circ_int,0,eq_c2/2)+2*PI()*(s_0+11*s_r+IF(circ_int,eq_c1/2,0)))/INDEX(lk_legs,12))&lt;(((((2*IF(circ_int,0,eq_c2/2))+(PI()*(s_0+11*s_r+IF(circ_int,eq_c1/2,0))/2))+2*IF(circ_int,0,eq_c1/2))+(PI()*(s_0+11*s_r+IF(circ_int,eq_c1/2,0))/2))+2*IF(circ_int,0,eq_c2/2)),-IF(circ_int,0,eq_c1/2)-(s_0+11*s_r+IF(circ_int,eq_c1/2,0)),IF(((59+0.5)*(4*IF(circ_int,0,eq_c1/2)+4*IF(circ_int,0,eq_c2/2)+2*PI()*(s_0+11*s_r+IF(circ_int,eq_c1/2,0)))/INDEX(lk_legs,12))&lt;((((((2*IF(circ_int,0,eq_c2/2))+(PI()*(s_0+11*s_r+IF(circ_int,eq_c1/2,0))/2))+2*IF(circ_int,0,eq_c1/2))+(PI()*(s_0+11*s_r+IF(circ_int,eq_c1/2,0))/2))+2*IF(circ_int,0,eq_c2/2))+(PI()*(s_0+11*s_r+IF(circ_int,eq_c1/2,0))/2)),-IF(circ_int,0,eq_c1/2)+(s_0+11*s_r+IF(circ_int,eq_c1/2,0))*COS(PI()+(((59+0.5)*(4*IF(circ_int,0,eq_c1/2)+4*IF(circ_int,0,eq_c2/2)+2*PI()*(s_0+11*s_r+IF(circ_int,eq_c1/2,0)))/INDEX(lk_legs,12))-(((((2*IF(circ_int,0,eq_c2/2))+(PI()*(s_0+11*s_r+IF(circ_int,eq_c1/2,0))/2))+2*IF(circ_int,0,eq_c1/2))+(PI()*(s_0+11*s_r+IF(circ_int,eq_c1/2,0))/2))+2*IF(circ_int,0,eq_c2/2)))/(s_0+11*s_r+IF(circ_int,eq_c1/2,0))),IF(((59+0.5)*(4*IF(circ_int,0,eq_c1/2)+4*IF(circ_int,0,eq_c2/2)+2*PI()*(s_0+11*s_r+IF(circ_int,eq_c1/2,0)))/INDEX(lk_legs,12))&lt;(((((((2*IF(circ_int,0,eq_c2/2))+(PI()*(s_0+11*s_r+IF(circ_int,eq_c1/2,0))/2))+2*IF(circ_int,0,eq_c1/2))+(PI()*(s_0+11*s_r+IF(circ_int,eq_c1/2,0))/2))+2*IF(circ_int,0,eq_c2/2))+(PI()*(s_0+11*s_r+IF(circ_int,eq_c1/2,0))/2))+2*IF(circ_int,0,eq_c1/2)),-IF(circ_int,0,eq_c1/2)+(((59+0.5)*(4*IF(circ_int,0,eq_c1/2)+4*IF(circ_int,0,eq_c2/2)+2*PI()*(s_0+11*s_r+IF(circ_int,eq_c1/2,0)))/INDEX(lk_legs,12))-((((((2*IF(circ_int,0,eq_c2/2))+(PI()*(s_0+11*s_r+IF(circ_int,eq_c1/2,0))/2))+2*IF(circ_int,0,eq_c1/2))+(PI()*(s_0+11*s_r+IF(circ_int,eq_c1/2,0))/2))+2*IF(circ_int,0,eq_c2/2))+(PI()*(s_0+11*s_r+IF(circ_int,eq_c1/2,0))/2))),IF(circ_int,0,eq_c1/2)+(s_0+11*s_r+IF(circ_int,eq_c1/2,0))*COS(3*PI()/2+(((59+0.5)*(4*IF(circ_int,0,eq_c1/2)+4*IF(circ_int,0,eq_c2/2)+2*PI()*(s_0+11*s_r+IF(circ_int,eq_c1/2,0)))/INDEX(lk_legs,12))-(((((((2*IF(circ_int,0,eq_c2/2))+(PI()*(s_0+11*s_r+IF(circ_int,eq_c1/2,0))/2))+2*IF(circ_int,0,eq_c1/2))+(PI()*(s_0+11*s_r+IF(circ_int,eq_c1/2,0))/2))+2*IF(circ_int,0,eq_c2/2))+(PI()*(s_0+11*s_r+IF(circ_int,eq_c1/2,0))/2))+2*IF(circ_int,0,eq_c1/2)))/(s_0+11*s_r+IF(circ_int,eq_c1/2,0)))))))))),NA())</f>
        <v/>
      </c>
      <c r="DO62">
        <f>IF(AND(AND(links_on,12&lt;=n_per),INDEX(lk_kind,12)=1,59&lt;INDEX(lk_legs,12)),g_oy+IF(((59+0.5)*(4*IF(circ_int,0,eq_c1/2)+4*IF(circ_int,0,eq_c2/2)+2*PI()*(s_0+11*s_r+IF(circ_int,eq_c1/2,0)))/INDEX(lk_legs,12))&lt;(2*IF(circ_int,0,eq_c2/2)),-IF(circ_int,0,eq_c2/2)+((59+0.5)*(4*IF(circ_int,0,eq_c1/2)+4*IF(circ_int,0,eq_c2/2)+2*PI()*(s_0+11*s_r+IF(circ_int,eq_c1/2,0)))/INDEX(lk_legs,12)),IF(((59+0.5)*(4*IF(circ_int,0,eq_c1/2)+4*IF(circ_int,0,eq_c2/2)+2*PI()*(s_0+11*s_r+IF(circ_int,eq_c1/2,0)))/INDEX(lk_legs,12))&lt;((2*IF(circ_int,0,eq_c2/2))+(PI()*(s_0+11*s_r+IF(circ_int,eq_c1/2,0))/2)),IF(circ_int,0,eq_c2/2)+(s_0+11*s_r+IF(circ_int,eq_c1/2,0))*SIN((((59+0.5)*(4*IF(circ_int,0,eq_c1/2)+4*IF(circ_int,0,eq_c2/2)+2*PI()*(s_0+11*s_r+IF(circ_int,eq_c1/2,0)))/INDEX(lk_legs,12))-(2*IF(circ_int,0,eq_c2/2)))/(s_0+11*s_r+IF(circ_int,eq_c1/2,0))),IF(((59+0.5)*(4*IF(circ_int,0,eq_c1/2)+4*IF(circ_int,0,eq_c2/2)+2*PI()*(s_0+11*s_r+IF(circ_int,eq_c1/2,0)))/INDEX(lk_legs,12))&lt;(((2*IF(circ_int,0,eq_c2/2))+(PI()*(s_0+11*s_r+IF(circ_int,eq_c1/2,0))/2))+2*IF(circ_int,0,eq_c1/2)),IF(circ_int,0,eq_c2/2)+(s_0+11*s_r+IF(circ_int,eq_c1/2,0)),IF(((59+0.5)*(4*IF(circ_int,0,eq_c1/2)+4*IF(circ_int,0,eq_c2/2)+2*PI()*(s_0+11*s_r+IF(circ_int,eq_c1/2,0)))/INDEX(lk_legs,12))&lt;((((2*IF(circ_int,0,eq_c2/2))+(PI()*(s_0+11*s_r+IF(circ_int,eq_c1/2,0))/2))+2*IF(circ_int,0,eq_c1/2))+(PI()*(s_0+11*s_r+IF(circ_int,eq_c1/2,0))/2)),IF(circ_int,0,eq_c2/2)+(s_0+11*s_r+IF(circ_int,eq_c1/2,0))*SIN(PI()/2+(((59+0.5)*(4*IF(circ_int,0,eq_c1/2)+4*IF(circ_int,0,eq_c2/2)+2*PI()*(s_0+11*s_r+IF(circ_int,eq_c1/2,0)))/INDEX(lk_legs,12))-(((2*IF(circ_int,0,eq_c2/2))+(PI()*(s_0+11*s_r+IF(circ_int,eq_c1/2,0))/2))+2*IF(circ_int,0,eq_c1/2)))/(s_0+11*s_r+IF(circ_int,eq_c1/2,0))),IF(((59+0.5)*(4*IF(circ_int,0,eq_c1/2)+4*IF(circ_int,0,eq_c2/2)+2*PI()*(s_0+11*s_r+IF(circ_int,eq_c1/2,0)))/INDEX(lk_legs,12))&lt;(((((2*IF(circ_int,0,eq_c2/2))+(PI()*(s_0+11*s_r+IF(circ_int,eq_c1/2,0))/2))+2*IF(circ_int,0,eq_c1/2))+(PI()*(s_0+11*s_r+IF(circ_int,eq_c1/2,0))/2))+2*IF(circ_int,0,eq_c2/2)),IF(circ_int,0,eq_c2/2)-(((59+0.5)*(4*IF(circ_int,0,eq_c1/2)+4*IF(circ_int,0,eq_c2/2)+2*PI()*(s_0+11*s_r+IF(circ_int,eq_c1/2,0)))/INDEX(lk_legs,12))-((((2*IF(circ_int,0,eq_c2/2))+(PI()*(s_0+11*s_r+IF(circ_int,eq_c1/2,0))/2))+2*IF(circ_int,0,eq_c1/2))+(PI()*(s_0+11*s_r+IF(circ_int,eq_c1/2,0))/2))),IF(((59+0.5)*(4*IF(circ_int,0,eq_c1/2)+4*IF(circ_int,0,eq_c2/2)+2*PI()*(s_0+11*s_r+IF(circ_int,eq_c1/2,0)))/INDEX(lk_legs,12))&lt;((((((2*IF(circ_int,0,eq_c2/2))+(PI()*(s_0+11*s_r+IF(circ_int,eq_c1/2,0))/2))+2*IF(circ_int,0,eq_c1/2))+(PI()*(s_0+11*s_r+IF(circ_int,eq_c1/2,0))/2))+2*IF(circ_int,0,eq_c2/2))+(PI()*(s_0+11*s_r+IF(circ_int,eq_c1/2,0))/2)),-IF(circ_int,0,eq_c2/2)+(s_0+11*s_r+IF(circ_int,eq_c1/2,0))*SIN(PI()+(((59+0.5)*(4*IF(circ_int,0,eq_c1/2)+4*IF(circ_int,0,eq_c2/2)+2*PI()*(s_0+11*s_r+IF(circ_int,eq_c1/2,0)))/INDEX(lk_legs,12))-(((((2*IF(circ_int,0,eq_c2/2))+(PI()*(s_0+11*s_r+IF(circ_int,eq_c1/2,0))/2))+2*IF(circ_int,0,eq_c1/2))+(PI()*(s_0+11*s_r+IF(circ_int,eq_c1/2,0))/2))+2*IF(circ_int,0,eq_c2/2)))/(s_0+11*s_r+IF(circ_int,eq_c1/2,0))),IF(((59+0.5)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(59+0.5)*(4*IF(circ_int,0,eq_c1/2)+4*IF(circ_int,0,eq_c2/2)+2*PI()*(s_0+11*s_r+IF(circ_int,eq_c1/2,0)))/INDEX(lk_legs,12))-(((((((2*IF(circ_int,0,eq_c2/2))+(PI()*(s_0+11*s_r+IF(circ_int,eq_c1/2,0))/2))+2*IF(circ_int,0,eq_c1/2))+(PI()*(s_0+11*s_r+IF(circ_int,eq_c1/2,0))/2))+2*IF(circ_int,0,eq_c2/2))+(PI()*(s_0+11*s_r+IF(circ_int,eq_c1/2,0))/2))+2*IF(circ_int,0,eq_c1/2)))/(s_0+11*s_r+IF(circ_int,eq_c1/2,0)))))))))),NA())</f>
        <v/>
      </c>
    </row>
    <row r="63">
      <c r="AZ63">
        <f>IF(AND(AND(links_on,1&lt;=n_per),INDEX(lk_kind,1)=1,60&lt;INDEX(lk_legs,1)),g_ox+IF(((60+0.5)*(4*IF(circ_int,0,eq_c1/2)+4*IF(circ_int,0,eq_c2/2)+2*PI()*(s_0+0*s_r+IF(circ_int,eq_c1/2,0)))/INDEX(lk_legs,1))&lt;(2*IF(circ_int,0,eq_c2/2)),IF(circ_int,0,eq_c1/2)+(s_0+0*s_r+IF(circ_int,eq_c1/2,0)),IF(((60+0.5)*(4*IF(circ_int,0,eq_c1/2)+4*IF(circ_int,0,eq_c2/2)+2*PI()*(s_0+0*s_r+IF(circ_int,eq_c1/2,0)))/INDEX(lk_legs,1))&lt;((2*IF(circ_int,0,eq_c2/2))+(PI()*(s_0+0*s_r+IF(circ_int,eq_c1/2,0))/2)),IF(circ_int,0,eq_c1/2)+(s_0+0*s_r+IF(circ_int,eq_c1/2,0))*COS((((60+0.5)*(4*IF(circ_int,0,eq_c1/2)+4*IF(circ_int,0,eq_c2/2)+2*PI()*(s_0+0*s_r+IF(circ_int,eq_c1/2,0)))/INDEX(lk_legs,1))-(2*IF(circ_int,0,eq_c2/2)))/(s_0+0*s_r+IF(circ_int,eq_c1/2,0))),IF(((60+0.5)*(4*IF(circ_int,0,eq_c1/2)+4*IF(circ_int,0,eq_c2/2)+2*PI()*(s_0+0*s_r+IF(circ_int,eq_c1/2,0)))/INDEX(lk_legs,1))&lt;(((2*IF(circ_int,0,eq_c2/2))+(PI()*(s_0+0*s_r+IF(circ_int,eq_c1/2,0))/2))+2*IF(circ_int,0,eq_c1/2)),IF(circ_int,0,eq_c1/2)-(((60+0.5)*(4*IF(circ_int,0,eq_c1/2)+4*IF(circ_int,0,eq_c2/2)+2*PI()*(s_0+0*s_r+IF(circ_int,eq_c1/2,0)))/INDEX(lk_legs,1))-((2*IF(circ_int,0,eq_c2/2))+(PI()*(s_0+0*s_r+IF(circ_int,eq_c1/2,0))/2))),IF(((60+0.5)*(4*IF(circ_int,0,eq_c1/2)+4*IF(circ_int,0,eq_c2/2)+2*PI()*(s_0+0*s_r+IF(circ_int,eq_c1/2,0)))/INDEX(lk_legs,1))&lt;((((2*IF(circ_int,0,eq_c2/2))+(PI()*(s_0+0*s_r+IF(circ_int,eq_c1/2,0))/2))+2*IF(circ_int,0,eq_c1/2))+(PI()*(s_0+0*s_r+IF(circ_int,eq_c1/2,0))/2)),-IF(circ_int,0,eq_c1/2)+(s_0+0*s_r+IF(circ_int,eq_c1/2,0))*COS(PI()/2+(((60+0.5)*(4*IF(circ_int,0,eq_c1/2)+4*IF(circ_int,0,eq_c2/2)+2*PI()*(s_0+0*s_r+IF(circ_int,eq_c1/2,0)))/INDEX(lk_legs,1))-(((2*IF(circ_int,0,eq_c2/2))+(PI()*(s_0+0*s_r+IF(circ_int,eq_c1/2,0))/2))+2*IF(circ_int,0,eq_c1/2)))/(s_0+0*s_r+IF(circ_int,eq_c1/2,0))),IF(((60+0.5)*(4*IF(circ_int,0,eq_c1/2)+4*IF(circ_int,0,eq_c2/2)+2*PI()*(s_0+0*s_r+IF(circ_int,eq_c1/2,0)))/INDEX(lk_legs,1))&lt;(((((2*IF(circ_int,0,eq_c2/2))+(PI()*(s_0+0*s_r+IF(circ_int,eq_c1/2,0))/2))+2*IF(circ_int,0,eq_c1/2))+(PI()*(s_0+0*s_r+IF(circ_int,eq_c1/2,0))/2))+2*IF(circ_int,0,eq_c2/2)),-IF(circ_int,0,eq_c1/2)-(s_0+0*s_r+IF(circ_int,eq_c1/2,0)),IF(((60+0.5)*(4*IF(circ_int,0,eq_c1/2)+4*IF(circ_int,0,eq_c2/2)+2*PI()*(s_0+0*s_r+IF(circ_int,eq_c1/2,0)))/INDEX(lk_legs,1))&lt;((((((2*IF(circ_int,0,eq_c2/2))+(PI()*(s_0+0*s_r+IF(circ_int,eq_c1/2,0))/2))+2*IF(circ_int,0,eq_c1/2))+(PI()*(s_0+0*s_r+IF(circ_int,eq_c1/2,0))/2))+2*IF(circ_int,0,eq_c2/2))+(PI()*(s_0+0*s_r+IF(circ_int,eq_c1/2,0))/2)),-IF(circ_int,0,eq_c1/2)+(s_0+0*s_r+IF(circ_int,eq_c1/2,0))*COS(PI()+(((60+0.5)*(4*IF(circ_int,0,eq_c1/2)+4*IF(circ_int,0,eq_c2/2)+2*PI()*(s_0+0*s_r+IF(circ_int,eq_c1/2,0)))/INDEX(lk_legs,1))-(((((2*IF(circ_int,0,eq_c2/2))+(PI()*(s_0+0*s_r+IF(circ_int,eq_c1/2,0))/2))+2*IF(circ_int,0,eq_c1/2))+(PI()*(s_0+0*s_r+IF(circ_int,eq_c1/2,0))/2))+2*IF(circ_int,0,eq_c2/2)))/(s_0+0*s_r+IF(circ_int,eq_c1/2,0))),IF(((60+0.5)*(4*IF(circ_int,0,eq_c1/2)+4*IF(circ_int,0,eq_c2/2)+2*PI()*(s_0+0*s_r+IF(circ_int,eq_c1/2,0)))/INDEX(lk_legs,1))&lt;(((((((2*IF(circ_int,0,eq_c2/2))+(PI()*(s_0+0*s_r+IF(circ_int,eq_c1/2,0))/2))+2*IF(circ_int,0,eq_c1/2))+(PI()*(s_0+0*s_r+IF(circ_int,eq_c1/2,0))/2))+2*IF(circ_int,0,eq_c2/2))+(PI()*(s_0+0*s_r+IF(circ_int,eq_c1/2,0))/2))+2*IF(circ_int,0,eq_c1/2)),-IF(circ_int,0,eq_c1/2)+(((60+0.5)*(4*IF(circ_int,0,eq_c1/2)+4*IF(circ_int,0,eq_c2/2)+2*PI()*(s_0+0*s_r+IF(circ_int,eq_c1/2,0)))/INDEX(lk_legs,1))-((((((2*IF(circ_int,0,eq_c2/2))+(PI()*(s_0+0*s_r+IF(circ_int,eq_c1/2,0))/2))+2*IF(circ_int,0,eq_c1/2))+(PI()*(s_0+0*s_r+IF(circ_int,eq_c1/2,0))/2))+2*IF(circ_int,0,eq_c2/2))+(PI()*(s_0+0*s_r+IF(circ_int,eq_c1/2,0))/2))),IF(circ_int,0,eq_c1/2)+(s_0+0*s_r+IF(circ_int,eq_c1/2,0))*COS(3*PI()/2+(((60+0.5)*(4*IF(circ_int,0,eq_c1/2)+4*IF(circ_int,0,eq_c2/2)+2*PI()*(s_0+0*s_r+IF(circ_int,eq_c1/2,0)))/INDEX(lk_legs,1))-(((((((2*IF(circ_int,0,eq_c2/2))+(PI()*(s_0+0*s_r+IF(circ_int,eq_c1/2,0))/2))+2*IF(circ_int,0,eq_c1/2))+(PI()*(s_0+0*s_r+IF(circ_int,eq_c1/2,0))/2))+2*IF(circ_int,0,eq_c2/2))+(PI()*(s_0+0*s_r+IF(circ_int,eq_c1/2,0))/2))+2*IF(circ_int,0,eq_c1/2)))/(s_0+0*s_r+IF(circ_int,eq_c1/2,0)))))))))),NA())</f>
        <v/>
      </c>
      <c r="BA63">
        <f>IF(AND(AND(links_on,1&lt;=n_per),INDEX(lk_kind,1)=1,60&lt;INDEX(lk_legs,1)),g_oy+IF(((60+0.5)*(4*IF(circ_int,0,eq_c1/2)+4*IF(circ_int,0,eq_c2/2)+2*PI()*(s_0+0*s_r+IF(circ_int,eq_c1/2,0)))/INDEX(lk_legs,1))&lt;(2*IF(circ_int,0,eq_c2/2)),-IF(circ_int,0,eq_c2/2)+((60+0.5)*(4*IF(circ_int,0,eq_c1/2)+4*IF(circ_int,0,eq_c2/2)+2*PI()*(s_0+0*s_r+IF(circ_int,eq_c1/2,0)))/INDEX(lk_legs,1)),IF(((60+0.5)*(4*IF(circ_int,0,eq_c1/2)+4*IF(circ_int,0,eq_c2/2)+2*PI()*(s_0+0*s_r+IF(circ_int,eq_c1/2,0)))/INDEX(lk_legs,1))&lt;((2*IF(circ_int,0,eq_c2/2))+(PI()*(s_0+0*s_r+IF(circ_int,eq_c1/2,0))/2)),IF(circ_int,0,eq_c2/2)+(s_0+0*s_r+IF(circ_int,eq_c1/2,0))*SIN((((60+0.5)*(4*IF(circ_int,0,eq_c1/2)+4*IF(circ_int,0,eq_c2/2)+2*PI()*(s_0+0*s_r+IF(circ_int,eq_c1/2,0)))/INDEX(lk_legs,1))-(2*IF(circ_int,0,eq_c2/2)))/(s_0+0*s_r+IF(circ_int,eq_c1/2,0))),IF(((60+0.5)*(4*IF(circ_int,0,eq_c1/2)+4*IF(circ_int,0,eq_c2/2)+2*PI()*(s_0+0*s_r+IF(circ_int,eq_c1/2,0)))/INDEX(lk_legs,1))&lt;(((2*IF(circ_int,0,eq_c2/2))+(PI()*(s_0+0*s_r+IF(circ_int,eq_c1/2,0))/2))+2*IF(circ_int,0,eq_c1/2)),IF(circ_int,0,eq_c2/2)+(s_0+0*s_r+IF(circ_int,eq_c1/2,0)),IF(((60+0.5)*(4*IF(circ_int,0,eq_c1/2)+4*IF(circ_int,0,eq_c2/2)+2*PI()*(s_0+0*s_r+IF(circ_int,eq_c1/2,0)))/INDEX(lk_legs,1))&lt;((((2*IF(circ_int,0,eq_c2/2))+(PI()*(s_0+0*s_r+IF(circ_int,eq_c1/2,0))/2))+2*IF(circ_int,0,eq_c1/2))+(PI()*(s_0+0*s_r+IF(circ_int,eq_c1/2,0))/2)),IF(circ_int,0,eq_c2/2)+(s_0+0*s_r+IF(circ_int,eq_c1/2,0))*SIN(PI()/2+(((60+0.5)*(4*IF(circ_int,0,eq_c1/2)+4*IF(circ_int,0,eq_c2/2)+2*PI()*(s_0+0*s_r+IF(circ_int,eq_c1/2,0)))/INDEX(lk_legs,1))-(((2*IF(circ_int,0,eq_c2/2))+(PI()*(s_0+0*s_r+IF(circ_int,eq_c1/2,0))/2))+2*IF(circ_int,0,eq_c1/2)))/(s_0+0*s_r+IF(circ_int,eq_c1/2,0))),IF(((60+0.5)*(4*IF(circ_int,0,eq_c1/2)+4*IF(circ_int,0,eq_c2/2)+2*PI()*(s_0+0*s_r+IF(circ_int,eq_c1/2,0)))/INDEX(lk_legs,1))&lt;(((((2*IF(circ_int,0,eq_c2/2))+(PI()*(s_0+0*s_r+IF(circ_int,eq_c1/2,0))/2))+2*IF(circ_int,0,eq_c1/2))+(PI()*(s_0+0*s_r+IF(circ_int,eq_c1/2,0))/2))+2*IF(circ_int,0,eq_c2/2)),IF(circ_int,0,eq_c2/2)-(((60+0.5)*(4*IF(circ_int,0,eq_c1/2)+4*IF(circ_int,0,eq_c2/2)+2*PI()*(s_0+0*s_r+IF(circ_int,eq_c1/2,0)))/INDEX(lk_legs,1))-((((2*IF(circ_int,0,eq_c2/2))+(PI()*(s_0+0*s_r+IF(circ_int,eq_c1/2,0))/2))+2*IF(circ_int,0,eq_c1/2))+(PI()*(s_0+0*s_r+IF(circ_int,eq_c1/2,0))/2))),IF(((60+0.5)*(4*IF(circ_int,0,eq_c1/2)+4*IF(circ_int,0,eq_c2/2)+2*PI()*(s_0+0*s_r+IF(circ_int,eq_c1/2,0)))/INDEX(lk_legs,1))&lt;((((((2*IF(circ_int,0,eq_c2/2))+(PI()*(s_0+0*s_r+IF(circ_int,eq_c1/2,0))/2))+2*IF(circ_int,0,eq_c1/2))+(PI()*(s_0+0*s_r+IF(circ_int,eq_c1/2,0))/2))+2*IF(circ_int,0,eq_c2/2))+(PI()*(s_0+0*s_r+IF(circ_int,eq_c1/2,0))/2)),-IF(circ_int,0,eq_c2/2)+(s_0+0*s_r+IF(circ_int,eq_c1/2,0))*SIN(PI()+(((60+0.5)*(4*IF(circ_int,0,eq_c1/2)+4*IF(circ_int,0,eq_c2/2)+2*PI()*(s_0+0*s_r+IF(circ_int,eq_c1/2,0)))/INDEX(lk_legs,1))-(((((2*IF(circ_int,0,eq_c2/2))+(PI()*(s_0+0*s_r+IF(circ_int,eq_c1/2,0))/2))+2*IF(circ_int,0,eq_c1/2))+(PI()*(s_0+0*s_r+IF(circ_int,eq_c1/2,0))/2))+2*IF(circ_int,0,eq_c2/2)))/(s_0+0*s_r+IF(circ_int,eq_c1/2,0))),IF(((60+0.5)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(60+0.5)*(4*IF(circ_int,0,eq_c1/2)+4*IF(circ_int,0,eq_c2/2)+2*PI()*(s_0+0*s_r+IF(circ_int,eq_c1/2,0)))/INDEX(lk_legs,1))-(((((((2*IF(circ_int,0,eq_c2/2))+(PI()*(s_0+0*s_r+IF(circ_int,eq_c1/2,0))/2))+2*IF(circ_int,0,eq_c1/2))+(PI()*(s_0+0*s_r+IF(circ_int,eq_c1/2,0))/2))+2*IF(circ_int,0,eq_c2/2))+(PI()*(s_0+0*s_r+IF(circ_int,eq_c1/2,0))/2))+2*IF(circ_int,0,eq_c1/2)))/(s_0+0*s_r+IF(circ_int,eq_c1/2,0)))))))))),NA())</f>
        <v/>
      </c>
      <c r="BF63">
        <f>IF(AND(AND(links_on,2&lt;=n_per),INDEX(lk_kind,2)=1,60&lt;INDEX(lk_legs,2)),g_ox+IF(((60+0.5)*(4*IF(circ_int,0,eq_c1/2)+4*IF(circ_int,0,eq_c2/2)+2*PI()*(s_0+1*s_r+IF(circ_int,eq_c1/2,0)))/INDEX(lk_legs,2))&lt;(2*IF(circ_int,0,eq_c2/2)),IF(circ_int,0,eq_c1/2)+(s_0+1*s_r+IF(circ_int,eq_c1/2,0)),IF(((60+0.5)*(4*IF(circ_int,0,eq_c1/2)+4*IF(circ_int,0,eq_c2/2)+2*PI()*(s_0+1*s_r+IF(circ_int,eq_c1/2,0)))/INDEX(lk_legs,2))&lt;((2*IF(circ_int,0,eq_c2/2))+(PI()*(s_0+1*s_r+IF(circ_int,eq_c1/2,0))/2)),IF(circ_int,0,eq_c1/2)+(s_0+1*s_r+IF(circ_int,eq_c1/2,0))*COS((((60+0.5)*(4*IF(circ_int,0,eq_c1/2)+4*IF(circ_int,0,eq_c2/2)+2*PI()*(s_0+1*s_r+IF(circ_int,eq_c1/2,0)))/INDEX(lk_legs,2))-(2*IF(circ_int,0,eq_c2/2)))/(s_0+1*s_r+IF(circ_int,eq_c1/2,0))),IF(((60+0.5)*(4*IF(circ_int,0,eq_c1/2)+4*IF(circ_int,0,eq_c2/2)+2*PI()*(s_0+1*s_r+IF(circ_int,eq_c1/2,0)))/INDEX(lk_legs,2))&lt;(((2*IF(circ_int,0,eq_c2/2))+(PI()*(s_0+1*s_r+IF(circ_int,eq_c1/2,0))/2))+2*IF(circ_int,0,eq_c1/2)),IF(circ_int,0,eq_c1/2)-(((60+0.5)*(4*IF(circ_int,0,eq_c1/2)+4*IF(circ_int,0,eq_c2/2)+2*PI()*(s_0+1*s_r+IF(circ_int,eq_c1/2,0)))/INDEX(lk_legs,2))-((2*IF(circ_int,0,eq_c2/2))+(PI()*(s_0+1*s_r+IF(circ_int,eq_c1/2,0))/2))),IF(((60+0.5)*(4*IF(circ_int,0,eq_c1/2)+4*IF(circ_int,0,eq_c2/2)+2*PI()*(s_0+1*s_r+IF(circ_int,eq_c1/2,0)))/INDEX(lk_legs,2))&lt;((((2*IF(circ_int,0,eq_c2/2))+(PI()*(s_0+1*s_r+IF(circ_int,eq_c1/2,0))/2))+2*IF(circ_int,0,eq_c1/2))+(PI()*(s_0+1*s_r+IF(circ_int,eq_c1/2,0))/2)),-IF(circ_int,0,eq_c1/2)+(s_0+1*s_r+IF(circ_int,eq_c1/2,0))*COS(PI()/2+(((60+0.5)*(4*IF(circ_int,0,eq_c1/2)+4*IF(circ_int,0,eq_c2/2)+2*PI()*(s_0+1*s_r+IF(circ_int,eq_c1/2,0)))/INDEX(lk_legs,2))-(((2*IF(circ_int,0,eq_c2/2))+(PI()*(s_0+1*s_r+IF(circ_int,eq_c1/2,0))/2))+2*IF(circ_int,0,eq_c1/2)))/(s_0+1*s_r+IF(circ_int,eq_c1/2,0))),IF(((60+0.5)*(4*IF(circ_int,0,eq_c1/2)+4*IF(circ_int,0,eq_c2/2)+2*PI()*(s_0+1*s_r+IF(circ_int,eq_c1/2,0)))/INDEX(lk_legs,2))&lt;(((((2*IF(circ_int,0,eq_c2/2))+(PI()*(s_0+1*s_r+IF(circ_int,eq_c1/2,0))/2))+2*IF(circ_int,0,eq_c1/2))+(PI()*(s_0+1*s_r+IF(circ_int,eq_c1/2,0))/2))+2*IF(circ_int,0,eq_c2/2)),-IF(circ_int,0,eq_c1/2)-(s_0+1*s_r+IF(circ_int,eq_c1/2,0)),IF(((60+0.5)*(4*IF(circ_int,0,eq_c1/2)+4*IF(circ_int,0,eq_c2/2)+2*PI()*(s_0+1*s_r+IF(circ_int,eq_c1/2,0)))/INDEX(lk_legs,2))&lt;((((((2*IF(circ_int,0,eq_c2/2))+(PI()*(s_0+1*s_r+IF(circ_int,eq_c1/2,0))/2))+2*IF(circ_int,0,eq_c1/2))+(PI()*(s_0+1*s_r+IF(circ_int,eq_c1/2,0))/2))+2*IF(circ_int,0,eq_c2/2))+(PI()*(s_0+1*s_r+IF(circ_int,eq_c1/2,0))/2)),-IF(circ_int,0,eq_c1/2)+(s_0+1*s_r+IF(circ_int,eq_c1/2,0))*COS(PI()+(((60+0.5)*(4*IF(circ_int,0,eq_c1/2)+4*IF(circ_int,0,eq_c2/2)+2*PI()*(s_0+1*s_r+IF(circ_int,eq_c1/2,0)))/INDEX(lk_legs,2))-(((((2*IF(circ_int,0,eq_c2/2))+(PI()*(s_0+1*s_r+IF(circ_int,eq_c1/2,0))/2))+2*IF(circ_int,0,eq_c1/2))+(PI()*(s_0+1*s_r+IF(circ_int,eq_c1/2,0))/2))+2*IF(circ_int,0,eq_c2/2)))/(s_0+1*s_r+IF(circ_int,eq_c1/2,0))),IF(((60+0.5)*(4*IF(circ_int,0,eq_c1/2)+4*IF(circ_int,0,eq_c2/2)+2*PI()*(s_0+1*s_r+IF(circ_int,eq_c1/2,0)))/INDEX(lk_legs,2))&lt;(((((((2*IF(circ_int,0,eq_c2/2))+(PI()*(s_0+1*s_r+IF(circ_int,eq_c1/2,0))/2))+2*IF(circ_int,0,eq_c1/2))+(PI()*(s_0+1*s_r+IF(circ_int,eq_c1/2,0))/2))+2*IF(circ_int,0,eq_c2/2))+(PI()*(s_0+1*s_r+IF(circ_int,eq_c1/2,0))/2))+2*IF(circ_int,0,eq_c1/2)),-IF(circ_int,0,eq_c1/2)+(((60+0.5)*(4*IF(circ_int,0,eq_c1/2)+4*IF(circ_int,0,eq_c2/2)+2*PI()*(s_0+1*s_r+IF(circ_int,eq_c1/2,0)))/INDEX(lk_legs,2))-((((((2*IF(circ_int,0,eq_c2/2))+(PI()*(s_0+1*s_r+IF(circ_int,eq_c1/2,0))/2))+2*IF(circ_int,0,eq_c1/2))+(PI()*(s_0+1*s_r+IF(circ_int,eq_c1/2,0))/2))+2*IF(circ_int,0,eq_c2/2))+(PI()*(s_0+1*s_r+IF(circ_int,eq_c1/2,0))/2))),IF(circ_int,0,eq_c1/2)+(s_0+1*s_r+IF(circ_int,eq_c1/2,0))*COS(3*PI()/2+(((60+0.5)*(4*IF(circ_int,0,eq_c1/2)+4*IF(circ_int,0,eq_c2/2)+2*PI()*(s_0+1*s_r+IF(circ_int,eq_c1/2,0)))/INDEX(lk_legs,2))-(((((((2*IF(circ_int,0,eq_c2/2))+(PI()*(s_0+1*s_r+IF(circ_int,eq_c1/2,0))/2))+2*IF(circ_int,0,eq_c1/2))+(PI()*(s_0+1*s_r+IF(circ_int,eq_c1/2,0))/2))+2*IF(circ_int,0,eq_c2/2))+(PI()*(s_0+1*s_r+IF(circ_int,eq_c1/2,0))/2))+2*IF(circ_int,0,eq_c1/2)))/(s_0+1*s_r+IF(circ_int,eq_c1/2,0)))))))))),NA())</f>
        <v/>
      </c>
      <c r="BG63">
        <f>IF(AND(AND(links_on,2&lt;=n_per),INDEX(lk_kind,2)=1,60&lt;INDEX(lk_legs,2)),g_oy+IF(((60+0.5)*(4*IF(circ_int,0,eq_c1/2)+4*IF(circ_int,0,eq_c2/2)+2*PI()*(s_0+1*s_r+IF(circ_int,eq_c1/2,0)))/INDEX(lk_legs,2))&lt;(2*IF(circ_int,0,eq_c2/2)),-IF(circ_int,0,eq_c2/2)+((60+0.5)*(4*IF(circ_int,0,eq_c1/2)+4*IF(circ_int,0,eq_c2/2)+2*PI()*(s_0+1*s_r+IF(circ_int,eq_c1/2,0)))/INDEX(lk_legs,2)),IF(((60+0.5)*(4*IF(circ_int,0,eq_c1/2)+4*IF(circ_int,0,eq_c2/2)+2*PI()*(s_0+1*s_r+IF(circ_int,eq_c1/2,0)))/INDEX(lk_legs,2))&lt;((2*IF(circ_int,0,eq_c2/2))+(PI()*(s_0+1*s_r+IF(circ_int,eq_c1/2,0))/2)),IF(circ_int,0,eq_c2/2)+(s_0+1*s_r+IF(circ_int,eq_c1/2,0))*SIN((((60+0.5)*(4*IF(circ_int,0,eq_c1/2)+4*IF(circ_int,0,eq_c2/2)+2*PI()*(s_0+1*s_r+IF(circ_int,eq_c1/2,0)))/INDEX(lk_legs,2))-(2*IF(circ_int,0,eq_c2/2)))/(s_0+1*s_r+IF(circ_int,eq_c1/2,0))),IF(((60+0.5)*(4*IF(circ_int,0,eq_c1/2)+4*IF(circ_int,0,eq_c2/2)+2*PI()*(s_0+1*s_r+IF(circ_int,eq_c1/2,0)))/INDEX(lk_legs,2))&lt;(((2*IF(circ_int,0,eq_c2/2))+(PI()*(s_0+1*s_r+IF(circ_int,eq_c1/2,0))/2))+2*IF(circ_int,0,eq_c1/2)),IF(circ_int,0,eq_c2/2)+(s_0+1*s_r+IF(circ_int,eq_c1/2,0)),IF(((60+0.5)*(4*IF(circ_int,0,eq_c1/2)+4*IF(circ_int,0,eq_c2/2)+2*PI()*(s_0+1*s_r+IF(circ_int,eq_c1/2,0)))/INDEX(lk_legs,2))&lt;((((2*IF(circ_int,0,eq_c2/2))+(PI()*(s_0+1*s_r+IF(circ_int,eq_c1/2,0))/2))+2*IF(circ_int,0,eq_c1/2))+(PI()*(s_0+1*s_r+IF(circ_int,eq_c1/2,0))/2)),IF(circ_int,0,eq_c2/2)+(s_0+1*s_r+IF(circ_int,eq_c1/2,0))*SIN(PI()/2+(((60+0.5)*(4*IF(circ_int,0,eq_c1/2)+4*IF(circ_int,0,eq_c2/2)+2*PI()*(s_0+1*s_r+IF(circ_int,eq_c1/2,0)))/INDEX(lk_legs,2))-(((2*IF(circ_int,0,eq_c2/2))+(PI()*(s_0+1*s_r+IF(circ_int,eq_c1/2,0))/2))+2*IF(circ_int,0,eq_c1/2)))/(s_0+1*s_r+IF(circ_int,eq_c1/2,0))),IF(((60+0.5)*(4*IF(circ_int,0,eq_c1/2)+4*IF(circ_int,0,eq_c2/2)+2*PI()*(s_0+1*s_r+IF(circ_int,eq_c1/2,0)))/INDEX(lk_legs,2))&lt;(((((2*IF(circ_int,0,eq_c2/2))+(PI()*(s_0+1*s_r+IF(circ_int,eq_c1/2,0))/2))+2*IF(circ_int,0,eq_c1/2))+(PI()*(s_0+1*s_r+IF(circ_int,eq_c1/2,0))/2))+2*IF(circ_int,0,eq_c2/2)),IF(circ_int,0,eq_c2/2)-(((60+0.5)*(4*IF(circ_int,0,eq_c1/2)+4*IF(circ_int,0,eq_c2/2)+2*PI()*(s_0+1*s_r+IF(circ_int,eq_c1/2,0)))/INDEX(lk_legs,2))-((((2*IF(circ_int,0,eq_c2/2))+(PI()*(s_0+1*s_r+IF(circ_int,eq_c1/2,0))/2))+2*IF(circ_int,0,eq_c1/2))+(PI()*(s_0+1*s_r+IF(circ_int,eq_c1/2,0))/2))),IF(((60+0.5)*(4*IF(circ_int,0,eq_c1/2)+4*IF(circ_int,0,eq_c2/2)+2*PI()*(s_0+1*s_r+IF(circ_int,eq_c1/2,0)))/INDEX(lk_legs,2))&lt;((((((2*IF(circ_int,0,eq_c2/2))+(PI()*(s_0+1*s_r+IF(circ_int,eq_c1/2,0))/2))+2*IF(circ_int,0,eq_c1/2))+(PI()*(s_0+1*s_r+IF(circ_int,eq_c1/2,0))/2))+2*IF(circ_int,0,eq_c2/2))+(PI()*(s_0+1*s_r+IF(circ_int,eq_c1/2,0))/2)),-IF(circ_int,0,eq_c2/2)+(s_0+1*s_r+IF(circ_int,eq_c1/2,0))*SIN(PI()+(((60+0.5)*(4*IF(circ_int,0,eq_c1/2)+4*IF(circ_int,0,eq_c2/2)+2*PI()*(s_0+1*s_r+IF(circ_int,eq_c1/2,0)))/INDEX(lk_legs,2))-(((((2*IF(circ_int,0,eq_c2/2))+(PI()*(s_0+1*s_r+IF(circ_int,eq_c1/2,0))/2))+2*IF(circ_int,0,eq_c1/2))+(PI()*(s_0+1*s_r+IF(circ_int,eq_c1/2,0))/2))+2*IF(circ_int,0,eq_c2/2)))/(s_0+1*s_r+IF(circ_int,eq_c1/2,0))),IF(((60+0.5)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(60+0.5)*(4*IF(circ_int,0,eq_c1/2)+4*IF(circ_int,0,eq_c2/2)+2*PI()*(s_0+1*s_r+IF(circ_int,eq_c1/2,0)))/INDEX(lk_legs,2))-(((((((2*IF(circ_int,0,eq_c2/2))+(PI()*(s_0+1*s_r+IF(circ_int,eq_c1/2,0))/2))+2*IF(circ_int,0,eq_c1/2))+(PI()*(s_0+1*s_r+IF(circ_int,eq_c1/2,0))/2))+2*IF(circ_int,0,eq_c2/2))+(PI()*(s_0+1*s_r+IF(circ_int,eq_c1/2,0))/2))+2*IF(circ_int,0,eq_c1/2)))/(s_0+1*s_r+IF(circ_int,eq_c1/2,0)))))))))),NA())</f>
        <v/>
      </c>
      <c r="BL63">
        <f>IF(AND(AND(links_on,3&lt;=n_per),INDEX(lk_kind,3)=1,60&lt;INDEX(lk_legs,3)),g_ox+IF(((60+0.5)*(4*IF(circ_int,0,eq_c1/2)+4*IF(circ_int,0,eq_c2/2)+2*PI()*(s_0+2*s_r+IF(circ_int,eq_c1/2,0)))/INDEX(lk_legs,3))&lt;(2*IF(circ_int,0,eq_c2/2)),IF(circ_int,0,eq_c1/2)+(s_0+2*s_r+IF(circ_int,eq_c1/2,0)),IF(((60+0.5)*(4*IF(circ_int,0,eq_c1/2)+4*IF(circ_int,0,eq_c2/2)+2*PI()*(s_0+2*s_r+IF(circ_int,eq_c1/2,0)))/INDEX(lk_legs,3))&lt;((2*IF(circ_int,0,eq_c2/2))+(PI()*(s_0+2*s_r+IF(circ_int,eq_c1/2,0))/2)),IF(circ_int,0,eq_c1/2)+(s_0+2*s_r+IF(circ_int,eq_c1/2,0))*COS((((60+0.5)*(4*IF(circ_int,0,eq_c1/2)+4*IF(circ_int,0,eq_c2/2)+2*PI()*(s_0+2*s_r+IF(circ_int,eq_c1/2,0)))/INDEX(lk_legs,3))-(2*IF(circ_int,0,eq_c2/2)))/(s_0+2*s_r+IF(circ_int,eq_c1/2,0))),IF(((60+0.5)*(4*IF(circ_int,0,eq_c1/2)+4*IF(circ_int,0,eq_c2/2)+2*PI()*(s_0+2*s_r+IF(circ_int,eq_c1/2,0)))/INDEX(lk_legs,3))&lt;(((2*IF(circ_int,0,eq_c2/2))+(PI()*(s_0+2*s_r+IF(circ_int,eq_c1/2,0))/2))+2*IF(circ_int,0,eq_c1/2)),IF(circ_int,0,eq_c1/2)-(((60+0.5)*(4*IF(circ_int,0,eq_c1/2)+4*IF(circ_int,0,eq_c2/2)+2*PI()*(s_0+2*s_r+IF(circ_int,eq_c1/2,0)))/INDEX(lk_legs,3))-((2*IF(circ_int,0,eq_c2/2))+(PI()*(s_0+2*s_r+IF(circ_int,eq_c1/2,0))/2))),IF(((60+0.5)*(4*IF(circ_int,0,eq_c1/2)+4*IF(circ_int,0,eq_c2/2)+2*PI()*(s_0+2*s_r+IF(circ_int,eq_c1/2,0)))/INDEX(lk_legs,3))&lt;((((2*IF(circ_int,0,eq_c2/2))+(PI()*(s_0+2*s_r+IF(circ_int,eq_c1/2,0))/2))+2*IF(circ_int,0,eq_c1/2))+(PI()*(s_0+2*s_r+IF(circ_int,eq_c1/2,0))/2)),-IF(circ_int,0,eq_c1/2)+(s_0+2*s_r+IF(circ_int,eq_c1/2,0))*COS(PI()/2+(((60+0.5)*(4*IF(circ_int,0,eq_c1/2)+4*IF(circ_int,0,eq_c2/2)+2*PI()*(s_0+2*s_r+IF(circ_int,eq_c1/2,0)))/INDEX(lk_legs,3))-(((2*IF(circ_int,0,eq_c2/2))+(PI()*(s_0+2*s_r+IF(circ_int,eq_c1/2,0))/2))+2*IF(circ_int,0,eq_c1/2)))/(s_0+2*s_r+IF(circ_int,eq_c1/2,0))),IF(((60+0.5)*(4*IF(circ_int,0,eq_c1/2)+4*IF(circ_int,0,eq_c2/2)+2*PI()*(s_0+2*s_r+IF(circ_int,eq_c1/2,0)))/INDEX(lk_legs,3))&lt;(((((2*IF(circ_int,0,eq_c2/2))+(PI()*(s_0+2*s_r+IF(circ_int,eq_c1/2,0))/2))+2*IF(circ_int,0,eq_c1/2))+(PI()*(s_0+2*s_r+IF(circ_int,eq_c1/2,0))/2))+2*IF(circ_int,0,eq_c2/2)),-IF(circ_int,0,eq_c1/2)-(s_0+2*s_r+IF(circ_int,eq_c1/2,0)),IF(((60+0.5)*(4*IF(circ_int,0,eq_c1/2)+4*IF(circ_int,0,eq_c2/2)+2*PI()*(s_0+2*s_r+IF(circ_int,eq_c1/2,0)))/INDEX(lk_legs,3))&lt;((((((2*IF(circ_int,0,eq_c2/2))+(PI()*(s_0+2*s_r+IF(circ_int,eq_c1/2,0))/2))+2*IF(circ_int,0,eq_c1/2))+(PI()*(s_0+2*s_r+IF(circ_int,eq_c1/2,0))/2))+2*IF(circ_int,0,eq_c2/2))+(PI()*(s_0+2*s_r+IF(circ_int,eq_c1/2,0))/2)),-IF(circ_int,0,eq_c1/2)+(s_0+2*s_r+IF(circ_int,eq_c1/2,0))*COS(PI()+(((60+0.5)*(4*IF(circ_int,0,eq_c1/2)+4*IF(circ_int,0,eq_c2/2)+2*PI()*(s_0+2*s_r+IF(circ_int,eq_c1/2,0)))/INDEX(lk_legs,3))-(((((2*IF(circ_int,0,eq_c2/2))+(PI()*(s_0+2*s_r+IF(circ_int,eq_c1/2,0))/2))+2*IF(circ_int,0,eq_c1/2))+(PI()*(s_0+2*s_r+IF(circ_int,eq_c1/2,0))/2))+2*IF(circ_int,0,eq_c2/2)))/(s_0+2*s_r+IF(circ_int,eq_c1/2,0))),IF(((60+0.5)*(4*IF(circ_int,0,eq_c1/2)+4*IF(circ_int,0,eq_c2/2)+2*PI()*(s_0+2*s_r+IF(circ_int,eq_c1/2,0)))/INDEX(lk_legs,3))&lt;(((((((2*IF(circ_int,0,eq_c2/2))+(PI()*(s_0+2*s_r+IF(circ_int,eq_c1/2,0))/2))+2*IF(circ_int,0,eq_c1/2))+(PI()*(s_0+2*s_r+IF(circ_int,eq_c1/2,0))/2))+2*IF(circ_int,0,eq_c2/2))+(PI()*(s_0+2*s_r+IF(circ_int,eq_c1/2,0))/2))+2*IF(circ_int,0,eq_c1/2)),-IF(circ_int,0,eq_c1/2)+(((60+0.5)*(4*IF(circ_int,0,eq_c1/2)+4*IF(circ_int,0,eq_c2/2)+2*PI()*(s_0+2*s_r+IF(circ_int,eq_c1/2,0)))/INDEX(lk_legs,3))-((((((2*IF(circ_int,0,eq_c2/2))+(PI()*(s_0+2*s_r+IF(circ_int,eq_c1/2,0))/2))+2*IF(circ_int,0,eq_c1/2))+(PI()*(s_0+2*s_r+IF(circ_int,eq_c1/2,0))/2))+2*IF(circ_int,0,eq_c2/2))+(PI()*(s_0+2*s_r+IF(circ_int,eq_c1/2,0))/2))),IF(circ_int,0,eq_c1/2)+(s_0+2*s_r+IF(circ_int,eq_c1/2,0))*COS(3*PI()/2+(((60+0.5)*(4*IF(circ_int,0,eq_c1/2)+4*IF(circ_int,0,eq_c2/2)+2*PI()*(s_0+2*s_r+IF(circ_int,eq_c1/2,0)))/INDEX(lk_legs,3))-(((((((2*IF(circ_int,0,eq_c2/2))+(PI()*(s_0+2*s_r+IF(circ_int,eq_c1/2,0))/2))+2*IF(circ_int,0,eq_c1/2))+(PI()*(s_0+2*s_r+IF(circ_int,eq_c1/2,0))/2))+2*IF(circ_int,0,eq_c2/2))+(PI()*(s_0+2*s_r+IF(circ_int,eq_c1/2,0))/2))+2*IF(circ_int,0,eq_c1/2)))/(s_0+2*s_r+IF(circ_int,eq_c1/2,0)))))))))),NA())</f>
        <v/>
      </c>
      <c r="BM63">
        <f>IF(AND(AND(links_on,3&lt;=n_per),INDEX(lk_kind,3)=1,60&lt;INDEX(lk_legs,3)),g_oy+IF(((60+0.5)*(4*IF(circ_int,0,eq_c1/2)+4*IF(circ_int,0,eq_c2/2)+2*PI()*(s_0+2*s_r+IF(circ_int,eq_c1/2,0)))/INDEX(lk_legs,3))&lt;(2*IF(circ_int,0,eq_c2/2)),-IF(circ_int,0,eq_c2/2)+((60+0.5)*(4*IF(circ_int,0,eq_c1/2)+4*IF(circ_int,0,eq_c2/2)+2*PI()*(s_0+2*s_r+IF(circ_int,eq_c1/2,0)))/INDEX(lk_legs,3)),IF(((60+0.5)*(4*IF(circ_int,0,eq_c1/2)+4*IF(circ_int,0,eq_c2/2)+2*PI()*(s_0+2*s_r+IF(circ_int,eq_c1/2,0)))/INDEX(lk_legs,3))&lt;((2*IF(circ_int,0,eq_c2/2))+(PI()*(s_0+2*s_r+IF(circ_int,eq_c1/2,0))/2)),IF(circ_int,0,eq_c2/2)+(s_0+2*s_r+IF(circ_int,eq_c1/2,0))*SIN((((60+0.5)*(4*IF(circ_int,0,eq_c1/2)+4*IF(circ_int,0,eq_c2/2)+2*PI()*(s_0+2*s_r+IF(circ_int,eq_c1/2,0)))/INDEX(lk_legs,3))-(2*IF(circ_int,0,eq_c2/2)))/(s_0+2*s_r+IF(circ_int,eq_c1/2,0))),IF(((60+0.5)*(4*IF(circ_int,0,eq_c1/2)+4*IF(circ_int,0,eq_c2/2)+2*PI()*(s_0+2*s_r+IF(circ_int,eq_c1/2,0)))/INDEX(lk_legs,3))&lt;(((2*IF(circ_int,0,eq_c2/2))+(PI()*(s_0+2*s_r+IF(circ_int,eq_c1/2,0))/2))+2*IF(circ_int,0,eq_c1/2)),IF(circ_int,0,eq_c2/2)+(s_0+2*s_r+IF(circ_int,eq_c1/2,0)),IF(((60+0.5)*(4*IF(circ_int,0,eq_c1/2)+4*IF(circ_int,0,eq_c2/2)+2*PI()*(s_0+2*s_r+IF(circ_int,eq_c1/2,0)))/INDEX(lk_legs,3))&lt;((((2*IF(circ_int,0,eq_c2/2))+(PI()*(s_0+2*s_r+IF(circ_int,eq_c1/2,0))/2))+2*IF(circ_int,0,eq_c1/2))+(PI()*(s_0+2*s_r+IF(circ_int,eq_c1/2,0))/2)),IF(circ_int,0,eq_c2/2)+(s_0+2*s_r+IF(circ_int,eq_c1/2,0))*SIN(PI()/2+(((60+0.5)*(4*IF(circ_int,0,eq_c1/2)+4*IF(circ_int,0,eq_c2/2)+2*PI()*(s_0+2*s_r+IF(circ_int,eq_c1/2,0)))/INDEX(lk_legs,3))-(((2*IF(circ_int,0,eq_c2/2))+(PI()*(s_0+2*s_r+IF(circ_int,eq_c1/2,0))/2))+2*IF(circ_int,0,eq_c1/2)))/(s_0+2*s_r+IF(circ_int,eq_c1/2,0))),IF(((60+0.5)*(4*IF(circ_int,0,eq_c1/2)+4*IF(circ_int,0,eq_c2/2)+2*PI()*(s_0+2*s_r+IF(circ_int,eq_c1/2,0)))/INDEX(lk_legs,3))&lt;(((((2*IF(circ_int,0,eq_c2/2))+(PI()*(s_0+2*s_r+IF(circ_int,eq_c1/2,0))/2))+2*IF(circ_int,0,eq_c1/2))+(PI()*(s_0+2*s_r+IF(circ_int,eq_c1/2,0))/2))+2*IF(circ_int,0,eq_c2/2)),IF(circ_int,0,eq_c2/2)-(((60+0.5)*(4*IF(circ_int,0,eq_c1/2)+4*IF(circ_int,0,eq_c2/2)+2*PI()*(s_0+2*s_r+IF(circ_int,eq_c1/2,0)))/INDEX(lk_legs,3))-((((2*IF(circ_int,0,eq_c2/2))+(PI()*(s_0+2*s_r+IF(circ_int,eq_c1/2,0))/2))+2*IF(circ_int,0,eq_c1/2))+(PI()*(s_0+2*s_r+IF(circ_int,eq_c1/2,0))/2))),IF(((60+0.5)*(4*IF(circ_int,0,eq_c1/2)+4*IF(circ_int,0,eq_c2/2)+2*PI()*(s_0+2*s_r+IF(circ_int,eq_c1/2,0)))/INDEX(lk_legs,3))&lt;((((((2*IF(circ_int,0,eq_c2/2))+(PI()*(s_0+2*s_r+IF(circ_int,eq_c1/2,0))/2))+2*IF(circ_int,0,eq_c1/2))+(PI()*(s_0+2*s_r+IF(circ_int,eq_c1/2,0))/2))+2*IF(circ_int,0,eq_c2/2))+(PI()*(s_0+2*s_r+IF(circ_int,eq_c1/2,0))/2)),-IF(circ_int,0,eq_c2/2)+(s_0+2*s_r+IF(circ_int,eq_c1/2,0))*SIN(PI()+(((60+0.5)*(4*IF(circ_int,0,eq_c1/2)+4*IF(circ_int,0,eq_c2/2)+2*PI()*(s_0+2*s_r+IF(circ_int,eq_c1/2,0)))/INDEX(lk_legs,3))-(((((2*IF(circ_int,0,eq_c2/2))+(PI()*(s_0+2*s_r+IF(circ_int,eq_c1/2,0))/2))+2*IF(circ_int,0,eq_c1/2))+(PI()*(s_0+2*s_r+IF(circ_int,eq_c1/2,0))/2))+2*IF(circ_int,0,eq_c2/2)))/(s_0+2*s_r+IF(circ_int,eq_c1/2,0))),IF(((60+0.5)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(60+0.5)*(4*IF(circ_int,0,eq_c1/2)+4*IF(circ_int,0,eq_c2/2)+2*PI()*(s_0+2*s_r+IF(circ_int,eq_c1/2,0)))/INDEX(lk_legs,3))-(((((((2*IF(circ_int,0,eq_c2/2))+(PI()*(s_0+2*s_r+IF(circ_int,eq_c1/2,0))/2))+2*IF(circ_int,0,eq_c1/2))+(PI()*(s_0+2*s_r+IF(circ_int,eq_c1/2,0))/2))+2*IF(circ_int,0,eq_c2/2))+(PI()*(s_0+2*s_r+IF(circ_int,eq_c1/2,0))/2))+2*IF(circ_int,0,eq_c1/2)))/(s_0+2*s_r+IF(circ_int,eq_c1/2,0)))))))))),NA())</f>
        <v/>
      </c>
      <c r="BR63">
        <f>IF(AND(AND(links_on,4&lt;=n_per),INDEX(lk_kind,4)=1,60&lt;INDEX(lk_legs,4)),g_ox+IF(((60+0.5)*(4*IF(circ_int,0,eq_c1/2)+4*IF(circ_int,0,eq_c2/2)+2*PI()*(s_0+3*s_r+IF(circ_int,eq_c1/2,0)))/INDEX(lk_legs,4))&lt;(2*IF(circ_int,0,eq_c2/2)),IF(circ_int,0,eq_c1/2)+(s_0+3*s_r+IF(circ_int,eq_c1/2,0)),IF(((60+0.5)*(4*IF(circ_int,0,eq_c1/2)+4*IF(circ_int,0,eq_c2/2)+2*PI()*(s_0+3*s_r+IF(circ_int,eq_c1/2,0)))/INDEX(lk_legs,4))&lt;((2*IF(circ_int,0,eq_c2/2))+(PI()*(s_0+3*s_r+IF(circ_int,eq_c1/2,0))/2)),IF(circ_int,0,eq_c1/2)+(s_0+3*s_r+IF(circ_int,eq_c1/2,0))*COS((((60+0.5)*(4*IF(circ_int,0,eq_c1/2)+4*IF(circ_int,0,eq_c2/2)+2*PI()*(s_0+3*s_r+IF(circ_int,eq_c1/2,0)))/INDEX(lk_legs,4))-(2*IF(circ_int,0,eq_c2/2)))/(s_0+3*s_r+IF(circ_int,eq_c1/2,0))),IF(((60+0.5)*(4*IF(circ_int,0,eq_c1/2)+4*IF(circ_int,0,eq_c2/2)+2*PI()*(s_0+3*s_r+IF(circ_int,eq_c1/2,0)))/INDEX(lk_legs,4))&lt;(((2*IF(circ_int,0,eq_c2/2))+(PI()*(s_0+3*s_r+IF(circ_int,eq_c1/2,0))/2))+2*IF(circ_int,0,eq_c1/2)),IF(circ_int,0,eq_c1/2)-(((60+0.5)*(4*IF(circ_int,0,eq_c1/2)+4*IF(circ_int,0,eq_c2/2)+2*PI()*(s_0+3*s_r+IF(circ_int,eq_c1/2,0)))/INDEX(lk_legs,4))-((2*IF(circ_int,0,eq_c2/2))+(PI()*(s_0+3*s_r+IF(circ_int,eq_c1/2,0))/2))),IF(((60+0.5)*(4*IF(circ_int,0,eq_c1/2)+4*IF(circ_int,0,eq_c2/2)+2*PI()*(s_0+3*s_r+IF(circ_int,eq_c1/2,0)))/INDEX(lk_legs,4))&lt;((((2*IF(circ_int,0,eq_c2/2))+(PI()*(s_0+3*s_r+IF(circ_int,eq_c1/2,0))/2))+2*IF(circ_int,0,eq_c1/2))+(PI()*(s_0+3*s_r+IF(circ_int,eq_c1/2,0))/2)),-IF(circ_int,0,eq_c1/2)+(s_0+3*s_r+IF(circ_int,eq_c1/2,0))*COS(PI()/2+(((60+0.5)*(4*IF(circ_int,0,eq_c1/2)+4*IF(circ_int,0,eq_c2/2)+2*PI()*(s_0+3*s_r+IF(circ_int,eq_c1/2,0)))/INDEX(lk_legs,4))-(((2*IF(circ_int,0,eq_c2/2))+(PI()*(s_0+3*s_r+IF(circ_int,eq_c1/2,0))/2))+2*IF(circ_int,0,eq_c1/2)))/(s_0+3*s_r+IF(circ_int,eq_c1/2,0))),IF(((60+0.5)*(4*IF(circ_int,0,eq_c1/2)+4*IF(circ_int,0,eq_c2/2)+2*PI()*(s_0+3*s_r+IF(circ_int,eq_c1/2,0)))/INDEX(lk_legs,4))&lt;(((((2*IF(circ_int,0,eq_c2/2))+(PI()*(s_0+3*s_r+IF(circ_int,eq_c1/2,0))/2))+2*IF(circ_int,0,eq_c1/2))+(PI()*(s_0+3*s_r+IF(circ_int,eq_c1/2,0))/2))+2*IF(circ_int,0,eq_c2/2)),-IF(circ_int,0,eq_c1/2)-(s_0+3*s_r+IF(circ_int,eq_c1/2,0)),IF(((60+0.5)*(4*IF(circ_int,0,eq_c1/2)+4*IF(circ_int,0,eq_c2/2)+2*PI()*(s_0+3*s_r+IF(circ_int,eq_c1/2,0)))/INDEX(lk_legs,4))&lt;((((((2*IF(circ_int,0,eq_c2/2))+(PI()*(s_0+3*s_r+IF(circ_int,eq_c1/2,0))/2))+2*IF(circ_int,0,eq_c1/2))+(PI()*(s_0+3*s_r+IF(circ_int,eq_c1/2,0))/2))+2*IF(circ_int,0,eq_c2/2))+(PI()*(s_0+3*s_r+IF(circ_int,eq_c1/2,0))/2)),-IF(circ_int,0,eq_c1/2)+(s_0+3*s_r+IF(circ_int,eq_c1/2,0))*COS(PI()+(((60+0.5)*(4*IF(circ_int,0,eq_c1/2)+4*IF(circ_int,0,eq_c2/2)+2*PI()*(s_0+3*s_r+IF(circ_int,eq_c1/2,0)))/INDEX(lk_legs,4))-(((((2*IF(circ_int,0,eq_c2/2))+(PI()*(s_0+3*s_r+IF(circ_int,eq_c1/2,0))/2))+2*IF(circ_int,0,eq_c1/2))+(PI()*(s_0+3*s_r+IF(circ_int,eq_c1/2,0))/2))+2*IF(circ_int,0,eq_c2/2)))/(s_0+3*s_r+IF(circ_int,eq_c1/2,0))),IF(((60+0.5)*(4*IF(circ_int,0,eq_c1/2)+4*IF(circ_int,0,eq_c2/2)+2*PI()*(s_0+3*s_r+IF(circ_int,eq_c1/2,0)))/INDEX(lk_legs,4))&lt;(((((((2*IF(circ_int,0,eq_c2/2))+(PI()*(s_0+3*s_r+IF(circ_int,eq_c1/2,0))/2))+2*IF(circ_int,0,eq_c1/2))+(PI()*(s_0+3*s_r+IF(circ_int,eq_c1/2,0))/2))+2*IF(circ_int,0,eq_c2/2))+(PI()*(s_0+3*s_r+IF(circ_int,eq_c1/2,0))/2))+2*IF(circ_int,0,eq_c1/2)),-IF(circ_int,0,eq_c1/2)+(((60+0.5)*(4*IF(circ_int,0,eq_c1/2)+4*IF(circ_int,0,eq_c2/2)+2*PI()*(s_0+3*s_r+IF(circ_int,eq_c1/2,0)))/INDEX(lk_legs,4))-((((((2*IF(circ_int,0,eq_c2/2))+(PI()*(s_0+3*s_r+IF(circ_int,eq_c1/2,0))/2))+2*IF(circ_int,0,eq_c1/2))+(PI()*(s_0+3*s_r+IF(circ_int,eq_c1/2,0))/2))+2*IF(circ_int,0,eq_c2/2))+(PI()*(s_0+3*s_r+IF(circ_int,eq_c1/2,0))/2))),IF(circ_int,0,eq_c1/2)+(s_0+3*s_r+IF(circ_int,eq_c1/2,0))*COS(3*PI()/2+(((60+0.5)*(4*IF(circ_int,0,eq_c1/2)+4*IF(circ_int,0,eq_c2/2)+2*PI()*(s_0+3*s_r+IF(circ_int,eq_c1/2,0)))/INDEX(lk_legs,4))-(((((((2*IF(circ_int,0,eq_c2/2))+(PI()*(s_0+3*s_r+IF(circ_int,eq_c1/2,0))/2))+2*IF(circ_int,0,eq_c1/2))+(PI()*(s_0+3*s_r+IF(circ_int,eq_c1/2,0))/2))+2*IF(circ_int,0,eq_c2/2))+(PI()*(s_0+3*s_r+IF(circ_int,eq_c1/2,0))/2))+2*IF(circ_int,0,eq_c1/2)))/(s_0+3*s_r+IF(circ_int,eq_c1/2,0)))))))))),NA())</f>
        <v/>
      </c>
      <c r="BS63">
        <f>IF(AND(AND(links_on,4&lt;=n_per),INDEX(lk_kind,4)=1,60&lt;INDEX(lk_legs,4)),g_oy+IF(((60+0.5)*(4*IF(circ_int,0,eq_c1/2)+4*IF(circ_int,0,eq_c2/2)+2*PI()*(s_0+3*s_r+IF(circ_int,eq_c1/2,0)))/INDEX(lk_legs,4))&lt;(2*IF(circ_int,0,eq_c2/2)),-IF(circ_int,0,eq_c2/2)+((60+0.5)*(4*IF(circ_int,0,eq_c1/2)+4*IF(circ_int,0,eq_c2/2)+2*PI()*(s_0+3*s_r+IF(circ_int,eq_c1/2,0)))/INDEX(lk_legs,4)),IF(((60+0.5)*(4*IF(circ_int,0,eq_c1/2)+4*IF(circ_int,0,eq_c2/2)+2*PI()*(s_0+3*s_r+IF(circ_int,eq_c1/2,0)))/INDEX(lk_legs,4))&lt;((2*IF(circ_int,0,eq_c2/2))+(PI()*(s_0+3*s_r+IF(circ_int,eq_c1/2,0))/2)),IF(circ_int,0,eq_c2/2)+(s_0+3*s_r+IF(circ_int,eq_c1/2,0))*SIN((((60+0.5)*(4*IF(circ_int,0,eq_c1/2)+4*IF(circ_int,0,eq_c2/2)+2*PI()*(s_0+3*s_r+IF(circ_int,eq_c1/2,0)))/INDEX(lk_legs,4))-(2*IF(circ_int,0,eq_c2/2)))/(s_0+3*s_r+IF(circ_int,eq_c1/2,0))),IF(((60+0.5)*(4*IF(circ_int,0,eq_c1/2)+4*IF(circ_int,0,eq_c2/2)+2*PI()*(s_0+3*s_r+IF(circ_int,eq_c1/2,0)))/INDEX(lk_legs,4))&lt;(((2*IF(circ_int,0,eq_c2/2))+(PI()*(s_0+3*s_r+IF(circ_int,eq_c1/2,0))/2))+2*IF(circ_int,0,eq_c1/2)),IF(circ_int,0,eq_c2/2)+(s_0+3*s_r+IF(circ_int,eq_c1/2,0)),IF(((60+0.5)*(4*IF(circ_int,0,eq_c1/2)+4*IF(circ_int,0,eq_c2/2)+2*PI()*(s_0+3*s_r+IF(circ_int,eq_c1/2,0)))/INDEX(lk_legs,4))&lt;((((2*IF(circ_int,0,eq_c2/2))+(PI()*(s_0+3*s_r+IF(circ_int,eq_c1/2,0))/2))+2*IF(circ_int,0,eq_c1/2))+(PI()*(s_0+3*s_r+IF(circ_int,eq_c1/2,0))/2)),IF(circ_int,0,eq_c2/2)+(s_0+3*s_r+IF(circ_int,eq_c1/2,0))*SIN(PI()/2+(((60+0.5)*(4*IF(circ_int,0,eq_c1/2)+4*IF(circ_int,0,eq_c2/2)+2*PI()*(s_0+3*s_r+IF(circ_int,eq_c1/2,0)))/INDEX(lk_legs,4))-(((2*IF(circ_int,0,eq_c2/2))+(PI()*(s_0+3*s_r+IF(circ_int,eq_c1/2,0))/2))+2*IF(circ_int,0,eq_c1/2)))/(s_0+3*s_r+IF(circ_int,eq_c1/2,0))),IF(((60+0.5)*(4*IF(circ_int,0,eq_c1/2)+4*IF(circ_int,0,eq_c2/2)+2*PI()*(s_0+3*s_r+IF(circ_int,eq_c1/2,0)))/INDEX(lk_legs,4))&lt;(((((2*IF(circ_int,0,eq_c2/2))+(PI()*(s_0+3*s_r+IF(circ_int,eq_c1/2,0))/2))+2*IF(circ_int,0,eq_c1/2))+(PI()*(s_0+3*s_r+IF(circ_int,eq_c1/2,0))/2))+2*IF(circ_int,0,eq_c2/2)),IF(circ_int,0,eq_c2/2)-(((60+0.5)*(4*IF(circ_int,0,eq_c1/2)+4*IF(circ_int,0,eq_c2/2)+2*PI()*(s_0+3*s_r+IF(circ_int,eq_c1/2,0)))/INDEX(lk_legs,4))-((((2*IF(circ_int,0,eq_c2/2))+(PI()*(s_0+3*s_r+IF(circ_int,eq_c1/2,0))/2))+2*IF(circ_int,0,eq_c1/2))+(PI()*(s_0+3*s_r+IF(circ_int,eq_c1/2,0))/2))),IF(((60+0.5)*(4*IF(circ_int,0,eq_c1/2)+4*IF(circ_int,0,eq_c2/2)+2*PI()*(s_0+3*s_r+IF(circ_int,eq_c1/2,0)))/INDEX(lk_legs,4))&lt;((((((2*IF(circ_int,0,eq_c2/2))+(PI()*(s_0+3*s_r+IF(circ_int,eq_c1/2,0))/2))+2*IF(circ_int,0,eq_c1/2))+(PI()*(s_0+3*s_r+IF(circ_int,eq_c1/2,0))/2))+2*IF(circ_int,0,eq_c2/2))+(PI()*(s_0+3*s_r+IF(circ_int,eq_c1/2,0))/2)),-IF(circ_int,0,eq_c2/2)+(s_0+3*s_r+IF(circ_int,eq_c1/2,0))*SIN(PI()+(((60+0.5)*(4*IF(circ_int,0,eq_c1/2)+4*IF(circ_int,0,eq_c2/2)+2*PI()*(s_0+3*s_r+IF(circ_int,eq_c1/2,0)))/INDEX(lk_legs,4))-(((((2*IF(circ_int,0,eq_c2/2))+(PI()*(s_0+3*s_r+IF(circ_int,eq_c1/2,0))/2))+2*IF(circ_int,0,eq_c1/2))+(PI()*(s_0+3*s_r+IF(circ_int,eq_c1/2,0))/2))+2*IF(circ_int,0,eq_c2/2)))/(s_0+3*s_r+IF(circ_int,eq_c1/2,0))),IF(((60+0.5)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(60+0.5)*(4*IF(circ_int,0,eq_c1/2)+4*IF(circ_int,0,eq_c2/2)+2*PI()*(s_0+3*s_r+IF(circ_int,eq_c1/2,0)))/INDEX(lk_legs,4))-(((((((2*IF(circ_int,0,eq_c2/2))+(PI()*(s_0+3*s_r+IF(circ_int,eq_c1/2,0))/2))+2*IF(circ_int,0,eq_c1/2))+(PI()*(s_0+3*s_r+IF(circ_int,eq_c1/2,0))/2))+2*IF(circ_int,0,eq_c2/2))+(PI()*(s_0+3*s_r+IF(circ_int,eq_c1/2,0))/2))+2*IF(circ_int,0,eq_c1/2)))/(s_0+3*s_r+IF(circ_int,eq_c1/2,0)))))))))),NA())</f>
        <v/>
      </c>
      <c r="BX63">
        <f>IF(AND(AND(links_on,5&lt;=n_per),INDEX(lk_kind,5)=1,60&lt;INDEX(lk_legs,5)),g_ox+IF(((60+0.5)*(4*IF(circ_int,0,eq_c1/2)+4*IF(circ_int,0,eq_c2/2)+2*PI()*(s_0+4*s_r+IF(circ_int,eq_c1/2,0)))/INDEX(lk_legs,5))&lt;(2*IF(circ_int,0,eq_c2/2)),IF(circ_int,0,eq_c1/2)+(s_0+4*s_r+IF(circ_int,eq_c1/2,0)),IF(((60+0.5)*(4*IF(circ_int,0,eq_c1/2)+4*IF(circ_int,0,eq_c2/2)+2*PI()*(s_0+4*s_r+IF(circ_int,eq_c1/2,0)))/INDEX(lk_legs,5))&lt;((2*IF(circ_int,0,eq_c2/2))+(PI()*(s_0+4*s_r+IF(circ_int,eq_c1/2,0))/2)),IF(circ_int,0,eq_c1/2)+(s_0+4*s_r+IF(circ_int,eq_c1/2,0))*COS((((60+0.5)*(4*IF(circ_int,0,eq_c1/2)+4*IF(circ_int,0,eq_c2/2)+2*PI()*(s_0+4*s_r+IF(circ_int,eq_c1/2,0)))/INDEX(lk_legs,5))-(2*IF(circ_int,0,eq_c2/2)))/(s_0+4*s_r+IF(circ_int,eq_c1/2,0))),IF(((60+0.5)*(4*IF(circ_int,0,eq_c1/2)+4*IF(circ_int,0,eq_c2/2)+2*PI()*(s_0+4*s_r+IF(circ_int,eq_c1/2,0)))/INDEX(lk_legs,5))&lt;(((2*IF(circ_int,0,eq_c2/2))+(PI()*(s_0+4*s_r+IF(circ_int,eq_c1/2,0))/2))+2*IF(circ_int,0,eq_c1/2)),IF(circ_int,0,eq_c1/2)-(((60+0.5)*(4*IF(circ_int,0,eq_c1/2)+4*IF(circ_int,0,eq_c2/2)+2*PI()*(s_0+4*s_r+IF(circ_int,eq_c1/2,0)))/INDEX(lk_legs,5))-((2*IF(circ_int,0,eq_c2/2))+(PI()*(s_0+4*s_r+IF(circ_int,eq_c1/2,0))/2))),IF(((60+0.5)*(4*IF(circ_int,0,eq_c1/2)+4*IF(circ_int,0,eq_c2/2)+2*PI()*(s_0+4*s_r+IF(circ_int,eq_c1/2,0)))/INDEX(lk_legs,5))&lt;((((2*IF(circ_int,0,eq_c2/2))+(PI()*(s_0+4*s_r+IF(circ_int,eq_c1/2,0))/2))+2*IF(circ_int,0,eq_c1/2))+(PI()*(s_0+4*s_r+IF(circ_int,eq_c1/2,0))/2)),-IF(circ_int,0,eq_c1/2)+(s_0+4*s_r+IF(circ_int,eq_c1/2,0))*COS(PI()/2+(((60+0.5)*(4*IF(circ_int,0,eq_c1/2)+4*IF(circ_int,0,eq_c2/2)+2*PI()*(s_0+4*s_r+IF(circ_int,eq_c1/2,0)))/INDEX(lk_legs,5))-(((2*IF(circ_int,0,eq_c2/2))+(PI()*(s_0+4*s_r+IF(circ_int,eq_c1/2,0))/2))+2*IF(circ_int,0,eq_c1/2)))/(s_0+4*s_r+IF(circ_int,eq_c1/2,0))),IF(((60+0.5)*(4*IF(circ_int,0,eq_c1/2)+4*IF(circ_int,0,eq_c2/2)+2*PI()*(s_0+4*s_r+IF(circ_int,eq_c1/2,0)))/INDEX(lk_legs,5))&lt;(((((2*IF(circ_int,0,eq_c2/2))+(PI()*(s_0+4*s_r+IF(circ_int,eq_c1/2,0))/2))+2*IF(circ_int,0,eq_c1/2))+(PI()*(s_0+4*s_r+IF(circ_int,eq_c1/2,0))/2))+2*IF(circ_int,0,eq_c2/2)),-IF(circ_int,0,eq_c1/2)-(s_0+4*s_r+IF(circ_int,eq_c1/2,0)),IF(((60+0.5)*(4*IF(circ_int,0,eq_c1/2)+4*IF(circ_int,0,eq_c2/2)+2*PI()*(s_0+4*s_r+IF(circ_int,eq_c1/2,0)))/INDEX(lk_legs,5))&lt;((((((2*IF(circ_int,0,eq_c2/2))+(PI()*(s_0+4*s_r+IF(circ_int,eq_c1/2,0))/2))+2*IF(circ_int,0,eq_c1/2))+(PI()*(s_0+4*s_r+IF(circ_int,eq_c1/2,0))/2))+2*IF(circ_int,0,eq_c2/2))+(PI()*(s_0+4*s_r+IF(circ_int,eq_c1/2,0))/2)),-IF(circ_int,0,eq_c1/2)+(s_0+4*s_r+IF(circ_int,eq_c1/2,0))*COS(PI()+(((60+0.5)*(4*IF(circ_int,0,eq_c1/2)+4*IF(circ_int,0,eq_c2/2)+2*PI()*(s_0+4*s_r+IF(circ_int,eq_c1/2,0)))/INDEX(lk_legs,5))-(((((2*IF(circ_int,0,eq_c2/2))+(PI()*(s_0+4*s_r+IF(circ_int,eq_c1/2,0))/2))+2*IF(circ_int,0,eq_c1/2))+(PI()*(s_0+4*s_r+IF(circ_int,eq_c1/2,0))/2))+2*IF(circ_int,0,eq_c2/2)))/(s_0+4*s_r+IF(circ_int,eq_c1/2,0))),IF(((60+0.5)*(4*IF(circ_int,0,eq_c1/2)+4*IF(circ_int,0,eq_c2/2)+2*PI()*(s_0+4*s_r+IF(circ_int,eq_c1/2,0)))/INDEX(lk_legs,5))&lt;(((((((2*IF(circ_int,0,eq_c2/2))+(PI()*(s_0+4*s_r+IF(circ_int,eq_c1/2,0))/2))+2*IF(circ_int,0,eq_c1/2))+(PI()*(s_0+4*s_r+IF(circ_int,eq_c1/2,0))/2))+2*IF(circ_int,0,eq_c2/2))+(PI()*(s_0+4*s_r+IF(circ_int,eq_c1/2,0))/2))+2*IF(circ_int,0,eq_c1/2)),-IF(circ_int,0,eq_c1/2)+(((60+0.5)*(4*IF(circ_int,0,eq_c1/2)+4*IF(circ_int,0,eq_c2/2)+2*PI()*(s_0+4*s_r+IF(circ_int,eq_c1/2,0)))/INDEX(lk_legs,5))-((((((2*IF(circ_int,0,eq_c2/2))+(PI()*(s_0+4*s_r+IF(circ_int,eq_c1/2,0))/2))+2*IF(circ_int,0,eq_c1/2))+(PI()*(s_0+4*s_r+IF(circ_int,eq_c1/2,0))/2))+2*IF(circ_int,0,eq_c2/2))+(PI()*(s_0+4*s_r+IF(circ_int,eq_c1/2,0))/2))),IF(circ_int,0,eq_c1/2)+(s_0+4*s_r+IF(circ_int,eq_c1/2,0))*COS(3*PI()/2+(((60+0.5)*(4*IF(circ_int,0,eq_c1/2)+4*IF(circ_int,0,eq_c2/2)+2*PI()*(s_0+4*s_r+IF(circ_int,eq_c1/2,0)))/INDEX(lk_legs,5))-(((((((2*IF(circ_int,0,eq_c2/2))+(PI()*(s_0+4*s_r+IF(circ_int,eq_c1/2,0))/2))+2*IF(circ_int,0,eq_c1/2))+(PI()*(s_0+4*s_r+IF(circ_int,eq_c1/2,0))/2))+2*IF(circ_int,0,eq_c2/2))+(PI()*(s_0+4*s_r+IF(circ_int,eq_c1/2,0))/2))+2*IF(circ_int,0,eq_c1/2)))/(s_0+4*s_r+IF(circ_int,eq_c1/2,0)))))))))),NA())</f>
        <v/>
      </c>
      <c r="BY63">
        <f>IF(AND(AND(links_on,5&lt;=n_per),INDEX(lk_kind,5)=1,60&lt;INDEX(lk_legs,5)),g_oy+IF(((60+0.5)*(4*IF(circ_int,0,eq_c1/2)+4*IF(circ_int,0,eq_c2/2)+2*PI()*(s_0+4*s_r+IF(circ_int,eq_c1/2,0)))/INDEX(lk_legs,5))&lt;(2*IF(circ_int,0,eq_c2/2)),-IF(circ_int,0,eq_c2/2)+((60+0.5)*(4*IF(circ_int,0,eq_c1/2)+4*IF(circ_int,0,eq_c2/2)+2*PI()*(s_0+4*s_r+IF(circ_int,eq_c1/2,0)))/INDEX(lk_legs,5)),IF(((60+0.5)*(4*IF(circ_int,0,eq_c1/2)+4*IF(circ_int,0,eq_c2/2)+2*PI()*(s_0+4*s_r+IF(circ_int,eq_c1/2,0)))/INDEX(lk_legs,5))&lt;((2*IF(circ_int,0,eq_c2/2))+(PI()*(s_0+4*s_r+IF(circ_int,eq_c1/2,0))/2)),IF(circ_int,0,eq_c2/2)+(s_0+4*s_r+IF(circ_int,eq_c1/2,0))*SIN((((60+0.5)*(4*IF(circ_int,0,eq_c1/2)+4*IF(circ_int,0,eq_c2/2)+2*PI()*(s_0+4*s_r+IF(circ_int,eq_c1/2,0)))/INDEX(lk_legs,5))-(2*IF(circ_int,0,eq_c2/2)))/(s_0+4*s_r+IF(circ_int,eq_c1/2,0))),IF(((60+0.5)*(4*IF(circ_int,0,eq_c1/2)+4*IF(circ_int,0,eq_c2/2)+2*PI()*(s_0+4*s_r+IF(circ_int,eq_c1/2,0)))/INDEX(lk_legs,5))&lt;(((2*IF(circ_int,0,eq_c2/2))+(PI()*(s_0+4*s_r+IF(circ_int,eq_c1/2,0))/2))+2*IF(circ_int,0,eq_c1/2)),IF(circ_int,0,eq_c2/2)+(s_0+4*s_r+IF(circ_int,eq_c1/2,0)),IF(((60+0.5)*(4*IF(circ_int,0,eq_c1/2)+4*IF(circ_int,0,eq_c2/2)+2*PI()*(s_0+4*s_r+IF(circ_int,eq_c1/2,0)))/INDEX(lk_legs,5))&lt;((((2*IF(circ_int,0,eq_c2/2))+(PI()*(s_0+4*s_r+IF(circ_int,eq_c1/2,0))/2))+2*IF(circ_int,0,eq_c1/2))+(PI()*(s_0+4*s_r+IF(circ_int,eq_c1/2,0))/2)),IF(circ_int,0,eq_c2/2)+(s_0+4*s_r+IF(circ_int,eq_c1/2,0))*SIN(PI()/2+(((60+0.5)*(4*IF(circ_int,0,eq_c1/2)+4*IF(circ_int,0,eq_c2/2)+2*PI()*(s_0+4*s_r+IF(circ_int,eq_c1/2,0)))/INDEX(lk_legs,5))-(((2*IF(circ_int,0,eq_c2/2))+(PI()*(s_0+4*s_r+IF(circ_int,eq_c1/2,0))/2))+2*IF(circ_int,0,eq_c1/2)))/(s_0+4*s_r+IF(circ_int,eq_c1/2,0))),IF(((60+0.5)*(4*IF(circ_int,0,eq_c1/2)+4*IF(circ_int,0,eq_c2/2)+2*PI()*(s_0+4*s_r+IF(circ_int,eq_c1/2,0)))/INDEX(lk_legs,5))&lt;(((((2*IF(circ_int,0,eq_c2/2))+(PI()*(s_0+4*s_r+IF(circ_int,eq_c1/2,0))/2))+2*IF(circ_int,0,eq_c1/2))+(PI()*(s_0+4*s_r+IF(circ_int,eq_c1/2,0))/2))+2*IF(circ_int,0,eq_c2/2)),IF(circ_int,0,eq_c2/2)-(((60+0.5)*(4*IF(circ_int,0,eq_c1/2)+4*IF(circ_int,0,eq_c2/2)+2*PI()*(s_0+4*s_r+IF(circ_int,eq_c1/2,0)))/INDEX(lk_legs,5))-((((2*IF(circ_int,0,eq_c2/2))+(PI()*(s_0+4*s_r+IF(circ_int,eq_c1/2,0))/2))+2*IF(circ_int,0,eq_c1/2))+(PI()*(s_0+4*s_r+IF(circ_int,eq_c1/2,0))/2))),IF(((60+0.5)*(4*IF(circ_int,0,eq_c1/2)+4*IF(circ_int,0,eq_c2/2)+2*PI()*(s_0+4*s_r+IF(circ_int,eq_c1/2,0)))/INDEX(lk_legs,5))&lt;((((((2*IF(circ_int,0,eq_c2/2))+(PI()*(s_0+4*s_r+IF(circ_int,eq_c1/2,0))/2))+2*IF(circ_int,0,eq_c1/2))+(PI()*(s_0+4*s_r+IF(circ_int,eq_c1/2,0))/2))+2*IF(circ_int,0,eq_c2/2))+(PI()*(s_0+4*s_r+IF(circ_int,eq_c1/2,0))/2)),-IF(circ_int,0,eq_c2/2)+(s_0+4*s_r+IF(circ_int,eq_c1/2,0))*SIN(PI()+(((60+0.5)*(4*IF(circ_int,0,eq_c1/2)+4*IF(circ_int,0,eq_c2/2)+2*PI()*(s_0+4*s_r+IF(circ_int,eq_c1/2,0)))/INDEX(lk_legs,5))-(((((2*IF(circ_int,0,eq_c2/2))+(PI()*(s_0+4*s_r+IF(circ_int,eq_c1/2,0))/2))+2*IF(circ_int,0,eq_c1/2))+(PI()*(s_0+4*s_r+IF(circ_int,eq_c1/2,0))/2))+2*IF(circ_int,0,eq_c2/2)))/(s_0+4*s_r+IF(circ_int,eq_c1/2,0))),IF(((60+0.5)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(60+0.5)*(4*IF(circ_int,0,eq_c1/2)+4*IF(circ_int,0,eq_c2/2)+2*PI()*(s_0+4*s_r+IF(circ_int,eq_c1/2,0)))/INDEX(lk_legs,5))-(((((((2*IF(circ_int,0,eq_c2/2))+(PI()*(s_0+4*s_r+IF(circ_int,eq_c1/2,0))/2))+2*IF(circ_int,0,eq_c1/2))+(PI()*(s_0+4*s_r+IF(circ_int,eq_c1/2,0))/2))+2*IF(circ_int,0,eq_c2/2))+(PI()*(s_0+4*s_r+IF(circ_int,eq_c1/2,0))/2))+2*IF(circ_int,0,eq_c1/2)))/(s_0+4*s_r+IF(circ_int,eq_c1/2,0)))))))))),NA())</f>
        <v/>
      </c>
      <c r="CD63">
        <f>IF(AND(AND(links_on,6&lt;=n_per),INDEX(lk_kind,6)=1,60&lt;INDEX(lk_legs,6)),g_ox+IF(((60+0.5)*(4*IF(circ_int,0,eq_c1/2)+4*IF(circ_int,0,eq_c2/2)+2*PI()*(s_0+5*s_r+IF(circ_int,eq_c1/2,0)))/INDEX(lk_legs,6))&lt;(2*IF(circ_int,0,eq_c2/2)),IF(circ_int,0,eq_c1/2)+(s_0+5*s_r+IF(circ_int,eq_c1/2,0)),IF(((60+0.5)*(4*IF(circ_int,0,eq_c1/2)+4*IF(circ_int,0,eq_c2/2)+2*PI()*(s_0+5*s_r+IF(circ_int,eq_c1/2,0)))/INDEX(lk_legs,6))&lt;((2*IF(circ_int,0,eq_c2/2))+(PI()*(s_0+5*s_r+IF(circ_int,eq_c1/2,0))/2)),IF(circ_int,0,eq_c1/2)+(s_0+5*s_r+IF(circ_int,eq_c1/2,0))*COS((((60+0.5)*(4*IF(circ_int,0,eq_c1/2)+4*IF(circ_int,0,eq_c2/2)+2*PI()*(s_0+5*s_r+IF(circ_int,eq_c1/2,0)))/INDEX(lk_legs,6))-(2*IF(circ_int,0,eq_c2/2)))/(s_0+5*s_r+IF(circ_int,eq_c1/2,0))),IF(((60+0.5)*(4*IF(circ_int,0,eq_c1/2)+4*IF(circ_int,0,eq_c2/2)+2*PI()*(s_0+5*s_r+IF(circ_int,eq_c1/2,0)))/INDEX(lk_legs,6))&lt;(((2*IF(circ_int,0,eq_c2/2))+(PI()*(s_0+5*s_r+IF(circ_int,eq_c1/2,0))/2))+2*IF(circ_int,0,eq_c1/2)),IF(circ_int,0,eq_c1/2)-(((60+0.5)*(4*IF(circ_int,0,eq_c1/2)+4*IF(circ_int,0,eq_c2/2)+2*PI()*(s_0+5*s_r+IF(circ_int,eq_c1/2,0)))/INDEX(lk_legs,6))-((2*IF(circ_int,0,eq_c2/2))+(PI()*(s_0+5*s_r+IF(circ_int,eq_c1/2,0))/2))),IF(((60+0.5)*(4*IF(circ_int,0,eq_c1/2)+4*IF(circ_int,0,eq_c2/2)+2*PI()*(s_0+5*s_r+IF(circ_int,eq_c1/2,0)))/INDEX(lk_legs,6))&lt;((((2*IF(circ_int,0,eq_c2/2))+(PI()*(s_0+5*s_r+IF(circ_int,eq_c1/2,0))/2))+2*IF(circ_int,0,eq_c1/2))+(PI()*(s_0+5*s_r+IF(circ_int,eq_c1/2,0))/2)),-IF(circ_int,0,eq_c1/2)+(s_0+5*s_r+IF(circ_int,eq_c1/2,0))*COS(PI()/2+(((60+0.5)*(4*IF(circ_int,0,eq_c1/2)+4*IF(circ_int,0,eq_c2/2)+2*PI()*(s_0+5*s_r+IF(circ_int,eq_c1/2,0)))/INDEX(lk_legs,6))-(((2*IF(circ_int,0,eq_c2/2))+(PI()*(s_0+5*s_r+IF(circ_int,eq_c1/2,0))/2))+2*IF(circ_int,0,eq_c1/2)))/(s_0+5*s_r+IF(circ_int,eq_c1/2,0))),IF(((60+0.5)*(4*IF(circ_int,0,eq_c1/2)+4*IF(circ_int,0,eq_c2/2)+2*PI()*(s_0+5*s_r+IF(circ_int,eq_c1/2,0)))/INDEX(lk_legs,6))&lt;(((((2*IF(circ_int,0,eq_c2/2))+(PI()*(s_0+5*s_r+IF(circ_int,eq_c1/2,0))/2))+2*IF(circ_int,0,eq_c1/2))+(PI()*(s_0+5*s_r+IF(circ_int,eq_c1/2,0))/2))+2*IF(circ_int,0,eq_c2/2)),-IF(circ_int,0,eq_c1/2)-(s_0+5*s_r+IF(circ_int,eq_c1/2,0)),IF(((60+0.5)*(4*IF(circ_int,0,eq_c1/2)+4*IF(circ_int,0,eq_c2/2)+2*PI()*(s_0+5*s_r+IF(circ_int,eq_c1/2,0)))/INDEX(lk_legs,6))&lt;((((((2*IF(circ_int,0,eq_c2/2))+(PI()*(s_0+5*s_r+IF(circ_int,eq_c1/2,0))/2))+2*IF(circ_int,0,eq_c1/2))+(PI()*(s_0+5*s_r+IF(circ_int,eq_c1/2,0))/2))+2*IF(circ_int,0,eq_c2/2))+(PI()*(s_0+5*s_r+IF(circ_int,eq_c1/2,0))/2)),-IF(circ_int,0,eq_c1/2)+(s_0+5*s_r+IF(circ_int,eq_c1/2,0))*COS(PI()+(((60+0.5)*(4*IF(circ_int,0,eq_c1/2)+4*IF(circ_int,0,eq_c2/2)+2*PI()*(s_0+5*s_r+IF(circ_int,eq_c1/2,0)))/INDEX(lk_legs,6))-(((((2*IF(circ_int,0,eq_c2/2))+(PI()*(s_0+5*s_r+IF(circ_int,eq_c1/2,0))/2))+2*IF(circ_int,0,eq_c1/2))+(PI()*(s_0+5*s_r+IF(circ_int,eq_c1/2,0))/2))+2*IF(circ_int,0,eq_c2/2)))/(s_0+5*s_r+IF(circ_int,eq_c1/2,0))),IF(((60+0.5)*(4*IF(circ_int,0,eq_c1/2)+4*IF(circ_int,0,eq_c2/2)+2*PI()*(s_0+5*s_r+IF(circ_int,eq_c1/2,0)))/INDEX(lk_legs,6))&lt;(((((((2*IF(circ_int,0,eq_c2/2))+(PI()*(s_0+5*s_r+IF(circ_int,eq_c1/2,0))/2))+2*IF(circ_int,0,eq_c1/2))+(PI()*(s_0+5*s_r+IF(circ_int,eq_c1/2,0))/2))+2*IF(circ_int,0,eq_c2/2))+(PI()*(s_0+5*s_r+IF(circ_int,eq_c1/2,0))/2))+2*IF(circ_int,0,eq_c1/2)),-IF(circ_int,0,eq_c1/2)+(((60+0.5)*(4*IF(circ_int,0,eq_c1/2)+4*IF(circ_int,0,eq_c2/2)+2*PI()*(s_0+5*s_r+IF(circ_int,eq_c1/2,0)))/INDEX(lk_legs,6))-((((((2*IF(circ_int,0,eq_c2/2))+(PI()*(s_0+5*s_r+IF(circ_int,eq_c1/2,0))/2))+2*IF(circ_int,0,eq_c1/2))+(PI()*(s_0+5*s_r+IF(circ_int,eq_c1/2,0))/2))+2*IF(circ_int,0,eq_c2/2))+(PI()*(s_0+5*s_r+IF(circ_int,eq_c1/2,0))/2))),IF(circ_int,0,eq_c1/2)+(s_0+5*s_r+IF(circ_int,eq_c1/2,0))*COS(3*PI()/2+(((60+0.5)*(4*IF(circ_int,0,eq_c1/2)+4*IF(circ_int,0,eq_c2/2)+2*PI()*(s_0+5*s_r+IF(circ_int,eq_c1/2,0)))/INDEX(lk_legs,6))-(((((((2*IF(circ_int,0,eq_c2/2))+(PI()*(s_0+5*s_r+IF(circ_int,eq_c1/2,0))/2))+2*IF(circ_int,0,eq_c1/2))+(PI()*(s_0+5*s_r+IF(circ_int,eq_c1/2,0))/2))+2*IF(circ_int,0,eq_c2/2))+(PI()*(s_0+5*s_r+IF(circ_int,eq_c1/2,0))/2))+2*IF(circ_int,0,eq_c1/2)))/(s_0+5*s_r+IF(circ_int,eq_c1/2,0)))))))))),NA())</f>
        <v/>
      </c>
      <c r="CE63">
        <f>IF(AND(AND(links_on,6&lt;=n_per),INDEX(lk_kind,6)=1,60&lt;INDEX(lk_legs,6)),g_oy+IF(((60+0.5)*(4*IF(circ_int,0,eq_c1/2)+4*IF(circ_int,0,eq_c2/2)+2*PI()*(s_0+5*s_r+IF(circ_int,eq_c1/2,0)))/INDEX(lk_legs,6))&lt;(2*IF(circ_int,0,eq_c2/2)),-IF(circ_int,0,eq_c2/2)+((60+0.5)*(4*IF(circ_int,0,eq_c1/2)+4*IF(circ_int,0,eq_c2/2)+2*PI()*(s_0+5*s_r+IF(circ_int,eq_c1/2,0)))/INDEX(lk_legs,6)),IF(((60+0.5)*(4*IF(circ_int,0,eq_c1/2)+4*IF(circ_int,0,eq_c2/2)+2*PI()*(s_0+5*s_r+IF(circ_int,eq_c1/2,0)))/INDEX(lk_legs,6))&lt;((2*IF(circ_int,0,eq_c2/2))+(PI()*(s_0+5*s_r+IF(circ_int,eq_c1/2,0))/2)),IF(circ_int,0,eq_c2/2)+(s_0+5*s_r+IF(circ_int,eq_c1/2,0))*SIN((((60+0.5)*(4*IF(circ_int,0,eq_c1/2)+4*IF(circ_int,0,eq_c2/2)+2*PI()*(s_0+5*s_r+IF(circ_int,eq_c1/2,0)))/INDEX(lk_legs,6))-(2*IF(circ_int,0,eq_c2/2)))/(s_0+5*s_r+IF(circ_int,eq_c1/2,0))),IF(((60+0.5)*(4*IF(circ_int,0,eq_c1/2)+4*IF(circ_int,0,eq_c2/2)+2*PI()*(s_0+5*s_r+IF(circ_int,eq_c1/2,0)))/INDEX(lk_legs,6))&lt;(((2*IF(circ_int,0,eq_c2/2))+(PI()*(s_0+5*s_r+IF(circ_int,eq_c1/2,0))/2))+2*IF(circ_int,0,eq_c1/2)),IF(circ_int,0,eq_c2/2)+(s_0+5*s_r+IF(circ_int,eq_c1/2,0)),IF(((60+0.5)*(4*IF(circ_int,0,eq_c1/2)+4*IF(circ_int,0,eq_c2/2)+2*PI()*(s_0+5*s_r+IF(circ_int,eq_c1/2,0)))/INDEX(lk_legs,6))&lt;((((2*IF(circ_int,0,eq_c2/2))+(PI()*(s_0+5*s_r+IF(circ_int,eq_c1/2,0))/2))+2*IF(circ_int,0,eq_c1/2))+(PI()*(s_0+5*s_r+IF(circ_int,eq_c1/2,0))/2)),IF(circ_int,0,eq_c2/2)+(s_0+5*s_r+IF(circ_int,eq_c1/2,0))*SIN(PI()/2+(((60+0.5)*(4*IF(circ_int,0,eq_c1/2)+4*IF(circ_int,0,eq_c2/2)+2*PI()*(s_0+5*s_r+IF(circ_int,eq_c1/2,0)))/INDEX(lk_legs,6))-(((2*IF(circ_int,0,eq_c2/2))+(PI()*(s_0+5*s_r+IF(circ_int,eq_c1/2,0))/2))+2*IF(circ_int,0,eq_c1/2)))/(s_0+5*s_r+IF(circ_int,eq_c1/2,0))),IF(((60+0.5)*(4*IF(circ_int,0,eq_c1/2)+4*IF(circ_int,0,eq_c2/2)+2*PI()*(s_0+5*s_r+IF(circ_int,eq_c1/2,0)))/INDEX(lk_legs,6))&lt;(((((2*IF(circ_int,0,eq_c2/2))+(PI()*(s_0+5*s_r+IF(circ_int,eq_c1/2,0))/2))+2*IF(circ_int,0,eq_c1/2))+(PI()*(s_0+5*s_r+IF(circ_int,eq_c1/2,0))/2))+2*IF(circ_int,0,eq_c2/2)),IF(circ_int,0,eq_c2/2)-(((60+0.5)*(4*IF(circ_int,0,eq_c1/2)+4*IF(circ_int,0,eq_c2/2)+2*PI()*(s_0+5*s_r+IF(circ_int,eq_c1/2,0)))/INDEX(lk_legs,6))-((((2*IF(circ_int,0,eq_c2/2))+(PI()*(s_0+5*s_r+IF(circ_int,eq_c1/2,0))/2))+2*IF(circ_int,0,eq_c1/2))+(PI()*(s_0+5*s_r+IF(circ_int,eq_c1/2,0))/2))),IF(((60+0.5)*(4*IF(circ_int,0,eq_c1/2)+4*IF(circ_int,0,eq_c2/2)+2*PI()*(s_0+5*s_r+IF(circ_int,eq_c1/2,0)))/INDEX(lk_legs,6))&lt;((((((2*IF(circ_int,0,eq_c2/2))+(PI()*(s_0+5*s_r+IF(circ_int,eq_c1/2,0))/2))+2*IF(circ_int,0,eq_c1/2))+(PI()*(s_0+5*s_r+IF(circ_int,eq_c1/2,0))/2))+2*IF(circ_int,0,eq_c2/2))+(PI()*(s_0+5*s_r+IF(circ_int,eq_c1/2,0))/2)),-IF(circ_int,0,eq_c2/2)+(s_0+5*s_r+IF(circ_int,eq_c1/2,0))*SIN(PI()+(((60+0.5)*(4*IF(circ_int,0,eq_c1/2)+4*IF(circ_int,0,eq_c2/2)+2*PI()*(s_0+5*s_r+IF(circ_int,eq_c1/2,0)))/INDEX(lk_legs,6))-(((((2*IF(circ_int,0,eq_c2/2))+(PI()*(s_0+5*s_r+IF(circ_int,eq_c1/2,0))/2))+2*IF(circ_int,0,eq_c1/2))+(PI()*(s_0+5*s_r+IF(circ_int,eq_c1/2,0))/2))+2*IF(circ_int,0,eq_c2/2)))/(s_0+5*s_r+IF(circ_int,eq_c1/2,0))),IF(((60+0.5)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(60+0.5)*(4*IF(circ_int,0,eq_c1/2)+4*IF(circ_int,0,eq_c2/2)+2*PI()*(s_0+5*s_r+IF(circ_int,eq_c1/2,0)))/INDEX(lk_legs,6))-(((((((2*IF(circ_int,0,eq_c2/2))+(PI()*(s_0+5*s_r+IF(circ_int,eq_c1/2,0))/2))+2*IF(circ_int,0,eq_c1/2))+(PI()*(s_0+5*s_r+IF(circ_int,eq_c1/2,0))/2))+2*IF(circ_int,0,eq_c2/2))+(PI()*(s_0+5*s_r+IF(circ_int,eq_c1/2,0))/2))+2*IF(circ_int,0,eq_c1/2)))/(s_0+5*s_r+IF(circ_int,eq_c1/2,0)))))))))),NA())</f>
        <v/>
      </c>
      <c r="CJ63">
        <f>IF(AND(AND(links_on,7&lt;=n_per),INDEX(lk_kind,7)=1,60&lt;INDEX(lk_legs,7)),g_ox+IF(((60+0.5)*(4*IF(circ_int,0,eq_c1/2)+4*IF(circ_int,0,eq_c2/2)+2*PI()*(s_0+6*s_r+IF(circ_int,eq_c1/2,0)))/INDEX(lk_legs,7))&lt;(2*IF(circ_int,0,eq_c2/2)),IF(circ_int,0,eq_c1/2)+(s_0+6*s_r+IF(circ_int,eq_c1/2,0)),IF(((60+0.5)*(4*IF(circ_int,0,eq_c1/2)+4*IF(circ_int,0,eq_c2/2)+2*PI()*(s_0+6*s_r+IF(circ_int,eq_c1/2,0)))/INDEX(lk_legs,7))&lt;((2*IF(circ_int,0,eq_c2/2))+(PI()*(s_0+6*s_r+IF(circ_int,eq_c1/2,0))/2)),IF(circ_int,0,eq_c1/2)+(s_0+6*s_r+IF(circ_int,eq_c1/2,0))*COS((((60+0.5)*(4*IF(circ_int,0,eq_c1/2)+4*IF(circ_int,0,eq_c2/2)+2*PI()*(s_0+6*s_r+IF(circ_int,eq_c1/2,0)))/INDEX(lk_legs,7))-(2*IF(circ_int,0,eq_c2/2)))/(s_0+6*s_r+IF(circ_int,eq_c1/2,0))),IF(((60+0.5)*(4*IF(circ_int,0,eq_c1/2)+4*IF(circ_int,0,eq_c2/2)+2*PI()*(s_0+6*s_r+IF(circ_int,eq_c1/2,0)))/INDEX(lk_legs,7))&lt;(((2*IF(circ_int,0,eq_c2/2))+(PI()*(s_0+6*s_r+IF(circ_int,eq_c1/2,0))/2))+2*IF(circ_int,0,eq_c1/2)),IF(circ_int,0,eq_c1/2)-(((60+0.5)*(4*IF(circ_int,0,eq_c1/2)+4*IF(circ_int,0,eq_c2/2)+2*PI()*(s_0+6*s_r+IF(circ_int,eq_c1/2,0)))/INDEX(lk_legs,7))-((2*IF(circ_int,0,eq_c2/2))+(PI()*(s_0+6*s_r+IF(circ_int,eq_c1/2,0))/2))),IF(((60+0.5)*(4*IF(circ_int,0,eq_c1/2)+4*IF(circ_int,0,eq_c2/2)+2*PI()*(s_0+6*s_r+IF(circ_int,eq_c1/2,0)))/INDEX(lk_legs,7))&lt;((((2*IF(circ_int,0,eq_c2/2))+(PI()*(s_0+6*s_r+IF(circ_int,eq_c1/2,0))/2))+2*IF(circ_int,0,eq_c1/2))+(PI()*(s_0+6*s_r+IF(circ_int,eq_c1/2,0))/2)),-IF(circ_int,0,eq_c1/2)+(s_0+6*s_r+IF(circ_int,eq_c1/2,0))*COS(PI()/2+(((60+0.5)*(4*IF(circ_int,0,eq_c1/2)+4*IF(circ_int,0,eq_c2/2)+2*PI()*(s_0+6*s_r+IF(circ_int,eq_c1/2,0)))/INDEX(lk_legs,7))-(((2*IF(circ_int,0,eq_c2/2))+(PI()*(s_0+6*s_r+IF(circ_int,eq_c1/2,0))/2))+2*IF(circ_int,0,eq_c1/2)))/(s_0+6*s_r+IF(circ_int,eq_c1/2,0))),IF(((60+0.5)*(4*IF(circ_int,0,eq_c1/2)+4*IF(circ_int,0,eq_c2/2)+2*PI()*(s_0+6*s_r+IF(circ_int,eq_c1/2,0)))/INDEX(lk_legs,7))&lt;(((((2*IF(circ_int,0,eq_c2/2))+(PI()*(s_0+6*s_r+IF(circ_int,eq_c1/2,0))/2))+2*IF(circ_int,0,eq_c1/2))+(PI()*(s_0+6*s_r+IF(circ_int,eq_c1/2,0))/2))+2*IF(circ_int,0,eq_c2/2)),-IF(circ_int,0,eq_c1/2)-(s_0+6*s_r+IF(circ_int,eq_c1/2,0)),IF(((60+0.5)*(4*IF(circ_int,0,eq_c1/2)+4*IF(circ_int,0,eq_c2/2)+2*PI()*(s_0+6*s_r+IF(circ_int,eq_c1/2,0)))/INDEX(lk_legs,7))&lt;((((((2*IF(circ_int,0,eq_c2/2))+(PI()*(s_0+6*s_r+IF(circ_int,eq_c1/2,0))/2))+2*IF(circ_int,0,eq_c1/2))+(PI()*(s_0+6*s_r+IF(circ_int,eq_c1/2,0))/2))+2*IF(circ_int,0,eq_c2/2))+(PI()*(s_0+6*s_r+IF(circ_int,eq_c1/2,0))/2)),-IF(circ_int,0,eq_c1/2)+(s_0+6*s_r+IF(circ_int,eq_c1/2,0))*COS(PI()+(((60+0.5)*(4*IF(circ_int,0,eq_c1/2)+4*IF(circ_int,0,eq_c2/2)+2*PI()*(s_0+6*s_r+IF(circ_int,eq_c1/2,0)))/INDEX(lk_legs,7))-(((((2*IF(circ_int,0,eq_c2/2))+(PI()*(s_0+6*s_r+IF(circ_int,eq_c1/2,0))/2))+2*IF(circ_int,0,eq_c1/2))+(PI()*(s_0+6*s_r+IF(circ_int,eq_c1/2,0))/2))+2*IF(circ_int,0,eq_c2/2)))/(s_0+6*s_r+IF(circ_int,eq_c1/2,0))),IF(((60+0.5)*(4*IF(circ_int,0,eq_c1/2)+4*IF(circ_int,0,eq_c2/2)+2*PI()*(s_0+6*s_r+IF(circ_int,eq_c1/2,0)))/INDEX(lk_legs,7))&lt;(((((((2*IF(circ_int,0,eq_c2/2))+(PI()*(s_0+6*s_r+IF(circ_int,eq_c1/2,0))/2))+2*IF(circ_int,0,eq_c1/2))+(PI()*(s_0+6*s_r+IF(circ_int,eq_c1/2,0))/2))+2*IF(circ_int,0,eq_c2/2))+(PI()*(s_0+6*s_r+IF(circ_int,eq_c1/2,0))/2))+2*IF(circ_int,0,eq_c1/2)),-IF(circ_int,0,eq_c1/2)+(((60+0.5)*(4*IF(circ_int,0,eq_c1/2)+4*IF(circ_int,0,eq_c2/2)+2*PI()*(s_0+6*s_r+IF(circ_int,eq_c1/2,0)))/INDEX(lk_legs,7))-((((((2*IF(circ_int,0,eq_c2/2))+(PI()*(s_0+6*s_r+IF(circ_int,eq_c1/2,0))/2))+2*IF(circ_int,0,eq_c1/2))+(PI()*(s_0+6*s_r+IF(circ_int,eq_c1/2,0))/2))+2*IF(circ_int,0,eq_c2/2))+(PI()*(s_0+6*s_r+IF(circ_int,eq_c1/2,0))/2))),IF(circ_int,0,eq_c1/2)+(s_0+6*s_r+IF(circ_int,eq_c1/2,0))*COS(3*PI()/2+(((60+0.5)*(4*IF(circ_int,0,eq_c1/2)+4*IF(circ_int,0,eq_c2/2)+2*PI()*(s_0+6*s_r+IF(circ_int,eq_c1/2,0)))/INDEX(lk_legs,7))-(((((((2*IF(circ_int,0,eq_c2/2))+(PI()*(s_0+6*s_r+IF(circ_int,eq_c1/2,0))/2))+2*IF(circ_int,0,eq_c1/2))+(PI()*(s_0+6*s_r+IF(circ_int,eq_c1/2,0))/2))+2*IF(circ_int,0,eq_c2/2))+(PI()*(s_0+6*s_r+IF(circ_int,eq_c1/2,0))/2))+2*IF(circ_int,0,eq_c1/2)))/(s_0+6*s_r+IF(circ_int,eq_c1/2,0)))))))))),NA())</f>
        <v/>
      </c>
      <c r="CK63">
        <f>IF(AND(AND(links_on,7&lt;=n_per),INDEX(lk_kind,7)=1,60&lt;INDEX(lk_legs,7)),g_oy+IF(((60+0.5)*(4*IF(circ_int,0,eq_c1/2)+4*IF(circ_int,0,eq_c2/2)+2*PI()*(s_0+6*s_r+IF(circ_int,eq_c1/2,0)))/INDEX(lk_legs,7))&lt;(2*IF(circ_int,0,eq_c2/2)),-IF(circ_int,0,eq_c2/2)+((60+0.5)*(4*IF(circ_int,0,eq_c1/2)+4*IF(circ_int,0,eq_c2/2)+2*PI()*(s_0+6*s_r+IF(circ_int,eq_c1/2,0)))/INDEX(lk_legs,7)),IF(((60+0.5)*(4*IF(circ_int,0,eq_c1/2)+4*IF(circ_int,0,eq_c2/2)+2*PI()*(s_0+6*s_r+IF(circ_int,eq_c1/2,0)))/INDEX(lk_legs,7))&lt;((2*IF(circ_int,0,eq_c2/2))+(PI()*(s_0+6*s_r+IF(circ_int,eq_c1/2,0))/2)),IF(circ_int,0,eq_c2/2)+(s_0+6*s_r+IF(circ_int,eq_c1/2,0))*SIN((((60+0.5)*(4*IF(circ_int,0,eq_c1/2)+4*IF(circ_int,0,eq_c2/2)+2*PI()*(s_0+6*s_r+IF(circ_int,eq_c1/2,0)))/INDEX(lk_legs,7))-(2*IF(circ_int,0,eq_c2/2)))/(s_0+6*s_r+IF(circ_int,eq_c1/2,0))),IF(((60+0.5)*(4*IF(circ_int,0,eq_c1/2)+4*IF(circ_int,0,eq_c2/2)+2*PI()*(s_0+6*s_r+IF(circ_int,eq_c1/2,0)))/INDEX(lk_legs,7))&lt;(((2*IF(circ_int,0,eq_c2/2))+(PI()*(s_0+6*s_r+IF(circ_int,eq_c1/2,0))/2))+2*IF(circ_int,0,eq_c1/2)),IF(circ_int,0,eq_c2/2)+(s_0+6*s_r+IF(circ_int,eq_c1/2,0)),IF(((60+0.5)*(4*IF(circ_int,0,eq_c1/2)+4*IF(circ_int,0,eq_c2/2)+2*PI()*(s_0+6*s_r+IF(circ_int,eq_c1/2,0)))/INDEX(lk_legs,7))&lt;((((2*IF(circ_int,0,eq_c2/2))+(PI()*(s_0+6*s_r+IF(circ_int,eq_c1/2,0))/2))+2*IF(circ_int,0,eq_c1/2))+(PI()*(s_0+6*s_r+IF(circ_int,eq_c1/2,0))/2)),IF(circ_int,0,eq_c2/2)+(s_0+6*s_r+IF(circ_int,eq_c1/2,0))*SIN(PI()/2+(((60+0.5)*(4*IF(circ_int,0,eq_c1/2)+4*IF(circ_int,0,eq_c2/2)+2*PI()*(s_0+6*s_r+IF(circ_int,eq_c1/2,0)))/INDEX(lk_legs,7))-(((2*IF(circ_int,0,eq_c2/2))+(PI()*(s_0+6*s_r+IF(circ_int,eq_c1/2,0))/2))+2*IF(circ_int,0,eq_c1/2)))/(s_0+6*s_r+IF(circ_int,eq_c1/2,0))),IF(((60+0.5)*(4*IF(circ_int,0,eq_c1/2)+4*IF(circ_int,0,eq_c2/2)+2*PI()*(s_0+6*s_r+IF(circ_int,eq_c1/2,0)))/INDEX(lk_legs,7))&lt;(((((2*IF(circ_int,0,eq_c2/2))+(PI()*(s_0+6*s_r+IF(circ_int,eq_c1/2,0))/2))+2*IF(circ_int,0,eq_c1/2))+(PI()*(s_0+6*s_r+IF(circ_int,eq_c1/2,0))/2))+2*IF(circ_int,0,eq_c2/2)),IF(circ_int,0,eq_c2/2)-(((60+0.5)*(4*IF(circ_int,0,eq_c1/2)+4*IF(circ_int,0,eq_c2/2)+2*PI()*(s_0+6*s_r+IF(circ_int,eq_c1/2,0)))/INDEX(lk_legs,7))-((((2*IF(circ_int,0,eq_c2/2))+(PI()*(s_0+6*s_r+IF(circ_int,eq_c1/2,0))/2))+2*IF(circ_int,0,eq_c1/2))+(PI()*(s_0+6*s_r+IF(circ_int,eq_c1/2,0))/2))),IF(((60+0.5)*(4*IF(circ_int,0,eq_c1/2)+4*IF(circ_int,0,eq_c2/2)+2*PI()*(s_0+6*s_r+IF(circ_int,eq_c1/2,0)))/INDEX(lk_legs,7))&lt;((((((2*IF(circ_int,0,eq_c2/2))+(PI()*(s_0+6*s_r+IF(circ_int,eq_c1/2,0))/2))+2*IF(circ_int,0,eq_c1/2))+(PI()*(s_0+6*s_r+IF(circ_int,eq_c1/2,0))/2))+2*IF(circ_int,0,eq_c2/2))+(PI()*(s_0+6*s_r+IF(circ_int,eq_c1/2,0))/2)),-IF(circ_int,0,eq_c2/2)+(s_0+6*s_r+IF(circ_int,eq_c1/2,0))*SIN(PI()+(((60+0.5)*(4*IF(circ_int,0,eq_c1/2)+4*IF(circ_int,0,eq_c2/2)+2*PI()*(s_0+6*s_r+IF(circ_int,eq_c1/2,0)))/INDEX(lk_legs,7))-(((((2*IF(circ_int,0,eq_c2/2))+(PI()*(s_0+6*s_r+IF(circ_int,eq_c1/2,0))/2))+2*IF(circ_int,0,eq_c1/2))+(PI()*(s_0+6*s_r+IF(circ_int,eq_c1/2,0))/2))+2*IF(circ_int,0,eq_c2/2)))/(s_0+6*s_r+IF(circ_int,eq_c1/2,0))),IF(((60+0.5)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(60+0.5)*(4*IF(circ_int,0,eq_c1/2)+4*IF(circ_int,0,eq_c2/2)+2*PI()*(s_0+6*s_r+IF(circ_int,eq_c1/2,0)))/INDEX(lk_legs,7))-(((((((2*IF(circ_int,0,eq_c2/2))+(PI()*(s_0+6*s_r+IF(circ_int,eq_c1/2,0))/2))+2*IF(circ_int,0,eq_c1/2))+(PI()*(s_0+6*s_r+IF(circ_int,eq_c1/2,0))/2))+2*IF(circ_int,0,eq_c2/2))+(PI()*(s_0+6*s_r+IF(circ_int,eq_c1/2,0))/2))+2*IF(circ_int,0,eq_c1/2)))/(s_0+6*s_r+IF(circ_int,eq_c1/2,0)))))))))),NA())</f>
        <v/>
      </c>
      <c r="CP63">
        <f>IF(AND(AND(links_on,8&lt;=n_per),INDEX(lk_kind,8)=1,60&lt;INDEX(lk_legs,8)),g_ox+IF(((60+0.5)*(4*IF(circ_int,0,eq_c1/2)+4*IF(circ_int,0,eq_c2/2)+2*PI()*(s_0+7*s_r+IF(circ_int,eq_c1/2,0)))/INDEX(lk_legs,8))&lt;(2*IF(circ_int,0,eq_c2/2)),IF(circ_int,0,eq_c1/2)+(s_0+7*s_r+IF(circ_int,eq_c1/2,0)),IF(((60+0.5)*(4*IF(circ_int,0,eq_c1/2)+4*IF(circ_int,0,eq_c2/2)+2*PI()*(s_0+7*s_r+IF(circ_int,eq_c1/2,0)))/INDEX(lk_legs,8))&lt;((2*IF(circ_int,0,eq_c2/2))+(PI()*(s_0+7*s_r+IF(circ_int,eq_c1/2,0))/2)),IF(circ_int,0,eq_c1/2)+(s_0+7*s_r+IF(circ_int,eq_c1/2,0))*COS((((60+0.5)*(4*IF(circ_int,0,eq_c1/2)+4*IF(circ_int,0,eq_c2/2)+2*PI()*(s_0+7*s_r+IF(circ_int,eq_c1/2,0)))/INDEX(lk_legs,8))-(2*IF(circ_int,0,eq_c2/2)))/(s_0+7*s_r+IF(circ_int,eq_c1/2,0))),IF(((60+0.5)*(4*IF(circ_int,0,eq_c1/2)+4*IF(circ_int,0,eq_c2/2)+2*PI()*(s_0+7*s_r+IF(circ_int,eq_c1/2,0)))/INDEX(lk_legs,8))&lt;(((2*IF(circ_int,0,eq_c2/2))+(PI()*(s_0+7*s_r+IF(circ_int,eq_c1/2,0))/2))+2*IF(circ_int,0,eq_c1/2)),IF(circ_int,0,eq_c1/2)-(((60+0.5)*(4*IF(circ_int,0,eq_c1/2)+4*IF(circ_int,0,eq_c2/2)+2*PI()*(s_0+7*s_r+IF(circ_int,eq_c1/2,0)))/INDEX(lk_legs,8))-((2*IF(circ_int,0,eq_c2/2))+(PI()*(s_0+7*s_r+IF(circ_int,eq_c1/2,0))/2))),IF(((60+0.5)*(4*IF(circ_int,0,eq_c1/2)+4*IF(circ_int,0,eq_c2/2)+2*PI()*(s_0+7*s_r+IF(circ_int,eq_c1/2,0)))/INDEX(lk_legs,8))&lt;((((2*IF(circ_int,0,eq_c2/2))+(PI()*(s_0+7*s_r+IF(circ_int,eq_c1/2,0))/2))+2*IF(circ_int,0,eq_c1/2))+(PI()*(s_0+7*s_r+IF(circ_int,eq_c1/2,0))/2)),-IF(circ_int,0,eq_c1/2)+(s_0+7*s_r+IF(circ_int,eq_c1/2,0))*COS(PI()/2+(((60+0.5)*(4*IF(circ_int,0,eq_c1/2)+4*IF(circ_int,0,eq_c2/2)+2*PI()*(s_0+7*s_r+IF(circ_int,eq_c1/2,0)))/INDEX(lk_legs,8))-(((2*IF(circ_int,0,eq_c2/2))+(PI()*(s_0+7*s_r+IF(circ_int,eq_c1/2,0))/2))+2*IF(circ_int,0,eq_c1/2)))/(s_0+7*s_r+IF(circ_int,eq_c1/2,0))),IF(((60+0.5)*(4*IF(circ_int,0,eq_c1/2)+4*IF(circ_int,0,eq_c2/2)+2*PI()*(s_0+7*s_r+IF(circ_int,eq_c1/2,0)))/INDEX(lk_legs,8))&lt;(((((2*IF(circ_int,0,eq_c2/2))+(PI()*(s_0+7*s_r+IF(circ_int,eq_c1/2,0))/2))+2*IF(circ_int,0,eq_c1/2))+(PI()*(s_0+7*s_r+IF(circ_int,eq_c1/2,0))/2))+2*IF(circ_int,0,eq_c2/2)),-IF(circ_int,0,eq_c1/2)-(s_0+7*s_r+IF(circ_int,eq_c1/2,0)),IF(((60+0.5)*(4*IF(circ_int,0,eq_c1/2)+4*IF(circ_int,0,eq_c2/2)+2*PI()*(s_0+7*s_r+IF(circ_int,eq_c1/2,0)))/INDEX(lk_legs,8))&lt;((((((2*IF(circ_int,0,eq_c2/2))+(PI()*(s_0+7*s_r+IF(circ_int,eq_c1/2,0))/2))+2*IF(circ_int,0,eq_c1/2))+(PI()*(s_0+7*s_r+IF(circ_int,eq_c1/2,0))/2))+2*IF(circ_int,0,eq_c2/2))+(PI()*(s_0+7*s_r+IF(circ_int,eq_c1/2,0))/2)),-IF(circ_int,0,eq_c1/2)+(s_0+7*s_r+IF(circ_int,eq_c1/2,0))*COS(PI()+(((60+0.5)*(4*IF(circ_int,0,eq_c1/2)+4*IF(circ_int,0,eq_c2/2)+2*PI()*(s_0+7*s_r+IF(circ_int,eq_c1/2,0)))/INDEX(lk_legs,8))-(((((2*IF(circ_int,0,eq_c2/2))+(PI()*(s_0+7*s_r+IF(circ_int,eq_c1/2,0))/2))+2*IF(circ_int,0,eq_c1/2))+(PI()*(s_0+7*s_r+IF(circ_int,eq_c1/2,0))/2))+2*IF(circ_int,0,eq_c2/2)))/(s_0+7*s_r+IF(circ_int,eq_c1/2,0))),IF(((60+0.5)*(4*IF(circ_int,0,eq_c1/2)+4*IF(circ_int,0,eq_c2/2)+2*PI()*(s_0+7*s_r+IF(circ_int,eq_c1/2,0)))/INDEX(lk_legs,8))&lt;(((((((2*IF(circ_int,0,eq_c2/2))+(PI()*(s_0+7*s_r+IF(circ_int,eq_c1/2,0))/2))+2*IF(circ_int,0,eq_c1/2))+(PI()*(s_0+7*s_r+IF(circ_int,eq_c1/2,0))/2))+2*IF(circ_int,0,eq_c2/2))+(PI()*(s_0+7*s_r+IF(circ_int,eq_c1/2,0))/2))+2*IF(circ_int,0,eq_c1/2)),-IF(circ_int,0,eq_c1/2)+(((60+0.5)*(4*IF(circ_int,0,eq_c1/2)+4*IF(circ_int,0,eq_c2/2)+2*PI()*(s_0+7*s_r+IF(circ_int,eq_c1/2,0)))/INDEX(lk_legs,8))-((((((2*IF(circ_int,0,eq_c2/2))+(PI()*(s_0+7*s_r+IF(circ_int,eq_c1/2,0))/2))+2*IF(circ_int,0,eq_c1/2))+(PI()*(s_0+7*s_r+IF(circ_int,eq_c1/2,0))/2))+2*IF(circ_int,0,eq_c2/2))+(PI()*(s_0+7*s_r+IF(circ_int,eq_c1/2,0))/2))),IF(circ_int,0,eq_c1/2)+(s_0+7*s_r+IF(circ_int,eq_c1/2,0))*COS(3*PI()/2+(((60+0.5)*(4*IF(circ_int,0,eq_c1/2)+4*IF(circ_int,0,eq_c2/2)+2*PI()*(s_0+7*s_r+IF(circ_int,eq_c1/2,0)))/INDEX(lk_legs,8))-(((((((2*IF(circ_int,0,eq_c2/2))+(PI()*(s_0+7*s_r+IF(circ_int,eq_c1/2,0))/2))+2*IF(circ_int,0,eq_c1/2))+(PI()*(s_0+7*s_r+IF(circ_int,eq_c1/2,0))/2))+2*IF(circ_int,0,eq_c2/2))+(PI()*(s_0+7*s_r+IF(circ_int,eq_c1/2,0))/2))+2*IF(circ_int,0,eq_c1/2)))/(s_0+7*s_r+IF(circ_int,eq_c1/2,0)))))))))),NA())</f>
        <v/>
      </c>
      <c r="CQ63">
        <f>IF(AND(AND(links_on,8&lt;=n_per),INDEX(lk_kind,8)=1,60&lt;INDEX(lk_legs,8)),g_oy+IF(((60+0.5)*(4*IF(circ_int,0,eq_c1/2)+4*IF(circ_int,0,eq_c2/2)+2*PI()*(s_0+7*s_r+IF(circ_int,eq_c1/2,0)))/INDEX(lk_legs,8))&lt;(2*IF(circ_int,0,eq_c2/2)),-IF(circ_int,0,eq_c2/2)+((60+0.5)*(4*IF(circ_int,0,eq_c1/2)+4*IF(circ_int,0,eq_c2/2)+2*PI()*(s_0+7*s_r+IF(circ_int,eq_c1/2,0)))/INDEX(lk_legs,8)),IF(((60+0.5)*(4*IF(circ_int,0,eq_c1/2)+4*IF(circ_int,0,eq_c2/2)+2*PI()*(s_0+7*s_r+IF(circ_int,eq_c1/2,0)))/INDEX(lk_legs,8))&lt;((2*IF(circ_int,0,eq_c2/2))+(PI()*(s_0+7*s_r+IF(circ_int,eq_c1/2,0))/2)),IF(circ_int,0,eq_c2/2)+(s_0+7*s_r+IF(circ_int,eq_c1/2,0))*SIN((((60+0.5)*(4*IF(circ_int,0,eq_c1/2)+4*IF(circ_int,0,eq_c2/2)+2*PI()*(s_0+7*s_r+IF(circ_int,eq_c1/2,0)))/INDEX(lk_legs,8))-(2*IF(circ_int,0,eq_c2/2)))/(s_0+7*s_r+IF(circ_int,eq_c1/2,0))),IF(((60+0.5)*(4*IF(circ_int,0,eq_c1/2)+4*IF(circ_int,0,eq_c2/2)+2*PI()*(s_0+7*s_r+IF(circ_int,eq_c1/2,0)))/INDEX(lk_legs,8))&lt;(((2*IF(circ_int,0,eq_c2/2))+(PI()*(s_0+7*s_r+IF(circ_int,eq_c1/2,0))/2))+2*IF(circ_int,0,eq_c1/2)),IF(circ_int,0,eq_c2/2)+(s_0+7*s_r+IF(circ_int,eq_c1/2,0)),IF(((60+0.5)*(4*IF(circ_int,0,eq_c1/2)+4*IF(circ_int,0,eq_c2/2)+2*PI()*(s_0+7*s_r+IF(circ_int,eq_c1/2,0)))/INDEX(lk_legs,8))&lt;((((2*IF(circ_int,0,eq_c2/2))+(PI()*(s_0+7*s_r+IF(circ_int,eq_c1/2,0))/2))+2*IF(circ_int,0,eq_c1/2))+(PI()*(s_0+7*s_r+IF(circ_int,eq_c1/2,0))/2)),IF(circ_int,0,eq_c2/2)+(s_0+7*s_r+IF(circ_int,eq_c1/2,0))*SIN(PI()/2+(((60+0.5)*(4*IF(circ_int,0,eq_c1/2)+4*IF(circ_int,0,eq_c2/2)+2*PI()*(s_0+7*s_r+IF(circ_int,eq_c1/2,0)))/INDEX(lk_legs,8))-(((2*IF(circ_int,0,eq_c2/2))+(PI()*(s_0+7*s_r+IF(circ_int,eq_c1/2,0))/2))+2*IF(circ_int,0,eq_c1/2)))/(s_0+7*s_r+IF(circ_int,eq_c1/2,0))),IF(((60+0.5)*(4*IF(circ_int,0,eq_c1/2)+4*IF(circ_int,0,eq_c2/2)+2*PI()*(s_0+7*s_r+IF(circ_int,eq_c1/2,0)))/INDEX(lk_legs,8))&lt;(((((2*IF(circ_int,0,eq_c2/2))+(PI()*(s_0+7*s_r+IF(circ_int,eq_c1/2,0))/2))+2*IF(circ_int,0,eq_c1/2))+(PI()*(s_0+7*s_r+IF(circ_int,eq_c1/2,0))/2))+2*IF(circ_int,0,eq_c2/2)),IF(circ_int,0,eq_c2/2)-(((60+0.5)*(4*IF(circ_int,0,eq_c1/2)+4*IF(circ_int,0,eq_c2/2)+2*PI()*(s_0+7*s_r+IF(circ_int,eq_c1/2,0)))/INDEX(lk_legs,8))-((((2*IF(circ_int,0,eq_c2/2))+(PI()*(s_0+7*s_r+IF(circ_int,eq_c1/2,0))/2))+2*IF(circ_int,0,eq_c1/2))+(PI()*(s_0+7*s_r+IF(circ_int,eq_c1/2,0))/2))),IF(((60+0.5)*(4*IF(circ_int,0,eq_c1/2)+4*IF(circ_int,0,eq_c2/2)+2*PI()*(s_0+7*s_r+IF(circ_int,eq_c1/2,0)))/INDEX(lk_legs,8))&lt;((((((2*IF(circ_int,0,eq_c2/2))+(PI()*(s_0+7*s_r+IF(circ_int,eq_c1/2,0))/2))+2*IF(circ_int,0,eq_c1/2))+(PI()*(s_0+7*s_r+IF(circ_int,eq_c1/2,0))/2))+2*IF(circ_int,0,eq_c2/2))+(PI()*(s_0+7*s_r+IF(circ_int,eq_c1/2,0))/2)),-IF(circ_int,0,eq_c2/2)+(s_0+7*s_r+IF(circ_int,eq_c1/2,0))*SIN(PI()+(((60+0.5)*(4*IF(circ_int,0,eq_c1/2)+4*IF(circ_int,0,eq_c2/2)+2*PI()*(s_0+7*s_r+IF(circ_int,eq_c1/2,0)))/INDEX(lk_legs,8))-(((((2*IF(circ_int,0,eq_c2/2))+(PI()*(s_0+7*s_r+IF(circ_int,eq_c1/2,0))/2))+2*IF(circ_int,0,eq_c1/2))+(PI()*(s_0+7*s_r+IF(circ_int,eq_c1/2,0))/2))+2*IF(circ_int,0,eq_c2/2)))/(s_0+7*s_r+IF(circ_int,eq_c1/2,0))),IF(((60+0.5)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(60+0.5)*(4*IF(circ_int,0,eq_c1/2)+4*IF(circ_int,0,eq_c2/2)+2*PI()*(s_0+7*s_r+IF(circ_int,eq_c1/2,0)))/INDEX(lk_legs,8))-(((((((2*IF(circ_int,0,eq_c2/2))+(PI()*(s_0+7*s_r+IF(circ_int,eq_c1/2,0))/2))+2*IF(circ_int,0,eq_c1/2))+(PI()*(s_0+7*s_r+IF(circ_int,eq_c1/2,0))/2))+2*IF(circ_int,0,eq_c2/2))+(PI()*(s_0+7*s_r+IF(circ_int,eq_c1/2,0))/2))+2*IF(circ_int,0,eq_c1/2)))/(s_0+7*s_r+IF(circ_int,eq_c1/2,0)))))))))),NA())</f>
        <v/>
      </c>
      <c r="CV63">
        <f>IF(AND(AND(links_on,9&lt;=n_per),INDEX(lk_kind,9)=1,60&lt;INDEX(lk_legs,9)),g_ox+IF(((60+0.5)*(4*IF(circ_int,0,eq_c1/2)+4*IF(circ_int,0,eq_c2/2)+2*PI()*(s_0+8*s_r+IF(circ_int,eq_c1/2,0)))/INDEX(lk_legs,9))&lt;(2*IF(circ_int,0,eq_c2/2)),IF(circ_int,0,eq_c1/2)+(s_0+8*s_r+IF(circ_int,eq_c1/2,0)),IF(((60+0.5)*(4*IF(circ_int,0,eq_c1/2)+4*IF(circ_int,0,eq_c2/2)+2*PI()*(s_0+8*s_r+IF(circ_int,eq_c1/2,0)))/INDEX(lk_legs,9))&lt;((2*IF(circ_int,0,eq_c2/2))+(PI()*(s_0+8*s_r+IF(circ_int,eq_c1/2,0))/2)),IF(circ_int,0,eq_c1/2)+(s_0+8*s_r+IF(circ_int,eq_c1/2,0))*COS((((60+0.5)*(4*IF(circ_int,0,eq_c1/2)+4*IF(circ_int,0,eq_c2/2)+2*PI()*(s_0+8*s_r+IF(circ_int,eq_c1/2,0)))/INDEX(lk_legs,9))-(2*IF(circ_int,0,eq_c2/2)))/(s_0+8*s_r+IF(circ_int,eq_c1/2,0))),IF(((60+0.5)*(4*IF(circ_int,0,eq_c1/2)+4*IF(circ_int,0,eq_c2/2)+2*PI()*(s_0+8*s_r+IF(circ_int,eq_c1/2,0)))/INDEX(lk_legs,9))&lt;(((2*IF(circ_int,0,eq_c2/2))+(PI()*(s_0+8*s_r+IF(circ_int,eq_c1/2,0))/2))+2*IF(circ_int,0,eq_c1/2)),IF(circ_int,0,eq_c1/2)-(((60+0.5)*(4*IF(circ_int,0,eq_c1/2)+4*IF(circ_int,0,eq_c2/2)+2*PI()*(s_0+8*s_r+IF(circ_int,eq_c1/2,0)))/INDEX(lk_legs,9))-((2*IF(circ_int,0,eq_c2/2))+(PI()*(s_0+8*s_r+IF(circ_int,eq_c1/2,0))/2))),IF(((60+0.5)*(4*IF(circ_int,0,eq_c1/2)+4*IF(circ_int,0,eq_c2/2)+2*PI()*(s_0+8*s_r+IF(circ_int,eq_c1/2,0)))/INDEX(lk_legs,9))&lt;((((2*IF(circ_int,0,eq_c2/2))+(PI()*(s_0+8*s_r+IF(circ_int,eq_c1/2,0))/2))+2*IF(circ_int,0,eq_c1/2))+(PI()*(s_0+8*s_r+IF(circ_int,eq_c1/2,0))/2)),-IF(circ_int,0,eq_c1/2)+(s_0+8*s_r+IF(circ_int,eq_c1/2,0))*COS(PI()/2+(((60+0.5)*(4*IF(circ_int,0,eq_c1/2)+4*IF(circ_int,0,eq_c2/2)+2*PI()*(s_0+8*s_r+IF(circ_int,eq_c1/2,0)))/INDEX(lk_legs,9))-(((2*IF(circ_int,0,eq_c2/2))+(PI()*(s_0+8*s_r+IF(circ_int,eq_c1/2,0))/2))+2*IF(circ_int,0,eq_c1/2)))/(s_0+8*s_r+IF(circ_int,eq_c1/2,0))),IF(((60+0.5)*(4*IF(circ_int,0,eq_c1/2)+4*IF(circ_int,0,eq_c2/2)+2*PI()*(s_0+8*s_r+IF(circ_int,eq_c1/2,0)))/INDEX(lk_legs,9))&lt;(((((2*IF(circ_int,0,eq_c2/2))+(PI()*(s_0+8*s_r+IF(circ_int,eq_c1/2,0))/2))+2*IF(circ_int,0,eq_c1/2))+(PI()*(s_0+8*s_r+IF(circ_int,eq_c1/2,0))/2))+2*IF(circ_int,0,eq_c2/2)),-IF(circ_int,0,eq_c1/2)-(s_0+8*s_r+IF(circ_int,eq_c1/2,0)),IF(((60+0.5)*(4*IF(circ_int,0,eq_c1/2)+4*IF(circ_int,0,eq_c2/2)+2*PI()*(s_0+8*s_r+IF(circ_int,eq_c1/2,0)))/INDEX(lk_legs,9))&lt;((((((2*IF(circ_int,0,eq_c2/2))+(PI()*(s_0+8*s_r+IF(circ_int,eq_c1/2,0))/2))+2*IF(circ_int,0,eq_c1/2))+(PI()*(s_0+8*s_r+IF(circ_int,eq_c1/2,0))/2))+2*IF(circ_int,0,eq_c2/2))+(PI()*(s_0+8*s_r+IF(circ_int,eq_c1/2,0))/2)),-IF(circ_int,0,eq_c1/2)+(s_0+8*s_r+IF(circ_int,eq_c1/2,0))*COS(PI()+(((60+0.5)*(4*IF(circ_int,0,eq_c1/2)+4*IF(circ_int,0,eq_c2/2)+2*PI()*(s_0+8*s_r+IF(circ_int,eq_c1/2,0)))/INDEX(lk_legs,9))-(((((2*IF(circ_int,0,eq_c2/2))+(PI()*(s_0+8*s_r+IF(circ_int,eq_c1/2,0))/2))+2*IF(circ_int,0,eq_c1/2))+(PI()*(s_0+8*s_r+IF(circ_int,eq_c1/2,0))/2))+2*IF(circ_int,0,eq_c2/2)))/(s_0+8*s_r+IF(circ_int,eq_c1/2,0))),IF(((60+0.5)*(4*IF(circ_int,0,eq_c1/2)+4*IF(circ_int,0,eq_c2/2)+2*PI()*(s_0+8*s_r+IF(circ_int,eq_c1/2,0)))/INDEX(lk_legs,9))&lt;(((((((2*IF(circ_int,0,eq_c2/2))+(PI()*(s_0+8*s_r+IF(circ_int,eq_c1/2,0))/2))+2*IF(circ_int,0,eq_c1/2))+(PI()*(s_0+8*s_r+IF(circ_int,eq_c1/2,0))/2))+2*IF(circ_int,0,eq_c2/2))+(PI()*(s_0+8*s_r+IF(circ_int,eq_c1/2,0))/2))+2*IF(circ_int,0,eq_c1/2)),-IF(circ_int,0,eq_c1/2)+(((60+0.5)*(4*IF(circ_int,0,eq_c1/2)+4*IF(circ_int,0,eq_c2/2)+2*PI()*(s_0+8*s_r+IF(circ_int,eq_c1/2,0)))/INDEX(lk_legs,9))-((((((2*IF(circ_int,0,eq_c2/2))+(PI()*(s_0+8*s_r+IF(circ_int,eq_c1/2,0))/2))+2*IF(circ_int,0,eq_c1/2))+(PI()*(s_0+8*s_r+IF(circ_int,eq_c1/2,0))/2))+2*IF(circ_int,0,eq_c2/2))+(PI()*(s_0+8*s_r+IF(circ_int,eq_c1/2,0))/2))),IF(circ_int,0,eq_c1/2)+(s_0+8*s_r+IF(circ_int,eq_c1/2,0))*COS(3*PI()/2+(((60+0.5)*(4*IF(circ_int,0,eq_c1/2)+4*IF(circ_int,0,eq_c2/2)+2*PI()*(s_0+8*s_r+IF(circ_int,eq_c1/2,0)))/INDEX(lk_legs,9))-(((((((2*IF(circ_int,0,eq_c2/2))+(PI()*(s_0+8*s_r+IF(circ_int,eq_c1/2,0))/2))+2*IF(circ_int,0,eq_c1/2))+(PI()*(s_0+8*s_r+IF(circ_int,eq_c1/2,0))/2))+2*IF(circ_int,0,eq_c2/2))+(PI()*(s_0+8*s_r+IF(circ_int,eq_c1/2,0))/2))+2*IF(circ_int,0,eq_c1/2)))/(s_0+8*s_r+IF(circ_int,eq_c1/2,0)))))))))),NA())</f>
        <v/>
      </c>
      <c r="CW63">
        <f>IF(AND(AND(links_on,9&lt;=n_per),INDEX(lk_kind,9)=1,60&lt;INDEX(lk_legs,9)),g_oy+IF(((60+0.5)*(4*IF(circ_int,0,eq_c1/2)+4*IF(circ_int,0,eq_c2/2)+2*PI()*(s_0+8*s_r+IF(circ_int,eq_c1/2,0)))/INDEX(lk_legs,9))&lt;(2*IF(circ_int,0,eq_c2/2)),-IF(circ_int,0,eq_c2/2)+((60+0.5)*(4*IF(circ_int,0,eq_c1/2)+4*IF(circ_int,0,eq_c2/2)+2*PI()*(s_0+8*s_r+IF(circ_int,eq_c1/2,0)))/INDEX(lk_legs,9)),IF(((60+0.5)*(4*IF(circ_int,0,eq_c1/2)+4*IF(circ_int,0,eq_c2/2)+2*PI()*(s_0+8*s_r+IF(circ_int,eq_c1/2,0)))/INDEX(lk_legs,9))&lt;((2*IF(circ_int,0,eq_c2/2))+(PI()*(s_0+8*s_r+IF(circ_int,eq_c1/2,0))/2)),IF(circ_int,0,eq_c2/2)+(s_0+8*s_r+IF(circ_int,eq_c1/2,0))*SIN((((60+0.5)*(4*IF(circ_int,0,eq_c1/2)+4*IF(circ_int,0,eq_c2/2)+2*PI()*(s_0+8*s_r+IF(circ_int,eq_c1/2,0)))/INDEX(lk_legs,9))-(2*IF(circ_int,0,eq_c2/2)))/(s_0+8*s_r+IF(circ_int,eq_c1/2,0))),IF(((60+0.5)*(4*IF(circ_int,0,eq_c1/2)+4*IF(circ_int,0,eq_c2/2)+2*PI()*(s_0+8*s_r+IF(circ_int,eq_c1/2,0)))/INDEX(lk_legs,9))&lt;(((2*IF(circ_int,0,eq_c2/2))+(PI()*(s_0+8*s_r+IF(circ_int,eq_c1/2,0))/2))+2*IF(circ_int,0,eq_c1/2)),IF(circ_int,0,eq_c2/2)+(s_0+8*s_r+IF(circ_int,eq_c1/2,0)),IF(((60+0.5)*(4*IF(circ_int,0,eq_c1/2)+4*IF(circ_int,0,eq_c2/2)+2*PI()*(s_0+8*s_r+IF(circ_int,eq_c1/2,0)))/INDEX(lk_legs,9))&lt;((((2*IF(circ_int,0,eq_c2/2))+(PI()*(s_0+8*s_r+IF(circ_int,eq_c1/2,0))/2))+2*IF(circ_int,0,eq_c1/2))+(PI()*(s_0+8*s_r+IF(circ_int,eq_c1/2,0))/2)),IF(circ_int,0,eq_c2/2)+(s_0+8*s_r+IF(circ_int,eq_c1/2,0))*SIN(PI()/2+(((60+0.5)*(4*IF(circ_int,0,eq_c1/2)+4*IF(circ_int,0,eq_c2/2)+2*PI()*(s_0+8*s_r+IF(circ_int,eq_c1/2,0)))/INDEX(lk_legs,9))-(((2*IF(circ_int,0,eq_c2/2))+(PI()*(s_0+8*s_r+IF(circ_int,eq_c1/2,0))/2))+2*IF(circ_int,0,eq_c1/2)))/(s_0+8*s_r+IF(circ_int,eq_c1/2,0))),IF(((60+0.5)*(4*IF(circ_int,0,eq_c1/2)+4*IF(circ_int,0,eq_c2/2)+2*PI()*(s_0+8*s_r+IF(circ_int,eq_c1/2,0)))/INDEX(lk_legs,9))&lt;(((((2*IF(circ_int,0,eq_c2/2))+(PI()*(s_0+8*s_r+IF(circ_int,eq_c1/2,0))/2))+2*IF(circ_int,0,eq_c1/2))+(PI()*(s_0+8*s_r+IF(circ_int,eq_c1/2,0))/2))+2*IF(circ_int,0,eq_c2/2)),IF(circ_int,0,eq_c2/2)-(((60+0.5)*(4*IF(circ_int,0,eq_c1/2)+4*IF(circ_int,0,eq_c2/2)+2*PI()*(s_0+8*s_r+IF(circ_int,eq_c1/2,0)))/INDEX(lk_legs,9))-((((2*IF(circ_int,0,eq_c2/2))+(PI()*(s_0+8*s_r+IF(circ_int,eq_c1/2,0))/2))+2*IF(circ_int,0,eq_c1/2))+(PI()*(s_0+8*s_r+IF(circ_int,eq_c1/2,0))/2))),IF(((60+0.5)*(4*IF(circ_int,0,eq_c1/2)+4*IF(circ_int,0,eq_c2/2)+2*PI()*(s_0+8*s_r+IF(circ_int,eq_c1/2,0)))/INDEX(lk_legs,9))&lt;((((((2*IF(circ_int,0,eq_c2/2))+(PI()*(s_0+8*s_r+IF(circ_int,eq_c1/2,0))/2))+2*IF(circ_int,0,eq_c1/2))+(PI()*(s_0+8*s_r+IF(circ_int,eq_c1/2,0))/2))+2*IF(circ_int,0,eq_c2/2))+(PI()*(s_0+8*s_r+IF(circ_int,eq_c1/2,0))/2)),-IF(circ_int,0,eq_c2/2)+(s_0+8*s_r+IF(circ_int,eq_c1/2,0))*SIN(PI()+(((60+0.5)*(4*IF(circ_int,0,eq_c1/2)+4*IF(circ_int,0,eq_c2/2)+2*PI()*(s_0+8*s_r+IF(circ_int,eq_c1/2,0)))/INDEX(lk_legs,9))-(((((2*IF(circ_int,0,eq_c2/2))+(PI()*(s_0+8*s_r+IF(circ_int,eq_c1/2,0))/2))+2*IF(circ_int,0,eq_c1/2))+(PI()*(s_0+8*s_r+IF(circ_int,eq_c1/2,0))/2))+2*IF(circ_int,0,eq_c2/2)))/(s_0+8*s_r+IF(circ_int,eq_c1/2,0))),IF(((60+0.5)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(60+0.5)*(4*IF(circ_int,0,eq_c1/2)+4*IF(circ_int,0,eq_c2/2)+2*PI()*(s_0+8*s_r+IF(circ_int,eq_c1/2,0)))/INDEX(lk_legs,9))-(((((((2*IF(circ_int,0,eq_c2/2))+(PI()*(s_0+8*s_r+IF(circ_int,eq_c1/2,0))/2))+2*IF(circ_int,0,eq_c1/2))+(PI()*(s_0+8*s_r+IF(circ_int,eq_c1/2,0))/2))+2*IF(circ_int,0,eq_c2/2))+(PI()*(s_0+8*s_r+IF(circ_int,eq_c1/2,0))/2))+2*IF(circ_int,0,eq_c1/2)))/(s_0+8*s_r+IF(circ_int,eq_c1/2,0)))))))))),NA())</f>
        <v/>
      </c>
      <c r="DB63">
        <f>IF(AND(AND(links_on,10&lt;=n_per),INDEX(lk_kind,10)=1,60&lt;INDEX(lk_legs,10)),g_ox+IF(((60+0.5)*(4*IF(circ_int,0,eq_c1/2)+4*IF(circ_int,0,eq_c2/2)+2*PI()*(s_0+9*s_r+IF(circ_int,eq_c1/2,0)))/INDEX(lk_legs,10))&lt;(2*IF(circ_int,0,eq_c2/2)),IF(circ_int,0,eq_c1/2)+(s_0+9*s_r+IF(circ_int,eq_c1/2,0)),IF(((60+0.5)*(4*IF(circ_int,0,eq_c1/2)+4*IF(circ_int,0,eq_c2/2)+2*PI()*(s_0+9*s_r+IF(circ_int,eq_c1/2,0)))/INDEX(lk_legs,10))&lt;((2*IF(circ_int,0,eq_c2/2))+(PI()*(s_0+9*s_r+IF(circ_int,eq_c1/2,0))/2)),IF(circ_int,0,eq_c1/2)+(s_0+9*s_r+IF(circ_int,eq_c1/2,0))*COS((((60+0.5)*(4*IF(circ_int,0,eq_c1/2)+4*IF(circ_int,0,eq_c2/2)+2*PI()*(s_0+9*s_r+IF(circ_int,eq_c1/2,0)))/INDEX(lk_legs,10))-(2*IF(circ_int,0,eq_c2/2)))/(s_0+9*s_r+IF(circ_int,eq_c1/2,0))),IF(((60+0.5)*(4*IF(circ_int,0,eq_c1/2)+4*IF(circ_int,0,eq_c2/2)+2*PI()*(s_0+9*s_r+IF(circ_int,eq_c1/2,0)))/INDEX(lk_legs,10))&lt;(((2*IF(circ_int,0,eq_c2/2))+(PI()*(s_0+9*s_r+IF(circ_int,eq_c1/2,0))/2))+2*IF(circ_int,0,eq_c1/2)),IF(circ_int,0,eq_c1/2)-(((60+0.5)*(4*IF(circ_int,0,eq_c1/2)+4*IF(circ_int,0,eq_c2/2)+2*PI()*(s_0+9*s_r+IF(circ_int,eq_c1/2,0)))/INDEX(lk_legs,10))-((2*IF(circ_int,0,eq_c2/2))+(PI()*(s_0+9*s_r+IF(circ_int,eq_c1/2,0))/2))),IF(((60+0.5)*(4*IF(circ_int,0,eq_c1/2)+4*IF(circ_int,0,eq_c2/2)+2*PI()*(s_0+9*s_r+IF(circ_int,eq_c1/2,0)))/INDEX(lk_legs,10))&lt;((((2*IF(circ_int,0,eq_c2/2))+(PI()*(s_0+9*s_r+IF(circ_int,eq_c1/2,0))/2))+2*IF(circ_int,0,eq_c1/2))+(PI()*(s_0+9*s_r+IF(circ_int,eq_c1/2,0))/2)),-IF(circ_int,0,eq_c1/2)+(s_0+9*s_r+IF(circ_int,eq_c1/2,0))*COS(PI()/2+(((60+0.5)*(4*IF(circ_int,0,eq_c1/2)+4*IF(circ_int,0,eq_c2/2)+2*PI()*(s_0+9*s_r+IF(circ_int,eq_c1/2,0)))/INDEX(lk_legs,10))-(((2*IF(circ_int,0,eq_c2/2))+(PI()*(s_0+9*s_r+IF(circ_int,eq_c1/2,0))/2))+2*IF(circ_int,0,eq_c1/2)))/(s_0+9*s_r+IF(circ_int,eq_c1/2,0))),IF(((60+0.5)*(4*IF(circ_int,0,eq_c1/2)+4*IF(circ_int,0,eq_c2/2)+2*PI()*(s_0+9*s_r+IF(circ_int,eq_c1/2,0)))/INDEX(lk_legs,10))&lt;(((((2*IF(circ_int,0,eq_c2/2))+(PI()*(s_0+9*s_r+IF(circ_int,eq_c1/2,0))/2))+2*IF(circ_int,0,eq_c1/2))+(PI()*(s_0+9*s_r+IF(circ_int,eq_c1/2,0))/2))+2*IF(circ_int,0,eq_c2/2)),-IF(circ_int,0,eq_c1/2)-(s_0+9*s_r+IF(circ_int,eq_c1/2,0)),IF(((60+0.5)*(4*IF(circ_int,0,eq_c1/2)+4*IF(circ_int,0,eq_c2/2)+2*PI()*(s_0+9*s_r+IF(circ_int,eq_c1/2,0)))/INDEX(lk_legs,10))&lt;((((((2*IF(circ_int,0,eq_c2/2))+(PI()*(s_0+9*s_r+IF(circ_int,eq_c1/2,0))/2))+2*IF(circ_int,0,eq_c1/2))+(PI()*(s_0+9*s_r+IF(circ_int,eq_c1/2,0))/2))+2*IF(circ_int,0,eq_c2/2))+(PI()*(s_0+9*s_r+IF(circ_int,eq_c1/2,0))/2)),-IF(circ_int,0,eq_c1/2)+(s_0+9*s_r+IF(circ_int,eq_c1/2,0))*COS(PI()+(((60+0.5)*(4*IF(circ_int,0,eq_c1/2)+4*IF(circ_int,0,eq_c2/2)+2*PI()*(s_0+9*s_r+IF(circ_int,eq_c1/2,0)))/INDEX(lk_legs,10))-(((((2*IF(circ_int,0,eq_c2/2))+(PI()*(s_0+9*s_r+IF(circ_int,eq_c1/2,0))/2))+2*IF(circ_int,0,eq_c1/2))+(PI()*(s_0+9*s_r+IF(circ_int,eq_c1/2,0))/2))+2*IF(circ_int,0,eq_c2/2)))/(s_0+9*s_r+IF(circ_int,eq_c1/2,0))),IF(((60+0.5)*(4*IF(circ_int,0,eq_c1/2)+4*IF(circ_int,0,eq_c2/2)+2*PI()*(s_0+9*s_r+IF(circ_int,eq_c1/2,0)))/INDEX(lk_legs,10))&lt;(((((((2*IF(circ_int,0,eq_c2/2))+(PI()*(s_0+9*s_r+IF(circ_int,eq_c1/2,0))/2))+2*IF(circ_int,0,eq_c1/2))+(PI()*(s_0+9*s_r+IF(circ_int,eq_c1/2,0))/2))+2*IF(circ_int,0,eq_c2/2))+(PI()*(s_0+9*s_r+IF(circ_int,eq_c1/2,0))/2))+2*IF(circ_int,0,eq_c1/2)),-IF(circ_int,0,eq_c1/2)+(((60+0.5)*(4*IF(circ_int,0,eq_c1/2)+4*IF(circ_int,0,eq_c2/2)+2*PI()*(s_0+9*s_r+IF(circ_int,eq_c1/2,0)))/INDEX(lk_legs,10))-((((((2*IF(circ_int,0,eq_c2/2))+(PI()*(s_0+9*s_r+IF(circ_int,eq_c1/2,0))/2))+2*IF(circ_int,0,eq_c1/2))+(PI()*(s_0+9*s_r+IF(circ_int,eq_c1/2,0))/2))+2*IF(circ_int,0,eq_c2/2))+(PI()*(s_0+9*s_r+IF(circ_int,eq_c1/2,0))/2))),IF(circ_int,0,eq_c1/2)+(s_0+9*s_r+IF(circ_int,eq_c1/2,0))*COS(3*PI()/2+(((60+0.5)*(4*IF(circ_int,0,eq_c1/2)+4*IF(circ_int,0,eq_c2/2)+2*PI()*(s_0+9*s_r+IF(circ_int,eq_c1/2,0)))/INDEX(lk_legs,10))-(((((((2*IF(circ_int,0,eq_c2/2))+(PI()*(s_0+9*s_r+IF(circ_int,eq_c1/2,0))/2))+2*IF(circ_int,0,eq_c1/2))+(PI()*(s_0+9*s_r+IF(circ_int,eq_c1/2,0))/2))+2*IF(circ_int,0,eq_c2/2))+(PI()*(s_0+9*s_r+IF(circ_int,eq_c1/2,0))/2))+2*IF(circ_int,0,eq_c1/2)))/(s_0+9*s_r+IF(circ_int,eq_c1/2,0)))))))))),NA())</f>
        <v/>
      </c>
      <c r="DC63">
        <f>IF(AND(AND(links_on,10&lt;=n_per),INDEX(lk_kind,10)=1,60&lt;INDEX(lk_legs,10)),g_oy+IF(((60+0.5)*(4*IF(circ_int,0,eq_c1/2)+4*IF(circ_int,0,eq_c2/2)+2*PI()*(s_0+9*s_r+IF(circ_int,eq_c1/2,0)))/INDEX(lk_legs,10))&lt;(2*IF(circ_int,0,eq_c2/2)),-IF(circ_int,0,eq_c2/2)+((60+0.5)*(4*IF(circ_int,0,eq_c1/2)+4*IF(circ_int,0,eq_c2/2)+2*PI()*(s_0+9*s_r+IF(circ_int,eq_c1/2,0)))/INDEX(lk_legs,10)),IF(((60+0.5)*(4*IF(circ_int,0,eq_c1/2)+4*IF(circ_int,0,eq_c2/2)+2*PI()*(s_0+9*s_r+IF(circ_int,eq_c1/2,0)))/INDEX(lk_legs,10))&lt;((2*IF(circ_int,0,eq_c2/2))+(PI()*(s_0+9*s_r+IF(circ_int,eq_c1/2,0))/2)),IF(circ_int,0,eq_c2/2)+(s_0+9*s_r+IF(circ_int,eq_c1/2,0))*SIN((((60+0.5)*(4*IF(circ_int,0,eq_c1/2)+4*IF(circ_int,0,eq_c2/2)+2*PI()*(s_0+9*s_r+IF(circ_int,eq_c1/2,0)))/INDEX(lk_legs,10))-(2*IF(circ_int,0,eq_c2/2)))/(s_0+9*s_r+IF(circ_int,eq_c1/2,0))),IF(((60+0.5)*(4*IF(circ_int,0,eq_c1/2)+4*IF(circ_int,0,eq_c2/2)+2*PI()*(s_0+9*s_r+IF(circ_int,eq_c1/2,0)))/INDEX(lk_legs,10))&lt;(((2*IF(circ_int,0,eq_c2/2))+(PI()*(s_0+9*s_r+IF(circ_int,eq_c1/2,0))/2))+2*IF(circ_int,0,eq_c1/2)),IF(circ_int,0,eq_c2/2)+(s_0+9*s_r+IF(circ_int,eq_c1/2,0)),IF(((60+0.5)*(4*IF(circ_int,0,eq_c1/2)+4*IF(circ_int,0,eq_c2/2)+2*PI()*(s_0+9*s_r+IF(circ_int,eq_c1/2,0)))/INDEX(lk_legs,10))&lt;((((2*IF(circ_int,0,eq_c2/2))+(PI()*(s_0+9*s_r+IF(circ_int,eq_c1/2,0))/2))+2*IF(circ_int,0,eq_c1/2))+(PI()*(s_0+9*s_r+IF(circ_int,eq_c1/2,0))/2)),IF(circ_int,0,eq_c2/2)+(s_0+9*s_r+IF(circ_int,eq_c1/2,0))*SIN(PI()/2+(((60+0.5)*(4*IF(circ_int,0,eq_c1/2)+4*IF(circ_int,0,eq_c2/2)+2*PI()*(s_0+9*s_r+IF(circ_int,eq_c1/2,0)))/INDEX(lk_legs,10))-(((2*IF(circ_int,0,eq_c2/2))+(PI()*(s_0+9*s_r+IF(circ_int,eq_c1/2,0))/2))+2*IF(circ_int,0,eq_c1/2)))/(s_0+9*s_r+IF(circ_int,eq_c1/2,0))),IF(((60+0.5)*(4*IF(circ_int,0,eq_c1/2)+4*IF(circ_int,0,eq_c2/2)+2*PI()*(s_0+9*s_r+IF(circ_int,eq_c1/2,0)))/INDEX(lk_legs,10))&lt;(((((2*IF(circ_int,0,eq_c2/2))+(PI()*(s_0+9*s_r+IF(circ_int,eq_c1/2,0))/2))+2*IF(circ_int,0,eq_c1/2))+(PI()*(s_0+9*s_r+IF(circ_int,eq_c1/2,0))/2))+2*IF(circ_int,0,eq_c2/2)),IF(circ_int,0,eq_c2/2)-(((60+0.5)*(4*IF(circ_int,0,eq_c1/2)+4*IF(circ_int,0,eq_c2/2)+2*PI()*(s_0+9*s_r+IF(circ_int,eq_c1/2,0)))/INDEX(lk_legs,10))-((((2*IF(circ_int,0,eq_c2/2))+(PI()*(s_0+9*s_r+IF(circ_int,eq_c1/2,0))/2))+2*IF(circ_int,0,eq_c1/2))+(PI()*(s_0+9*s_r+IF(circ_int,eq_c1/2,0))/2))),IF(((60+0.5)*(4*IF(circ_int,0,eq_c1/2)+4*IF(circ_int,0,eq_c2/2)+2*PI()*(s_0+9*s_r+IF(circ_int,eq_c1/2,0)))/INDEX(lk_legs,10))&lt;((((((2*IF(circ_int,0,eq_c2/2))+(PI()*(s_0+9*s_r+IF(circ_int,eq_c1/2,0))/2))+2*IF(circ_int,0,eq_c1/2))+(PI()*(s_0+9*s_r+IF(circ_int,eq_c1/2,0))/2))+2*IF(circ_int,0,eq_c2/2))+(PI()*(s_0+9*s_r+IF(circ_int,eq_c1/2,0))/2)),-IF(circ_int,0,eq_c2/2)+(s_0+9*s_r+IF(circ_int,eq_c1/2,0))*SIN(PI()+(((60+0.5)*(4*IF(circ_int,0,eq_c1/2)+4*IF(circ_int,0,eq_c2/2)+2*PI()*(s_0+9*s_r+IF(circ_int,eq_c1/2,0)))/INDEX(lk_legs,10))-(((((2*IF(circ_int,0,eq_c2/2))+(PI()*(s_0+9*s_r+IF(circ_int,eq_c1/2,0))/2))+2*IF(circ_int,0,eq_c1/2))+(PI()*(s_0+9*s_r+IF(circ_int,eq_c1/2,0))/2))+2*IF(circ_int,0,eq_c2/2)))/(s_0+9*s_r+IF(circ_int,eq_c1/2,0))),IF(((60+0.5)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(60+0.5)*(4*IF(circ_int,0,eq_c1/2)+4*IF(circ_int,0,eq_c2/2)+2*PI()*(s_0+9*s_r+IF(circ_int,eq_c1/2,0)))/INDEX(lk_legs,10))-(((((((2*IF(circ_int,0,eq_c2/2))+(PI()*(s_0+9*s_r+IF(circ_int,eq_c1/2,0))/2))+2*IF(circ_int,0,eq_c1/2))+(PI()*(s_0+9*s_r+IF(circ_int,eq_c1/2,0))/2))+2*IF(circ_int,0,eq_c2/2))+(PI()*(s_0+9*s_r+IF(circ_int,eq_c1/2,0))/2))+2*IF(circ_int,0,eq_c1/2)))/(s_0+9*s_r+IF(circ_int,eq_c1/2,0)))))))))),NA())</f>
        <v/>
      </c>
      <c r="DH63">
        <f>IF(AND(AND(links_on,11&lt;=n_per),INDEX(lk_kind,11)=1,60&lt;INDEX(lk_legs,11)),g_ox+IF(((60+0.5)*(4*IF(circ_int,0,eq_c1/2)+4*IF(circ_int,0,eq_c2/2)+2*PI()*(s_0+10*s_r+IF(circ_int,eq_c1/2,0)))/INDEX(lk_legs,11))&lt;(2*IF(circ_int,0,eq_c2/2)),IF(circ_int,0,eq_c1/2)+(s_0+10*s_r+IF(circ_int,eq_c1/2,0)),IF(((60+0.5)*(4*IF(circ_int,0,eq_c1/2)+4*IF(circ_int,0,eq_c2/2)+2*PI()*(s_0+10*s_r+IF(circ_int,eq_c1/2,0)))/INDEX(lk_legs,11))&lt;((2*IF(circ_int,0,eq_c2/2))+(PI()*(s_0+10*s_r+IF(circ_int,eq_c1/2,0))/2)),IF(circ_int,0,eq_c1/2)+(s_0+10*s_r+IF(circ_int,eq_c1/2,0))*COS((((60+0.5)*(4*IF(circ_int,0,eq_c1/2)+4*IF(circ_int,0,eq_c2/2)+2*PI()*(s_0+10*s_r+IF(circ_int,eq_c1/2,0)))/INDEX(lk_legs,11))-(2*IF(circ_int,0,eq_c2/2)))/(s_0+10*s_r+IF(circ_int,eq_c1/2,0))),IF(((60+0.5)*(4*IF(circ_int,0,eq_c1/2)+4*IF(circ_int,0,eq_c2/2)+2*PI()*(s_0+10*s_r+IF(circ_int,eq_c1/2,0)))/INDEX(lk_legs,11))&lt;(((2*IF(circ_int,0,eq_c2/2))+(PI()*(s_0+10*s_r+IF(circ_int,eq_c1/2,0))/2))+2*IF(circ_int,0,eq_c1/2)),IF(circ_int,0,eq_c1/2)-(((60+0.5)*(4*IF(circ_int,0,eq_c1/2)+4*IF(circ_int,0,eq_c2/2)+2*PI()*(s_0+10*s_r+IF(circ_int,eq_c1/2,0)))/INDEX(lk_legs,11))-((2*IF(circ_int,0,eq_c2/2))+(PI()*(s_0+10*s_r+IF(circ_int,eq_c1/2,0))/2))),IF(((60+0.5)*(4*IF(circ_int,0,eq_c1/2)+4*IF(circ_int,0,eq_c2/2)+2*PI()*(s_0+10*s_r+IF(circ_int,eq_c1/2,0)))/INDEX(lk_legs,11))&lt;((((2*IF(circ_int,0,eq_c2/2))+(PI()*(s_0+10*s_r+IF(circ_int,eq_c1/2,0))/2))+2*IF(circ_int,0,eq_c1/2))+(PI()*(s_0+10*s_r+IF(circ_int,eq_c1/2,0))/2)),-IF(circ_int,0,eq_c1/2)+(s_0+10*s_r+IF(circ_int,eq_c1/2,0))*COS(PI()/2+(((60+0.5)*(4*IF(circ_int,0,eq_c1/2)+4*IF(circ_int,0,eq_c2/2)+2*PI()*(s_0+10*s_r+IF(circ_int,eq_c1/2,0)))/INDEX(lk_legs,11))-(((2*IF(circ_int,0,eq_c2/2))+(PI()*(s_0+10*s_r+IF(circ_int,eq_c1/2,0))/2))+2*IF(circ_int,0,eq_c1/2)))/(s_0+10*s_r+IF(circ_int,eq_c1/2,0))),IF(((60+0.5)*(4*IF(circ_int,0,eq_c1/2)+4*IF(circ_int,0,eq_c2/2)+2*PI()*(s_0+10*s_r+IF(circ_int,eq_c1/2,0)))/INDEX(lk_legs,11))&lt;(((((2*IF(circ_int,0,eq_c2/2))+(PI()*(s_0+10*s_r+IF(circ_int,eq_c1/2,0))/2))+2*IF(circ_int,0,eq_c1/2))+(PI()*(s_0+10*s_r+IF(circ_int,eq_c1/2,0))/2))+2*IF(circ_int,0,eq_c2/2)),-IF(circ_int,0,eq_c1/2)-(s_0+10*s_r+IF(circ_int,eq_c1/2,0)),IF(((60+0.5)*(4*IF(circ_int,0,eq_c1/2)+4*IF(circ_int,0,eq_c2/2)+2*PI()*(s_0+10*s_r+IF(circ_int,eq_c1/2,0)))/INDEX(lk_legs,11))&lt;((((((2*IF(circ_int,0,eq_c2/2))+(PI()*(s_0+10*s_r+IF(circ_int,eq_c1/2,0))/2))+2*IF(circ_int,0,eq_c1/2))+(PI()*(s_0+10*s_r+IF(circ_int,eq_c1/2,0))/2))+2*IF(circ_int,0,eq_c2/2))+(PI()*(s_0+10*s_r+IF(circ_int,eq_c1/2,0))/2)),-IF(circ_int,0,eq_c1/2)+(s_0+10*s_r+IF(circ_int,eq_c1/2,0))*COS(PI()+(((60+0.5)*(4*IF(circ_int,0,eq_c1/2)+4*IF(circ_int,0,eq_c2/2)+2*PI()*(s_0+10*s_r+IF(circ_int,eq_c1/2,0)))/INDEX(lk_legs,11))-(((((2*IF(circ_int,0,eq_c2/2))+(PI()*(s_0+10*s_r+IF(circ_int,eq_c1/2,0))/2))+2*IF(circ_int,0,eq_c1/2))+(PI()*(s_0+10*s_r+IF(circ_int,eq_c1/2,0))/2))+2*IF(circ_int,0,eq_c2/2)))/(s_0+10*s_r+IF(circ_int,eq_c1/2,0))),IF(((60+0.5)*(4*IF(circ_int,0,eq_c1/2)+4*IF(circ_int,0,eq_c2/2)+2*PI()*(s_0+10*s_r+IF(circ_int,eq_c1/2,0)))/INDEX(lk_legs,11))&lt;(((((((2*IF(circ_int,0,eq_c2/2))+(PI()*(s_0+10*s_r+IF(circ_int,eq_c1/2,0))/2))+2*IF(circ_int,0,eq_c1/2))+(PI()*(s_0+10*s_r+IF(circ_int,eq_c1/2,0))/2))+2*IF(circ_int,0,eq_c2/2))+(PI()*(s_0+10*s_r+IF(circ_int,eq_c1/2,0))/2))+2*IF(circ_int,0,eq_c1/2)),-IF(circ_int,0,eq_c1/2)+(((60+0.5)*(4*IF(circ_int,0,eq_c1/2)+4*IF(circ_int,0,eq_c2/2)+2*PI()*(s_0+10*s_r+IF(circ_int,eq_c1/2,0)))/INDEX(lk_legs,11))-((((((2*IF(circ_int,0,eq_c2/2))+(PI()*(s_0+10*s_r+IF(circ_int,eq_c1/2,0))/2))+2*IF(circ_int,0,eq_c1/2))+(PI()*(s_0+10*s_r+IF(circ_int,eq_c1/2,0))/2))+2*IF(circ_int,0,eq_c2/2))+(PI()*(s_0+10*s_r+IF(circ_int,eq_c1/2,0))/2))),IF(circ_int,0,eq_c1/2)+(s_0+10*s_r+IF(circ_int,eq_c1/2,0))*COS(3*PI()/2+(((60+0.5)*(4*IF(circ_int,0,eq_c1/2)+4*IF(circ_int,0,eq_c2/2)+2*PI()*(s_0+10*s_r+IF(circ_int,eq_c1/2,0)))/INDEX(lk_legs,11))-(((((((2*IF(circ_int,0,eq_c2/2))+(PI()*(s_0+10*s_r+IF(circ_int,eq_c1/2,0))/2))+2*IF(circ_int,0,eq_c1/2))+(PI()*(s_0+10*s_r+IF(circ_int,eq_c1/2,0))/2))+2*IF(circ_int,0,eq_c2/2))+(PI()*(s_0+10*s_r+IF(circ_int,eq_c1/2,0))/2))+2*IF(circ_int,0,eq_c1/2)))/(s_0+10*s_r+IF(circ_int,eq_c1/2,0)))))))))),NA())</f>
        <v/>
      </c>
      <c r="DI63">
        <f>IF(AND(AND(links_on,11&lt;=n_per),INDEX(lk_kind,11)=1,60&lt;INDEX(lk_legs,11)),g_oy+IF(((60+0.5)*(4*IF(circ_int,0,eq_c1/2)+4*IF(circ_int,0,eq_c2/2)+2*PI()*(s_0+10*s_r+IF(circ_int,eq_c1/2,0)))/INDEX(lk_legs,11))&lt;(2*IF(circ_int,0,eq_c2/2)),-IF(circ_int,0,eq_c2/2)+((60+0.5)*(4*IF(circ_int,0,eq_c1/2)+4*IF(circ_int,0,eq_c2/2)+2*PI()*(s_0+10*s_r+IF(circ_int,eq_c1/2,0)))/INDEX(lk_legs,11)),IF(((60+0.5)*(4*IF(circ_int,0,eq_c1/2)+4*IF(circ_int,0,eq_c2/2)+2*PI()*(s_0+10*s_r+IF(circ_int,eq_c1/2,0)))/INDEX(lk_legs,11))&lt;((2*IF(circ_int,0,eq_c2/2))+(PI()*(s_0+10*s_r+IF(circ_int,eq_c1/2,0))/2)),IF(circ_int,0,eq_c2/2)+(s_0+10*s_r+IF(circ_int,eq_c1/2,0))*SIN((((60+0.5)*(4*IF(circ_int,0,eq_c1/2)+4*IF(circ_int,0,eq_c2/2)+2*PI()*(s_0+10*s_r+IF(circ_int,eq_c1/2,0)))/INDEX(lk_legs,11))-(2*IF(circ_int,0,eq_c2/2)))/(s_0+10*s_r+IF(circ_int,eq_c1/2,0))),IF(((60+0.5)*(4*IF(circ_int,0,eq_c1/2)+4*IF(circ_int,0,eq_c2/2)+2*PI()*(s_0+10*s_r+IF(circ_int,eq_c1/2,0)))/INDEX(lk_legs,11))&lt;(((2*IF(circ_int,0,eq_c2/2))+(PI()*(s_0+10*s_r+IF(circ_int,eq_c1/2,0))/2))+2*IF(circ_int,0,eq_c1/2)),IF(circ_int,0,eq_c2/2)+(s_0+10*s_r+IF(circ_int,eq_c1/2,0)),IF(((60+0.5)*(4*IF(circ_int,0,eq_c1/2)+4*IF(circ_int,0,eq_c2/2)+2*PI()*(s_0+10*s_r+IF(circ_int,eq_c1/2,0)))/INDEX(lk_legs,11))&lt;((((2*IF(circ_int,0,eq_c2/2))+(PI()*(s_0+10*s_r+IF(circ_int,eq_c1/2,0))/2))+2*IF(circ_int,0,eq_c1/2))+(PI()*(s_0+10*s_r+IF(circ_int,eq_c1/2,0))/2)),IF(circ_int,0,eq_c2/2)+(s_0+10*s_r+IF(circ_int,eq_c1/2,0))*SIN(PI()/2+(((60+0.5)*(4*IF(circ_int,0,eq_c1/2)+4*IF(circ_int,0,eq_c2/2)+2*PI()*(s_0+10*s_r+IF(circ_int,eq_c1/2,0)))/INDEX(lk_legs,11))-(((2*IF(circ_int,0,eq_c2/2))+(PI()*(s_0+10*s_r+IF(circ_int,eq_c1/2,0))/2))+2*IF(circ_int,0,eq_c1/2)))/(s_0+10*s_r+IF(circ_int,eq_c1/2,0))),IF(((60+0.5)*(4*IF(circ_int,0,eq_c1/2)+4*IF(circ_int,0,eq_c2/2)+2*PI()*(s_0+10*s_r+IF(circ_int,eq_c1/2,0)))/INDEX(lk_legs,11))&lt;(((((2*IF(circ_int,0,eq_c2/2))+(PI()*(s_0+10*s_r+IF(circ_int,eq_c1/2,0))/2))+2*IF(circ_int,0,eq_c1/2))+(PI()*(s_0+10*s_r+IF(circ_int,eq_c1/2,0))/2))+2*IF(circ_int,0,eq_c2/2)),IF(circ_int,0,eq_c2/2)-(((60+0.5)*(4*IF(circ_int,0,eq_c1/2)+4*IF(circ_int,0,eq_c2/2)+2*PI()*(s_0+10*s_r+IF(circ_int,eq_c1/2,0)))/INDEX(lk_legs,11))-((((2*IF(circ_int,0,eq_c2/2))+(PI()*(s_0+10*s_r+IF(circ_int,eq_c1/2,0))/2))+2*IF(circ_int,0,eq_c1/2))+(PI()*(s_0+10*s_r+IF(circ_int,eq_c1/2,0))/2))),IF(((60+0.5)*(4*IF(circ_int,0,eq_c1/2)+4*IF(circ_int,0,eq_c2/2)+2*PI()*(s_0+10*s_r+IF(circ_int,eq_c1/2,0)))/INDEX(lk_legs,11))&lt;((((((2*IF(circ_int,0,eq_c2/2))+(PI()*(s_0+10*s_r+IF(circ_int,eq_c1/2,0))/2))+2*IF(circ_int,0,eq_c1/2))+(PI()*(s_0+10*s_r+IF(circ_int,eq_c1/2,0))/2))+2*IF(circ_int,0,eq_c2/2))+(PI()*(s_0+10*s_r+IF(circ_int,eq_c1/2,0))/2)),-IF(circ_int,0,eq_c2/2)+(s_0+10*s_r+IF(circ_int,eq_c1/2,0))*SIN(PI()+(((60+0.5)*(4*IF(circ_int,0,eq_c1/2)+4*IF(circ_int,0,eq_c2/2)+2*PI()*(s_0+10*s_r+IF(circ_int,eq_c1/2,0)))/INDEX(lk_legs,11))-(((((2*IF(circ_int,0,eq_c2/2))+(PI()*(s_0+10*s_r+IF(circ_int,eq_c1/2,0))/2))+2*IF(circ_int,0,eq_c1/2))+(PI()*(s_0+10*s_r+IF(circ_int,eq_c1/2,0))/2))+2*IF(circ_int,0,eq_c2/2)))/(s_0+10*s_r+IF(circ_int,eq_c1/2,0))),IF(((60+0.5)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(60+0.5)*(4*IF(circ_int,0,eq_c1/2)+4*IF(circ_int,0,eq_c2/2)+2*PI()*(s_0+10*s_r+IF(circ_int,eq_c1/2,0)))/INDEX(lk_legs,11))-(((((((2*IF(circ_int,0,eq_c2/2))+(PI()*(s_0+10*s_r+IF(circ_int,eq_c1/2,0))/2))+2*IF(circ_int,0,eq_c1/2))+(PI()*(s_0+10*s_r+IF(circ_int,eq_c1/2,0))/2))+2*IF(circ_int,0,eq_c2/2))+(PI()*(s_0+10*s_r+IF(circ_int,eq_c1/2,0))/2))+2*IF(circ_int,0,eq_c1/2)))/(s_0+10*s_r+IF(circ_int,eq_c1/2,0)))))))))),NA())</f>
        <v/>
      </c>
      <c r="DN63">
        <f>IF(AND(AND(links_on,12&lt;=n_per),INDEX(lk_kind,12)=1,60&lt;INDEX(lk_legs,12)),g_ox+IF(((60+0.5)*(4*IF(circ_int,0,eq_c1/2)+4*IF(circ_int,0,eq_c2/2)+2*PI()*(s_0+11*s_r+IF(circ_int,eq_c1/2,0)))/INDEX(lk_legs,12))&lt;(2*IF(circ_int,0,eq_c2/2)),IF(circ_int,0,eq_c1/2)+(s_0+11*s_r+IF(circ_int,eq_c1/2,0)),IF(((60+0.5)*(4*IF(circ_int,0,eq_c1/2)+4*IF(circ_int,0,eq_c2/2)+2*PI()*(s_0+11*s_r+IF(circ_int,eq_c1/2,0)))/INDEX(lk_legs,12))&lt;((2*IF(circ_int,0,eq_c2/2))+(PI()*(s_0+11*s_r+IF(circ_int,eq_c1/2,0))/2)),IF(circ_int,0,eq_c1/2)+(s_0+11*s_r+IF(circ_int,eq_c1/2,0))*COS((((60+0.5)*(4*IF(circ_int,0,eq_c1/2)+4*IF(circ_int,0,eq_c2/2)+2*PI()*(s_0+11*s_r+IF(circ_int,eq_c1/2,0)))/INDEX(lk_legs,12))-(2*IF(circ_int,0,eq_c2/2)))/(s_0+11*s_r+IF(circ_int,eq_c1/2,0))),IF(((60+0.5)*(4*IF(circ_int,0,eq_c1/2)+4*IF(circ_int,0,eq_c2/2)+2*PI()*(s_0+11*s_r+IF(circ_int,eq_c1/2,0)))/INDEX(lk_legs,12))&lt;(((2*IF(circ_int,0,eq_c2/2))+(PI()*(s_0+11*s_r+IF(circ_int,eq_c1/2,0))/2))+2*IF(circ_int,0,eq_c1/2)),IF(circ_int,0,eq_c1/2)-(((60+0.5)*(4*IF(circ_int,0,eq_c1/2)+4*IF(circ_int,0,eq_c2/2)+2*PI()*(s_0+11*s_r+IF(circ_int,eq_c1/2,0)))/INDEX(lk_legs,12))-((2*IF(circ_int,0,eq_c2/2))+(PI()*(s_0+11*s_r+IF(circ_int,eq_c1/2,0))/2))),IF(((60+0.5)*(4*IF(circ_int,0,eq_c1/2)+4*IF(circ_int,0,eq_c2/2)+2*PI()*(s_0+11*s_r+IF(circ_int,eq_c1/2,0)))/INDEX(lk_legs,12))&lt;((((2*IF(circ_int,0,eq_c2/2))+(PI()*(s_0+11*s_r+IF(circ_int,eq_c1/2,0))/2))+2*IF(circ_int,0,eq_c1/2))+(PI()*(s_0+11*s_r+IF(circ_int,eq_c1/2,0))/2)),-IF(circ_int,0,eq_c1/2)+(s_0+11*s_r+IF(circ_int,eq_c1/2,0))*COS(PI()/2+(((60+0.5)*(4*IF(circ_int,0,eq_c1/2)+4*IF(circ_int,0,eq_c2/2)+2*PI()*(s_0+11*s_r+IF(circ_int,eq_c1/2,0)))/INDEX(lk_legs,12))-(((2*IF(circ_int,0,eq_c2/2))+(PI()*(s_0+11*s_r+IF(circ_int,eq_c1/2,0))/2))+2*IF(circ_int,0,eq_c1/2)))/(s_0+11*s_r+IF(circ_int,eq_c1/2,0))),IF(((60+0.5)*(4*IF(circ_int,0,eq_c1/2)+4*IF(circ_int,0,eq_c2/2)+2*PI()*(s_0+11*s_r+IF(circ_int,eq_c1/2,0)))/INDEX(lk_legs,12))&lt;(((((2*IF(circ_int,0,eq_c2/2))+(PI()*(s_0+11*s_r+IF(circ_int,eq_c1/2,0))/2))+2*IF(circ_int,0,eq_c1/2))+(PI()*(s_0+11*s_r+IF(circ_int,eq_c1/2,0))/2))+2*IF(circ_int,0,eq_c2/2)),-IF(circ_int,0,eq_c1/2)-(s_0+11*s_r+IF(circ_int,eq_c1/2,0)),IF(((60+0.5)*(4*IF(circ_int,0,eq_c1/2)+4*IF(circ_int,0,eq_c2/2)+2*PI()*(s_0+11*s_r+IF(circ_int,eq_c1/2,0)))/INDEX(lk_legs,12))&lt;((((((2*IF(circ_int,0,eq_c2/2))+(PI()*(s_0+11*s_r+IF(circ_int,eq_c1/2,0))/2))+2*IF(circ_int,0,eq_c1/2))+(PI()*(s_0+11*s_r+IF(circ_int,eq_c1/2,0))/2))+2*IF(circ_int,0,eq_c2/2))+(PI()*(s_0+11*s_r+IF(circ_int,eq_c1/2,0))/2)),-IF(circ_int,0,eq_c1/2)+(s_0+11*s_r+IF(circ_int,eq_c1/2,0))*COS(PI()+(((60+0.5)*(4*IF(circ_int,0,eq_c1/2)+4*IF(circ_int,0,eq_c2/2)+2*PI()*(s_0+11*s_r+IF(circ_int,eq_c1/2,0)))/INDEX(lk_legs,12))-(((((2*IF(circ_int,0,eq_c2/2))+(PI()*(s_0+11*s_r+IF(circ_int,eq_c1/2,0))/2))+2*IF(circ_int,0,eq_c1/2))+(PI()*(s_0+11*s_r+IF(circ_int,eq_c1/2,0))/2))+2*IF(circ_int,0,eq_c2/2)))/(s_0+11*s_r+IF(circ_int,eq_c1/2,0))),IF(((60+0.5)*(4*IF(circ_int,0,eq_c1/2)+4*IF(circ_int,0,eq_c2/2)+2*PI()*(s_0+11*s_r+IF(circ_int,eq_c1/2,0)))/INDEX(lk_legs,12))&lt;(((((((2*IF(circ_int,0,eq_c2/2))+(PI()*(s_0+11*s_r+IF(circ_int,eq_c1/2,0))/2))+2*IF(circ_int,0,eq_c1/2))+(PI()*(s_0+11*s_r+IF(circ_int,eq_c1/2,0))/2))+2*IF(circ_int,0,eq_c2/2))+(PI()*(s_0+11*s_r+IF(circ_int,eq_c1/2,0))/2))+2*IF(circ_int,0,eq_c1/2)),-IF(circ_int,0,eq_c1/2)+(((60+0.5)*(4*IF(circ_int,0,eq_c1/2)+4*IF(circ_int,0,eq_c2/2)+2*PI()*(s_0+11*s_r+IF(circ_int,eq_c1/2,0)))/INDEX(lk_legs,12))-((((((2*IF(circ_int,0,eq_c2/2))+(PI()*(s_0+11*s_r+IF(circ_int,eq_c1/2,0))/2))+2*IF(circ_int,0,eq_c1/2))+(PI()*(s_0+11*s_r+IF(circ_int,eq_c1/2,0))/2))+2*IF(circ_int,0,eq_c2/2))+(PI()*(s_0+11*s_r+IF(circ_int,eq_c1/2,0))/2))),IF(circ_int,0,eq_c1/2)+(s_0+11*s_r+IF(circ_int,eq_c1/2,0))*COS(3*PI()/2+(((60+0.5)*(4*IF(circ_int,0,eq_c1/2)+4*IF(circ_int,0,eq_c2/2)+2*PI()*(s_0+11*s_r+IF(circ_int,eq_c1/2,0)))/INDEX(lk_legs,12))-(((((((2*IF(circ_int,0,eq_c2/2))+(PI()*(s_0+11*s_r+IF(circ_int,eq_c1/2,0))/2))+2*IF(circ_int,0,eq_c1/2))+(PI()*(s_0+11*s_r+IF(circ_int,eq_c1/2,0))/2))+2*IF(circ_int,0,eq_c2/2))+(PI()*(s_0+11*s_r+IF(circ_int,eq_c1/2,0))/2))+2*IF(circ_int,0,eq_c1/2)))/(s_0+11*s_r+IF(circ_int,eq_c1/2,0)))))))))),NA())</f>
        <v/>
      </c>
      <c r="DO63">
        <f>IF(AND(AND(links_on,12&lt;=n_per),INDEX(lk_kind,12)=1,60&lt;INDEX(lk_legs,12)),g_oy+IF(((60+0.5)*(4*IF(circ_int,0,eq_c1/2)+4*IF(circ_int,0,eq_c2/2)+2*PI()*(s_0+11*s_r+IF(circ_int,eq_c1/2,0)))/INDEX(lk_legs,12))&lt;(2*IF(circ_int,0,eq_c2/2)),-IF(circ_int,0,eq_c2/2)+((60+0.5)*(4*IF(circ_int,0,eq_c1/2)+4*IF(circ_int,0,eq_c2/2)+2*PI()*(s_0+11*s_r+IF(circ_int,eq_c1/2,0)))/INDEX(lk_legs,12)),IF(((60+0.5)*(4*IF(circ_int,0,eq_c1/2)+4*IF(circ_int,0,eq_c2/2)+2*PI()*(s_0+11*s_r+IF(circ_int,eq_c1/2,0)))/INDEX(lk_legs,12))&lt;((2*IF(circ_int,0,eq_c2/2))+(PI()*(s_0+11*s_r+IF(circ_int,eq_c1/2,0))/2)),IF(circ_int,0,eq_c2/2)+(s_0+11*s_r+IF(circ_int,eq_c1/2,0))*SIN((((60+0.5)*(4*IF(circ_int,0,eq_c1/2)+4*IF(circ_int,0,eq_c2/2)+2*PI()*(s_0+11*s_r+IF(circ_int,eq_c1/2,0)))/INDEX(lk_legs,12))-(2*IF(circ_int,0,eq_c2/2)))/(s_0+11*s_r+IF(circ_int,eq_c1/2,0))),IF(((60+0.5)*(4*IF(circ_int,0,eq_c1/2)+4*IF(circ_int,0,eq_c2/2)+2*PI()*(s_0+11*s_r+IF(circ_int,eq_c1/2,0)))/INDEX(lk_legs,12))&lt;(((2*IF(circ_int,0,eq_c2/2))+(PI()*(s_0+11*s_r+IF(circ_int,eq_c1/2,0))/2))+2*IF(circ_int,0,eq_c1/2)),IF(circ_int,0,eq_c2/2)+(s_0+11*s_r+IF(circ_int,eq_c1/2,0)),IF(((60+0.5)*(4*IF(circ_int,0,eq_c1/2)+4*IF(circ_int,0,eq_c2/2)+2*PI()*(s_0+11*s_r+IF(circ_int,eq_c1/2,0)))/INDEX(lk_legs,12))&lt;((((2*IF(circ_int,0,eq_c2/2))+(PI()*(s_0+11*s_r+IF(circ_int,eq_c1/2,0))/2))+2*IF(circ_int,0,eq_c1/2))+(PI()*(s_0+11*s_r+IF(circ_int,eq_c1/2,0))/2)),IF(circ_int,0,eq_c2/2)+(s_0+11*s_r+IF(circ_int,eq_c1/2,0))*SIN(PI()/2+(((60+0.5)*(4*IF(circ_int,0,eq_c1/2)+4*IF(circ_int,0,eq_c2/2)+2*PI()*(s_0+11*s_r+IF(circ_int,eq_c1/2,0)))/INDEX(lk_legs,12))-(((2*IF(circ_int,0,eq_c2/2))+(PI()*(s_0+11*s_r+IF(circ_int,eq_c1/2,0))/2))+2*IF(circ_int,0,eq_c1/2)))/(s_0+11*s_r+IF(circ_int,eq_c1/2,0))),IF(((60+0.5)*(4*IF(circ_int,0,eq_c1/2)+4*IF(circ_int,0,eq_c2/2)+2*PI()*(s_0+11*s_r+IF(circ_int,eq_c1/2,0)))/INDEX(lk_legs,12))&lt;(((((2*IF(circ_int,0,eq_c2/2))+(PI()*(s_0+11*s_r+IF(circ_int,eq_c1/2,0))/2))+2*IF(circ_int,0,eq_c1/2))+(PI()*(s_0+11*s_r+IF(circ_int,eq_c1/2,0))/2))+2*IF(circ_int,0,eq_c2/2)),IF(circ_int,0,eq_c2/2)-(((60+0.5)*(4*IF(circ_int,0,eq_c1/2)+4*IF(circ_int,0,eq_c2/2)+2*PI()*(s_0+11*s_r+IF(circ_int,eq_c1/2,0)))/INDEX(lk_legs,12))-((((2*IF(circ_int,0,eq_c2/2))+(PI()*(s_0+11*s_r+IF(circ_int,eq_c1/2,0))/2))+2*IF(circ_int,0,eq_c1/2))+(PI()*(s_0+11*s_r+IF(circ_int,eq_c1/2,0))/2))),IF(((60+0.5)*(4*IF(circ_int,0,eq_c1/2)+4*IF(circ_int,0,eq_c2/2)+2*PI()*(s_0+11*s_r+IF(circ_int,eq_c1/2,0)))/INDEX(lk_legs,12))&lt;((((((2*IF(circ_int,0,eq_c2/2))+(PI()*(s_0+11*s_r+IF(circ_int,eq_c1/2,0))/2))+2*IF(circ_int,0,eq_c1/2))+(PI()*(s_0+11*s_r+IF(circ_int,eq_c1/2,0))/2))+2*IF(circ_int,0,eq_c2/2))+(PI()*(s_0+11*s_r+IF(circ_int,eq_c1/2,0))/2)),-IF(circ_int,0,eq_c2/2)+(s_0+11*s_r+IF(circ_int,eq_c1/2,0))*SIN(PI()+(((60+0.5)*(4*IF(circ_int,0,eq_c1/2)+4*IF(circ_int,0,eq_c2/2)+2*PI()*(s_0+11*s_r+IF(circ_int,eq_c1/2,0)))/INDEX(lk_legs,12))-(((((2*IF(circ_int,0,eq_c2/2))+(PI()*(s_0+11*s_r+IF(circ_int,eq_c1/2,0))/2))+2*IF(circ_int,0,eq_c1/2))+(PI()*(s_0+11*s_r+IF(circ_int,eq_c1/2,0))/2))+2*IF(circ_int,0,eq_c2/2)))/(s_0+11*s_r+IF(circ_int,eq_c1/2,0))),IF(((60+0.5)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(60+0.5)*(4*IF(circ_int,0,eq_c1/2)+4*IF(circ_int,0,eq_c2/2)+2*PI()*(s_0+11*s_r+IF(circ_int,eq_c1/2,0)))/INDEX(lk_legs,12))-(((((((2*IF(circ_int,0,eq_c2/2))+(PI()*(s_0+11*s_r+IF(circ_int,eq_c1/2,0))/2))+2*IF(circ_int,0,eq_c1/2))+(PI()*(s_0+11*s_r+IF(circ_int,eq_c1/2,0))/2))+2*IF(circ_int,0,eq_c2/2))+(PI()*(s_0+11*s_r+IF(circ_int,eq_c1/2,0))/2))+2*IF(circ_int,0,eq_c1/2)))/(s_0+11*s_r+IF(circ_int,eq_c1/2,0)))))))))),NA())</f>
        <v/>
      </c>
    </row>
    <row r="64">
      <c r="AZ64">
        <f>IF(AND(AND(links_on,1&lt;=n_per),INDEX(lk_kind,1)=1,61&lt;INDEX(lk_legs,1)),g_ox+IF(((61+0.5)*(4*IF(circ_int,0,eq_c1/2)+4*IF(circ_int,0,eq_c2/2)+2*PI()*(s_0+0*s_r+IF(circ_int,eq_c1/2,0)))/INDEX(lk_legs,1))&lt;(2*IF(circ_int,0,eq_c2/2)),IF(circ_int,0,eq_c1/2)+(s_0+0*s_r+IF(circ_int,eq_c1/2,0)),IF(((61+0.5)*(4*IF(circ_int,0,eq_c1/2)+4*IF(circ_int,0,eq_c2/2)+2*PI()*(s_0+0*s_r+IF(circ_int,eq_c1/2,0)))/INDEX(lk_legs,1))&lt;((2*IF(circ_int,0,eq_c2/2))+(PI()*(s_0+0*s_r+IF(circ_int,eq_c1/2,0))/2)),IF(circ_int,0,eq_c1/2)+(s_0+0*s_r+IF(circ_int,eq_c1/2,0))*COS((((61+0.5)*(4*IF(circ_int,0,eq_c1/2)+4*IF(circ_int,0,eq_c2/2)+2*PI()*(s_0+0*s_r+IF(circ_int,eq_c1/2,0)))/INDEX(lk_legs,1))-(2*IF(circ_int,0,eq_c2/2)))/(s_0+0*s_r+IF(circ_int,eq_c1/2,0))),IF(((61+0.5)*(4*IF(circ_int,0,eq_c1/2)+4*IF(circ_int,0,eq_c2/2)+2*PI()*(s_0+0*s_r+IF(circ_int,eq_c1/2,0)))/INDEX(lk_legs,1))&lt;(((2*IF(circ_int,0,eq_c2/2))+(PI()*(s_0+0*s_r+IF(circ_int,eq_c1/2,0))/2))+2*IF(circ_int,0,eq_c1/2)),IF(circ_int,0,eq_c1/2)-(((61+0.5)*(4*IF(circ_int,0,eq_c1/2)+4*IF(circ_int,0,eq_c2/2)+2*PI()*(s_0+0*s_r+IF(circ_int,eq_c1/2,0)))/INDEX(lk_legs,1))-((2*IF(circ_int,0,eq_c2/2))+(PI()*(s_0+0*s_r+IF(circ_int,eq_c1/2,0))/2))),IF(((61+0.5)*(4*IF(circ_int,0,eq_c1/2)+4*IF(circ_int,0,eq_c2/2)+2*PI()*(s_0+0*s_r+IF(circ_int,eq_c1/2,0)))/INDEX(lk_legs,1))&lt;((((2*IF(circ_int,0,eq_c2/2))+(PI()*(s_0+0*s_r+IF(circ_int,eq_c1/2,0))/2))+2*IF(circ_int,0,eq_c1/2))+(PI()*(s_0+0*s_r+IF(circ_int,eq_c1/2,0))/2)),-IF(circ_int,0,eq_c1/2)+(s_0+0*s_r+IF(circ_int,eq_c1/2,0))*COS(PI()/2+(((61+0.5)*(4*IF(circ_int,0,eq_c1/2)+4*IF(circ_int,0,eq_c2/2)+2*PI()*(s_0+0*s_r+IF(circ_int,eq_c1/2,0)))/INDEX(lk_legs,1))-(((2*IF(circ_int,0,eq_c2/2))+(PI()*(s_0+0*s_r+IF(circ_int,eq_c1/2,0))/2))+2*IF(circ_int,0,eq_c1/2)))/(s_0+0*s_r+IF(circ_int,eq_c1/2,0))),IF(((61+0.5)*(4*IF(circ_int,0,eq_c1/2)+4*IF(circ_int,0,eq_c2/2)+2*PI()*(s_0+0*s_r+IF(circ_int,eq_c1/2,0)))/INDEX(lk_legs,1))&lt;(((((2*IF(circ_int,0,eq_c2/2))+(PI()*(s_0+0*s_r+IF(circ_int,eq_c1/2,0))/2))+2*IF(circ_int,0,eq_c1/2))+(PI()*(s_0+0*s_r+IF(circ_int,eq_c1/2,0))/2))+2*IF(circ_int,0,eq_c2/2)),-IF(circ_int,0,eq_c1/2)-(s_0+0*s_r+IF(circ_int,eq_c1/2,0)),IF(((61+0.5)*(4*IF(circ_int,0,eq_c1/2)+4*IF(circ_int,0,eq_c2/2)+2*PI()*(s_0+0*s_r+IF(circ_int,eq_c1/2,0)))/INDEX(lk_legs,1))&lt;((((((2*IF(circ_int,0,eq_c2/2))+(PI()*(s_0+0*s_r+IF(circ_int,eq_c1/2,0))/2))+2*IF(circ_int,0,eq_c1/2))+(PI()*(s_0+0*s_r+IF(circ_int,eq_c1/2,0))/2))+2*IF(circ_int,0,eq_c2/2))+(PI()*(s_0+0*s_r+IF(circ_int,eq_c1/2,0))/2)),-IF(circ_int,0,eq_c1/2)+(s_0+0*s_r+IF(circ_int,eq_c1/2,0))*COS(PI()+(((61+0.5)*(4*IF(circ_int,0,eq_c1/2)+4*IF(circ_int,0,eq_c2/2)+2*PI()*(s_0+0*s_r+IF(circ_int,eq_c1/2,0)))/INDEX(lk_legs,1))-(((((2*IF(circ_int,0,eq_c2/2))+(PI()*(s_0+0*s_r+IF(circ_int,eq_c1/2,0))/2))+2*IF(circ_int,0,eq_c1/2))+(PI()*(s_0+0*s_r+IF(circ_int,eq_c1/2,0))/2))+2*IF(circ_int,0,eq_c2/2)))/(s_0+0*s_r+IF(circ_int,eq_c1/2,0))),IF(((61+0.5)*(4*IF(circ_int,0,eq_c1/2)+4*IF(circ_int,0,eq_c2/2)+2*PI()*(s_0+0*s_r+IF(circ_int,eq_c1/2,0)))/INDEX(lk_legs,1))&lt;(((((((2*IF(circ_int,0,eq_c2/2))+(PI()*(s_0+0*s_r+IF(circ_int,eq_c1/2,0))/2))+2*IF(circ_int,0,eq_c1/2))+(PI()*(s_0+0*s_r+IF(circ_int,eq_c1/2,0))/2))+2*IF(circ_int,0,eq_c2/2))+(PI()*(s_0+0*s_r+IF(circ_int,eq_c1/2,0))/2))+2*IF(circ_int,0,eq_c1/2)),-IF(circ_int,0,eq_c1/2)+(((61+0.5)*(4*IF(circ_int,0,eq_c1/2)+4*IF(circ_int,0,eq_c2/2)+2*PI()*(s_0+0*s_r+IF(circ_int,eq_c1/2,0)))/INDEX(lk_legs,1))-((((((2*IF(circ_int,0,eq_c2/2))+(PI()*(s_0+0*s_r+IF(circ_int,eq_c1/2,0))/2))+2*IF(circ_int,0,eq_c1/2))+(PI()*(s_0+0*s_r+IF(circ_int,eq_c1/2,0))/2))+2*IF(circ_int,0,eq_c2/2))+(PI()*(s_0+0*s_r+IF(circ_int,eq_c1/2,0))/2))),IF(circ_int,0,eq_c1/2)+(s_0+0*s_r+IF(circ_int,eq_c1/2,0))*COS(3*PI()/2+(((61+0.5)*(4*IF(circ_int,0,eq_c1/2)+4*IF(circ_int,0,eq_c2/2)+2*PI()*(s_0+0*s_r+IF(circ_int,eq_c1/2,0)))/INDEX(lk_legs,1))-(((((((2*IF(circ_int,0,eq_c2/2))+(PI()*(s_0+0*s_r+IF(circ_int,eq_c1/2,0))/2))+2*IF(circ_int,0,eq_c1/2))+(PI()*(s_0+0*s_r+IF(circ_int,eq_c1/2,0))/2))+2*IF(circ_int,0,eq_c2/2))+(PI()*(s_0+0*s_r+IF(circ_int,eq_c1/2,0))/2))+2*IF(circ_int,0,eq_c1/2)))/(s_0+0*s_r+IF(circ_int,eq_c1/2,0)))))))))),NA())</f>
        <v/>
      </c>
      <c r="BA64">
        <f>IF(AND(AND(links_on,1&lt;=n_per),INDEX(lk_kind,1)=1,61&lt;INDEX(lk_legs,1)),g_oy+IF(((61+0.5)*(4*IF(circ_int,0,eq_c1/2)+4*IF(circ_int,0,eq_c2/2)+2*PI()*(s_0+0*s_r+IF(circ_int,eq_c1/2,0)))/INDEX(lk_legs,1))&lt;(2*IF(circ_int,0,eq_c2/2)),-IF(circ_int,0,eq_c2/2)+((61+0.5)*(4*IF(circ_int,0,eq_c1/2)+4*IF(circ_int,0,eq_c2/2)+2*PI()*(s_0+0*s_r+IF(circ_int,eq_c1/2,0)))/INDEX(lk_legs,1)),IF(((61+0.5)*(4*IF(circ_int,0,eq_c1/2)+4*IF(circ_int,0,eq_c2/2)+2*PI()*(s_0+0*s_r+IF(circ_int,eq_c1/2,0)))/INDEX(lk_legs,1))&lt;((2*IF(circ_int,0,eq_c2/2))+(PI()*(s_0+0*s_r+IF(circ_int,eq_c1/2,0))/2)),IF(circ_int,0,eq_c2/2)+(s_0+0*s_r+IF(circ_int,eq_c1/2,0))*SIN((((61+0.5)*(4*IF(circ_int,0,eq_c1/2)+4*IF(circ_int,0,eq_c2/2)+2*PI()*(s_0+0*s_r+IF(circ_int,eq_c1/2,0)))/INDEX(lk_legs,1))-(2*IF(circ_int,0,eq_c2/2)))/(s_0+0*s_r+IF(circ_int,eq_c1/2,0))),IF(((61+0.5)*(4*IF(circ_int,0,eq_c1/2)+4*IF(circ_int,0,eq_c2/2)+2*PI()*(s_0+0*s_r+IF(circ_int,eq_c1/2,0)))/INDEX(lk_legs,1))&lt;(((2*IF(circ_int,0,eq_c2/2))+(PI()*(s_0+0*s_r+IF(circ_int,eq_c1/2,0))/2))+2*IF(circ_int,0,eq_c1/2)),IF(circ_int,0,eq_c2/2)+(s_0+0*s_r+IF(circ_int,eq_c1/2,0)),IF(((61+0.5)*(4*IF(circ_int,0,eq_c1/2)+4*IF(circ_int,0,eq_c2/2)+2*PI()*(s_0+0*s_r+IF(circ_int,eq_c1/2,0)))/INDEX(lk_legs,1))&lt;((((2*IF(circ_int,0,eq_c2/2))+(PI()*(s_0+0*s_r+IF(circ_int,eq_c1/2,0))/2))+2*IF(circ_int,0,eq_c1/2))+(PI()*(s_0+0*s_r+IF(circ_int,eq_c1/2,0))/2)),IF(circ_int,0,eq_c2/2)+(s_0+0*s_r+IF(circ_int,eq_c1/2,0))*SIN(PI()/2+(((61+0.5)*(4*IF(circ_int,0,eq_c1/2)+4*IF(circ_int,0,eq_c2/2)+2*PI()*(s_0+0*s_r+IF(circ_int,eq_c1/2,0)))/INDEX(lk_legs,1))-(((2*IF(circ_int,0,eq_c2/2))+(PI()*(s_0+0*s_r+IF(circ_int,eq_c1/2,0))/2))+2*IF(circ_int,0,eq_c1/2)))/(s_0+0*s_r+IF(circ_int,eq_c1/2,0))),IF(((61+0.5)*(4*IF(circ_int,0,eq_c1/2)+4*IF(circ_int,0,eq_c2/2)+2*PI()*(s_0+0*s_r+IF(circ_int,eq_c1/2,0)))/INDEX(lk_legs,1))&lt;(((((2*IF(circ_int,0,eq_c2/2))+(PI()*(s_0+0*s_r+IF(circ_int,eq_c1/2,0))/2))+2*IF(circ_int,0,eq_c1/2))+(PI()*(s_0+0*s_r+IF(circ_int,eq_c1/2,0))/2))+2*IF(circ_int,0,eq_c2/2)),IF(circ_int,0,eq_c2/2)-(((61+0.5)*(4*IF(circ_int,0,eq_c1/2)+4*IF(circ_int,0,eq_c2/2)+2*PI()*(s_0+0*s_r+IF(circ_int,eq_c1/2,0)))/INDEX(lk_legs,1))-((((2*IF(circ_int,0,eq_c2/2))+(PI()*(s_0+0*s_r+IF(circ_int,eq_c1/2,0))/2))+2*IF(circ_int,0,eq_c1/2))+(PI()*(s_0+0*s_r+IF(circ_int,eq_c1/2,0))/2))),IF(((61+0.5)*(4*IF(circ_int,0,eq_c1/2)+4*IF(circ_int,0,eq_c2/2)+2*PI()*(s_0+0*s_r+IF(circ_int,eq_c1/2,0)))/INDEX(lk_legs,1))&lt;((((((2*IF(circ_int,0,eq_c2/2))+(PI()*(s_0+0*s_r+IF(circ_int,eq_c1/2,0))/2))+2*IF(circ_int,0,eq_c1/2))+(PI()*(s_0+0*s_r+IF(circ_int,eq_c1/2,0))/2))+2*IF(circ_int,0,eq_c2/2))+(PI()*(s_0+0*s_r+IF(circ_int,eq_c1/2,0))/2)),-IF(circ_int,0,eq_c2/2)+(s_0+0*s_r+IF(circ_int,eq_c1/2,0))*SIN(PI()+(((61+0.5)*(4*IF(circ_int,0,eq_c1/2)+4*IF(circ_int,0,eq_c2/2)+2*PI()*(s_0+0*s_r+IF(circ_int,eq_c1/2,0)))/INDEX(lk_legs,1))-(((((2*IF(circ_int,0,eq_c2/2))+(PI()*(s_0+0*s_r+IF(circ_int,eq_c1/2,0))/2))+2*IF(circ_int,0,eq_c1/2))+(PI()*(s_0+0*s_r+IF(circ_int,eq_c1/2,0))/2))+2*IF(circ_int,0,eq_c2/2)))/(s_0+0*s_r+IF(circ_int,eq_c1/2,0))),IF(((61+0.5)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(61+0.5)*(4*IF(circ_int,0,eq_c1/2)+4*IF(circ_int,0,eq_c2/2)+2*PI()*(s_0+0*s_r+IF(circ_int,eq_c1/2,0)))/INDEX(lk_legs,1))-(((((((2*IF(circ_int,0,eq_c2/2))+(PI()*(s_0+0*s_r+IF(circ_int,eq_c1/2,0))/2))+2*IF(circ_int,0,eq_c1/2))+(PI()*(s_0+0*s_r+IF(circ_int,eq_c1/2,0))/2))+2*IF(circ_int,0,eq_c2/2))+(PI()*(s_0+0*s_r+IF(circ_int,eq_c1/2,0))/2))+2*IF(circ_int,0,eq_c1/2)))/(s_0+0*s_r+IF(circ_int,eq_c1/2,0)))))))))),NA())</f>
        <v/>
      </c>
      <c r="BF64">
        <f>IF(AND(AND(links_on,2&lt;=n_per),INDEX(lk_kind,2)=1,61&lt;INDEX(lk_legs,2)),g_ox+IF(((61+0.5)*(4*IF(circ_int,0,eq_c1/2)+4*IF(circ_int,0,eq_c2/2)+2*PI()*(s_0+1*s_r+IF(circ_int,eq_c1/2,0)))/INDEX(lk_legs,2))&lt;(2*IF(circ_int,0,eq_c2/2)),IF(circ_int,0,eq_c1/2)+(s_0+1*s_r+IF(circ_int,eq_c1/2,0)),IF(((61+0.5)*(4*IF(circ_int,0,eq_c1/2)+4*IF(circ_int,0,eq_c2/2)+2*PI()*(s_0+1*s_r+IF(circ_int,eq_c1/2,0)))/INDEX(lk_legs,2))&lt;((2*IF(circ_int,0,eq_c2/2))+(PI()*(s_0+1*s_r+IF(circ_int,eq_c1/2,0))/2)),IF(circ_int,0,eq_c1/2)+(s_0+1*s_r+IF(circ_int,eq_c1/2,0))*COS((((61+0.5)*(4*IF(circ_int,0,eq_c1/2)+4*IF(circ_int,0,eq_c2/2)+2*PI()*(s_0+1*s_r+IF(circ_int,eq_c1/2,0)))/INDEX(lk_legs,2))-(2*IF(circ_int,0,eq_c2/2)))/(s_0+1*s_r+IF(circ_int,eq_c1/2,0))),IF(((61+0.5)*(4*IF(circ_int,0,eq_c1/2)+4*IF(circ_int,0,eq_c2/2)+2*PI()*(s_0+1*s_r+IF(circ_int,eq_c1/2,0)))/INDEX(lk_legs,2))&lt;(((2*IF(circ_int,0,eq_c2/2))+(PI()*(s_0+1*s_r+IF(circ_int,eq_c1/2,0))/2))+2*IF(circ_int,0,eq_c1/2)),IF(circ_int,0,eq_c1/2)-(((61+0.5)*(4*IF(circ_int,0,eq_c1/2)+4*IF(circ_int,0,eq_c2/2)+2*PI()*(s_0+1*s_r+IF(circ_int,eq_c1/2,0)))/INDEX(lk_legs,2))-((2*IF(circ_int,0,eq_c2/2))+(PI()*(s_0+1*s_r+IF(circ_int,eq_c1/2,0))/2))),IF(((61+0.5)*(4*IF(circ_int,0,eq_c1/2)+4*IF(circ_int,0,eq_c2/2)+2*PI()*(s_0+1*s_r+IF(circ_int,eq_c1/2,0)))/INDEX(lk_legs,2))&lt;((((2*IF(circ_int,0,eq_c2/2))+(PI()*(s_0+1*s_r+IF(circ_int,eq_c1/2,0))/2))+2*IF(circ_int,0,eq_c1/2))+(PI()*(s_0+1*s_r+IF(circ_int,eq_c1/2,0))/2)),-IF(circ_int,0,eq_c1/2)+(s_0+1*s_r+IF(circ_int,eq_c1/2,0))*COS(PI()/2+(((61+0.5)*(4*IF(circ_int,0,eq_c1/2)+4*IF(circ_int,0,eq_c2/2)+2*PI()*(s_0+1*s_r+IF(circ_int,eq_c1/2,0)))/INDEX(lk_legs,2))-(((2*IF(circ_int,0,eq_c2/2))+(PI()*(s_0+1*s_r+IF(circ_int,eq_c1/2,0))/2))+2*IF(circ_int,0,eq_c1/2)))/(s_0+1*s_r+IF(circ_int,eq_c1/2,0))),IF(((61+0.5)*(4*IF(circ_int,0,eq_c1/2)+4*IF(circ_int,0,eq_c2/2)+2*PI()*(s_0+1*s_r+IF(circ_int,eq_c1/2,0)))/INDEX(lk_legs,2))&lt;(((((2*IF(circ_int,0,eq_c2/2))+(PI()*(s_0+1*s_r+IF(circ_int,eq_c1/2,0))/2))+2*IF(circ_int,0,eq_c1/2))+(PI()*(s_0+1*s_r+IF(circ_int,eq_c1/2,0))/2))+2*IF(circ_int,0,eq_c2/2)),-IF(circ_int,0,eq_c1/2)-(s_0+1*s_r+IF(circ_int,eq_c1/2,0)),IF(((61+0.5)*(4*IF(circ_int,0,eq_c1/2)+4*IF(circ_int,0,eq_c2/2)+2*PI()*(s_0+1*s_r+IF(circ_int,eq_c1/2,0)))/INDEX(lk_legs,2))&lt;((((((2*IF(circ_int,0,eq_c2/2))+(PI()*(s_0+1*s_r+IF(circ_int,eq_c1/2,0))/2))+2*IF(circ_int,0,eq_c1/2))+(PI()*(s_0+1*s_r+IF(circ_int,eq_c1/2,0))/2))+2*IF(circ_int,0,eq_c2/2))+(PI()*(s_0+1*s_r+IF(circ_int,eq_c1/2,0))/2)),-IF(circ_int,0,eq_c1/2)+(s_0+1*s_r+IF(circ_int,eq_c1/2,0))*COS(PI()+(((61+0.5)*(4*IF(circ_int,0,eq_c1/2)+4*IF(circ_int,0,eq_c2/2)+2*PI()*(s_0+1*s_r+IF(circ_int,eq_c1/2,0)))/INDEX(lk_legs,2))-(((((2*IF(circ_int,0,eq_c2/2))+(PI()*(s_0+1*s_r+IF(circ_int,eq_c1/2,0))/2))+2*IF(circ_int,0,eq_c1/2))+(PI()*(s_0+1*s_r+IF(circ_int,eq_c1/2,0))/2))+2*IF(circ_int,0,eq_c2/2)))/(s_0+1*s_r+IF(circ_int,eq_c1/2,0))),IF(((61+0.5)*(4*IF(circ_int,0,eq_c1/2)+4*IF(circ_int,0,eq_c2/2)+2*PI()*(s_0+1*s_r+IF(circ_int,eq_c1/2,0)))/INDEX(lk_legs,2))&lt;(((((((2*IF(circ_int,0,eq_c2/2))+(PI()*(s_0+1*s_r+IF(circ_int,eq_c1/2,0))/2))+2*IF(circ_int,0,eq_c1/2))+(PI()*(s_0+1*s_r+IF(circ_int,eq_c1/2,0))/2))+2*IF(circ_int,0,eq_c2/2))+(PI()*(s_0+1*s_r+IF(circ_int,eq_c1/2,0))/2))+2*IF(circ_int,0,eq_c1/2)),-IF(circ_int,0,eq_c1/2)+(((61+0.5)*(4*IF(circ_int,0,eq_c1/2)+4*IF(circ_int,0,eq_c2/2)+2*PI()*(s_0+1*s_r+IF(circ_int,eq_c1/2,0)))/INDEX(lk_legs,2))-((((((2*IF(circ_int,0,eq_c2/2))+(PI()*(s_0+1*s_r+IF(circ_int,eq_c1/2,0))/2))+2*IF(circ_int,0,eq_c1/2))+(PI()*(s_0+1*s_r+IF(circ_int,eq_c1/2,0))/2))+2*IF(circ_int,0,eq_c2/2))+(PI()*(s_0+1*s_r+IF(circ_int,eq_c1/2,0))/2))),IF(circ_int,0,eq_c1/2)+(s_0+1*s_r+IF(circ_int,eq_c1/2,0))*COS(3*PI()/2+(((61+0.5)*(4*IF(circ_int,0,eq_c1/2)+4*IF(circ_int,0,eq_c2/2)+2*PI()*(s_0+1*s_r+IF(circ_int,eq_c1/2,0)))/INDEX(lk_legs,2))-(((((((2*IF(circ_int,0,eq_c2/2))+(PI()*(s_0+1*s_r+IF(circ_int,eq_c1/2,0))/2))+2*IF(circ_int,0,eq_c1/2))+(PI()*(s_0+1*s_r+IF(circ_int,eq_c1/2,0))/2))+2*IF(circ_int,0,eq_c2/2))+(PI()*(s_0+1*s_r+IF(circ_int,eq_c1/2,0))/2))+2*IF(circ_int,0,eq_c1/2)))/(s_0+1*s_r+IF(circ_int,eq_c1/2,0)))))))))),NA())</f>
        <v/>
      </c>
      <c r="BG64">
        <f>IF(AND(AND(links_on,2&lt;=n_per),INDEX(lk_kind,2)=1,61&lt;INDEX(lk_legs,2)),g_oy+IF(((61+0.5)*(4*IF(circ_int,0,eq_c1/2)+4*IF(circ_int,0,eq_c2/2)+2*PI()*(s_0+1*s_r+IF(circ_int,eq_c1/2,0)))/INDEX(lk_legs,2))&lt;(2*IF(circ_int,0,eq_c2/2)),-IF(circ_int,0,eq_c2/2)+((61+0.5)*(4*IF(circ_int,0,eq_c1/2)+4*IF(circ_int,0,eq_c2/2)+2*PI()*(s_0+1*s_r+IF(circ_int,eq_c1/2,0)))/INDEX(lk_legs,2)),IF(((61+0.5)*(4*IF(circ_int,0,eq_c1/2)+4*IF(circ_int,0,eq_c2/2)+2*PI()*(s_0+1*s_r+IF(circ_int,eq_c1/2,0)))/INDEX(lk_legs,2))&lt;((2*IF(circ_int,0,eq_c2/2))+(PI()*(s_0+1*s_r+IF(circ_int,eq_c1/2,0))/2)),IF(circ_int,0,eq_c2/2)+(s_0+1*s_r+IF(circ_int,eq_c1/2,0))*SIN((((61+0.5)*(4*IF(circ_int,0,eq_c1/2)+4*IF(circ_int,0,eq_c2/2)+2*PI()*(s_0+1*s_r+IF(circ_int,eq_c1/2,0)))/INDEX(lk_legs,2))-(2*IF(circ_int,0,eq_c2/2)))/(s_0+1*s_r+IF(circ_int,eq_c1/2,0))),IF(((61+0.5)*(4*IF(circ_int,0,eq_c1/2)+4*IF(circ_int,0,eq_c2/2)+2*PI()*(s_0+1*s_r+IF(circ_int,eq_c1/2,0)))/INDEX(lk_legs,2))&lt;(((2*IF(circ_int,0,eq_c2/2))+(PI()*(s_0+1*s_r+IF(circ_int,eq_c1/2,0))/2))+2*IF(circ_int,0,eq_c1/2)),IF(circ_int,0,eq_c2/2)+(s_0+1*s_r+IF(circ_int,eq_c1/2,0)),IF(((61+0.5)*(4*IF(circ_int,0,eq_c1/2)+4*IF(circ_int,0,eq_c2/2)+2*PI()*(s_0+1*s_r+IF(circ_int,eq_c1/2,0)))/INDEX(lk_legs,2))&lt;((((2*IF(circ_int,0,eq_c2/2))+(PI()*(s_0+1*s_r+IF(circ_int,eq_c1/2,0))/2))+2*IF(circ_int,0,eq_c1/2))+(PI()*(s_0+1*s_r+IF(circ_int,eq_c1/2,0))/2)),IF(circ_int,0,eq_c2/2)+(s_0+1*s_r+IF(circ_int,eq_c1/2,0))*SIN(PI()/2+(((61+0.5)*(4*IF(circ_int,0,eq_c1/2)+4*IF(circ_int,0,eq_c2/2)+2*PI()*(s_0+1*s_r+IF(circ_int,eq_c1/2,0)))/INDEX(lk_legs,2))-(((2*IF(circ_int,0,eq_c2/2))+(PI()*(s_0+1*s_r+IF(circ_int,eq_c1/2,0))/2))+2*IF(circ_int,0,eq_c1/2)))/(s_0+1*s_r+IF(circ_int,eq_c1/2,0))),IF(((61+0.5)*(4*IF(circ_int,0,eq_c1/2)+4*IF(circ_int,0,eq_c2/2)+2*PI()*(s_0+1*s_r+IF(circ_int,eq_c1/2,0)))/INDEX(lk_legs,2))&lt;(((((2*IF(circ_int,0,eq_c2/2))+(PI()*(s_0+1*s_r+IF(circ_int,eq_c1/2,0))/2))+2*IF(circ_int,0,eq_c1/2))+(PI()*(s_0+1*s_r+IF(circ_int,eq_c1/2,0))/2))+2*IF(circ_int,0,eq_c2/2)),IF(circ_int,0,eq_c2/2)-(((61+0.5)*(4*IF(circ_int,0,eq_c1/2)+4*IF(circ_int,0,eq_c2/2)+2*PI()*(s_0+1*s_r+IF(circ_int,eq_c1/2,0)))/INDEX(lk_legs,2))-((((2*IF(circ_int,0,eq_c2/2))+(PI()*(s_0+1*s_r+IF(circ_int,eq_c1/2,0))/2))+2*IF(circ_int,0,eq_c1/2))+(PI()*(s_0+1*s_r+IF(circ_int,eq_c1/2,0))/2))),IF(((61+0.5)*(4*IF(circ_int,0,eq_c1/2)+4*IF(circ_int,0,eq_c2/2)+2*PI()*(s_0+1*s_r+IF(circ_int,eq_c1/2,0)))/INDEX(lk_legs,2))&lt;((((((2*IF(circ_int,0,eq_c2/2))+(PI()*(s_0+1*s_r+IF(circ_int,eq_c1/2,0))/2))+2*IF(circ_int,0,eq_c1/2))+(PI()*(s_0+1*s_r+IF(circ_int,eq_c1/2,0))/2))+2*IF(circ_int,0,eq_c2/2))+(PI()*(s_0+1*s_r+IF(circ_int,eq_c1/2,0))/2)),-IF(circ_int,0,eq_c2/2)+(s_0+1*s_r+IF(circ_int,eq_c1/2,0))*SIN(PI()+(((61+0.5)*(4*IF(circ_int,0,eq_c1/2)+4*IF(circ_int,0,eq_c2/2)+2*PI()*(s_0+1*s_r+IF(circ_int,eq_c1/2,0)))/INDEX(lk_legs,2))-(((((2*IF(circ_int,0,eq_c2/2))+(PI()*(s_0+1*s_r+IF(circ_int,eq_c1/2,0))/2))+2*IF(circ_int,0,eq_c1/2))+(PI()*(s_0+1*s_r+IF(circ_int,eq_c1/2,0))/2))+2*IF(circ_int,0,eq_c2/2)))/(s_0+1*s_r+IF(circ_int,eq_c1/2,0))),IF(((61+0.5)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(61+0.5)*(4*IF(circ_int,0,eq_c1/2)+4*IF(circ_int,0,eq_c2/2)+2*PI()*(s_0+1*s_r+IF(circ_int,eq_c1/2,0)))/INDEX(lk_legs,2))-(((((((2*IF(circ_int,0,eq_c2/2))+(PI()*(s_0+1*s_r+IF(circ_int,eq_c1/2,0))/2))+2*IF(circ_int,0,eq_c1/2))+(PI()*(s_0+1*s_r+IF(circ_int,eq_c1/2,0))/2))+2*IF(circ_int,0,eq_c2/2))+(PI()*(s_0+1*s_r+IF(circ_int,eq_c1/2,0))/2))+2*IF(circ_int,0,eq_c1/2)))/(s_0+1*s_r+IF(circ_int,eq_c1/2,0)))))))))),NA())</f>
        <v/>
      </c>
      <c r="BL64">
        <f>IF(AND(AND(links_on,3&lt;=n_per),INDEX(lk_kind,3)=1,61&lt;INDEX(lk_legs,3)),g_ox+IF(((61+0.5)*(4*IF(circ_int,0,eq_c1/2)+4*IF(circ_int,0,eq_c2/2)+2*PI()*(s_0+2*s_r+IF(circ_int,eq_c1/2,0)))/INDEX(lk_legs,3))&lt;(2*IF(circ_int,0,eq_c2/2)),IF(circ_int,0,eq_c1/2)+(s_0+2*s_r+IF(circ_int,eq_c1/2,0)),IF(((61+0.5)*(4*IF(circ_int,0,eq_c1/2)+4*IF(circ_int,0,eq_c2/2)+2*PI()*(s_0+2*s_r+IF(circ_int,eq_c1/2,0)))/INDEX(lk_legs,3))&lt;((2*IF(circ_int,0,eq_c2/2))+(PI()*(s_0+2*s_r+IF(circ_int,eq_c1/2,0))/2)),IF(circ_int,0,eq_c1/2)+(s_0+2*s_r+IF(circ_int,eq_c1/2,0))*COS((((61+0.5)*(4*IF(circ_int,0,eq_c1/2)+4*IF(circ_int,0,eq_c2/2)+2*PI()*(s_0+2*s_r+IF(circ_int,eq_c1/2,0)))/INDEX(lk_legs,3))-(2*IF(circ_int,0,eq_c2/2)))/(s_0+2*s_r+IF(circ_int,eq_c1/2,0))),IF(((61+0.5)*(4*IF(circ_int,0,eq_c1/2)+4*IF(circ_int,0,eq_c2/2)+2*PI()*(s_0+2*s_r+IF(circ_int,eq_c1/2,0)))/INDEX(lk_legs,3))&lt;(((2*IF(circ_int,0,eq_c2/2))+(PI()*(s_0+2*s_r+IF(circ_int,eq_c1/2,0))/2))+2*IF(circ_int,0,eq_c1/2)),IF(circ_int,0,eq_c1/2)-(((61+0.5)*(4*IF(circ_int,0,eq_c1/2)+4*IF(circ_int,0,eq_c2/2)+2*PI()*(s_0+2*s_r+IF(circ_int,eq_c1/2,0)))/INDEX(lk_legs,3))-((2*IF(circ_int,0,eq_c2/2))+(PI()*(s_0+2*s_r+IF(circ_int,eq_c1/2,0))/2))),IF(((61+0.5)*(4*IF(circ_int,0,eq_c1/2)+4*IF(circ_int,0,eq_c2/2)+2*PI()*(s_0+2*s_r+IF(circ_int,eq_c1/2,0)))/INDEX(lk_legs,3))&lt;((((2*IF(circ_int,0,eq_c2/2))+(PI()*(s_0+2*s_r+IF(circ_int,eq_c1/2,0))/2))+2*IF(circ_int,0,eq_c1/2))+(PI()*(s_0+2*s_r+IF(circ_int,eq_c1/2,0))/2)),-IF(circ_int,0,eq_c1/2)+(s_0+2*s_r+IF(circ_int,eq_c1/2,0))*COS(PI()/2+(((61+0.5)*(4*IF(circ_int,0,eq_c1/2)+4*IF(circ_int,0,eq_c2/2)+2*PI()*(s_0+2*s_r+IF(circ_int,eq_c1/2,0)))/INDEX(lk_legs,3))-(((2*IF(circ_int,0,eq_c2/2))+(PI()*(s_0+2*s_r+IF(circ_int,eq_c1/2,0))/2))+2*IF(circ_int,0,eq_c1/2)))/(s_0+2*s_r+IF(circ_int,eq_c1/2,0))),IF(((61+0.5)*(4*IF(circ_int,0,eq_c1/2)+4*IF(circ_int,0,eq_c2/2)+2*PI()*(s_0+2*s_r+IF(circ_int,eq_c1/2,0)))/INDEX(lk_legs,3))&lt;(((((2*IF(circ_int,0,eq_c2/2))+(PI()*(s_0+2*s_r+IF(circ_int,eq_c1/2,0))/2))+2*IF(circ_int,0,eq_c1/2))+(PI()*(s_0+2*s_r+IF(circ_int,eq_c1/2,0))/2))+2*IF(circ_int,0,eq_c2/2)),-IF(circ_int,0,eq_c1/2)-(s_0+2*s_r+IF(circ_int,eq_c1/2,0)),IF(((61+0.5)*(4*IF(circ_int,0,eq_c1/2)+4*IF(circ_int,0,eq_c2/2)+2*PI()*(s_0+2*s_r+IF(circ_int,eq_c1/2,0)))/INDEX(lk_legs,3))&lt;((((((2*IF(circ_int,0,eq_c2/2))+(PI()*(s_0+2*s_r+IF(circ_int,eq_c1/2,0))/2))+2*IF(circ_int,0,eq_c1/2))+(PI()*(s_0+2*s_r+IF(circ_int,eq_c1/2,0))/2))+2*IF(circ_int,0,eq_c2/2))+(PI()*(s_0+2*s_r+IF(circ_int,eq_c1/2,0))/2)),-IF(circ_int,0,eq_c1/2)+(s_0+2*s_r+IF(circ_int,eq_c1/2,0))*COS(PI()+(((61+0.5)*(4*IF(circ_int,0,eq_c1/2)+4*IF(circ_int,0,eq_c2/2)+2*PI()*(s_0+2*s_r+IF(circ_int,eq_c1/2,0)))/INDEX(lk_legs,3))-(((((2*IF(circ_int,0,eq_c2/2))+(PI()*(s_0+2*s_r+IF(circ_int,eq_c1/2,0))/2))+2*IF(circ_int,0,eq_c1/2))+(PI()*(s_0+2*s_r+IF(circ_int,eq_c1/2,0))/2))+2*IF(circ_int,0,eq_c2/2)))/(s_0+2*s_r+IF(circ_int,eq_c1/2,0))),IF(((61+0.5)*(4*IF(circ_int,0,eq_c1/2)+4*IF(circ_int,0,eq_c2/2)+2*PI()*(s_0+2*s_r+IF(circ_int,eq_c1/2,0)))/INDEX(lk_legs,3))&lt;(((((((2*IF(circ_int,0,eq_c2/2))+(PI()*(s_0+2*s_r+IF(circ_int,eq_c1/2,0))/2))+2*IF(circ_int,0,eq_c1/2))+(PI()*(s_0+2*s_r+IF(circ_int,eq_c1/2,0))/2))+2*IF(circ_int,0,eq_c2/2))+(PI()*(s_0+2*s_r+IF(circ_int,eq_c1/2,0))/2))+2*IF(circ_int,0,eq_c1/2)),-IF(circ_int,0,eq_c1/2)+(((61+0.5)*(4*IF(circ_int,0,eq_c1/2)+4*IF(circ_int,0,eq_c2/2)+2*PI()*(s_0+2*s_r+IF(circ_int,eq_c1/2,0)))/INDEX(lk_legs,3))-((((((2*IF(circ_int,0,eq_c2/2))+(PI()*(s_0+2*s_r+IF(circ_int,eq_c1/2,0))/2))+2*IF(circ_int,0,eq_c1/2))+(PI()*(s_0+2*s_r+IF(circ_int,eq_c1/2,0))/2))+2*IF(circ_int,0,eq_c2/2))+(PI()*(s_0+2*s_r+IF(circ_int,eq_c1/2,0))/2))),IF(circ_int,0,eq_c1/2)+(s_0+2*s_r+IF(circ_int,eq_c1/2,0))*COS(3*PI()/2+(((61+0.5)*(4*IF(circ_int,0,eq_c1/2)+4*IF(circ_int,0,eq_c2/2)+2*PI()*(s_0+2*s_r+IF(circ_int,eq_c1/2,0)))/INDEX(lk_legs,3))-(((((((2*IF(circ_int,0,eq_c2/2))+(PI()*(s_0+2*s_r+IF(circ_int,eq_c1/2,0))/2))+2*IF(circ_int,0,eq_c1/2))+(PI()*(s_0+2*s_r+IF(circ_int,eq_c1/2,0))/2))+2*IF(circ_int,0,eq_c2/2))+(PI()*(s_0+2*s_r+IF(circ_int,eq_c1/2,0))/2))+2*IF(circ_int,0,eq_c1/2)))/(s_0+2*s_r+IF(circ_int,eq_c1/2,0)))))))))),NA())</f>
        <v/>
      </c>
      <c r="BM64">
        <f>IF(AND(AND(links_on,3&lt;=n_per),INDEX(lk_kind,3)=1,61&lt;INDEX(lk_legs,3)),g_oy+IF(((61+0.5)*(4*IF(circ_int,0,eq_c1/2)+4*IF(circ_int,0,eq_c2/2)+2*PI()*(s_0+2*s_r+IF(circ_int,eq_c1/2,0)))/INDEX(lk_legs,3))&lt;(2*IF(circ_int,0,eq_c2/2)),-IF(circ_int,0,eq_c2/2)+((61+0.5)*(4*IF(circ_int,0,eq_c1/2)+4*IF(circ_int,0,eq_c2/2)+2*PI()*(s_0+2*s_r+IF(circ_int,eq_c1/2,0)))/INDEX(lk_legs,3)),IF(((61+0.5)*(4*IF(circ_int,0,eq_c1/2)+4*IF(circ_int,0,eq_c2/2)+2*PI()*(s_0+2*s_r+IF(circ_int,eq_c1/2,0)))/INDEX(lk_legs,3))&lt;((2*IF(circ_int,0,eq_c2/2))+(PI()*(s_0+2*s_r+IF(circ_int,eq_c1/2,0))/2)),IF(circ_int,0,eq_c2/2)+(s_0+2*s_r+IF(circ_int,eq_c1/2,0))*SIN((((61+0.5)*(4*IF(circ_int,0,eq_c1/2)+4*IF(circ_int,0,eq_c2/2)+2*PI()*(s_0+2*s_r+IF(circ_int,eq_c1/2,0)))/INDEX(lk_legs,3))-(2*IF(circ_int,0,eq_c2/2)))/(s_0+2*s_r+IF(circ_int,eq_c1/2,0))),IF(((61+0.5)*(4*IF(circ_int,0,eq_c1/2)+4*IF(circ_int,0,eq_c2/2)+2*PI()*(s_0+2*s_r+IF(circ_int,eq_c1/2,0)))/INDEX(lk_legs,3))&lt;(((2*IF(circ_int,0,eq_c2/2))+(PI()*(s_0+2*s_r+IF(circ_int,eq_c1/2,0))/2))+2*IF(circ_int,0,eq_c1/2)),IF(circ_int,0,eq_c2/2)+(s_0+2*s_r+IF(circ_int,eq_c1/2,0)),IF(((61+0.5)*(4*IF(circ_int,0,eq_c1/2)+4*IF(circ_int,0,eq_c2/2)+2*PI()*(s_0+2*s_r+IF(circ_int,eq_c1/2,0)))/INDEX(lk_legs,3))&lt;((((2*IF(circ_int,0,eq_c2/2))+(PI()*(s_0+2*s_r+IF(circ_int,eq_c1/2,0))/2))+2*IF(circ_int,0,eq_c1/2))+(PI()*(s_0+2*s_r+IF(circ_int,eq_c1/2,0))/2)),IF(circ_int,0,eq_c2/2)+(s_0+2*s_r+IF(circ_int,eq_c1/2,0))*SIN(PI()/2+(((61+0.5)*(4*IF(circ_int,0,eq_c1/2)+4*IF(circ_int,0,eq_c2/2)+2*PI()*(s_0+2*s_r+IF(circ_int,eq_c1/2,0)))/INDEX(lk_legs,3))-(((2*IF(circ_int,0,eq_c2/2))+(PI()*(s_0+2*s_r+IF(circ_int,eq_c1/2,0))/2))+2*IF(circ_int,0,eq_c1/2)))/(s_0+2*s_r+IF(circ_int,eq_c1/2,0))),IF(((61+0.5)*(4*IF(circ_int,0,eq_c1/2)+4*IF(circ_int,0,eq_c2/2)+2*PI()*(s_0+2*s_r+IF(circ_int,eq_c1/2,0)))/INDEX(lk_legs,3))&lt;(((((2*IF(circ_int,0,eq_c2/2))+(PI()*(s_0+2*s_r+IF(circ_int,eq_c1/2,0))/2))+2*IF(circ_int,0,eq_c1/2))+(PI()*(s_0+2*s_r+IF(circ_int,eq_c1/2,0))/2))+2*IF(circ_int,0,eq_c2/2)),IF(circ_int,0,eq_c2/2)-(((61+0.5)*(4*IF(circ_int,0,eq_c1/2)+4*IF(circ_int,0,eq_c2/2)+2*PI()*(s_0+2*s_r+IF(circ_int,eq_c1/2,0)))/INDEX(lk_legs,3))-((((2*IF(circ_int,0,eq_c2/2))+(PI()*(s_0+2*s_r+IF(circ_int,eq_c1/2,0))/2))+2*IF(circ_int,0,eq_c1/2))+(PI()*(s_0+2*s_r+IF(circ_int,eq_c1/2,0))/2))),IF(((61+0.5)*(4*IF(circ_int,0,eq_c1/2)+4*IF(circ_int,0,eq_c2/2)+2*PI()*(s_0+2*s_r+IF(circ_int,eq_c1/2,0)))/INDEX(lk_legs,3))&lt;((((((2*IF(circ_int,0,eq_c2/2))+(PI()*(s_0+2*s_r+IF(circ_int,eq_c1/2,0))/2))+2*IF(circ_int,0,eq_c1/2))+(PI()*(s_0+2*s_r+IF(circ_int,eq_c1/2,0))/2))+2*IF(circ_int,0,eq_c2/2))+(PI()*(s_0+2*s_r+IF(circ_int,eq_c1/2,0))/2)),-IF(circ_int,0,eq_c2/2)+(s_0+2*s_r+IF(circ_int,eq_c1/2,0))*SIN(PI()+(((61+0.5)*(4*IF(circ_int,0,eq_c1/2)+4*IF(circ_int,0,eq_c2/2)+2*PI()*(s_0+2*s_r+IF(circ_int,eq_c1/2,0)))/INDEX(lk_legs,3))-(((((2*IF(circ_int,0,eq_c2/2))+(PI()*(s_0+2*s_r+IF(circ_int,eq_c1/2,0))/2))+2*IF(circ_int,0,eq_c1/2))+(PI()*(s_0+2*s_r+IF(circ_int,eq_c1/2,0))/2))+2*IF(circ_int,0,eq_c2/2)))/(s_0+2*s_r+IF(circ_int,eq_c1/2,0))),IF(((61+0.5)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(61+0.5)*(4*IF(circ_int,0,eq_c1/2)+4*IF(circ_int,0,eq_c2/2)+2*PI()*(s_0+2*s_r+IF(circ_int,eq_c1/2,0)))/INDEX(lk_legs,3))-(((((((2*IF(circ_int,0,eq_c2/2))+(PI()*(s_0+2*s_r+IF(circ_int,eq_c1/2,0))/2))+2*IF(circ_int,0,eq_c1/2))+(PI()*(s_0+2*s_r+IF(circ_int,eq_c1/2,0))/2))+2*IF(circ_int,0,eq_c2/2))+(PI()*(s_0+2*s_r+IF(circ_int,eq_c1/2,0))/2))+2*IF(circ_int,0,eq_c1/2)))/(s_0+2*s_r+IF(circ_int,eq_c1/2,0)))))))))),NA())</f>
        <v/>
      </c>
      <c r="BR64">
        <f>IF(AND(AND(links_on,4&lt;=n_per),INDEX(lk_kind,4)=1,61&lt;INDEX(lk_legs,4)),g_ox+IF(((61+0.5)*(4*IF(circ_int,0,eq_c1/2)+4*IF(circ_int,0,eq_c2/2)+2*PI()*(s_0+3*s_r+IF(circ_int,eq_c1/2,0)))/INDEX(lk_legs,4))&lt;(2*IF(circ_int,0,eq_c2/2)),IF(circ_int,0,eq_c1/2)+(s_0+3*s_r+IF(circ_int,eq_c1/2,0)),IF(((61+0.5)*(4*IF(circ_int,0,eq_c1/2)+4*IF(circ_int,0,eq_c2/2)+2*PI()*(s_0+3*s_r+IF(circ_int,eq_c1/2,0)))/INDEX(lk_legs,4))&lt;((2*IF(circ_int,0,eq_c2/2))+(PI()*(s_0+3*s_r+IF(circ_int,eq_c1/2,0))/2)),IF(circ_int,0,eq_c1/2)+(s_0+3*s_r+IF(circ_int,eq_c1/2,0))*COS((((61+0.5)*(4*IF(circ_int,0,eq_c1/2)+4*IF(circ_int,0,eq_c2/2)+2*PI()*(s_0+3*s_r+IF(circ_int,eq_c1/2,0)))/INDEX(lk_legs,4))-(2*IF(circ_int,0,eq_c2/2)))/(s_0+3*s_r+IF(circ_int,eq_c1/2,0))),IF(((61+0.5)*(4*IF(circ_int,0,eq_c1/2)+4*IF(circ_int,0,eq_c2/2)+2*PI()*(s_0+3*s_r+IF(circ_int,eq_c1/2,0)))/INDEX(lk_legs,4))&lt;(((2*IF(circ_int,0,eq_c2/2))+(PI()*(s_0+3*s_r+IF(circ_int,eq_c1/2,0))/2))+2*IF(circ_int,0,eq_c1/2)),IF(circ_int,0,eq_c1/2)-(((61+0.5)*(4*IF(circ_int,0,eq_c1/2)+4*IF(circ_int,0,eq_c2/2)+2*PI()*(s_0+3*s_r+IF(circ_int,eq_c1/2,0)))/INDEX(lk_legs,4))-((2*IF(circ_int,0,eq_c2/2))+(PI()*(s_0+3*s_r+IF(circ_int,eq_c1/2,0))/2))),IF(((61+0.5)*(4*IF(circ_int,0,eq_c1/2)+4*IF(circ_int,0,eq_c2/2)+2*PI()*(s_0+3*s_r+IF(circ_int,eq_c1/2,0)))/INDEX(lk_legs,4))&lt;((((2*IF(circ_int,0,eq_c2/2))+(PI()*(s_0+3*s_r+IF(circ_int,eq_c1/2,0))/2))+2*IF(circ_int,0,eq_c1/2))+(PI()*(s_0+3*s_r+IF(circ_int,eq_c1/2,0))/2)),-IF(circ_int,0,eq_c1/2)+(s_0+3*s_r+IF(circ_int,eq_c1/2,0))*COS(PI()/2+(((61+0.5)*(4*IF(circ_int,0,eq_c1/2)+4*IF(circ_int,0,eq_c2/2)+2*PI()*(s_0+3*s_r+IF(circ_int,eq_c1/2,0)))/INDEX(lk_legs,4))-(((2*IF(circ_int,0,eq_c2/2))+(PI()*(s_0+3*s_r+IF(circ_int,eq_c1/2,0))/2))+2*IF(circ_int,0,eq_c1/2)))/(s_0+3*s_r+IF(circ_int,eq_c1/2,0))),IF(((61+0.5)*(4*IF(circ_int,0,eq_c1/2)+4*IF(circ_int,0,eq_c2/2)+2*PI()*(s_0+3*s_r+IF(circ_int,eq_c1/2,0)))/INDEX(lk_legs,4))&lt;(((((2*IF(circ_int,0,eq_c2/2))+(PI()*(s_0+3*s_r+IF(circ_int,eq_c1/2,0))/2))+2*IF(circ_int,0,eq_c1/2))+(PI()*(s_0+3*s_r+IF(circ_int,eq_c1/2,0))/2))+2*IF(circ_int,0,eq_c2/2)),-IF(circ_int,0,eq_c1/2)-(s_0+3*s_r+IF(circ_int,eq_c1/2,0)),IF(((61+0.5)*(4*IF(circ_int,0,eq_c1/2)+4*IF(circ_int,0,eq_c2/2)+2*PI()*(s_0+3*s_r+IF(circ_int,eq_c1/2,0)))/INDEX(lk_legs,4))&lt;((((((2*IF(circ_int,0,eq_c2/2))+(PI()*(s_0+3*s_r+IF(circ_int,eq_c1/2,0))/2))+2*IF(circ_int,0,eq_c1/2))+(PI()*(s_0+3*s_r+IF(circ_int,eq_c1/2,0))/2))+2*IF(circ_int,0,eq_c2/2))+(PI()*(s_0+3*s_r+IF(circ_int,eq_c1/2,0))/2)),-IF(circ_int,0,eq_c1/2)+(s_0+3*s_r+IF(circ_int,eq_c1/2,0))*COS(PI()+(((61+0.5)*(4*IF(circ_int,0,eq_c1/2)+4*IF(circ_int,0,eq_c2/2)+2*PI()*(s_0+3*s_r+IF(circ_int,eq_c1/2,0)))/INDEX(lk_legs,4))-(((((2*IF(circ_int,0,eq_c2/2))+(PI()*(s_0+3*s_r+IF(circ_int,eq_c1/2,0))/2))+2*IF(circ_int,0,eq_c1/2))+(PI()*(s_0+3*s_r+IF(circ_int,eq_c1/2,0))/2))+2*IF(circ_int,0,eq_c2/2)))/(s_0+3*s_r+IF(circ_int,eq_c1/2,0))),IF(((61+0.5)*(4*IF(circ_int,0,eq_c1/2)+4*IF(circ_int,0,eq_c2/2)+2*PI()*(s_0+3*s_r+IF(circ_int,eq_c1/2,0)))/INDEX(lk_legs,4))&lt;(((((((2*IF(circ_int,0,eq_c2/2))+(PI()*(s_0+3*s_r+IF(circ_int,eq_c1/2,0))/2))+2*IF(circ_int,0,eq_c1/2))+(PI()*(s_0+3*s_r+IF(circ_int,eq_c1/2,0))/2))+2*IF(circ_int,0,eq_c2/2))+(PI()*(s_0+3*s_r+IF(circ_int,eq_c1/2,0))/2))+2*IF(circ_int,0,eq_c1/2)),-IF(circ_int,0,eq_c1/2)+(((61+0.5)*(4*IF(circ_int,0,eq_c1/2)+4*IF(circ_int,0,eq_c2/2)+2*PI()*(s_0+3*s_r+IF(circ_int,eq_c1/2,0)))/INDEX(lk_legs,4))-((((((2*IF(circ_int,0,eq_c2/2))+(PI()*(s_0+3*s_r+IF(circ_int,eq_c1/2,0))/2))+2*IF(circ_int,0,eq_c1/2))+(PI()*(s_0+3*s_r+IF(circ_int,eq_c1/2,0))/2))+2*IF(circ_int,0,eq_c2/2))+(PI()*(s_0+3*s_r+IF(circ_int,eq_c1/2,0))/2))),IF(circ_int,0,eq_c1/2)+(s_0+3*s_r+IF(circ_int,eq_c1/2,0))*COS(3*PI()/2+(((61+0.5)*(4*IF(circ_int,0,eq_c1/2)+4*IF(circ_int,0,eq_c2/2)+2*PI()*(s_0+3*s_r+IF(circ_int,eq_c1/2,0)))/INDEX(lk_legs,4))-(((((((2*IF(circ_int,0,eq_c2/2))+(PI()*(s_0+3*s_r+IF(circ_int,eq_c1/2,0))/2))+2*IF(circ_int,0,eq_c1/2))+(PI()*(s_0+3*s_r+IF(circ_int,eq_c1/2,0))/2))+2*IF(circ_int,0,eq_c2/2))+(PI()*(s_0+3*s_r+IF(circ_int,eq_c1/2,0))/2))+2*IF(circ_int,0,eq_c1/2)))/(s_0+3*s_r+IF(circ_int,eq_c1/2,0)))))))))),NA())</f>
        <v/>
      </c>
      <c r="BS64">
        <f>IF(AND(AND(links_on,4&lt;=n_per),INDEX(lk_kind,4)=1,61&lt;INDEX(lk_legs,4)),g_oy+IF(((61+0.5)*(4*IF(circ_int,0,eq_c1/2)+4*IF(circ_int,0,eq_c2/2)+2*PI()*(s_0+3*s_r+IF(circ_int,eq_c1/2,0)))/INDEX(lk_legs,4))&lt;(2*IF(circ_int,0,eq_c2/2)),-IF(circ_int,0,eq_c2/2)+((61+0.5)*(4*IF(circ_int,0,eq_c1/2)+4*IF(circ_int,0,eq_c2/2)+2*PI()*(s_0+3*s_r+IF(circ_int,eq_c1/2,0)))/INDEX(lk_legs,4)),IF(((61+0.5)*(4*IF(circ_int,0,eq_c1/2)+4*IF(circ_int,0,eq_c2/2)+2*PI()*(s_0+3*s_r+IF(circ_int,eq_c1/2,0)))/INDEX(lk_legs,4))&lt;((2*IF(circ_int,0,eq_c2/2))+(PI()*(s_0+3*s_r+IF(circ_int,eq_c1/2,0))/2)),IF(circ_int,0,eq_c2/2)+(s_0+3*s_r+IF(circ_int,eq_c1/2,0))*SIN((((61+0.5)*(4*IF(circ_int,0,eq_c1/2)+4*IF(circ_int,0,eq_c2/2)+2*PI()*(s_0+3*s_r+IF(circ_int,eq_c1/2,0)))/INDEX(lk_legs,4))-(2*IF(circ_int,0,eq_c2/2)))/(s_0+3*s_r+IF(circ_int,eq_c1/2,0))),IF(((61+0.5)*(4*IF(circ_int,0,eq_c1/2)+4*IF(circ_int,0,eq_c2/2)+2*PI()*(s_0+3*s_r+IF(circ_int,eq_c1/2,0)))/INDEX(lk_legs,4))&lt;(((2*IF(circ_int,0,eq_c2/2))+(PI()*(s_0+3*s_r+IF(circ_int,eq_c1/2,0))/2))+2*IF(circ_int,0,eq_c1/2)),IF(circ_int,0,eq_c2/2)+(s_0+3*s_r+IF(circ_int,eq_c1/2,0)),IF(((61+0.5)*(4*IF(circ_int,0,eq_c1/2)+4*IF(circ_int,0,eq_c2/2)+2*PI()*(s_0+3*s_r+IF(circ_int,eq_c1/2,0)))/INDEX(lk_legs,4))&lt;((((2*IF(circ_int,0,eq_c2/2))+(PI()*(s_0+3*s_r+IF(circ_int,eq_c1/2,0))/2))+2*IF(circ_int,0,eq_c1/2))+(PI()*(s_0+3*s_r+IF(circ_int,eq_c1/2,0))/2)),IF(circ_int,0,eq_c2/2)+(s_0+3*s_r+IF(circ_int,eq_c1/2,0))*SIN(PI()/2+(((61+0.5)*(4*IF(circ_int,0,eq_c1/2)+4*IF(circ_int,0,eq_c2/2)+2*PI()*(s_0+3*s_r+IF(circ_int,eq_c1/2,0)))/INDEX(lk_legs,4))-(((2*IF(circ_int,0,eq_c2/2))+(PI()*(s_0+3*s_r+IF(circ_int,eq_c1/2,0))/2))+2*IF(circ_int,0,eq_c1/2)))/(s_0+3*s_r+IF(circ_int,eq_c1/2,0))),IF(((61+0.5)*(4*IF(circ_int,0,eq_c1/2)+4*IF(circ_int,0,eq_c2/2)+2*PI()*(s_0+3*s_r+IF(circ_int,eq_c1/2,0)))/INDEX(lk_legs,4))&lt;(((((2*IF(circ_int,0,eq_c2/2))+(PI()*(s_0+3*s_r+IF(circ_int,eq_c1/2,0))/2))+2*IF(circ_int,0,eq_c1/2))+(PI()*(s_0+3*s_r+IF(circ_int,eq_c1/2,0))/2))+2*IF(circ_int,0,eq_c2/2)),IF(circ_int,0,eq_c2/2)-(((61+0.5)*(4*IF(circ_int,0,eq_c1/2)+4*IF(circ_int,0,eq_c2/2)+2*PI()*(s_0+3*s_r+IF(circ_int,eq_c1/2,0)))/INDEX(lk_legs,4))-((((2*IF(circ_int,0,eq_c2/2))+(PI()*(s_0+3*s_r+IF(circ_int,eq_c1/2,0))/2))+2*IF(circ_int,0,eq_c1/2))+(PI()*(s_0+3*s_r+IF(circ_int,eq_c1/2,0))/2))),IF(((61+0.5)*(4*IF(circ_int,0,eq_c1/2)+4*IF(circ_int,0,eq_c2/2)+2*PI()*(s_0+3*s_r+IF(circ_int,eq_c1/2,0)))/INDEX(lk_legs,4))&lt;((((((2*IF(circ_int,0,eq_c2/2))+(PI()*(s_0+3*s_r+IF(circ_int,eq_c1/2,0))/2))+2*IF(circ_int,0,eq_c1/2))+(PI()*(s_0+3*s_r+IF(circ_int,eq_c1/2,0))/2))+2*IF(circ_int,0,eq_c2/2))+(PI()*(s_0+3*s_r+IF(circ_int,eq_c1/2,0))/2)),-IF(circ_int,0,eq_c2/2)+(s_0+3*s_r+IF(circ_int,eq_c1/2,0))*SIN(PI()+(((61+0.5)*(4*IF(circ_int,0,eq_c1/2)+4*IF(circ_int,0,eq_c2/2)+2*PI()*(s_0+3*s_r+IF(circ_int,eq_c1/2,0)))/INDEX(lk_legs,4))-(((((2*IF(circ_int,0,eq_c2/2))+(PI()*(s_0+3*s_r+IF(circ_int,eq_c1/2,0))/2))+2*IF(circ_int,0,eq_c1/2))+(PI()*(s_0+3*s_r+IF(circ_int,eq_c1/2,0))/2))+2*IF(circ_int,0,eq_c2/2)))/(s_0+3*s_r+IF(circ_int,eq_c1/2,0))),IF(((61+0.5)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(61+0.5)*(4*IF(circ_int,0,eq_c1/2)+4*IF(circ_int,0,eq_c2/2)+2*PI()*(s_0+3*s_r+IF(circ_int,eq_c1/2,0)))/INDEX(lk_legs,4))-(((((((2*IF(circ_int,0,eq_c2/2))+(PI()*(s_0+3*s_r+IF(circ_int,eq_c1/2,0))/2))+2*IF(circ_int,0,eq_c1/2))+(PI()*(s_0+3*s_r+IF(circ_int,eq_c1/2,0))/2))+2*IF(circ_int,0,eq_c2/2))+(PI()*(s_0+3*s_r+IF(circ_int,eq_c1/2,0))/2))+2*IF(circ_int,0,eq_c1/2)))/(s_0+3*s_r+IF(circ_int,eq_c1/2,0)))))))))),NA())</f>
        <v/>
      </c>
      <c r="BX64">
        <f>IF(AND(AND(links_on,5&lt;=n_per),INDEX(lk_kind,5)=1,61&lt;INDEX(lk_legs,5)),g_ox+IF(((61+0.5)*(4*IF(circ_int,0,eq_c1/2)+4*IF(circ_int,0,eq_c2/2)+2*PI()*(s_0+4*s_r+IF(circ_int,eq_c1/2,0)))/INDEX(lk_legs,5))&lt;(2*IF(circ_int,0,eq_c2/2)),IF(circ_int,0,eq_c1/2)+(s_0+4*s_r+IF(circ_int,eq_c1/2,0)),IF(((61+0.5)*(4*IF(circ_int,0,eq_c1/2)+4*IF(circ_int,0,eq_c2/2)+2*PI()*(s_0+4*s_r+IF(circ_int,eq_c1/2,0)))/INDEX(lk_legs,5))&lt;((2*IF(circ_int,0,eq_c2/2))+(PI()*(s_0+4*s_r+IF(circ_int,eq_c1/2,0))/2)),IF(circ_int,0,eq_c1/2)+(s_0+4*s_r+IF(circ_int,eq_c1/2,0))*COS((((61+0.5)*(4*IF(circ_int,0,eq_c1/2)+4*IF(circ_int,0,eq_c2/2)+2*PI()*(s_0+4*s_r+IF(circ_int,eq_c1/2,0)))/INDEX(lk_legs,5))-(2*IF(circ_int,0,eq_c2/2)))/(s_0+4*s_r+IF(circ_int,eq_c1/2,0))),IF(((61+0.5)*(4*IF(circ_int,0,eq_c1/2)+4*IF(circ_int,0,eq_c2/2)+2*PI()*(s_0+4*s_r+IF(circ_int,eq_c1/2,0)))/INDEX(lk_legs,5))&lt;(((2*IF(circ_int,0,eq_c2/2))+(PI()*(s_0+4*s_r+IF(circ_int,eq_c1/2,0))/2))+2*IF(circ_int,0,eq_c1/2)),IF(circ_int,0,eq_c1/2)-(((61+0.5)*(4*IF(circ_int,0,eq_c1/2)+4*IF(circ_int,0,eq_c2/2)+2*PI()*(s_0+4*s_r+IF(circ_int,eq_c1/2,0)))/INDEX(lk_legs,5))-((2*IF(circ_int,0,eq_c2/2))+(PI()*(s_0+4*s_r+IF(circ_int,eq_c1/2,0))/2))),IF(((61+0.5)*(4*IF(circ_int,0,eq_c1/2)+4*IF(circ_int,0,eq_c2/2)+2*PI()*(s_0+4*s_r+IF(circ_int,eq_c1/2,0)))/INDEX(lk_legs,5))&lt;((((2*IF(circ_int,0,eq_c2/2))+(PI()*(s_0+4*s_r+IF(circ_int,eq_c1/2,0))/2))+2*IF(circ_int,0,eq_c1/2))+(PI()*(s_0+4*s_r+IF(circ_int,eq_c1/2,0))/2)),-IF(circ_int,0,eq_c1/2)+(s_0+4*s_r+IF(circ_int,eq_c1/2,0))*COS(PI()/2+(((61+0.5)*(4*IF(circ_int,0,eq_c1/2)+4*IF(circ_int,0,eq_c2/2)+2*PI()*(s_0+4*s_r+IF(circ_int,eq_c1/2,0)))/INDEX(lk_legs,5))-(((2*IF(circ_int,0,eq_c2/2))+(PI()*(s_0+4*s_r+IF(circ_int,eq_c1/2,0))/2))+2*IF(circ_int,0,eq_c1/2)))/(s_0+4*s_r+IF(circ_int,eq_c1/2,0))),IF(((61+0.5)*(4*IF(circ_int,0,eq_c1/2)+4*IF(circ_int,0,eq_c2/2)+2*PI()*(s_0+4*s_r+IF(circ_int,eq_c1/2,0)))/INDEX(lk_legs,5))&lt;(((((2*IF(circ_int,0,eq_c2/2))+(PI()*(s_0+4*s_r+IF(circ_int,eq_c1/2,0))/2))+2*IF(circ_int,0,eq_c1/2))+(PI()*(s_0+4*s_r+IF(circ_int,eq_c1/2,0))/2))+2*IF(circ_int,0,eq_c2/2)),-IF(circ_int,0,eq_c1/2)-(s_0+4*s_r+IF(circ_int,eq_c1/2,0)),IF(((61+0.5)*(4*IF(circ_int,0,eq_c1/2)+4*IF(circ_int,0,eq_c2/2)+2*PI()*(s_0+4*s_r+IF(circ_int,eq_c1/2,0)))/INDEX(lk_legs,5))&lt;((((((2*IF(circ_int,0,eq_c2/2))+(PI()*(s_0+4*s_r+IF(circ_int,eq_c1/2,0))/2))+2*IF(circ_int,0,eq_c1/2))+(PI()*(s_0+4*s_r+IF(circ_int,eq_c1/2,0))/2))+2*IF(circ_int,0,eq_c2/2))+(PI()*(s_0+4*s_r+IF(circ_int,eq_c1/2,0))/2)),-IF(circ_int,0,eq_c1/2)+(s_0+4*s_r+IF(circ_int,eq_c1/2,0))*COS(PI()+(((61+0.5)*(4*IF(circ_int,0,eq_c1/2)+4*IF(circ_int,0,eq_c2/2)+2*PI()*(s_0+4*s_r+IF(circ_int,eq_c1/2,0)))/INDEX(lk_legs,5))-(((((2*IF(circ_int,0,eq_c2/2))+(PI()*(s_0+4*s_r+IF(circ_int,eq_c1/2,0))/2))+2*IF(circ_int,0,eq_c1/2))+(PI()*(s_0+4*s_r+IF(circ_int,eq_c1/2,0))/2))+2*IF(circ_int,0,eq_c2/2)))/(s_0+4*s_r+IF(circ_int,eq_c1/2,0))),IF(((61+0.5)*(4*IF(circ_int,0,eq_c1/2)+4*IF(circ_int,0,eq_c2/2)+2*PI()*(s_0+4*s_r+IF(circ_int,eq_c1/2,0)))/INDEX(lk_legs,5))&lt;(((((((2*IF(circ_int,0,eq_c2/2))+(PI()*(s_0+4*s_r+IF(circ_int,eq_c1/2,0))/2))+2*IF(circ_int,0,eq_c1/2))+(PI()*(s_0+4*s_r+IF(circ_int,eq_c1/2,0))/2))+2*IF(circ_int,0,eq_c2/2))+(PI()*(s_0+4*s_r+IF(circ_int,eq_c1/2,0))/2))+2*IF(circ_int,0,eq_c1/2)),-IF(circ_int,0,eq_c1/2)+(((61+0.5)*(4*IF(circ_int,0,eq_c1/2)+4*IF(circ_int,0,eq_c2/2)+2*PI()*(s_0+4*s_r+IF(circ_int,eq_c1/2,0)))/INDEX(lk_legs,5))-((((((2*IF(circ_int,0,eq_c2/2))+(PI()*(s_0+4*s_r+IF(circ_int,eq_c1/2,0))/2))+2*IF(circ_int,0,eq_c1/2))+(PI()*(s_0+4*s_r+IF(circ_int,eq_c1/2,0))/2))+2*IF(circ_int,0,eq_c2/2))+(PI()*(s_0+4*s_r+IF(circ_int,eq_c1/2,0))/2))),IF(circ_int,0,eq_c1/2)+(s_0+4*s_r+IF(circ_int,eq_c1/2,0))*COS(3*PI()/2+(((61+0.5)*(4*IF(circ_int,0,eq_c1/2)+4*IF(circ_int,0,eq_c2/2)+2*PI()*(s_0+4*s_r+IF(circ_int,eq_c1/2,0)))/INDEX(lk_legs,5))-(((((((2*IF(circ_int,0,eq_c2/2))+(PI()*(s_0+4*s_r+IF(circ_int,eq_c1/2,0))/2))+2*IF(circ_int,0,eq_c1/2))+(PI()*(s_0+4*s_r+IF(circ_int,eq_c1/2,0))/2))+2*IF(circ_int,0,eq_c2/2))+(PI()*(s_0+4*s_r+IF(circ_int,eq_c1/2,0))/2))+2*IF(circ_int,0,eq_c1/2)))/(s_0+4*s_r+IF(circ_int,eq_c1/2,0)))))))))),NA())</f>
        <v/>
      </c>
      <c r="BY64">
        <f>IF(AND(AND(links_on,5&lt;=n_per),INDEX(lk_kind,5)=1,61&lt;INDEX(lk_legs,5)),g_oy+IF(((61+0.5)*(4*IF(circ_int,0,eq_c1/2)+4*IF(circ_int,0,eq_c2/2)+2*PI()*(s_0+4*s_r+IF(circ_int,eq_c1/2,0)))/INDEX(lk_legs,5))&lt;(2*IF(circ_int,0,eq_c2/2)),-IF(circ_int,0,eq_c2/2)+((61+0.5)*(4*IF(circ_int,0,eq_c1/2)+4*IF(circ_int,0,eq_c2/2)+2*PI()*(s_0+4*s_r+IF(circ_int,eq_c1/2,0)))/INDEX(lk_legs,5)),IF(((61+0.5)*(4*IF(circ_int,0,eq_c1/2)+4*IF(circ_int,0,eq_c2/2)+2*PI()*(s_0+4*s_r+IF(circ_int,eq_c1/2,0)))/INDEX(lk_legs,5))&lt;((2*IF(circ_int,0,eq_c2/2))+(PI()*(s_0+4*s_r+IF(circ_int,eq_c1/2,0))/2)),IF(circ_int,0,eq_c2/2)+(s_0+4*s_r+IF(circ_int,eq_c1/2,0))*SIN((((61+0.5)*(4*IF(circ_int,0,eq_c1/2)+4*IF(circ_int,0,eq_c2/2)+2*PI()*(s_0+4*s_r+IF(circ_int,eq_c1/2,0)))/INDEX(lk_legs,5))-(2*IF(circ_int,0,eq_c2/2)))/(s_0+4*s_r+IF(circ_int,eq_c1/2,0))),IF(((61+0.5)*(4*IF(circ_int,0,eq_c1/2)+4*IF(circ_int,0,eq_c2/2)+2*PI()*(s_0+4*s_r+IF(circ_int,eq_c1/2,0)))/INDEX(lk_legs,5))&lt;(((2*IF(circ_int,0,eq_c2/2))+(PI()*(s_0+4*s_r+IF(circ_int,eq_c1/2,0))/2))+2*IF(circ_int,0,eq_c1/2)),IF(circ_int,0,eq_c2/2)+(s_0+4*s_r+IF(circ_int,eq_c1/2,0)),IF(((61+0.5)*(4*IF(circ_int,0,eq_c1/2)+4*IF(circ_int,0,eq_c2/2)+2*PI()*(s_0+4*s_r+IF(circ_int,eq_c1/2,0)))/INDEX(lk_legs,5))&lt;((((2*IF(circ_int,0,eq_c2/2))+(PI()*(s_0+4*s_r+IF(circ_int,eq_c1/2,0))/2))+2*IF(circ_int,0,eq_c1/2))+(PI()*(s_0+4*s_r+IF(circ_int,eq_c1/2,0))/2)),IF(circ_int,0,eq_c2/2)+(s_0+4*s_r+IF(circ_int,eq_c1/2,0))*SIN(PI()/2+(((61+0.5)*(4*IF(circ_int,0,eq_c1/2)+4*IF(circ_int,0,eq_c2/2)+2*PI()*(s_0+4*s_r+IF(circ_int,eq_c1/2,0)))/INDEX(lk_legs,5))-(((2*IF(circ_int,0,eq_c2/2))+(PI()*(s_0+4*s_r+IF(circ_int,eq_c1/2,0))/2))+2*IF(circ_int,0,eq_c1/2)))/(s_0+4*s_r+IF(circ_int,eq_c1/2,0))),IF(((61+0.5)*(4*IF(circ_int,0,eq_c1/2)+4*IF(circ_int,0,eq_c2/2)+2*PI()*(s_0+4*s_r+IF(circ_int,eq_c1/2,0)))/INDEX(lk_legs,5))&lt;(((((2*IF(circ_int,0,eq_c2/2))+(PI()*(s_0+4*s_r+IF(circ_int,eq_c1/2,0))/2))+2*IF(circ_int,0,eq_c1/2))+(PI()*(s_0+4*s_r+IF(circ_int,eq_c1/2,0))/2))+2*IF(circ_int,0,eq_c2/2)),IF(circ_int,0,eq_c2/2)-(((61+0.5)*(4*IF(circ_int,0,eq_c1/2)+4*IF(circ_int,0,eq_c2/2)+2*PI()*(s_0+4*s_r+IF(circ_int,eq_c1/2,0)))/INDEX(lk_legs,5))-((((2*IF(circ_int,0,eq_c2/2))+(PI()*(s_0+4*s_r+IF(circ_int,eq_c1/2,0))/2))+2*IF(circ_int,0,eq_c1/2))+(PI()*(s_0+4*s_r+IF(circ_int,eq_c1/2,0))/2))),IF(((61+0.5)*(4*IF(circ_int,0,eq_c1/2)+4*IF(circ_int,0,eq_c2/2)+2*PI()*(s_0+4*s_r+IF(circ_int,eq_c1/2,0)))/INDEX(lk_legs,5))&lt;((((((2*IF(circ_int,0,eq_c2/2))+(PI()*(s_0+4*s_r+IF(circ_int,eq_c1/2,0))/2))+2*IF(circ_int,0,eq_c1/2))+(PI()*(s_0+4*s_r+IF(circ_int,eq_c1/2,0))/2))+2*IF(circ_int,0,eq_c2/2))+(PI()*(s_0+4*s_r+IF(circ_int,eq_c1/2,0))/2)),-IF(circ_int,0,eq_c2/2)+(s_0+4*s_r+IF(circ_int,eq_c1/2,0))*SIN(PI()+(((61+0.5)*(4*IF(circ_int,0,eq_c1/2)+4*IF(circ_int,0,eq_c2/2)+2*PI()*(s_0+4*s_r+IF(circ_int,eq_c1/2,0)))/INDEX(lk_legs,5))-(((((2*IF(circ_int,0,eq_c2/2))+(PI()*(s_0+4*s_r+IF(circ_int,eq_c1/2,0))/2))+2*IF(circ_int,0,eq_c1/2))+(PI()*(s_0+4*s_r+IF(circ_int,eq_c1/2,0))/2))+2*IF(circ_int,0,eq_c2/2)))/(s_0+4*s_r+IF(circ_int,eq_c1/2,0))),IF(((61+0.5)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(61+0.5)*(4*IF(circ_int,0,eq_c1/2)+4*IF(circ_int,0,eq_c2/2)+2*PI()*(s_0+4*s_r+IF(circ_int,eq_c1/2,0)))/INDEX(lk_legs,5))-(((((((2*IF(circ_int,0,eq_c2/2))+(PI()*(s_0+4*s_r+IF(circ_int,eq_c1/2,0))/2))+2*IF(circ_int,0,eq_c1/2))+(PI()*(s_0+4*s_r+IF(circ_int,eq_c1/2,0))/2))+2*IF(circ_int,0,eq_c2/2))+(PI()*(s_0+4*s_r+IF(circ_int,eq_c1/2,0))/2))+2*IF(circ_int,0,eq_c1/2)))/(s_0+4*s_r+IF(circ_int,eq_c1/2,0)))))))))),NA())</f>
        <v/>
      </c>
      <c r="CD64">
        <f>IF(AND(AND(links_on,6&lt;=n_per),INDEX(lk_kind,6)=1,61&lt;INDEX(lk_legs,6)),g_ox+IF(((61+0.5)*(4*IF(circ_int,0,eq_c1/2)+4*IF(circ_int,0,eq_c2/2)+2*PI()*(s_0+5*s_r+IF(circ_int,eq_c1/2,0)))/INDEX(lk_legs,6))&lt;(2*IF(circ_int,0,eq_c2/2)),IF(circ_int,0,eq_c1/2)+(s_0+5*s_r+IF(circ_int,eq_c1/2,0)),IF(((61+0.5)*(4*IF(circ_int,0,eq_c1/2)+4*IF(circ_int,0,eq_c2/2)+2*PI()*(s_0+5*s_r+IF(circ_int,eq_c1/2,0)))/INDEX(lk_legs,6))&lt;((2*IF(circ_int,0,eq_c2/2))+(PI()*(s_0+5*s_r+IF(circ_int,eq_c1/2,0))/2)),IF(circ_int,0,eq_c1/2)+(s_0+5*s_r+IF(circ_int,eq_c1/2,0))*COS((((61+0.5)*(4*IF(circ_int,0,eq_c1/2)+4*IF(circ_int,0,eq_c2/2)+2*PI()*(s_0+5*s_r+IF(circ_int,eq_c1/2,0)))/INDEX(lk_legs,6))-(2*IF(circ_int,0,eq_c2/2)))/(s_0+5*s_r+IF(circ_int,eq_c1/2,0))),IF(((61+0.5)*(4*IF(circ_int,0,eq_c1/2)+4*IF(circ_int,0,eq_c2/2)+2*PI()*(s_0+5*s_r+IF(circ_int,eq_c1/2,0)))/INDEX(lk_legs,6))&lt;(((2*IF(circ_int,0,eq_c2/2))+(PI()*(s_0+5*s_r+IF(circ_int,eq_c1/2,0))/2))+2*IF(circ_int,0,eq_c1/2)),IF(circ_int,0,eq_c1/2)-(((61+0.5)*(4*IF(circ_int,0,eq_c1/2)+4*IF(circ_int,0,eq_c2/2)+2*PI()*(s_0+5*s_r+IF(circ_int,eq_c1/2,0)))/INDEX(lk_legs,6))-((2*IF(circ_int,0,eq_c2/2))+(PI()*(s_0+5*s_r+IF(circ_int,eq_c1/2,0))/2))),IF(((61+0.5)*(4*IF(circ_int,0,eq_c1/2)+4*IF(circ_int,0,eq_c2/2)+2*PI()*(s_0+5*s_r+IF(circ_int,eq_c1/2,0)))/INDEX(lk_legs,6))&lt;((((2*IF(circ_int,0,eq_c2/2))+(PI()*(s_0+5*s_r+IF(circ_int,eq_c1/2,0))/2))+2*IF(circ_int,0,eq_c1/2))+(PI()*(s_0+5*s_r+IF(circ_int,eq_c1/2,0))/2)),-IF(circ_int,0,eq_c1/2)+(s_0+5*s_r+IF(circ_int,eq_c1/2,0))*COS(PI()/2+(((61+0.5)*(4*IF(circ_int,0,eq_c1/2)+4*IF(circ_int,0,eq_c2/2)+2*PI()*(s_0+5*s_r+IF(circ_int,eq_c1/2,0)))/INDEX(lk_legs,6))-(((2*IF(circ_int,0,eq_c2/2))+(PI()*(s_0+5*s_r+IF(circ_int,eq_c1/2,0))/2))+2*IF(circ_int,0,eq_c1/2)))/(s_0+5*s_r+IF(circ_int,eq_c1/2,0))),IF(((61+0.5)*(4*IF(circ_int,0,eq_c1/2)+4*IF(circ_int,0,eq_c2/2)+2*PI()*(s_0+5*s_r+IF(circ_int,eq_c1/2,0)))/INDEX(lk_legs,6))&lt;(((((2*IF(circ_int,0,eq_c2/2))+(PI()*(s_0+5*s_r+IF(circ_int,eq_c1/2,0))/2))+2*IF(circ_int,0,eq_c1/2))+(PI()*(s_0+5*s_r+IF(circ_int,eq_c1/2,0))/2))+2*IF(circ_int,0,eq_c2/2)),-IF(circ_int,0,eq_c1/2)-(s_0+5*s_r+IF(circ_int,eq_c1/2,0)),IF(((61+0.5)*(4*IF(circ_int,0,eq_c1/2)+4*IF(circ_int,0,eq_c2/2)+2*PI()*(s_0+5*s_r+IF(circ_int,eq_c1/2,0)))/INDEX(lk_legs,6))&lt;((((((2*IF(circ_int,0,eq_c2/2))+(PI()*(s_0+5*s_r+IF(circ_int,eq_c1/2,0))/2))+2*IF(circ_int,0,eq_c1/2))+(PI()*(s_0+5*s_r+IF(circ_int,eq_c1/2,0))/2))+2*IF(circ_int,0,eq_c2/2))+(PI()*(s_0+5*s_r+IF(circ_int,eq_c1/2,0))/2)),-IF(circ_int,0,eq_c1/2)+(s_0+5*s_r+IF(circ_int,eq_c1/2,0))*COS(PI()+(((61+0.5)*(4*IF(circ_int,0,eq_c1/2)+4*IF(circ_int,0,eq_c2/2)+2*PI()*(s_0+5*s_r+IF(circ_int,eq_c1/2,0)))/INDEX(lk_legs,6))-(((((2*IF(circ_int,0,eq_c2/2))+(PI()*(s_0+5*s_r+IF(circ_int,eq_c1/2,0))/2))+2*IF(circ_int,0,eq_c1/2))+(PI()*(s_0+5*s_r+IF(circ_int,eq_c1/2,0))/2))+2*IF(circ_int,0,eq_c2/2)))/(s_0+5*s_r+IF(circ_int,eq_c1/2,0))),IF(((61+0.5)*(4*IF(circ_int,0,eq_c1/2)+4*IF(circ_int,0,eq_c2/2)+2*PI()*(s_0+5*s_r+IF(circ_int,eq_c1/2,0)))/INDEX(lk_legs,6))&lt;(((((((2*IF(circ_int,0,eq_c2/2))+(PI()*(s_0+5*s_r+IF(circ_int,eq_c1/2,0))/2))+2*IF(circ_int,0,eq_c1/2))+(PI()*(s_0+5*s_r+IF(circ_int,eq_c1/2,0))/2))+2*IF(circ_int,0,eq_c2/2))+(PI()*(s_0+5*s_r+IF(circ_int,eq_c1/2,0))/2))+2*IF(circ_int,0,eq_c1/2)),-IF(circ_int,0,eq_c1/2)+(((61+0.5)*(4*IF(circ_int,0,eq_c1/2)+4*IF(circ_int,0,eq_c2/2)+2*PI()*(s_0+5*s_r+IF(circ_int,eq_c1/2,0)))/INDEX(lk_legs,6))-((((((2*IF(circ_int,0,eq_c2/2))+(PI()*(s_0+5*s_r+IF(circ_int,eq_c1/2,0))/2))+2*IF(circ_int,0,eq_c1/2))+(PI()*(s_0+5*s_r+IF(circ_int,eq_c1/2,0))/2))+2*IF(circ_int,0,eq_c2/2))+(PI()*(s_0+5*s_r+IF(circ_int,eq_c1/2,0))/2))),IF(circ_int,0,eq_c1/2)+(s_0+5*s_r+IF(circ_int,eq_c1/2,0))*COS(3*PI()/2+(((61+0.5)*(4*IF(circ_int,0,eq_c1/2)+4*IF(circ_int,0,eq_c2/2)+2*PI()*(s_0+5*s_r+IF(circ_int,eq_c1/2,0)))/INDEX(lk_legs,6))-(((((((2*IF(circ_int,0,eq_c2/2))+(PI()*(s_0+5*s_r+IF(circ_int,eq_c1/2,0))/2))+2*IF(circ_int,0,eq_c1/2))+(PI()*(s_0+5*s_r+IF(circ_int,eq_c1/2,0))/2))+2*IF(circ_int,0,eq_c2/2))+(PI()*(s_0+5*s_r+IF(circ_int,eq_c1/2,0))/2))+2*IF(circ_int,0,eq_c1/2)))/(s_0+5*s_r+IF(circ_int,eq_c1/2,0)))))))))),NA())</f>
        <v/>
      </c>
      <c r="CE64">
        <f>IF(AND(AND(links_on,6&lt;=n_per),INDEX(lk_kind,6)=1,61&lt;INDEX(lk_legs,6)),g_oy+IF(((61+0.5)*(4*IF(circ_int,0,eq_c1/2)+4*IF(circ_int,0,eq_c2/2)+2*PI()*(s_0+5*s_r+IF(circ_int,eq_c1/2,0)))/INDEX(lk_legs,6))&lt;(2*IF(circ_int,0,eq_c2/2)),-IF(circ_int,0,eq_c2/2)+((61+0.5)*(4*IF(circ_int,0,eq_c1/2)+4*IF(circ_int,0,eq_c2/2)+2*PI()*(s_0+5*s_r+IF(circ_int,eq_c1/2,0)))/INDEX(lk_legs,6)),IF(((61+0.5)*(4*IF(circ_int,0,eq_c1/2)+4*IF(circ_int,0,eq_c2/2)+2*PI()*(s_0+5*s_r+IF(circ_int,eq_c1/2,0)))/INDEX(lk_legs,6))&lt;((2*IF(circ_int,0,eq_c2/2))+(PI()*(s_0+5*s_r+IF(circ_int,eq_c1/2,0))/2)),IF(circ_int,0,eq_c2/2)+(s_0+5*s_r+IF(circ_int,eq_c1/2,0))*SIN((((61+0.5)*(4*IF(circ_int,0,eq_c1/2)+4*IF(circ_int,0,eq_c2/2)+2*PI()*(s_0+5*s_r+IF(circ_int,eq_c1/2,0)))/INDEX(lk_legs,6))-(2*IF(circ_int,0,eq_c2/2)))/(s_0+5*s_r+IF(circ_int,eq_c1/2,0))),IF(((61+0.5)*(4*IF(circ_int,0,eq_c1/2)+4*IF(circ_int,0,eq_c2/2)+2*PI()*(s_0+5*s_r+IF(circ_int,eq_c1/2,0)))/INDEX(lk_legs,6))&lt;(((2*IF(circ_int,0,eq_c2/2))+(PI()*(s_0+5*s_r+IF(circ_int,eq_c1/2,0))/2))+2*IF(circ_int,0,eq_c1/2)),IF(circ_int,0,eq_c2/2)+(s_0+5*s_r+IF(circ_int,eq_c1/2,0)),IF(((61+0.5)*(4*IF(circ_int,0,eq_c1/2)+4*IF(circ_int,0,eq_c2/2)+2*PI()*(s_0+5*s_r+IF(circ_int,eq_c1/2,0)))/INDEX(lk_legs,6))&lt;((((2*IF(circ_int,0,eq_c2/2))+(PI()*(s_0+5*s_r+IF(circ_int,eq_c1/2,0))/2))+2*IF(circ_int,0,eq_c1/2))+(PI()*(s_0+5*s_r+IF(circ_int,eq_c1/2,0))/2)),IF(circ_int,0,eq_c2/2)+(s_0+5*s_r+IF(circ_int,eq_c1/2,0))*SIN(PI()/2+(((61+0.5)*(4*IF(circ_int,0,eq_c1/2)+4*IF(circ_int,0,eq_c2/2)+2*PI()*(s_0+5*s_r+IF(circ_int,eq_c1/2,0)))/INDEX(lk_legs,6))-(((2*IF(circ_int,0,eq_c2/2))+(PI()*(s_0+5*s_r+IF(circ_int,eq_c1/2,0))/2))+2*IF(circ_int,0,eq_c1/2)))/(s_0+5*s_r+IF(circ_int,eq_c1/2,0))),IF(((61+0.5)*(4*IF(circ_int,0,eq_c1/2)+4*IF(circ_int,0,eq_c2/2)+2*PI()*(s_0+5*s_r+IF(circ_int,eq_c1/2,0)))/INDEX(lk_legs,6))&lt;(((((2*IF(circ_int,0,eq_c2/2))+(PI()*(s_0+5*s_r+IF(circ_int,eq_c1/2,0))/2))+2*IF(circ_int,0,eq_c1/2))+(PI()*(s_0+5*s_r+IF(circ_int,eq_c1/2,0))/2))+2*IF(circ_int,0,eq_c2/2)),IF(circ_int,0,eq_c2/2)-(((61+0.5)*(4*IF(circ_int,0,eq_c1/2)+4*IF(circ_int,0,eq_c2/2)+2*PI()*(s_0+5*s_r+IF(circ_int,eq_c1/2,0)))/INDEX(lk_legs,6))-((((2*IF(circ_int,0,eq_c2/2))+(PI()*(s_0+5*s_r+IF(circ_int,eq_c1/2,0))/2))+2*IF(circ_int,0,eq_c1/2))+(PI()*(s_0+5*s_r+IF(circ_int,eq_c1/2,0))/2))),IF(((61+0.5)*(4*IF(circ_int,0,eq_c1/2)+4*IF(circ_int,0,eq_c2/2)+2*PI()*(s_0+5*s_r+IF(circ_int,eq_c1/2,0)))/INDEX(lk_legs,6))&lt;((((((2*IF(circ_int,0,eq_c2/2))+(PI()*(s_0+5*s_r+IF(circ_int,eq_c1/2,0))/2))+2*IF(circ_int,0,eq_c1/2))+(PI()*(s_0+5*s_r+IF(circ_int,eq_c1/2,0))/2))+2*IF(circ_int,0,eq_c2/2))+(PI()*(s_0+5*s_r+IF(circ_int,eq_c1/2,0))/2)),-IF(circ_int,0,eq_c2/2)+(s_0+5*s_r+IF(circ_int,eq_c1/2,0))*SIN(PI()+(((61+0.5)*(4*IF(circ_int,0,eq_c1/2)+4*IF(circ_int,0,eq_c2/2)+2*PI()*(s_0+5*s_r+IF(circ_int,eq_c1/2,0)))/INDEX(lk_legs,6))-(((((2*IF(circ_int,0,eq_c2/2))+(PI()*(s_0+5*s_r+IF(circ_int,eq_c1/2,0))/2))+2*IF(circ_int,0,eq_c1/2))+(PI()*(s_0+5*s_r+IF(circ_int,eq_c1/2,0))/2))+2*IF(circ_int,0,eq_c2/2)))/(s_0+5*s_r+IF(circ_int,eq_c1/2,0))),IF(((61+0.5)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(61+0.5)*(4*IF(circ_int,0,eq_c1/2)+4*IF(circ_int,0,eq_c2/2)+2*PI()*(s_0+5*s_r+IF(circ_int,eq_c1/2,0)))/INDEX(lk_legs,6))-(((((((2*IF(circ_int,0,eq_c2/2))+(PI()*(s_0+5*s_r+IF(circ_int,eq_c1/2,0))/2))+2*IF(circ_int,0,eq_c1/2))+(PI()*(s_0+5*s_r+IF(circ_int,eq_c1/2,0))/2))+2*IF(circ_int,0,eq_c2/2))+(PI()*(s_0+5*s_r+IF(circ_int,eq_c1/2,0))/2))+2*IF(circ_int,0,eq_c1/2)))/(s_0+5*s_r+IF(circ_int,eq_c1/2,0)))))))))),NA())</f>
        <v/>
      </c>
      <c r="CJ64">
        <f>IF(AND(AND(links_on,7&lt;=n_per),INDEX(lk_kind,7)=1,61&lt;INDEX(lk_legs,7)),g_ox+IF(((61+0.5)*(4*IF(circ_int,0,eq_c1/2)+4*IF(circ_int,0,eq_c2/2)+2*PI()*(s_0+6*s_r+IF(circ_int,eq_c1/2,0)))/INDEX(lk_legs,7))&lt;(2*IF(circ_int,0,eq_c2/2)),IF(circ_int,0,eq_c1/2)+(s_0+6*s_r+IF(circ_int,eq_c1/2,0)),IF(((61+0.5)*(4*IF(circ_int,0,eq_c1/2)+4*IF(circ_int,0,eq_c2/2)+2*PI()*(s_0+6*s_r+IF(circ_int,eq_c1/2,0)))/INDEX(lk_legs,7))&lt;((2*IF(circ_int,0,eq_c2/2))+(PI()*(s_0+6*s_r+IF(circ_int,eq_c1/2,0))/2)),IF(circ_int,0,eq_c1/2)+(s_0+6*s_r+IF(circ_int,eq_c1/2,0))*COS((((61+0.5)*(4*IF(circ_int,0,eq_c1/2)+4*IF(circ_int,0,eq_c2/2)+2*PI()*(s_0+6*s_r+IF(circ_int,eq_c1/2,0)))/INDEX(lk_legs,7))-(2*IF(circ_int,0,eq_c2/2)))/(s_0+6*s_r+IF(circ_int,eq_c1/2,0))),IF(((61+0.5)*(4*IF(circ_int,0,eq_c1/2)+4*IF(circ_int,0,eq_c2/2)+2*PI()*(s_0+6*s_r+IF(circ_int,eq_c1/2,0)))/INDEX(lk_legs,7))&lt;(((2*IF(circ_int,0,eq_c2/2))+(PI()*(s_0+6*s_r+IF(circ_int,eq_c1/2,0))/2))+2*IF(circ_int,0,eq_c1/2)),IF(circ_int,0,eq_c1/2)-(((61+0.5)*(4*IF(circ_int,0,eq_c1/2)+4*IF(circ_int,0,eq_c2/2)+2*PI()*(s_0+6*s_r+IF(circ_int,eq_c1/2,0)))/INDEX(lk_legs,7))-((2*IF(circ_int,0,eq_c2/2))+(PI()*(s_0+6*s_r+IF(circ_int,eq_c1/2,0))/2))),IF(((61+0.5)*(4*IF(circ_int,0,eq_c1/2)+4*IF(circ_int,0,eq_c2/2)+2*PI()*(s_0+6*s_r+IF(circ_int,eq_c1/2,0)))/INDEX(lk_legs,7))&lt;((((2*IF(circ_int,0,eq_c2/2))+(PI()*(s_0+6*s_r+IF(circ_int,eq_c1/2,0))/2))+2*IF(circ_int,0,eq_c1/2))+(PI()*(s_0+6*s_r+IF(circ_int,eq_c1/2,0))/2)),-IF(circ_int,0,eq_c1/2)+(s_0+6*s_r+IF(circ_int,eq_c1/2,0))*COS(PI()/2+(((61+0.5)*(4*IF(circ_int,0,eq_c1/2)+4*IF(circ_int,0,eq_c2/2)+2*PI()*(s_0+6*s_r+IF(circ_int,eq_c1/2,0)))/INDEX(lk_legs,7))-(((2*IF(circ_int,0,eq_c2/2))+(PI()*(s_0+6*s_r+IF(circ_int,eq_c1/2,0))/2))+2*IF(circ_int,0,eq_c1/2)))/(s_0+6*s_r+IF(circ_int,eq_c1/2,0))),IF(((61+0.5)*(4*IF(circ_int,0,eq_c1/2)+4*IF(circ_int,0,eq_c2/2)+2*PI()*(s_0+6*s_r+IF(circ_int,eq_c1/2,0)))/INDEX(lk_legs,7))&lt;(((((2*IF(circ_int,0,eq_c2/2))+(PI()*(s_0+6*s_r+IF(circ_int,eq_c1/2,0))/2))+2*IF(circ_int,0,eq_c1/2))+(PI()*(s_0+6*s_r+IF(circ_int,eq_c1/2,0))/2))+2*IF(circ_int,0,eq_c2/2)),-IF(circ_int,0,eq_c1/2)-(s_0+6*s_r+IF(circ_int,eq_c1/2,0)),IF(((61+0.5)*(4*IF(circ_int,0,eq_c1/2)+4*IF(circ_int,0,eq_c2/2)+2*PI()*(s_0+6*s_r+IF(circ_int,eq_c1/2,0)))/INDEX(lk_legs,7))&lt;((((((2*IF(circ_int,0,eq_c2/2))+(PI()*(s_0+6*s_r+IF(circ_int,eq_c1/2,0))/2))+2*IF(circ_int,0,eq_c1/2))+(PI()*(s_0+6*s_r+IF(circ_int,eq_c1/2,0))/2))+2*IF(circ_int,0,eq_c2/2))+(PI()*(s_0+6*s_r+IF(circ_int,eq_c1/2,0))/2)),-IF(circ_int,0,eq_c1/2)+(s_0+6*s_r+IF(circ_int,eq_c1/2,0))*COS(PI()+(((61+0.5)*(4*IF(circ_int,0,eq_c1/2)+4*IF(circ_int,0,eq_c2/2)+2*PI()*(s_0+6*s_r+IF(circ_int,eq_c1/2,0)))/INDEX(lk_legs,7))-(((((2*IF(circ_int,0,eq_c2/2))+(PI()*(s_0+6*s_r+IF(circ_int,eq_c1/2,0))/2))+2*IF(circ_int,0,eq_c1/2))+(PI()*(s_0+6*s_r+IF(circ_int,eq_c1/2,0))/2))+2*IF(circ_int,0,eq_c2/2)))/(s_0+6*s_r+IF(circ_int,eq_c1/2,0))),IF(((61+0.5)*(4*IF(circ_int,0,eq_c1/2)+4*IF(circ_int,0,eq_c2/2)+2*PI()*(s_0+6*s_r+IF(circ_int,eq_c1/2,0)))/INDEX(lk_legs,7))&lt;(((((((2*IF(circ_int,0,eq_c2/2))+(PI()*(s_0+6*s_r+IF(circ_int,eq_c1/2,0))/2))+2*IF(circ_int,0,eq_c1/2))+(PI()*(s_0+6*s_r+IF(circ_int,eq_c1/2,0))/2))+2*IF(circ_int,0,eq_c2/2))+(PI()*(s_0+6*s_r+IF(circ_int,eq_c1/2,0))/2))+2*IF(circ_int,0,eq_c1/2)),-IF(circ_int,0,eq_c1/2)+(((61+0.5)*(4*IF(circ_int,0,eq_c1/2)+4*IF(circ_int,0,eq_c2/2)+2*PI()*(s_0+6*s_r+IF(circ_int,eq_c1/2,0)))/INDEX(lk_legs,7))-((((((2*IF(circ_int,0,eq_c2/2))+(PI()*(s_0+6*s_r+IF(circ_int,eq_c1/2,0))/2))+2*IF(circ_int,0,eq_c1/2))+(PI()*(s_0+6*s_r+IF(circ_int,eq_c1/2,0))/2))+2*IF(circ_int,0,eq_c2/2))+(PI()*(s_0+6*s_r+IF(circ_int,eq_c1/2,0))/2))),IF(circ_int,0,eq_c1/2)+(s_0+6*s_r+IF(circ_int,eq_c1/2,0))*COS(3*PI()/2+(((61+0.5)*(4*IF(circ_int,0,eq_c1/2)+4*IF(circ_int,0,eq_c2/2)+2*PI()*(s_0+6*s_r+IF(circ_int,eq_c1/2,0)))/INDEX(lk_legs,7))-(((((((2*IF(circ_int,0,eq_c2/2))+(PI()*(s_0+6*s_r+IF(circ_int,eq_c1/2,0))/2))+2*IF(circ_int,0,eq_c1/2))+(PI()*(s_0+6*s_r+IF(circ_int,eq_c1/2,0))/2))+2*IF(circ_int,0,eq_c2/2))+(PI()*(s_0+6*s_r+IF(circ_int,eq_c1/2,0))/2))+2*IF(circ_int,0,eq_c1/2)))/(s_0+6*s_r+IF(circ_int,eq_c1/2,0)))))))))),NA())</f>
        <v/>
      </c>
      <c r="CK64">
        <f>IF(AND(AND(links_on,7&lt;=n_per),INDEX(lk_kind,7)=1,61&lt;INDEX(lk_legs,7)),g_oy+IF(((61+0.5)*(4*IF(circ_int,0,eq_c1/2)+4*IF(circ_int,0,eq_c2/2)+2*PI()*(s_0+6*s_r+IF(circ_int,eq_c1/2,0)))/INDEX(lk_legs,7))&lt;(2*IF(circ_int,0,eq_c2/2)),-IF(circ_int,0,eq_c2/2)+((61+0.5)*(4*IF(circ_int,0,eq_c1/2)+4*IF(circ_int,0,eq_c2/2)+2*PI()*(s_0+6*s_r+IF(circ_int,eq_c1/2,0)))/INDEX(lk_legs,7)),IF(((61+0.5)*(4*IF(circ_int,0,eq_c1/2)+4*IF(circ_int,0,eq_c2/2)+2*PI()*(s_0+6*s_r+IF(circ_int,eq_c1/2,0)))/INDEX(lk_legs,7))&lt;((2*IF(circ_int,0,eq_c2/2))+(PI()*(s_0+6*s_r+IF(circ_int,eq_c1/2,0))/2)),IF(circ_int,0,eq_c2/2)+(s_0+6*s_r+IF(circ_int,eq_c1/2,0))*SIN((((61+0.5)*(4*IF(circ_int,0,eq_c1/2)+4*IF(circ_int,0,eq_c2/2)+2*PI()*(s_0+6*s_r+IF(circ_int,eq_c1/2,0)))/INDEX(lk_legs,7))-(2*IF(circ_int,0,eq_c2/2)))/(s_0+6*s_r+IF(circ_int,eq_c1/2,0))),IF(((61+0.5)*(4*IF(circ_int,0,eq_c1/2)+4*IF(circ_int,0,eq_c2/2)+2*PI()*(s_0+6*s_r+IF(circ_int,eq_c1/2,0)))/INDEX(lk_legs,7))&lt;(((2*IF(circ_int,0,eq_c2/2))+(PI()*(s_0+6*s_r+IF(circ_int,eq_c1/2,0))/2))+2*IF(circ_int,0,eq_c1/2)),IF(circ_int,0,eq_c2/2)+(s_0+6*s_r+IF(circ_int,eq_c1/2,0)),IF(((61+0.5)*(4*IF(circ_int,0,eq_c1/2)+4*IF(circ_int,0,eq_c2/2)+2*PI()*(s_0+6*s_r+IF(circ_int,eq_c1/2,0)))/INDEX(lk_legs,7))&lt;((((2*IF(circ_int,0,eq_c2/2))+(PI()*(s_0+6*s_r+IF(circ_int,eq_c1/2,0))/2))+2*IF(circ_int,0,eq_c1/2))+(PI()*(s_0+6*s_r+IF(circ_int,eq_c1/2,0))/2)),IF(circ_int,0,eq_c2/2)+(s_0+6*s_r+IF(circ_int,eq_c1/2,0))*SIN(PI()/2+(((61+0.5)*(4*IF(circ_int,0,eq_c1/2)+4*IF(circ_int,0,eq_c2/2)+2*PI()*(s_0+6*s_r+IF(circ_int,eq_c1/2,0)))/INDEX(lk_legs,7))-(((2*IF(circ_int,0,eq_c2/2))+(PI()*(s_0+6*s_r+IF(circ_int,eq_c1/2,0))/2))+2*IF(circ_int,0,eq_c1/2)))/(s_0+6*s_r+IF(circ_int,eq_c1/2,0))),IF(((61+0.5)*(4*IF(circ_int,0,eq_c1/2)+4*IF(circ_int,0,eq_c2/2)+2*PI()*(s_0+6*s_r+IF(circ_int,eq_c1/2,0)))/INDEX(lk_legs,7))&lt;(((((2*IF(circ_int,0,eq_c2/2))+(PI()*(s_0+6*s_r+IF(circ_int,eq_c1/2,0))/2))+2*IF(circ_int,0,eq_c1/2))+(PI()*(s_0+6*s_r+IF(circ_int,eq_c1/2,0))/2))+2*IF(circ_int,0,eq_c2/2)),IF(circ_int,0,eq_c2/2)-(((61+0.5)*(4*IF(circ_int,0,eq_c1/2)+4*IF(circ_int,0,eq_c2/2)+2*PI()*(s_0+6*s_r+IF(circ_int,eq_c1/2,0)))/INDEX(lk_legs,7))-((((2*IF(circ_int,0,eq_c2/2))+(PI()*(s_0+6*s_r+IF(circ_int,eq_c1/2,0))/2))+2*IF(circ_int,0,eq_c1/2))+(PI()*(s_0+6*s_r+IF(circ_int,eq_c1/2,0))/2))),IF(((61+0.5)*(4*IF(circ_int,0,eq_c1/2)+4*IF(circ_int,0,eq_c2/2)+2*PI()*(s_0+6*s_r+IF(circ_int,eq_c1/2,0)))/INDEX(lk_legs,7))&lt;((((((2*IF(circ_int,0,eq_c2/2))+(PI()*(s_0+6*s_r+IF(circ_int,eq_c1/2,0))/2))+2*IF(circ_int,0,eq_c1/2))+(PI()*(s_0+6*s_r+IF(circ_int,eq_c1/2,0))/2))+2*IF(circ_int,0,eq_c2/2))+(PI()*(s_0+6*s_r+IF(circ_int,eq_c1/2,0))/2)),-IF(circ_int,0,eq_c2/2)+(s_0+6*s_r+IF(circ_int,eq_c1/2,0))*SIN(PI()+(((61+0.5)*(4*IF(circ_int,0,eq_c1/2)+4*IF(circ_int,0,eq_c2/2)+2*PI()*(s_0+6*s_r+IF(circ_int,eq_c1/2,0)))/INDEX(lk_legs,7))-(((((2*IF(circ_int,0,eq_c2/2))+(PI()*(s_0+6*s_r+IF(circ_int,eq_c1/2,0))/2))+2*IF(circ_int,0,eq_c1/2))+(PI()*(s_0+6*s_r+IF(circ_int,eq_c1/2,0))/2))+2*IF(circ_int,0,eq_c2/2)))/(s_0+6*s_r+IF(circ_int,eq_c1/2,0))),IF(((61+0.5)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(61+0.5)*(4*IF(circ_int,0,eq_c1/2)+4*IF(circ_int,0,eq_c2/2)+2*PI()*(s_0+6*s_r+IF(circ_int,eq_c1/2,0)))/INDEX(lk_legs,7))-(((((((2*IF(circ_int,0,eq_c2/2))+(PI()*(s_0+6*s_r+IF(circ_int,eq_c1/2,0))/2))+2*IF(circ_int,0,eq_c1/2))+(PI()*(s_0+6*s_r+IF(circ_int,eq_c1/2,0))/2))+2*IF(circ_int,0,eq_c2/2))+(PI()*(s_0+6*s_r+IF(circ_int,eq_c1/2,0))/2))+2*IF(circ_int,0,eq_c1/2)))/(s_0+6*s_r+IF(circ_int,eq_c1/2,0)))))))))),NA())</f>
        <v/>
      </c>
      <c r="CP64">
        <f>IF(AND(AND(links_on,8&lt;=n_per),INDEX(lk_kind,8)=1,61&lt;INDEX(lk_legs,8)),g_ox+IF(((61+0.5)*(4*IF(circ_int,0,eq_c1/2)+4*IF(circ_int,0,eq_c2/2)+2*PI()*(s_0+7*s_r+IF(circ_int,eq_c1/2,0)))/INDEX(lk_legs,8))&lt;(2*IF(circ_int,0,eq_c2/2)),IF(circ_int,0,eq_c1/2)+(s_0+7*s_r+IF(circ_int,eq_c1/2,0)),IF(((61+0.5)*(4*IF(circ_int,0,eq_c1/2)+4*IF(circ_int,0,eq_c2/2)+2*PI()*(s_0+7*s_r+IF(circ_int,eq_c1/2,0)))/INDEX(lk_legs,8))&lt;((2*IF(circ_int,0,eq_c2/2))+(PI()*(s_0+7*s_r+IF(circ_int,eq_c1/2,0))/2)),IF(circ_int,0,eq_c1/2)+(s_0+7*s_r+IF(circ_int,eq_c1/2,0))*COS((((61+0.5)*(4*IF(circ_int,0,eq_c1/2)+4*IF(circ_int,0,eq_c2/2)+2*PI()*(s_0+7*s_r+IF(circ_int,eq_c1/2,0)))/INDEX(lk_legs,8))-(2*IF(circ_int,0,eq_c2/2)))/(s_0+7*s_r+IF(circ_int,eq_c1/2,0))),IF(((61+0.5)*(4*IF(circ_int,0,eq_c1/2)+4*IF(circ_int,0,eq_c2/2)+2*PI()*(s_0+7*s_r+IF(circ_int,eq_c1/2,0)))/INDEX(lk_legs,8))&lt;(((2*IF(circ_int,0,eq_c2/2))+(PI()*(s_0+7*s_r+IF(circ_int,eq_c1/2,0))/2))+2*IF(circ_int,0,eq_c1/2)),IF(circ_int,0,eq_c1/2)-(((61+0.5)*(4*IF(circ_int,0,eq_c1/2)+4*IF(circ_int,0,eq_c2/2)+2*PI()*(s_0+7*s_r+IF(circ_int,eq_c1/2,0)))/INDEX(lk_legs,8))-((2*IF(circ_int,0,eq_c2/2))+(PI()*(s_0+7*s_r+IF(circ_int,eq_c1/2,0))/2))),IF(((61+0.5)*(4*IF(circ_int,0,eq_c1/2)+4*IF(circ_int,0,eq_c2/2)+2*PI()*(s_0+7*s_r+IF(circ_int,eq_c1/2,0)))/INDEX(lk_legs,8))&lt;((((2*IF(circ_int,0,eq_c2/2))+(PI()*(s_0+7*s_r+IF(circ_int,eq_c1/2,0))/2))+2*IF(circ_int,0,eq_c1/2))+(PI()*(s_0+7*s_r+IF(circ_int,eq_c1/2,0))/2)),-IF(circ_int,0,eq_c1/2)+(s_0+7*s_r+IF(circ_int,eq_c1/2,0))*COS(PI()/2+(((61+0.5)*(4*IF(circ_int,0,eq_c1/2)+4*IF(circ_int,0,eq_c2/2)+2*PI()*(s_0+7*s_r+IF(circ_int,eq_c1/2,0)))/INDEX(lk_legs,8))-(((2*IF(circ_int,0,eq_c2/2))+(PI()*(s_0+7*s_r+IF(circ_int,eq_c1/2,0))/2))+2*IF(circ_int,0,eq_c1/2)))/(s_0+7*s_r+IF(circ_int,eq_c1/2,0))),IF(((61+0.5)*(4*IF(circ_int,0,eq_c1/2)+4*IF(circ_int,0,eq_c2/2)+2*PI()*(s_0+7*s_r+IF(circ_int,eq_c1/2,0)))/INDEX(lk_legs,8))&lt;(((((2*IF(circ_int,0,eq_c2/2))+(PI()*(s_0+7*s_r+IF(circ_int,eq_c1/2,0))/2))+2*IF(circ_int,0,eq_c1/2))+(PI()*(s_0+7*s_r+IF(circ_int,eq_c1/2,0))/2))+2*IF(circ_int,0,eq_c2/2)),-IF(circ_int,0,eq_c1/2)-(s_0+7*s_r+IF(circ_int,eq_c1/2,0)),IF(((61+0.5)*(4*IF(circ_int,0,eq_c1/2)+4*IF(circ_int,0,eq_c2/2)+2*PI()*(s_0+7*s_r+IF(circ_int,eq_c1/2,0)))/INDEX(lk_legs,8))&lt;((((((2*IF(circ_int,0,eq_c2/2))+(PI()*(s_0+7*s_r+IF(circ_int,eq_c1/2,0))/2))+2*IF(circ_int,0,eq_c1/2))+(PI()*(s_0+7*s_r+IF(circ_int,eq_c1/2,0))/2))+2*IF(circ_int,0,eq_c2/2))+(PI()*(s_0+7*s_r+IF(circ_int,eq_c1/2,0))/2)),-IF(circ_int,0,eq_c1/2)+(s_0+7*s_r+IF(circ_int,eq_c1/2,0))*COS(PI()+(((61+0.5)*(4*IF(circ_int,0,eq_c1/2)+4*IF(circ_int,0,eq_c2/2)+2*PI()*(s_0+7*s_r+IF(circ_int,eq_c1/2,0)))/INDEX(lk_legs,8))-(((((2*IF(circ_int,0,eq_c2/2))+(PI()*(s_0+7*s_r+IF(circ_int,eq_c1/2,0))/2))+2*IF(circ_int,0,eq_c1/2))+(PI()*(s_0+7*s_r+IF(circ_int,eq_c1/2,0))/2))+2*IF(circ_int,0,eq_c2/2)))/(s_0+7*s_r+IF(circ_int,eq_c1/2,0))),IF(((61+0.5)*(4*IF(circ_int,0,eq_c1/2)+4*IF(circ_int,0,eq_c2/2)+2*PI()*(s_0+7*s_r+IF(circ_int,eq_c1/2,0)))/INDEX(lk_legs,8))&lt;(((((((2*IF(circ_int,0,eq_c2/2))+(PI()*(s_0+7*s_r+IF(circ_int,eq_c1/2,0))/2))+2*IF(circ_int,0,eq_c1/2))+(PI()*(s_0+7*s_r+IF(circ_int,eq_c1/2,0))/2))+2*IF(circ_int,0,eq_c2/2))+(PI()*(s_0+7*s_r+IF(circ_int,eq_c1/2,0))/2))+2*IF(circ_int,0,eq_c1/2)),-IF(circ_int,0,eq_c1/2)+(((61+0.5)*(4*IF(circ_int,0,eq_c1/2)+4*IF(circ_int,0,eq_c2/2)+2*PI()*(s_0+7*s_r+IF(circ_int,eq_c1/2,0)))/INDEX(lk_legs,8))-((((((2*IF(circ_int,0,eq_c2/2))+(PI()*(s_0+7*s_r+IF(circ_int,eq_c1/2,0))/2))+2*IF(circ_int,0,eq_c1/2))+(PI()*(s_0+7*s_r+IF(circ_int,eq_c1/2,0))/2))+2*IF(circ_int,0,eq_c2/2))+(PI()*(s_0+7*s_r+IF(circ_int,eq_c1/2,0))/2))),IF(circ_int,0,eq_c1/2)+(s_0+7*s_r+IF(circ_int,eq_c1/2,0))*COS(3*PI()/2+(((61+0.5)*(4*IF(circ_int,0,eq_c1/2)+4*IF(circ_int,0,eq_c2/2)+2*PI()*(s_0+7*s_r+IF(circ_int,eq_c1/2,0)))/INDEX(lk_legs,8))-(((((((2*IF(circ_int,0,eq_c2/2))+(PI()*(s_0+7*s_r+IF(circ_int,eq_c1/2,0))/2))+2*IF(circ_int,0,eq_c1/2))+(PI()*(s_0+7*s_r+IF(circ_int,eq_c1/2,0))/2))+2*IF(circ_int,0,eq_c2/2))+(PI()*(s_0+7*s_r+IF(circ_int,eq_c1/2,0))/2))+2*IF(circ_int,0,eq_c1/2)))/(s_0+7*s_r+IF(circ_int,eq_c1/2,0)))))))))),NA())</f>
        <v/>
      </c>
      <c r="CQ64">
        <f>IF(AND(AND(links_on,8&lt;=n_per),INDEX(lk_kind,8)=1,61&lt;INDEX(lk_legs,8)),g_oy+IF(((61+0.5)*(4*IF(circ_int,0,eq_c1/2)+4*IF(circ_int,0,eq_c2/2)+2*PI()*(s_0+7*s_r+IF(circ_int,eq_c1/2,0)))/INDEX(lk_legs,8))&lt;(2*IF(circ_int,0,eq_c2/2)),-IF(circ_int,0,eq_c2/2)+((61+0.5)*(4*IF(circ_int,0,eq_c1/2)+4*IF(circ_int,0,eq_c2/2)+2*PI()*(s_0+7*s_r+IF(circ_int,eq_c1/2,0)))/INDEX(lk_legs,8)),IF(((61+0.5)*(4*IF(circ_int,0,eq_c1/2)+4*IF(circ_int,0,eq_c2/2)+2*PI()*(s_0+7*s_r+IF(circ_int,eq_c1/2,0)))/INDEX(lk_legs,8))&lt;((2*IF(circ_int,0,eq_c2/2))+(PI()*(s_0+7*s_r+IF(circ_int,eq_c1/2,0))/2)),IF(circ_int,0,eq_c2/2)+(s_0+7*s_r+IF(circ_int,eq_c1/2,0))*SIN((((61+0.5)*(4*IF(circ_int,0,eq_c1/2)+4*IF(circ_int,0,eq_c2/2)+2*PI()*(s_0+7*s_r+IF(circ_int,eq_c1/2,0)))/INDEX(lk_legs,8))-(2*IF(circ_int,0,eq_c2/2)))/(s_0+7*s_r+IF(circ_int,eq_c1/2,0))),IF(((61+0.5)*(4*IF(circ_int,0,eq_c1/2)+4*IF(circ_int,0,eq_c2/2)+2*PI()*(s_0+7*s_r+IF(circ_int,eq_c1/2,0)))/INDEX(lk_legs,8))&lt;(((2*IF(circ_int,0,eq_c2/2))+(PI()*(s_0+7*s_r+IF(circ_int,eq_c1/2,0))/2))+2*IF(circ_int,0,eq_c1/2)),IF(circ_int,0,eq_c2/2)+(s_0+7*s_r+IF(circ_int,eq_c1/2,0)),IF(((61+0.5)*(4*IF(circ_int,0,eq_c1/2)+4*IF(circ_int,0,eq_c2/2)+2*PI()*(s_0+7*s_r+IF(circ_int,eq_c1/2,0)))/INDEX(lk_legs,8))&lt;((((2*IF(circ_int,0,eq_c2/2))+(PI()*(s_0+7*s_r+IF(circ_int,eq_c1/2,0))/2))+2*IF(circ_int,0,eq_c1/2))+(PI()*(s_0+7*s_r+IF(circ_int,eq_c1/2,0))/2)),IF(circ_int,0,eq_c2/2)+(s_0+7*s_r+IF(circ_int,eq_c1/2,0))*SIN(PI()/2+(((61+0.5)*(4*IF(circ_int,0,eq_c1/2)+4*IF(circ_int,0,eq_c2/2)+2*PI()*(s_0+7*s_r+IF(circ_int,eq_c1/2,0)))/INDEX(lk_legs,8))-(((2*IF(circ_int,0,eq_c2/2))+(PI()*(s_0+7*s_r+IF(circ_int,eq_c1/2,0))/2))+2*IF(circ_int,0,eq_c1/2)))/(s_0+7*s_r+IF(circ_int,eq_c1/2,0))),IF(((61+0.5)*(4*IF(circ_int,0,eq_c1/2)+4*IF(circ_int,0,eq_c2/2)+2*PI()*(s_0+7*s_r+IF(circ_int,eq_c1/2,0)))/INDEX(lk_legs,8))&lt;(((((2*IF(circ_int,0,eq_c2/2))+(PI()*(s_0+7*s_r+IF(circ_int,eq_c1/2,0))/2))+2*IF(circ_int,0,eq_c1/2))+(PI()*(s_0+7*s_r+IF(circ_int,eq_c1/2,0))/2))+2*IF(circ_int,0,eq_c2/2)),IF(circ_int,0,eq_c2/2)-(((61+0.5)*(4*IF(circ_int,0,eq_c1/2)+4*IF(circ_int,0,eq_c2/2)+2*PI()*(s_0+7*s_r+IF(circ_int,eq_c1/2,0)))/INDEX(lk_legs,8))-((((2*IF(circ_int,0,eq_c2/2))+(PI()*(s_0+7*s_r+IF(circ_int,eq_c1/2,0))/2))+2*IF(circ_int,0,eq_c1/2))+(PI()*(s_0+7*s_r+IF(circ_int,eq_c1/2,0))/2))),IF(((61+0.5)*(4*IF(circ_int,0,eq_c1/2)+4*IF(circ_int,0,eq_c2/2)+2*PI()*(s_0+7*s_r+IF(circ_int,eq_c1/2,0)))/INDEX(lk_legs,8))&lt;((((((2*IF(circ_int,0,eq_c2/2))+(PI()*(s_0+7*s_r+IF(circ_int,eq_c1/2,0))/2))+2*IF(circ_int,0,eq_c1/2))+(PI()*(s_0+7*s_r+IF(circ_int,eq_c1/2,0))/2))+2*IF(circ_int,0,eq_c2/2))+(PI()*(s_0+7*s_r+IF(circ_int,eq_c1/2,0))/2)),-IF(circ_int,0,eq_c2/2)+(s_0+7*s_r+IF(circ_int,eq_c1/2,0))*SIN(PI()+(((61+0.5)*(4*IF(circ_int,0,eq_c1/2)+4*IF(circ_int,0,eq_c2/2)+2*PI()*(s_0+7*s_r+IF(circ_int,eq_c1/2,0)))/INDEX(lk_legs,8))-(((((2*IF(circ_int,0,eq_c2/2))+(PI()*(s_0+7*s_r+IF(circ_int,eq_c1/2,0))/2))+2*IF(circ_int,0,eq_c1/2))+(PI()*(s_0+7*s_r+IF(circ_int,eq_c1/2,0))/2))+2*IF(circ_int,0,eq_c2/2)))/(s_0+7*s_r+IF(circ_int,eq_c1/2,0))),IF(((61+0.5)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(61+0.5)*(4*IF(circ_int,0,eq_c1/2)+4*IF(circ_int,0,eq_c2/2)+2*PI()*(s_0+7*s_r+IF(circ_int,eq_c1/2,0)))/INDEX(lk_legs,8))-(((((((2*IF(circ_int,0,eq_c2/2))+(PI()*(s_0+7*s_r+IF(circ_int,eq_c1/2,0))/2))+2*IF(circ_int,0,eq_c1/2))+(PI()*(s_0+7*s_r+IF(circ_int,eq_c1/2,0))/2))+2*IF(circ_int,0,eq_c2/2))+(PI()*(s_0+7*s_r+IF(circ_int,eq_c1/2,0))/2))+2*IF(circ_int,0,eq_c1/2)))/(s_0+7*s_r+IF(circ_int,eq_c1/2,0)))))))))),NA())</f>
        <v/>
      </c>
      <c r="CV64">
        <f>IF(AND(AND(links_on,9&lt;=n_per),INDEX(lk_kind,9)=1,61&lt;INDEX(lk_legs,9)),g_ox+IF(((61+0.5)*(4*IF(circ_int,0,eq_c1/2)+4*IF(circ_int,0,eq_c2/2)+2*PI()*(s_0+8*s_r+IF(circ_int,eq_c1/2,0)))/INDEX(lk_legs,9))&lt;(2*IF(circ_int,0,eq_c2/2)),IF(circ_int,0,eq_c1/2)+(s_0+8*s_r+IF(circ_int,eq_c1/2,0)),IF(((61+0.5)*(4*IF(circ_int,0,eq_c1/2)+4*IF(circ_int,0,eq_c2/2)+2*PI()*(s_0+8*s_r+IF(circ_int,eq_c1/2,0)))/INDEX(lk_legs,9))&lt;((2*IF(circ_int,0,eq_c2/2))+(PI()*(s_0+8*s_r+IF(circ_int,eq_c1/2,0))/2)),IF(circ_int,0,eq_c1/2)+(s_0+8*s_r+IF(circ_int,eq_c1/2,0))*COS((((61+0.5)*(4*IF(circ_int,0,eq_c1/2)+4*IF(circ_int,0,eq_c2/2)+2*PI()*(s_0+8*s_r+IF(circ_int,eq_c1/2,0)))/INDEX(lk_legs,9))-(2*IF(circ_int,0,eq_c2/2)))/(s_0+8*s_r+IF(circ_int,eq_c1/2,0))),IF(((61+0.5)*(4*IF(circ_int,0,eq_c1/2)+4*IF(circ_int,0,eq_c2/2)+2*PI()*(s_0+8*s_r+IF(circ_int,eq_c1/2,0)))/INDEX(lk_legs,9))&lt;(((2*IF(circ_int,0,eq_c2/2))+(PI()*(s_0+8*s_r+IF(circ_int,eq_c1/2,0))/2))+2*IF(circ_int,0,eq_c1/2)),IF(circ_int,0,eq_c1/2)-(((61+0.5)*(4*IF(circ_int,0,eq_c1/2)+4*IF(circ_int,0,eq_c2/2)+2*PI()*(s_0+8*s_r+IF(circ_int,eq_c1/2,0)))/INDEX(lk_legs,9))-((2*IF(circ_int,0,eq_c2/2))+(PI()*(s_0+8*s_r+IF(circ_int,eq_c1/2,0))/2))),IF(((61+0.5)*(4*IF(circ_int,0,eq_c1/2)+4*IF(circ_int,0,eq_c2/2)+2*PI()*(s_0+8*s_r+IF(circ_int,eq_c1/2,0)))/INDEX(lk_legs,9))&lt;((((2*IF(circ_int,0,eq_c2/2))+(PI()*(s_0+8*s_r+IF(circ_int,eq_c1/2,0))/2))+2*IF(circ_int,0,eq_c1/2))+(PI()*(s_0+8*s_r+IF(circ_int,eq_c1/2,0))/2)),-IF(circ_int,0,eq_c1/2)+(s_0+8*s_r+IF(circ_int,eq_c1/2,0))*COS(PI()/2+(((61+0.5)*(4*IF(circ_int,0,eq_c1/2)+4*IF(circ_int,0,eq_c2/2)+2*PI()*(s_0+8*s_r+IF(circ_int,eq_c1/2,0)))/INDEX(lk_legs,9))-(((2*IF(circ_int,0,eq_c2/2))+(PI()*(s_0+8*s_r+IF(circ_int,eq_c1/2,0))/2))+2*IF(circ_int,0,eq_c1/2)))/(s_0+8*s_r+IF(circ_int,eq_c1/2,0))),IF(((61+0.5)*(4*IF(circ_int,0,eq_c1/2)+4*IF(circ_int,0,eq_c2/2)+2*PI()*(s_0+8*s_r+IF(circ_int,eq_c1/2,0)))/INDEX(lk_legs,9))&lt;(((((2*IF(circ_int,0,eq_c2/2))+(PI()*(s_0+8*s_r+IF(circ_int,eq_c1/2,0))/2))+2*IF(circ_int,0,eq_c1/2))+(PI()*(s_0+8*s_r+IF(circ_int,eq_c1/2,0))/2))+2*IF(circ_int,0,eq_c2/2)),-IF(circ_int,0,eq_c1/2)-(s_0+8*s_r+IF(circ_int,eq_c1/2,0)),IF(((61+0.5)*(4*IF(circ_int,0,eq_c1/2)+4*IF(circ_int,0,eq_c2/2)+2*PI()*(s_0+8*s_r+IF(circ_int,eq_c1/2,0)))/INDEX(lk_legs,9))&lt;((((((2*IF(circ_int,0,eq_c2/2))+(PI()*(s_0+8*s_r+IF(circ_int,eq_c1/2,0))/2))+2*IF(circ_int,0,eq_c1/2))+(PI()*(s_0+8*s_r+IF(circ_int,eq_c1/2,0))/2))+2*IF(circ_int,0,eq_c2/2))+(PI()*(s_0+8*s_r+IF(circ_int,eq_c1/2,0))/2)),-IF(circ_int,0,eq_c1/2)+(s_0+8*s_r+IF(circ_int,eq_c1/2,0))*COS(PI()+(((61+0.5)*(4*IF(circ_int,0,eq_c1/2)+4*IF(circ_int,0,eq_c2/2)+2*PI()*(s_0+8*s_r+IF(circ_int,eq_c1/2,0)))/INDEX(lk_legs,9))-(((((2*IF(circ_int,0,eq_c2/2))+(PI()*(s_0+8*s_r+IF(circ_int,eq_c1/2,0))/2))+2*IF(circ_int,0,eq_c1/2))+(PI()*(s_0+8*s_r+IF(circ_int,eq_c1/2,0))/2))+2*IF(circ_int,0,eq_c2/2)))/(s_0+8*s_r+IF(circ_int,eq_c1/2,0))),IF(((61+0.5)*(4*IF(circ_int,0,eq_c1/2)+4*IF(circ_int,0,eq_c2/2)+2*PI()*(s_0+8*s_r+IF(circ_int,eq_c1/2,0)))/INDEX(lk_legs,9))&lt;(((((((2*IF(circ_int,0,eq_c2/2))+(PI()*(s_0+8*s_r+IF(circ_int,eq_c1/2,0))/2))+2*IF(circ_int,0,eq_c1/2))+(PI()*(s_0+8*s_r+IF(circ_int,eq_c1/2,0))/2))+2*IF(circ_int,0,eq_c2/2))+(PI()*(s_0+8*s_r+IF(circ_int,eq_c1/2,0))/2))+2*IF(circ_int,0,eq_c1/2)),-IF(circ_int,0,eq_c1/2)+(((61+0.5)*(4*IF(circ_int,0,eq_c1/2)+4*IF(circ_int,0,eq_c2/2)+2*PI()*(s_0+8*s_r+IF(circ_int,eq_c1/2,0)))/INDEX(lk_legs,9))-((((((2*IF(circ_int,0,eq_c2/2))+(PI()*(s_0+8*s_r+IF(circ_int,eq_c1/2,0))/2))+2*IF(circ_int,0,eq_c1/2))+(PI()*(s_0+8*s_r+IF(circ_int,eq_c1/2,0))/2))+2*IF(circ_int,0,eq_c2/2))+(PI()*(s_0+8*s_r+IF(circ_int,eq_c1/2,0))/2))),IF(circ_int,0,eq_c1/2)+(s_0+8*s_r+IF(circ_int,eq_c1/2,0))*COS(3*PI()/2+(((61+0.5)*(4*IF(circ_int,0,eq_c1/2)+4*IF(circ_int,0,eq_c2/2)+2*PI()*(s_0+8*s_r+IF(circ_int,eq_c1/2,0)))/INDEX(lk_legs,9))-(((((((2*IF(circ_int,0,eq_c2/2))+(PI()*(s_0+8*s_r+IF(circ_int,eq_c1/2,0))/2))+2*IF(circ_int,0,eq_c1/2))+(PI()*(s_0+8*s_r+IF(circ_int,eq_c1/2,0))/2))+2*IF(circ_int,0,eq_c2/2))+(PI()*(s_0+8*s_r+IF(circ_int,eq_c1/2,0))/2))+2*IF(circ_int,0,eq_c1/2)))/(s_0+8*s_r+IF(circ_int,eq_c1/2,0)))))))))),NA())</f>
        <v/>
      </c>
      <c r="CW64">
        <f>IF(AND(AND(links_on,9&lt;=n_per),INDEX(lk_kind,9)=1,61&lt;INDEX(lk_legs,9)),g_oy+IF(((61+0.5)*(4*IF(circ_int,0,eq_c1/2)+4*IF(circ_int,0,eq_c2/2)+2*PI()*(s_0+8*s_r+IF(circ_int,eq_c1/2,0)))/INDEX(lk_legs,9))&lt;(2*IF(circ_int,0,eq_c2/2)),-IF(circ_int,0,eq_c2/2)+((61+0.5)*(4*IF(circ_int,0,eq_c1/2)+4*IF(circ_int,0,eq_c2/2)+2*PI()*(s_0+8*s_r+IF(circ_int,eq_c1/2,0)))/INDEX(lk_legs,9)),IF(((61+0.5)*(4*IF(circ_int,0,eq_c1/2)+4*IF(circ_int,0,eq_c2/2)+2*PI()*(s_0+8*s_r+IF(circ_int,eq_c1/2,0)))/INDEX(lk_legs,9))&lt;((2*IF(circ_int,0,eq_c2/2))+(PI()*(s_0+8*s_r+IF(circ_int,eq_c1/2,0))/2)),IF(circ_int,0,eq_c2/2)+(s_0+8*s_r+IF(circ_int,eq_c1/2,0))*SIN((((61+0.5)*(4*IF(circ_int,0,eq_c1/2)+4*IF(circ_int,0,eq_c2/2)+2*PI()*(s_0+8*s_r+IF(circ_int,eq_c1/2,0)))/INDEX(lk_legs,9))-(2*IF(circ_int,0,eq_c2/2)))/(s_0+8*s_r+IF(circ_int,eq_c1/2,0))),IF(((61+0.5)*(4*IF(circ_int,0,eq_c1/2)+4*IF(circ_int,0,eq_c2/2)+2*PI()*(s_0+8*s_r+IF(circ_int,eq_c1/2,0)))/INDEX(lk_legs,9))&lt;(((2*IF(circ_int,0,eq_c2/2))+(PI()*(s_0+8*s_r+IF(circ_int,eq_c1/2,0))/2))+2*IF(circ_int,0,eq_c1/2)),IF(circ_int,0,eq_c2/2)+(s_0+8*s_r+IF(circ_int,eq_c1/2,0)),IF(((61+0.5)*(4*IF(circ_int,0,eq_c1/2)+4*IF(circ_int,0,eq_c2/2)+2*PI()*(s_0+8*s_r+IF(circ_int,eq_c1/2,0)))/INDEX(lk_legs,9))&lt;((((2*IF(circ_int,0,eq_c2/2))+(PI()*(s_0+8*s_r+IF(circ_int,eq_c1/2,0))/2))+2*IF(circ_int,0,eq_c1/2))+(PI()*(s_0+8*s_r+IF(circ_int,eq_c1/2,0))/2)),IF(circ_int,0,eq_c2/2)+(s_0+8*s_r+IF(circ_int,eq_c1/2,0))*SIN(PI()/2+(((61+0.5)*(4*IF(circ_int,0,eq_c1/2)+4*IF(circ_int,0,eq_c2/2)+2*PI()*(s_0+8*s_r+IF(circ_int,eq_c1/2,0)))/INDEX(lk_legs,9))-(((2*IF(circ_int,0,eq_c2/2))+(PI()*(s_0+8*s_r+IF(circ_int,eq_c1/2,0))/2))+2*IF(circ_int,0,eq_c1/2)))/(s_0+8*s_r+IF(circ_int,eq_c1/2,0))),IF(((61+0.5)*(4*IF(circ_int,0,eq_c1/2)+4*IF(circ_int,0,eq_c2/2)+2*PI()*(s_0+8*s_r+IF(circ_int,eq_c1/2,0)))/INDEX(lk_legs,9))&lt;(((((2*IF(circ_int,0,eq_c2/2))+(PI()*(s_0+8*s_r+IF(circ_int,eq_c1/2,0))/2))+2*IF(circ_int,0,eq_c1/2))+(PI()*(s_0+8*s_r+IF(circ_int,eq_c1/2,0))/2))+2*IF(circ_int,0,eq_c2/2)),IF(circ_int,0,eq_c2/2)-(((61+0.5)*(4*IF(circ_int,0,eq_c1/2)+4*IF(circ_int,0,eq_c2/2)+2*PI()*(s_0+8*s_r+IF(circ_int,eq_c1/2,0)))/INDEX(lk_legs,9))-((((2*IF(circ_int,0,eq_c2/2))+(PI()*(s_0+8*s_r+IF(circ_int,eq_c1/2,0))/2))+2*IF(circ_int,0,eq_c1/2))+(PI()*(s_0+8*s_r+IF(circ_int,eq_c1/2,0))/2))),IF(((61+0.5)*(4*IF(circ_int,0,eq_c1/2)+4*IF(circ_int,0,eq_c2/2)+2*PI()*(s_0+8*s_r+IF(circ_int,eq_c1/2,0)))/INDEX(lk_legs,9))&lt;((((((2*IF(circ_int,0,eq_c2/2))+(PI()*(s_0+8*s_r+IF(circ_int,eq_c1/2,0))/2))+2*IF(circ_int,0,eq_c1/2))+(PI()*(s_0+8*s_r+IF(circ_int,eq_c1/2,0))/2))+2*IF(circ_int,0,eq_c2/2))+(PI()*(s_0+8*s_r+IF(circ_int,eq_c1/2,0))/2)),-IF(circ_int,0,eq_c2/2)+(s_0+8*s_r+IF(circ_int,eq_c1/2,0))*SIN(PI()+(((61+0.5)*(4*IF(circ_int,0,eq_c1/2)+4*IF(circ_int,0,eq_c2/2)+2*PI()*(s_0+8*s_r+IF(circ_int,eq_c1/2,0)))/INDEX(lk_legs,9))-(((((2*IF(circ_int,0,eq_c2/2))+(PI()*(s_0+8*s_r+IF(circ_int,eq_c1/2,0))/2))+2*IF(circ_int,0,eq_c1/2))+(PI()*(s_0+8*s_r+IF(circ_int,eq_c1/2,0))/2))+2*IF(circ_int,0,eq_c2/2)))/(s_0+8*s_r+IF(circ_int,eq_c1/2,0))),IF(((61+0.5)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(61+0.5)*(4*IF(circ_int,0,eq_c1/2)+4*IF(circ_int,0,eq_c2/2)+2*PI()*(s_0+8*s_r+IF(circ_int,eq_c1/2,0)))/INDEX(lk_legs,9))-(((((((2*IF(circ_int,0,eq_c2/2))+(PI()*(s_0+8*s_r+IF(circ_int,eq_c1/2,0))/2))+2*IF(circ_int,0,eq_c1/2))+(PI()*(s_0+8*s_r+IF(circ_int,eq_c1/2,0))/2))+2*IF(circ_int,0,eq_c2/2))+(PI()*(s_0+8*s_r+IF(circ_int,eq_c1/2,0))/2))+2*IF(circ_int,0,eq_c1/2)))/(s_0+8*s_r+IF(circ_int,eq_c1/2,0)))))))))),NA())</f>
        <v/>
      </c>
      <c r="DB64">
        <f>IF(AND(AND(links_on,10&lt;=n_per),INDEX(lk_kind,10)=1,61&lt;INDEX(lk_legs,10)),g_ox+IF(((61+0.5)*(4*IF(circ_int,0,eq_c1/2)+4*IF(circ_int,0,eq_c2/2)+2*PI()*(s_0+9*s_r+IF(circ_int,eq_c1/2,0)))/INDEX(lk_legs,10))&lt;(2*IF(circ_int,0,eq_c2/2)),IF(circ_int,0,eq_c1/2)+(s_0+9*s_r+IF(circ_int,eq_c1/2,0)),IF(((61+0.5)*(4*IF(circ_int,0,eq_c1/2)+4*IF(circ_int,0,eq_c2/2)+2*PI()*(s_0+9*s_r+IF(circ_int,eq_c1/2,0)))/INDEX(lk_legs,10))&lt;((2*IF(circ_int,0,eq_c2/2))+(PI()*(s_0+9*s_r+IF(circ_int,eq_c1/2,0))/2)),IF(circ_int,0,eq_c1/2)+(s_0+9*s_r+IF(circ_int,eq_c1/2,0))*COS((((61+0.5)*(4*IF(circ_int,0,eq_c1/2)+4*IF(circ_int,0,eq_c2/2)+2*PI()*(s_0+9*s_r+IF(circ_int,eq_c1/2,0)))/INDEX(lk_legs,10))-(2*IF(circ_int,0,eq_c2/2)))/(s_0+9*s_r+IF(circ_int,eq_c1/2,0))),IF(((61+0.5)*(4*IF(circ_int,0,eq_c1/2)+4*IF(circ_int,0,eq_c2/2)+2*PI()*(s_0+9*s_r+IF(circ_int,eq_c1/2,0)))/INDEX(lk_legs,10))&lt;(((2*IF(circ_int,0,eq_c2/2))+(PI()*(s_0+9*s_r+IF(circ_int,eq_c1/2,0))/2))+2*IF(circ_int,0,eq_c1/2)),IF(circ_int,0,eq_c1/2)-(((61+0.5)*(4*IF(circ_int,0,eq_c1/2)+4*IF(circ_int,0,eq_c2/2)+2*PI()*(s_0+9*s_r+IF(circ_int,eq_c1/2,0)))/INDEX(lk_legs,10))-((2*IF(circ_int,0,eq_c2/2))+(PI()*(s_0+9*s_r+IF(circ_int,eq_c1/2,0))/2))),IF(((61+0.5)*(4*IF(circ_int,0,eq_c1/2)+4*IF(circ_int,0,eq_c2/2)+2*PI()*(s_0+9*s_r+IF(circ_int,eq_c1/2,0)))/INDEX(lk_legs,10))&lt;((((2*IF(circ_int,0,eq_c2/2))+(PI()*(s_0+9*s_r+IF(circ_int,eq_c1/2,0))/2))+2*IF(circ_int,0,eq_c1/2))+(PI()*(s_0+9*s_r+IF(circ_int,eq_c1/2,0))/2)),-IF(circ_int,0,eq_c1/2)+(s_0+9*s_r+IF(circ_int,eq_c1/2,0))*COS(PI()/2+(((61+0.5)*(4*IF(circ_int,0,eq_c1/2)+4*IF(circ_int,0,eq_c2/2)+2*PI()*(s_0+9*s_r+IF(circ_int,eq_c1/2,0)))/INDEX(lk_legs,10))-(((2*IF(circ_int,0,eq_c2/2))+(PI()*(s_0+9*s_r+IF(circ_int,eq_c1/2,0))/2))+2*IF(circ_int,0,eq_c1/2)))/(s_0+9*s_r+IF(circ_int,eq_c1/2,0))),IF(((61+0.5)*(4*IF(circ_int,0,eq_c1/2)+4*IF(circ_int,0,eq_c2/2)+2*PI()*(s_0+9*s_r+IF(circ_int,eq_c1/2,0)))/INDEX(lk_legs,10))&lt;(((((2*IF(circ_int,0,eq_c2/2))+(PI()*(s_0+9*s_r+IF(circ_int,eq_c1/2,0))/2))+2*IF(circ_int,0,eq_c1/2))+(PI()*(s_0+9*s_r+IF(circ_int,eq_c1/2,0))/2))+2*IF(circ_int,0,eq_c2/2)),-IF(circ_int,0,eq_c1/2)-(s_0+9*s_r+IF(circ_int,eq_c1/2,0)),IF(((61+0.5)*(4*IF(circ_int,0,eq_c1/2)+4*IF(circ_int,0,eq_c2/2)+2*PI()*(s_0+9*s_r+IF(circ_int,eq_c1/2,0)))/INDEX(lk_legs,10))&lt;((((((2*IF(circ_int,0,eq_c2/2))+(PI()*(s_0+9*s_r+IF(circ_int,eq_c1/2,0))/2))+2*IF(circ_int,0,eq_c1/2))+(PI()*(s_0+9*s_r+IF(circ_int,eq_c1/2,0))/2))+2*IF(circ_int,0,eq_c2/2))+(PI()*(s_0+9*s_r+IF(circ_int,eq_c1/2,0))/2)),-IF(circ_int,0,eq_c1/2)+(s_0+9*s_r+IF(circ_int,eq_c1/2,0))*COS(PI()+(((61+0.5)*(4*IF(circ_int,0,eq_c1/2)+4*IF(circ_int,0,eq_c2/2)+2*PI()*(s_0+9*s_r+IF(circ_int,eq_c1/2,0)))/INDEX(lk_legs,10))-(((((2*IF(circ_int,0,eq_c2/2))+(PI()*(s_0+9*s_r+IF(circ_int,eq_c1/2,0))/2))+2*IF(circ_int,0,eq_c1/2))+(PI()*(s_0+9*s_r+IF(circ_int,eq_c1/2,0))/2))+2*IF(circ_int,0,eq_c2/2)))/(s_0+9*s_r+IF(circ_int,eq_c1/2,0))),IF(((61+0.5)*(4*IF(circ_int,0,eq_c1/2)+4*IF(circ_int,0,eq_c2/2)+2*PI()*(s_0+9*s_r+IF(circ_int,eq_c1/2,0)))/INDEX(lk_legs,10))&lt;(((((((2*IF(circ_int,0,eq_c2/2))+(PI()*(s_0+9*s_r+IF(circ_int,eq_c1/2,0))/2))+2*IF(circ_int,0,eq_c1/2))+(PI()*(s_0+9*s_r+IF(circ_int,eq_c1/2,0))/2))+2*IF(circ_int,0,eq_c2/2))+(PI()*(s_0+9*s_r+IF(circ_int,eq_c1/2,0))/2))+2*IF(circ_int,0,eq_c1/2)),-IF(circ_int,0,eq_c1/2)+(((61+0.5)*(4*IF(circ_int,0,eq_c1/2)+4*IF(circ_int,0,eq_c2/2)+2*PI()*(s_0+9*s_r+IF(circ_int,eq_c1/2,0)))/INDEX(lk_legs,10))-((((((2*IF(circ_int,0,eq_c2/2))+(PI()*(s_0+9*s_r+IF(circ_int,eq_c1/2,0))/2))+2*IF(circ_int,0,eq_c1/2))+(PI()*(s_0+9*s_r+IF(circ_int,eq_c1/2,0))/2))+2*IF(circ_int,0,eq_c2/2))+(PI()*(s_0+9*s_r+IF(circ_int,eq_c1/2,0))/2))),IF(circ_int,0,eq_c1/2)+(s_0+9*s_r+IF(circ_int,eq_c1/2,0))*COS(3*PI()/2+(((61+0.5)*(4*IF(circ_int,0,eq_c1/2)+4*IF(circ_int,0,eq_c2/2)+2*PI()*(s_0+9*s_r+IF(circ_int,eq_c1/2,0)))/INDEX(lk_legs,10))-(((((((2*IF(circ_int,0,eq_c2/2))+(PI()*(s_0+9*s_r+IF(circ_int,eq_c1/2,0))/2))+2*IF(circ_int,0,eq_c1/2))+(PI()*(s_0+9*s_r+IF(circ_int,eq_c1/2,0))/2))+2*IF(circ_int,0,eq_c2/2))+(PI()*(s_0+9*s_r+IF(circ_int,eq_c1/2,0))/2))+2*IF(circ_int,0,eq_c1/2)))/(s_0+9*s_r+IF(circ_int,eq_c1/2,0)))))))))),NA())</f>
        <v/>
      </c>
      <c r="DC64">
        <f>IF(AND(AND(links_on,10&lt;=n_per),INDEX(lk_kind,10)=1,61&lt;INDEX(lk_legs,10)),g_oy+IF(((61+0.5)*(4*IF(circ_int,0,eq_c1/2)+4*IF(circ_int,0,eq_c2/2)+2*PI()*(s_0+9*s_r+IF(circ_int,eq_c1/2,0)))/INDEX(lk_legs,10))&lt;(2*IF(circ_int,0,eq_c2/2)),-IF(circ_int,0,eq_c2/2)+((61+0.5)*(4*IF(circ_int,0,eq_c1/2)+4*IF(circ_int,0,eq_c2/2)+2*PI()*(s_0+9*s_r+IF(circ_int,eq_c1/2,0)))/INDEX(lk_legs,10)),IF(((61+0.5)*(4*IF(circ_int,0,eq_c1/2)+4*IF(circ_int,0,eq_c2/2)+2*PI()*(s_0+9*s_r+IF(circ_int,eq_c1/2,0)))/INDEX(lk_legs,10))&lt;((2*IF(circ_int,0,eq_c2/2))+(PI()*(s_0+9*s_r+IF(circ_int,eq_c1/2,0))/2)),IF(circ_int,0,eq_c2/2)+(s_0+9*s_r+IF(circ_int,eq_c1/2,0))*SIN((((61+0.5)*(4*IF(circ_int,0,eq_c1/2)+4*IF(circ_int,0,eq_c2/2)+2*PI()*(s_0+9*s_r+IF(circ_int,eq_c1/2,0)))/INDEX(lk_legs,10))-(2*IF(circ_int,0,eq_c2/2)))/(s_0+9*s_r+IF(circ_int,eq_c1/2,0))),IF(((61+0.5)*(4*IF(circ_int,0,eq_c1/2)+4*IF(circ_int,0,eq_c2/2)+2*PI()*(s_0+9*s_r+IF(circ_int,eq_c1/2,0)))/INDEX(lk_legs,10))&lt;(((2*IF(circ_int,0,eq_c2/2))+(PI()*(s_0+9*s_r+IF(circ_int,eq_c1/2,0))/2))+2*IF(circ_int,0,eq_c1/2)),IF(circ_int,0,eq_c2/2)+(s_0+9*s_r+IF(circ_int,eq_c1/2,0)),IF(((61+0.5)*(4*IF(circ_int,0,eq_c1/2)+4*IF(circ_int,0,eq_c2/2)+2*PI()*(s_0+9*s_r+IF(circ_int,eq_c1/2,0)))/INDEX(lk_legs,10))&lt;((((2*IF(circ_int,0,eq_c2/2))+(PI()*(s_0+9*s_r+IF(circ_int,eq_c1/2,0))/2))+2*IF(circ_int,0,eq_c1/2))+(PI()*(s_0+9*s_r+IF(circ_int,eq_c1/2,0))/2)),IF(circ_int,0,eq_c2/2)+(s_0+9*s_r+IF(circ_int,eq_c1/2,0))*SIN(PI()/2+(((61+0.5)*(4*IF(circ_int,0,eq_c1/2)+4*IF(circ_int,0,eq_c2/2)+2*PI()*(s_0+9*s_r+IF(circ_int,eq_c1/2,0)))/INDEX(lk_legs,10))-(((2*IF(circ_int,0,eq_c2/2))+(PI()*(s_0+9*s_r+IF(circ_int,eq_c1/2,0))/2))+2*IF(circ_int,0,eq_c1/2)))/(s_0+9*s_r+IF(circ_int,eq_c1/2,0))),IF(((61+0.5)*(4*IF(circ_int,0,eq_c1/2)+4*IF(circ_int,0,eq_c2/2)+2*PI()*(s_0+9*s_r+IF(circ_int,eq_c1/2,0)))/INDEX(lk_legs,10))&lt;(((((2*IF(circ_int,0,eq_c2/2))+(PI()*(s_0+9*s_r+IF(circ_int,eq_c1/2,0))/2))+2*IF(circ_int,0,eq_c1/2))+(PI()*(s_0+9*s_r+IF(circ_int,eq_c1/2,0))/2))+2*IF(circ_int,0,eq_c2/2)),IF(circ_int,0,eq_c2/2)-(((61+0.5)*(4*IF(circ_int,0,eq_c1/2)+4*IF(circ_int,0,eq_c2/2)+2*PI()*(s_0+9*s_r+IF(circ_int,eq_c1/2,0)))/INDEX(lk_legs,10))-((((2*IF(circ_int,0,eq_c2/2))+(PI()*(s_0+9*s_r+IF(circ_int,eq_c1/2,0))/2))+2*IF(circ_int,0,eq_c1/2))+(PI()*(s_0+9*s_r+IF(circ_int,eq_c1/2,0))/2))),IF(((61+0.5)*(4*IF(circ_int,0,eq_c1/2)+4*IF(circ_int,0,eq_c2/2)+2*PI()*(s_0+9*s_r+IF(circ_int,eq_c1/2,0)))/INDEX(lk_legs,10))&lt;((((((2*IF(circ_int,0,eq_c2/2))+(PI()*(s_0+9*s_r+IF(circ_int,eq_c1/2,0))/2))+2*IF(circ_int,0,eq_c1/2))+(PI()*(s_0+9*s_r+IF(circ_int,eq_c1/2,0))/2))+2*IF(circ_int,0,eq_c2/2))+(PI()*(s_0+9*s_r+IF(circ_int,eq_c1/2,0))/2)),-IF(circ_int,0,eq_c2/2)+(s_0+9*s_r+IF(circ_int,eq_c1/2,0))*SIN(PI()+(((61+0.5)*(4*IF(circ_int,0,eq_c1/2)+4*IF(circ_int,0,eq_c2/2)+2*PI()*(s_0+9*s_r+IF(circ_int,eq_c1/2,0)))/INDEX(lk_legs,10))-(((((2*IF(circ_int,0,eq_c2/2))+(PI()*(s_0+9*s_r+IF(circ_int,eq_c1/2,0))/2))+2*IF(circ_int,0,eq_c1/2))+(PI()*(s_0+9*s_r+IF(circ_int,eq_c1/2,0))/2))+2*IF(circ_int,0,eq_c2/2)))/(s_0+9*s_r+IF(circ_int,eq_c1/2,0))),IF(((61+0.5)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(61+0.5)*(4*IF(circ_int,0,eq_c1/2)+4*IF(circ_int,0,eq_c2/2)+2*PI()*(s_0+9*s_r+IF(circ_int,eq_c1/2,0)))/INDEX(lk_legs,10))-(((((((2*IF(circ_int,0,eq_c2/2))+(PI()*(s_0+9*s_r+IF(circ_int,eq_c1/2,0))/2))+2*IF(circ_int,0,eq_c1/2))+(PI()*(s_0+9*s_r+IF(circ_int,eq_c1/2,0))/2))+2*IF(circ_int,0,eq_c2/2))+(PI()*(s_0+9*s_r+IF(circ_int,eq_c1/2,0))/2))+2*IF(circ_int,0,eq_c1/2)))/(s_0+9*s_r+IF(circ_int,eq_c1/2,0)))))))))),NA())</f>
        <v/>
      </c>
      <c r="DH64">
        <f>IF(AND(AND(links_on,11&lt;=n_per),INDEX(lk_kind,11)=1,61&lt;INDEX(lk_legs,11)),g_ox+IF(((61+0.5)*(4*IF(circ_int,0,eq_c1/2)+4*IF(circ_int,0,eq_c2/2)+2*PI()*(s_0+10*s_r+IF(circ_int,eq_c1/2,0)))/INDEX(lk_legs,11))&lt;(2*IF(circ_int,0,eq_c2/2)),IF(circ_int,0,eq_c1/2)+(s_0+10*s_r+IF(circ_int,eq_c1/2,0)),IF(((61+0.5)*(4*IF(circ_int,0,eq_c1/2)+4*IF(circ_int,0,eq_c2/2)+2*PI()*(s_0+10*s_r+IF(circ_int,eq_c1/2,0)))/INDEX(lk_legs,11))&lt;((2*IF(circ_int,0,eq_c2/2))+(PI()*(s_0+10*s_r+IF(circ_int,eq_c1/2,0))/2)),IF(circ_int,0,eq_c1/2)+(s_0+10*s_r+IF(circ_int,eq_c1/2,0))*COS((((61+0.5)*(4*IF(circ_int,0,eq_c1/2)+4*IF(circ_int,0,eq_c2/2)+2*PI()*(s_0+10*s_r+IF(circ_int,eq_c1/2,0)))/INDEX(lk_legs,11))-(2*IF(circ_int,0,eq_c2/2)))/(s_0+10*s_r+IF(circ_int,eq_c1/2,0))),IF(((61+0.5)*(4*IF(circ_int,0,eq_c1/2)+4*IF(circ_int,0,eq_c2/2)+2*PI()*(s_0+10*s_r+IF(circ_int,eq_c1/2,0)))/INDEX(lk_legs,11))&lt;(((2*IF(circ_int,0,eq_c2/2))+(PI()*(s_0+10*s_r+IF(circ_int,eq_c1/2,0))/2))+2*IF(circ_int,0,eq_c1/2)),IF(circ_int,0,eq_c1/2)-(((61+0.5)*(4*IF(circ_int,0,eq_c1/2)+4*IF(circ_int,0,eq_c2/2)+2*PI()*(s_0+10*s_r+IF(circ_int,eq_c1/2,0)))/INDEX(lk_legs,11))-((2*IF(circ_int,0,eq_c2/2))+(PI()*(s_0+10*s_r+IF(circ_int,eq_c1/2,0))/2))),IF(((61+0.5)*(4*IF(circ_int,0,eq_c1/2)+4*IF(circ_int,0,eq_c2/2)+2*PI()*(s_0+10*s_r+IF(circ_int,eq_c1/2,0)))/INDEX(lk_legs,11))&lt;((((2*IF(circ_int,0,eq_c2/2))+(PI()*(s_0+10*s_r+IF(circ_int,eq_c1/2,0))/2))+2*IF(circ_int,0,eq_c1/2))+(PI()*(s_0+10*s_r+IF(circ_int,eq_c1/2,0))/2)),-IF(circ_int,0,eq_c1/2)+(s_0+10*s_r+IF(circ_int,eq_c1/2,0))*COS(PI()/2+(((61+0.5)*(4*IF(circ_int,0,eq_c1/2)+4*IF(circ_int,0,eq_c2/2)+2*PI()*(s_0+10*s_r+IF(circ_int,eq_c1/2,0)))/INDEX(lk_legs,11))-(((2*IF(circ_int,0,eq_c2/2))+(PI()*(s_0+10*s_r+IF(circ_int,eq_c1/2,0))/2))+2*IF(circ_int,0,eq_c1/2)))/(s_0+10*s_r+IF(circ_int,eq_c1/2,0))),IF(((61+0.5)*(4*IF(circ_int,0,eq_c1/2)+4*IF(circ_int,0,eq_c2/2)+2*PI()*(s_0+10*s_r+IF(circ_int,eq_c1/2,0)))/INDEX(lk_legs,11))&lt;(((((2*IF(circ_int,0,eq_c2/2))+(PI()*(s_0+10*s_r+IF(circ_int,eq_c1/2,0))/2))+2*IF(circ_int,0,eq_c1/2))+(PI()*(s_0+10*s_r+IF(circ_int,eq_c1/2,0))/2))+2*IF(circ_int,0,eq_c2/2)),-IF(circ_int,0,eq_c1/2)-(s_0+10*s_r+IF(circ_int,eq_c1/2,0)),IF(((61+0.5)*(4*IF(circ_int,0,eq_c1/2)+4*IF(circ_int,0,eq_c2/2)+2*PI()*(s_0+10*s_r+IF(circ_int,eq_c1/2,0)))/INDEX(lk_legs,11))&lt;((((((2*IF(circ_int,0,eq_c2/2))+(PI()*(s_0+10*s_r+IF(circ_int,eq_c1/2,0))/2))+2*IF(circ_int,0,eq_c1/2))+(PI()*(s_0+10*s_r+IF(circ_int,eq_c1/2,0))/2))+2*IF(circ_int,0,eq_c2/2))+(PI()*(s_0+10*s_r+IF(circ_int,eq_c1/2,0))/2)),-IF(circ_int,0,eq_c1/2)+(s_0+10*s_r+IF(circ_int,eq_c1/2,0))*COS(PI()+(((61+0.5)*(4*IF(circ_int,0,eq_c1/2)+4*IF(circ_int,0,eq_c2/2)+2*PI()*(s_0+10*s_r+IF(circ_int,eq_c1/2,0)))/INDEX(lk_legs,11))-(((((2*IF(circ_int,0,eq_c2/2))+(PI()*(s_0+10*s_r+IF(circ_int,eq_c1/2,0))/2))+2*IF(circ_int,0,eq_c1/2))+(PI()*(s_0+10*s_r+IF(circ_int,eq_c1/2,0))/2))+2*IF(circ_int,0,eq_c2/2)))/(s_0+10*s_r+IF(circ_int,eq_c1/2,0))),IF(((61+0.5)*(4*IF(circ_int,0,eq_c1/2)+4*IF(circ_int,0,eq_c2/2)+2*PI()*(s_0+10*s_r+IF(circ_int,eq_c1/2,0)))/INDEX(lk_legs,11))&lt;(((((((2*IF(circ_int,0,eq_c2/2))+(PI()*(s_0+10*s_r+IF(circ_int,eq_c1/2,0))/2))+2*IF(circ_int,0,eq_c1/2))+(PI()*(s_0+10*s_r+IF(circ_int,eq_c1/2,0))/2))+2*IF(circ_int,0,eq_c2/2))+(PI()*(s_0+10*s_r+IF(circ_int,eq_c1/2,0))/2))+2*IF(circ_int,0,eq_c1/2)),-IF(circ_int,0,eq_c1/2)+(((61+0.5)*(4*IF(circ_int,0,eq_c1/2)+4*IF(circ_int,0,eq_c2/2)+2*PI()*(s_0+10*s_r+IF(circ_int,eq_c1/2,0)))/INDEX(lk_legs,11))-((((((2*IF(circ_int,0,eq_c2/2))+(PI()*(s_0+10*s_r+IF(circ_int,eq_c1/2,0))/2))+2*IF(circ_int,0,eq_c1/2))+(PI()*(s_0+10*s_r+IF(circ_int,eq_c1/2,0))/2))+2*IF(circ_int,0,eq_c2/2))+(PI()*(s_0+10*s_r+IF(circ_int,eq_c1/2,0))/2))),IF(circ_int,0,eq_c1/2)+(s_0+10*s_r+IF(circ_int,eq_c1/2,0))*COS(3*PI()/2+(((61+0.5)*(4*IF(circ_int,0,eq_c1/2)+4*IF(circ_int,0,eq_c2/2)+2*PI()*(s_0+10*s_r+IF(circ_int,eq_c1/2,0)))/INDEX(lk_legs,11))-(((((((2*IF(circ_int,0,eq_c2/2))+(PI()*(s_0+10*s_r+IF(circ_int,eq_c1/2,0))/2))+2*IF(circ_int,0,eq_c1/2))+(PI()*(s_0+10*s_r+IF(circ_int,eq_c1/2,0))/2))+2*IF(circ_int,0,eq_c2/2))+(PI()*(s_0+10*s_r+IF(circ_int,eq_c1/2,0))/2))+2*IF(circ_int,0,eq_c1/2)))/(s_0+10*s_r+IF(circ_int,eq_c1/2,0)))))))))),NA())</f>
        <v/>
      </c>
      <c r="DI64">
        <f>IF(AND(AND(links_on,11&lt;=n_per),INDEX(lk_kind,11)=1,61&lt;INDEX(lk_legs,11)),g_oy+IF(((61+0.5)*(4*IF(circ_int,0,eq_c1/2)+4*IF(circ_int,0,eq_c2/2)+2*PI()*(s_0+10*s_r+IF(circ_int,eq_c1/2,0)))/INDEX(lk_legs,11))&lt;(2*IF(circ_int,0,eq_c2/2)),-IF(circ_int,0,eq_c2/2)+((61+0.5)*(4*IF(circ_int,0,eq_c1/2)+4*IF(circ_int,0,eq_c2/2)+2*PI()*(s_0+10*s_r+IF(circ_int,eq_c1/2,0)))/INDEX(lk_legs,11)),IF(((61+0.5)*(4*IF(circ_int,0,eq_c1/2)+4*IF(circ_int,0,eq_c2/2)+2*PI()*(s_0+10*s_r+IF(circ_int,eq_c1/2,0)))/INDEX(lk_legs,11))&lt;((2*IF(circ_int,0,eq_c2/2))+(PI()*(s_0+10*s_r+IF(circ_int,eq_c1/2,0))/2)),IF(circ_int,0,eq_c2/2)+(s_0+10*s_r+IF(circ_int,eq_c1/2,0))*SIN((((61+0.5)*(4*IF(circ_int,0,eq_c1/2)+4*IF(circ_int,0,eq_c2/2)+2*PI()*(s_0+10*s_r+IF(circ_int,eq_c1/2,0)))/INDEX(lk_legs,11))-(2*IF(circ_int,0,eq_c2/2)))/(s_0+10*s_r+IF(circ_int,eq_c1/2,0))),IF(((61+0.5)*(4*IF(circ_int,0,eq_c1/2)+4*IF(circ_int,0,eq_c2/2)+2*PI()*(s_0+10*s_r+IF(circ_int,eq_c1/2,0)))/INDEX(lk_legs,11))&lt;(((2*IF(circ_int,0,eq_c2/2))+(PI()*(s_0+10*s_r+IF(circ_int,eq_c1/2,0))/2))+2*IF(circ_int,0,eq_c1/2)),IF(circ_int,0,eq_c2/2)+(s_0+10*s_r+IF(circ_int,eq_c1/2,0)),IF(((61+0.5)*(4*IF(circ_int,0,eq_c1/2)+4*IF(circ_int,0,eq_c2/2)+2*PI()*(s_0+10*s_r+IF(circ_int,eq_c1/2,0)))/INDEX(lk_legs,11))&lt;((((2*IF(circ_int,0,eq_c2/2))+(PI()*(s_0+10*s_r+IF(circ_int,eq_c1/2,0))/2))+2*IF(circ_int,0,eq_c1/2))+(PI()*(s_0+10*s_r+IF(circ_int,eq_c1/2,0))/2)),IF(circ_int,0,eq_c2/2)+(s_0+10*s_r+IF(circ_int,eq_c1/2,0))*SIN(PI()/2+(((61+0.5)*(4*IF(circ_int,0,eq_c1/2)+4*IF(circ_int,0,eq_c2/2)+2*PI()*(s_0+10*s_r+IF(circ_int,eq_c1/2,0)))/INDEX(lk_legs,11))-(((2*IF(circ_int,0,eq_c2/2))+(PI()*(s_0+10*s_r+IF(circ_int,eq_c1/2,0))/2))+2*IF(circ_int,0,eq_c1/2)))/(s_0+10*s_r+IF(circ_int,eq_c1/2,0))),IF(((61+0.5)*(4*IF(circ_int,0,eq_c1/2)+4*IF(circ_int,0,eq_c2/2)+2*PI()*(s_0+10*s_r+IF(circ_int,eq_c1/2,0)))/INDEX(lk_legs,11))&lt;(((((2*IF(circ_int,0,eq_c2/2))+(PI()*(s_0+10*s_r+IF(circ_int,eq_c1/2,0))/2))+2*IF(circ_int,0,eq_c1/2))+(PI()*(s_0+10*s_r+IF(circ_int,eq_c1/2,0))/2))+2*IF(circ_int,0,eq_c2/2)),IF(circ_int,0,eq_c2/2)-(((61+0.5)*(4*IF(circ_int,0,eq_c1/2)+4*IF(circ_int,0,eq_c2/2)+2*PI()*(s_0+10*s_r+IF(circ_int,eq_c1/2,0)))/INDEX(lk_legs,11))-((((2*IF(circ_int,0,eq_c2/2))+(PI()*(s_0+10*s_r+IF(circ_int,eq_c1/2,0))/2))+2*IF(circ_int,0,eq_c1/2))+(PI()*(s_0+10*s_r+IF(circ_int,eq_c1/2,0))/2))),IF(((61+0.5)*(4*IF(circ_int,0,eq_c1/2)+4*IF(circ_int,0,eq_c2/2)+2*PI()*(s_0+10*s_r+IF(circ_int,eq_c1/2,0)))/INDEX(lk_legs,11))&lt;((((((2*IF(circ_int,0,eq_c2/2))+(PI()*(s_0+10*s_r+IF(circ_int,eq_c1/2,0))/2))+2*IF(circ_int,0,eq_c1/2))+(PI()*(s_0+10*s_r+IF(circ_int,eq_c1/2,0))/2))+2*IF(circ_int,0,eq_c2/2))+(PI()*(s_0+10*s_r+IF(circ_int,eq_c1/2,0))/2)),-IF(circ_int,0,eq_c2/2)+(s_0+10*s_r+IF(circ_int,eq_c1/2,0))*SIN(PI()+(((61+0.5)*(4*IF(circ_int,0,eq_c1/2)+4*IF(circ_int,0,eq_c2/2)+2*PI()*(s_0+10*s_r+IF(circ_int,eq_c1/2,0)))/INDEX(lk_legs,11))-(((((2*IF(circ_int,0,eq_c2/2))+(PI()*(s_0+10*s_r+IF(circ_int,eq_c1/2,0))/2))+2*IF(circ_int,0,eq_c1/2))+(PI()*(s_0+10*s_r+IF(circ_int,eq_c1/2,0))/2))+2*IF(circ_int,0,eq_c2/2)))/(s_0+10*s_r+IF(circ_int,eq_c1/2,0))),IF(((61+0.5)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(61+0.5)*(4*IF(circ_int,0,eq_c1/2)+4*IF(circ_int,0,eq_c2/2)+2*PI()*(s_0+10*s_r+IF(circ_int,eq_c1/2,0)))/INDEX(lk_legs,11))-(((((((2*IF(circ_int,0,eq_c2/2))+(PI()*(s_0+10*s_r+IF(circ_int,eq_c1/2,0))/2))+2*IF(circ_int,0,eq_c1/2))+(PI()*(s_0+10*s_r+IF(circ_int,eq_c1/2,0))/2))+2*IF(circ_int,0,eq_c2/2))+(PI()*(s_0+10*s_r+IF(circ_int,eq_c1/2,0))/2))+2*IF(circ_int,0,eq_c1/2)))/(s_0+10*s_r+IF(circ_int,eq_c1/2,0)))))))))),NA())</f>
        <v/>
      </c>
      <c r="DN64">
        <f>IF(AND(AND(links_on,12&lt;=n_per),INDEX(lk_kind,12)=1,61&lt;INDEX(lk_legs,12)),g_ox+IF(((61+0.5)*(4*IF(circ_int,0,eq_c1/2)+4*IF(circ_int,0,eq_c2/2)+2*PI()*(s_0+11*s_r+IF(circ_int,eq_c1/2,0)))/INDEX(lk_legs,12))&lt;(2*IF(circ_int,0,eq_c2/2)),IF(circ_int,0,eq_c1/2)+(s_0+11*s_r+IF(circ_int,eq_c1/2,0)),IF(((61+0.5)*(4*IF(circ_int,0,eq_c1/2)+4*IF(circ_int,0,eq_c2/2)+2*PI()*(s_0+11*s_r+IF(circ_int,eq_c1/2,0)))/INDEX(lk_legs,12))&lt;((2*IF(circ_int,0,eq_c2/2))+(PI()*(s_0+11*s_r+IF(circ_int,eq_c1/2,0))/2)),IF(circ_int,0,eq_c1/2)+(s_0+11*s_r+IF(circ_int,eq_c1/2,0))*COS((((61+0.5)*(4*IF(circ_int,0,eq_c1/2)+4*IF(circ_int,0,eq_c2/2)+2*PI()*(s_0+11*s_r+IF(circ_int,eq_c1/2,0)))/INDEX(lk_legs,12))-(2*IF(circ_int,0,eq_c2/2)))/(s_0+11*s_r+IF(circ_int,eq_c1/2,0))),IF(((61+0.5)*(4*IF(circ_int,0,eq_c1/2)+4*IF(circ_int,0,eq_c2/2)+2*PI()*(s_0+11*s_r+IF(circ_int,eq_c1/2,0)))/INDEX(lk_legs,12))&lt;(((2*IF(circ_int,0,eq_c2/2))+(PI()*(s_0+11*s_r+IF(circ_int,eq_c1/2,0))/2))+2*IF(circ_int,0,eq_c1/2)),IF(circ_int,0,eq_c1/2)-(((61+0.5)*(4*IF(circ_int,0,eq_c1/2)+4*IF(circ_int,0,eq_c2/2)+2*PI()*(s_0+11*s_r+IF(circ_int,eq_c1/2,0)))/INDEX(lk_legs,12))-((2*IF(circ_int,0,eq_c2/2))+(PI()*(s_0+11*s_r+IF(circ_int,eq_c1/2,0))/2))),IF(((61+0.5)*(4*IF(circ_int,0,eq_c1/2)+4*IF(circ_int,0,eq_c2/2)+2*PI()*(s_0+11*s_r+IF(circ_int,eq_c1/2,0)))/INDEX(lk_legs,12))&lt;((((2*IF(circ_int,0,eq_c2/2))+(PI()*(s_0+11*s_r+IF(circ_int,eq_c1/2,0))/2))+2*IF(circ_int,0,eq_c1/2))+(PI()*(s_0+11*s_r+IF(circ_int,eq_c1/2,0))/2)),-IF(circ_int,0,eq_c1/2)+(s_0+11*s_r+IF(circ_int,eq_c1/2,0))*COS(PI()/2+(((61+0.5)*(4*IF(circ_int,0,eq_c1/2)+4*IF(circ_int,0,eq_c2/2)+2*PI()*(s_0+11*s_r+IF(circ_int,eq_c1/2,0)))/INDEX(lk_legs,12))-(((2*IF(circ_int,0,eq_c2/2))+(PI()*(s_0+11*s_r+IF(circ_int,eq_c1/2,0))/2))+2*IF(circ_int,0,eq_c1/2)))/(s_0+11*s_r+IF(circ_int,eq_c1/2,0))),IF(((61+0.5)*(4*IF(circ_int,0,eq_c1/2)+4*IF(circ_int,0,eq_c2/2)+2*PI()*(s_0+11*s_r+IF(circ_int,eq_c1/2,0)))/INDEX(lk_legs,12))&lt;(((((2*IF(circ_int,0,eq_c2/2))+(PI()*(s_0+11*s_r+IF(circ_int,eq_c1/2,0))/2))+2*IF(circ_int,0,eq_c1/2))+(PI()*(s_0+11*s_r+IF(circ_int,eq_c1/2,0))/2))+2*IF(circ_int,0,eq_c2/2)),-IF(circ_int,0,eq_c1/2)-(s_0+11*s_r+IF(circ_int,eq_c1/2,0)),IF(((61+0.5)*(4*IF(circ_int,0,eq_c1/2)+4*IF(circ_int,0,eq_c2/2)+2*PI()*(s_0+11*s_r+IF(circ_int,eq_c1/2,0)))/INDEX(lk_legs,12))&lt;((((((2*IF(circ_int,0,eq_c2/2))+(PI()*(s_0+11*s_r+IF(circ_int,eq_c1/2,0))/2))+2*IF(circ_int,0,eq_c1/2))+(PI()*(s_0+11*s_r+IF(circ_int,eq_c1/2,0))/2))+2*IF(circ_int,0,eq_c2/2))+(PI()*(s_0+11*s_r+IF(circ_int,eq_c1/2,0))/2)),-IF(circ_int,0,eq_c1/2)+(s_0+11*s_r+IF(circ_int,eq_c1/2,0))*COS(PI()+(((61+0.5)*(4*IF(circ_int,0,eq_c1/2)+4*IF(circ_int,0,eq_c2/2)+2*PI()*(s_0+11*s_r+IF(circ_int,eq_c1/2,0)))/INDEX(lk_legs,12))-(((((2*IF(circ_int,0,eq_c2/2))+(PI()*(s_0+11*s_r+IF(circ_int,eq_c1/2,0))/2))+2*IF(circ_int,0,eq_c1/2))+(PI()*(s_0+11*s_r+IF(circ_int,eq_c1/2,0))/2))+2*IF(circ_int,0,eq_c2/2)))/(s_0+11*s_r+IF(circ_int,eq_c1/2,0))),IF(((61+0.5)*(4*IF(circ_int,0,eq_c1/2)+4*IF(circ_int,0,eq_c2/2)+2*PI()*(s_0+11*s_r+IF(circ_int,eq_c1/2,0)))/INDEX(lk_legs,12))&lt;(((((((2*IF(circ_int,0,eq_c2/2))+(PI()*(s_0+11*s_r+IF(circ_int,eq_c1/2,0))/2))+2*IF(circ_int,0,eq_c1/2))+(PI()*(s_0+11*s_r+IF(circ_int,eq_c1/2,0))/2))+2*IF(circ_int,0,eq_c2/2))+(PI()*(s_0+11*s_r+IF(circ_int,eq_c1/2,0))/2))+2*IF(circ_int,0,eq_c1/2)),-IF(circ_int,0,eq_c1/2)+(((61+0.5)*(4*IF(circ_int,0,eq_c1/2)+4*IF(circ_int,0,eq_c2/2)+2*PI()*(s_0+11*s_r+IF(circ_int,eq_c1/2,0)))/INDEX(lk_legs,12))-((((((2*IF(circ_int,0,eq_c2/2))+(PI()*(s_0+11*s_r+IF(circ_int,eq_c1/2,0))/2))+2*IF(circ_int,0,eq_c1/2))+(PI()*(s_0+11*s_r+IF(circ_int,eq_c1/2,0))/2))+2*IF(circ_int,0,eq_c2/2))+(PI()*(s_0+11*s_r+IF(circ_int,eq_c1/2,0))/2))),IF(circ_int,0,eq_c1/2)+(s_0+11*s_r+IF(circ_int,eq_c1/2,0))*COS(3*PI()/2+(((61+0.5)*(4*IF(circ_int,0,eq_c1/2)+4*IF(circ_int,0,eq_c2/2)+2*PI()*(s_0+11*s_r+IF(circ_int,eq_c1/2,0)))/INDEX(lk_legs,12))-(((((((2*IF(circ_int,0,eq_c2/2))+(PI()*(s_0+11*s_r+IF(circ_int,eq_c1/2,0))/2))+2*IF(circ_int,0,eq_c1/2))+(PI()*(s_0+11*s_r+IF(circ_int,eq_c1/2,0))/2))+2*IF(circ_int,0,eq_c2/2))+(PI()*(s_0+11*s_r+IF(circ_int,eq_c1/2,0))/2))+2*IF(circ_int,0,eq_c1/2)))/(s_0+11*s_r+IF(circ_int,eq_c1/2,0)))))))))),NA())</f>
        <v/>
      </c>
      <c r="DO64">
        <f>IF(AND(AND(links_on,12&lt;=n_per),INDEX(lk_kind,12)=1,61&lt;INDEX(lk_legs,12)),g_oy+IF(((61+0.5)*(4*IF(circ_int,0,eq_c1/2)+4*IF(circ_int,0,eq_c2/2)+2*PI()*(s_0+11*s_r+IF(circ_int,eq_c1/2,0)))/INDEX(lk_legs,12))&lt;(2*IF(circ_int,0,eq_c2/2)),-IF(circ_int,0,eq_c2/2)+((61+0.5)*(4*IF(circ_int,0,eq_c1/2)+4*IF(circ_int,0,eq_c2/2)+2*PI()*(s_0+11*s_r+IF(circ_int,eq_c1/2,0)))/INDEX(lk_legs,12)),IF(((61+0.5)*(4*IF(circ_int,0,eq_c1/2)+4*IF(circ_int,0,eq_c2/2)+2*PI()*(s_0+11*s_r+IF(circ_int,eq_c1/2,0)))/INDEX(lk_legs,12))&lt;((2*IF(circ_int,0,eq_c2/2))+(PI()*(s_0+11*s_r+IF(circ_int,eq_c1/2,0))/2)),IF(circ_int,0,eq_c2/2)+(s_0+11*s_r+IF(circ_int,eq_c1/2,0))*SIN((((61+0.5)*(4*IF(circ_int,0,eq_c1/2)+4*IF(circ_int,0,eq_c2/2)+2*PI()*(s_0+11*s_r+IF(circ_int,eq_c1/2,0)))/INDEX(lk_legs,12))-(2*IF(circ_int,0,eq_c2/2)))/(s_0+11*s_r+IF(circ_int,eq_c1/2,0))),IF(((61+0.5)*(4*IF(circ_int,0,eq_c1/2)+4*IF(circ_int,0,eq_c2/2)+2*PI()*(s_0+11*s_r+IF(circ_int,eq_c1/2,0)))/INDEX(lk_legs,12))&lt;(((2*IF(circ_int,0,eq_c2/2))+(PI()*(s_0+11*s_r+IF(circ_int,eq_c1/2,0))/2))+2*IF(circ_int,0,eq_c1/2)),IF(circ_int,0,eq_c2/2)+(s_0+11*s_r+IF(circ_int,eq_c1/2,0)),IF(((61+0.5)*(4*IF(circ_int,0,eq_c1/2)+4*IF(circ_int,0,eq_c2/2)+2*PI()*(s_0+11*s_r+IF(circ_int,eq_c1/2,0)))/INDEX(lk_legs,12))&lt;((((2*IF(circ_int,0,eq_c2/2))+(PI()*(s_0+11*s_r+IF(circ_int,eq_c1/2,0))/2))+2*IF(circ_int,0,eq_c1/2))+(PI()*(s_0+11*s_r+IF(circ_int,eq_c1/2,0))/2)),IF(circ_int,0,eq_c2/2)+(s_0+11*s_r+IF(circ_int,eq_c1/2,0))*SIN(PI()/2+(((61+0.5)*(4*IF(circ_int,0,eq_c1/2)+4*IF(circ_int,0,eq_c2/2)+2*PI()*(s_0+11*s_r+IF(circ_int,eq_c1/2,0)))/INDEX(lk_legs,12))-(((2*IF(circ_int,0,eq_c2/2))+(PI()*(s_0+11*s_r+IF(circ_int,eq_c1/2,0))/2))+2*IF(circ_int,0,eq_c1/2)))/(s_0+11*s_r+IF(circ_int,eq_c1/2,0))),IF(((61+0.5)*(4*IF(circ_int,0,eq_c1/2)+4*IF(circ_int,0,eq_c2/2)+2*PI()*(s_0+11*s_r+IF(circ_int,eq_c1/2,0)))/INDEX(lk_legs,12))&lt;(((((2*IF(circ_int,0,eq_c2/2))+(PI()*(s_0+11*s_r+IF(circ_int,eq_c1/2,0))/2))+2*IF(circ_int,0,eq_c1/2))+(PI()*(s_0+11*s_r+IF(circ_int,eq_c1/2,0))/2))+2*IF(circ_int,0,eq_c2/2)),IF(circ_int,0,eq_c2/2)-(((61+0.5)*(4*IF(circ_int,0,eq_c1/2)+4*IF(circ_int,0,eq_c2/2)+2*PI()*(s_0+11*s_r+IF(circ_int,eq_c1/2,0)))/INDEX(lk_legs,12))-((((2*IF(circ_int,0,eq_c2/2))+(PI()*(s_0+11*s_r+IF(circ_int,eq_c1/2,0))/2))+2*IF(circ_int,0,eq_c1/2))+(PI()*(s_0+11*s_r+IF(circ_int,eq_c1/2,0))/2))),IF(((61+0.5)*(4*IF(circ_int,0,eq_c1/2)+4*IF(circ_int,0,eq_c2/2)+2*PI()*(s_0+11*s_r+IF(circ_int,eq_c1/2,0)))/INDEX(lk_legs,12))&lt;((((((2*IF(circ_int,0,eq_c2/2))+(PI()*(s_0+11*s_r+IF(circ_int,eq_c1/2,0))/2))+2*IF(circ_int,0,eq_c1/2))+(PI()*(s_0+11*s_r+IF(circ_int,eq_c1/2,0))/2))+2*IF(circ_int,0,eq_c2/2))+(PI()*(s_0+11*s_r+IF(circ_int,eq_c1/2,0))/2)),-IF(circ_int,0,eq_c2/2)+(s_0+11*s_r+IF(circ_int,eq_c1/2,0))*SIN(PI()+(((61+0.5)*(4*IF(circ_int,0,eq_c1/2)+4*IF(circ_int,0,eq_c2/2)+2*PI()*(s_0+11*s_r+IF(circ_int,eq_c1/2,0)))/INDEX(lk_legs,12))-(((((2*IF(circ_int,0,eq_c2/2))+(PI()*(s_0+11*s_r+IF(circ_int,eq_c1/2,0))/2))+2*IF(circ_int,0,eq_c1/2))+(PI()*(s_0+11*s_r+IF(circ_int,eq_c1/2,0))/2))+2*IF(circ_int,0,eq_c2/2)))/(s_0+11*s_r+IF(circ_int,eq_c1/2,0))),IF(((61+0.5)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(61+0.5)*(4*IF(circ_int,0,eq_c1/2)+4*IF(circ_int,0,eq_c2/2)+2*PI()*(s_0+11*s_r+IF(circ_int,eq_c1/2,0)))/INDEX(lk_legs,12))-(((((((2*IF(circ_int,0,eq_c2/2))+(PI()*(s_0+11*s_r+IF(circ_int,eq_c1/2,0))/2))+2*IF(circ_int,0,eq_c1/2))+(PI()*(s_0+11*s_r+IF(circ_int,eq_c1/2,0))/2))+2*IF(circ_int,0,eq_c2/2))+(PI()*(s_0+11*s_r+IF(circ_int,eq_c1/2,0))/2))+2*IF(circ_int,0,eq_c1/2)))/(s_0+11*s_r+IF(circ_int,eq_c1/2,0)))))))))),NA())</f>
        <v/>
      </c>
    </row>
    <row r="65">
      <c r="AZ65">
        <f>IF(AND(AND(links_on,1&lt;=n_per),INDEX(lk_kind,1)=1,62&lt;INDEX(lk_legs,1)),g_ox+IF(((62+0.5)*(4*IF(circ_int,0,eq_c1/2)+4*IF(circ_int,0,eq_c2/2)+2*PI()*(s_0+0*s_r+IF(circ_int,eq_c1/2,0)))/INDEX(lk_legs,1))&lt;(2*IF(circ_int,0,eq_c2/2)),IF(circ_int,0,eq_c1/2)+(s_0+0*s_r+IF(circ_int,eq_c1/2,0)),IF(((62+0.5)*(4*IF(circ_int,0,eq_c1/2)+4*IF(circ_int,0,eq_c2/2)+2*PI()*(s_0+0*s_r+IF(circ_int,eq_c1/2,0)))/INDEX(lk_legs,1))&lt;((2*IF(circ_int,0,eq_c2/2))+(PI()*(s_0+0*s_r+IF(circ_int,eq_c1/2,0))/2)),IF(circ_int,0,eq_c1/2)+(s_0+0*s_r+IF(circ_int,eq_c1/2,0))*COS((((62+0.5)*(4*IF(circ_int,0,eq_c1/2)+4*IF(circ_int,0,eq_c2/2)+2*PI()*(s_0+0*s_r+IF(circ_int,eq_c1/2,0)))/INDEX(lk_legs,1))-(2*IF(circ_int,0,eq_c2/2)))/(s_0+0*s_r+IF(circ_int,eq_c1/2,0))),IF(((62+0.5)*(4*IF(circ_int,0,eq_c1/2)+4*IF(circ_int,0,eq_c2/2)+2*PI()*(s_0+0*s_r+IF(circ_int,eq_c1/2,0)))/INDEX(lk_legs,1))&lt;(((2*IF(circ_int,0,eq_c2/2))+(PI()*(s_0+0*s_r+IF(circ_int,eq_c1/2,0))/2))+2*IF(circ_int,0,eq_c1/2)),IF(circ_int,0,eq_c1/2)-(((62+0.5)*(4*IF(circ_int,0,eq_c1/2)+4*IF(circ_int,0,eq_c2/2)+2*PI()*(s_0+0*s_r+IF(circ_int,eq_c1/2,0)))/INDEX(lk_legs,1))-((2*IF(circ_int,0,eq_c2/2))+(PI()*(s_0+0*s_r+IF(circ_int,eq_c1/2,0))/2))),IF(((62+0.5)*(4*IF(circ_int,0,eq_c1/2)+4*IF(circ_int,0,eq_c2/2)+2*PI()*(s_0+0*s_r+IF(circ_int,eq_c1/2,0)))/INDEX(lk_legs,1))&lt;((((2*IF(circ_int,0,eq_c2/2))+(PI()*(s_0+0*s_r+IF(circ_int,eq_c1/2,0))/2))+2*IF(circ_int,0,eq_c1/2))+(PI()*(s_0+0*s_r+IF(circ_int,eq_c1/2,0))/2)),-IF(circ_int,0,eq_c1/2)+(s_0+0*s_r+IF(circ_int,eq_c1/2,0))*COS(PI()/2+(((62+0.5)*(4*IF(circ_int,0,eq_c1/2)+4*IF(circ_int,0,eq_c2/2)+2*PI()*(s_0+0*s_r+IF(circ_int,eq_c1/2,0)))/INDEX(lk_legs,1))-(((2*IF(circ_int,0,eq_c2/2))+(PI()*(s_0+0*s_r+IF(circ_int,eq_c1/2,0))/2))+2*IF(circ_int,0,eq_c1/2)))/(s_0+0*s_r+IF(circ_int,eq_c1/2,0))),IF(((62+0.5)*(4*IF(circ_int,0,eq_c1/2)+4*IF(circ_int,0,eq_c2/2)+2*PI()*(s_0+0*s_r+IF(circ_int,eq_c1/2,0)))/INDEX(lk_legs,1))&lt;(((((2*IF(circ_int,0,eq_c2/2))+(PI()*(s_0+0*s_r+IF(circ_int,eq_c1/2,0))/2))+2*IF(circ_int,0,eq_c1/2))+(PI()*(s_0+0*s_r+IF(circ_int,eq_c1/2,0))/2))+2*IF(circ_int,0,eq_c2/2)),-IF(circ_int,0,eq_c1/2)-(s_0+0*s_r+IF(circ_int,eq_c1/2,0)),IF(((62+0.5)*(4*IF(circ_int,0,eq_c1/2)+4*IF(circ_int,0,eq_c2/2)+2*PI()*(s_0+0*s_r+IF(circ_int,eq_c1/2,0)))/INDEX(lk_legs,1))&lt;((((((2*IF(circ_int,0,eq_c2/2))+(PI()*(s_0+0*s_r+IF(circ_int,eq_c1/2,0))/2))+2*IF(circ_int,0,eq_c1/2))+(PI()*(s_0+0*s_r+IF(circ_int,eq_c1/2,0))/2))+2*IF(circ_int,0,eq_c2/2))+(PI()*(s_0+0*s_r+IF(circ_int,eq_c1/2,0))/2)),-IF(circ_int,0,eq_c1/2)+(s_0+0*s_r+IF(circ_int,eq_c1/2,0))*COS(PI()+(((62+0.5)*(4*IF(circ_int,0,eq_c1/2)+4*IF(circ_int,0,eq_c2/2)+2*PI()*(s_0+0*s_r+IF(circ_int,eq_c1/2,0)))/INDEX(lk_legs,1))-(((((2*IF(circ_int,0,eq_c2/2))+(PI()*(s_0+0*s_r+IF(circ_int,eq_c1/2,0))/2))+2*IF(circ_int,0,eq_c1/2))+(PI()*(s_0+0*s_r+IF(circ_int,eq_c1/2,0))/2))+2*IF(circ_int,0,eq_c2/2)))/(s_0+0*s_r+IF(circ_int,eq_c1/2,0))),IF(((62+0.5)*(4*IF(circ_int,0,eq_c1/2)+4*IF(circ_int,0,eq_c2/2)+2*PI()*(s_0+0*s_r+IF(circ_int,eq_c1/2,0)))/INDEX(lk_legs,1))&lt;(((((((2*IF(circ_int,0,eq_c2/2))+(PI()*(s_0+0*s_r+IF(circ_int,eq_c1/2,0))/2))+2*IF(circ_int,0,eq_c1/2))+(PI()*(s_0+0*s_r+IF(circ_int,eq_c1/2,0))/2))+2*IF(circ_int,0,eq_c2/2))+(PI()*(s_0+0*s_r+IF(circ_int,eq_c1/2,0))/2))+2*IF(circ_int,0,eq_c1/2)),-IF(circ_int,0,eq_c1/2)+(((62+0.5)*(4*IF(circ_int,0,eq_c1/2)+4*IF(circ_int,0,eq_c2/2)+2*PI()*(s_0+0*s_r+IF(circ_int,eq_c1/2,0)))/INDEX(lk_legs,1))-((((((2*IF(circ_int,0,eq_c2/2))+(PI()*(s_0+0*s_r+IF(circ_int,eq_c1/2,0))/2))+2*IF(circ_int,0,eq_c1/2))+(PI()*(s_0+0*s_r+IF(circ_int,eq_c1/2,0))/2))+2*IF(circ_int,0,eq_c2/2))+(PI()*(s_0+0*s_r+IF(circ_int,eq_c1/2,0))/2))),IF(circ_int,0,eq_c1/2)+(s_0+0*s_r+IF(circ_int,eq_c1/2,0))*COS(3*PI()/2+(((62+0.5)*(4*IF(circ_int,0,eq_c1/2)+4*IF(circ_int,0,eq_c2/2)+2*PI()*(s_0+0*s_r+IF(circ_int,eq_c1/2,0)))/INDEX(lk_legs,1))-(((((((2*IF(circ_int,0,eq_c2/2))+(PI()*(s_0+0*s_r+IF(circ_int,eq_c1/2,0))/2))+2*IF(circ_int,0,eq_c1/2))+(PI()*(s_0+0*s_r+IF(circ_int,eq_c1/2,0))/2))+2*IF(circ_int,0,eq_c2/2))+(PI()*(s_0+0*s_r+IF(circ_int,eq_c1/2,0))/2))+2*IF(circ_int,0,eq_c1/2)))/(s_0+0*s_r+IF(circ_int,eq_c1/2,0)))))))))),NA())</f>
        <v/>
      </c>
      <c r="BA65">
        <f>IF(AND(AND(links_on,1&lt;=n_per),INDEX(lk_kind,1)=1,62&lt;INDEX(lk_legs,1)),g_oy+IF(((62+0.5)*(4*IF(circ_int,0,eq_c1/2)+4*IF(circ_int,0,eq_c2/2)+2*PI()*(s_0+0*s_r+IF(circ_int,eq_c1/2,0)))/INDEX(lk_legs,1))&lt;(2*IF(circ_int,0,eq_c2/2)),-IF(circ_int,0,eq_c2/2)+((62+0.5)*(4*IF(circ_int,0,eq_c1/2)+4*IF(circ_int,0,eq_c2/2)+2*PI()*(s_0+0*s_r+IF(circ_int,eq_c1/2,0)))/INDEX(lk_legs,1)),IF(((62+0.5)*(4*IF(circ_int,0,eq_c1/2)+4*IF(circ_int,0,eq_c2/2)+2*PI()*(s_0+0*s_r+IF(circ_int,eq_c1/2,0)))/INDEX(lk_legs,1))&lt;((2*IF(circ_int,0,eq_c2/2))+(PI()*(s_0+0*s_r+IF(circ_int,eq_c1/2,0))/2)),IF(circ_int,0,eq_c2/2)+(s_0+0*s_r+IF(circ_int,eq_c1/2,0))*SIN((((62+0.5)*(4*IF(circ_int,0,eq_c1/2)+4*IF(circ_int,0,eq_c2/2)+2*PI()*(s_0+0*s_r+IF(circ_int,eq_c1/2,0)))/INDEX(lk_legs,1))-(2*IF(circ_int,0,eq_c2/2)))/(s_0+0*s_r+IF(circ_int,eq_c1/2,0))),IF(((62+0.5)*(4*IF(circ_int,0,eq_c1/2)+4*IF(circ_int,0,eq_c2/2)+2*PI()*(s_0+0*s_r+IF(circ_int,eq_c1/2,0)))/INDEX(lk_legs,1))&lt;(((2*IF(circ_int,0,eq_c2/2))+(PI()*(s_0+0*s_r+IF(circ_int,eq_c1/2,0))/2))+2*IF(circ_int,0,eq_c1/2)),IF(circ_int,0,eq_c2/2)+(s_0+0*s_r+IF(circ_int,eq_c1/2,0)),IF(((62+0.5)*(4*IF(circ_int,0,eq_c1/2)+4*IF(circ_int,0,eq_c2/2)+2*PI()*(s_0+0*s_r+IF(circ_int,eq_c1/2,0)))/INDEX(lk_legs,1))&lt;((((2*IF(circ_int,0,eq_c2/2))+(PI()*(s_0+0*s_r+IF(circ_int,eq_c1/2,0))/2))+2*IF(circ_int,0,eq_c1/2))+(PI()*(s_0+0*s_r+IF(circ_int,eq_c1/2,0))/2)),IF(circ_int,0,eq_c2/2)+(s_0+0*s_r+IF(circ_int,eq_c1/2,0))*SIN(PI()/2+(((62+0.5)*(4*IF(circ_int,0,eq_c1/2)+4*IF(circ_int,0,eq_c2/2)+2*PI()*(s_0+0*s_r+IF(circ_int,eq_c1/2,0)))/INDEX(lk_legs,1))-(((2*IF(circ_int,0,eq_c2/2))+(PI()*(s_0+0*s_r+IF(circ_int,eq_c1/2,0))/2))+2*IF(circ_int,0,eq_c1/2)))/(s_0+0*s_r+IF(circ_int,eq_c1/2,0))),IF(((62+0.5)*(4*IF(circ_int,0,eq_c1/2)+4*IF(circ_int,0,eq_c2/2)+2*PI()*(s_0+0*s_r+IF(circ_int,eq_c1/2,0)))/INDEX(lk_legs,1))&lt;(((((2*IF(circ_int,0,eq_c2/2))+(PI()*(s_0+0*s_r+IF(circ_int,eq_c1/2,0))/2))+2*IF(circ_int,0,eq_c1/2))+(PI()*(s_0+0*s_r+IF(circ_int,eq_c1/2,0))/2))+2*IF(circ_int,0,eq_c2/2)),IF(circ_int,0,eq_c2/2)-(((62+0.5)*(4*IF(circ_int,0,eq_c1/2)+4*IF(circ_int,0,eq_c2/2)+2*PI()*(s_0+0*s_r+IF(circ_int,eq_c1/2,0)))/INDEX(lk_legs,1))-((((2*IF(circ_int,0,eq_c2/2))+(PI()*(s_0+0*s_r+IF(circ_int,eq_c1/2,0))/2))+2*IF(circ_int,0,eq_c1/2))+(PI()*(s_0+0*s_r+IF(circ_int,eq_c1/2,0))/2))),IF(((62+0.5)*(4*IF(circ_int,0,eq_c1/2)+4*IF(circ_int,0,eq_c2/2)+2*PI()*(s_0+0*s_r+IF(circ_int,eq_c1/2,0)))/INDEX(lk_legs,1))&lt;((((((2*IF(circ_int,0,eq_c2/2))+(PI()*(s_0+0*s_r+IF(circ_int,eq_c1/2,0))/2))+2*IF(circ_int,0,eq_c1/2))+(PI()*(s_0+0*s_r+IF(circ_int,eq_c1/2,0))/2))+2*IF(circ_int,0,eq_c2/2))+(PI()*(s_0+0*s_r+IF(circ_int,eq_c1/2,0))/2)),-IF(circ_int,0,eq_c2/2)+(s_0+0*s_r+IF(circ_int,eq_c1/2,0))*SIN(PI()+(((62+0.5)*(4*IF(circ_int,0,eq_c1/2)+4*IF(circ_int,0,eq_c2/2)+2*PI()*(s_0+0*s_r+IF(circ_int,eq_c1/2,0)))/INDEX(lk_legs,1))-(((((2*IF(circ_int,0,eq_c2/2))+(PI()*(s_0+0*s_r+IF(circ_int,eq_c1/2,0))/2))+2*IF(circ_int,0,eq_c1/2))+(PI()*(s_0+0*s_r+IF(circ_int,eq_c1/2,0))/2))+2*IF(circ_int,0,eq_c2/2)))/(s_0+0*s_r+IF(circ_int,eq_c1/2,0))),IF(((62+0.5)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(62+0.5)*(4*IF(circ_int,0,eq_c1/2)+4*IF(circ_int,0,eq_c2/2)+2*PI()*(s_0+0*s_r+IF(circ_int,eq_c1/2,0)))/INDEX(lk_legs,1))-(((((((2*IF(circ_int,0,eq_c2/2))+(PI()*(s_0+0*s_r+IF(circ_int,eq_c1/2,0))/2))+2*IF(circ_int,0,eq_c1/2))+(PI()*(s_0+0*s_r+IF(circ_int,eq_c1/2,0))/2))+2*IF(circ_int,0,eq_c2/2))+(PI()*(s_0+0*s_r+IF(circ_int,eq_c1/2,0))/2))+2*IF(circ_int,0,eq_c1/2)))/(s_0+0*s_r+IF(circ_int,eq_c1/2,0)))))))))),NA())</f>
        <v/>
      </c>
      <c r="BF65">
        <f>IF(AND(AND(links_on,2&lt;=n_per),INDEX(lk_kind,2)=1,62&lt;INDEX(lk_legs,2)),g_ox+IF(((62+0.5)*(4*IF(circ_int,0,eq_c1/2)+4*IF(circ_int,0,eq_c2/2)+2*PI()*(s_0+1*s_r+IF(circ_int,eq_c1/2,0)))/INDEX(lk_legs,2))&lt;(2*IF(circ_int,0,eq_c2/2)),IF(circ_int,0,eq_c1/2)+(s_0+1*s_r+IF(circ_int,eq_c1/2,0)),IF(((62+0.5)*(4*IF(circ_int,0,eq_c1/2)+4*IF(circ_int,0,eq_c2/2)+2*PI()*(s_0+1*s_r+IF(circ_int,eq_c1/2,0)))/INDEX(lk_legs,2))&lt;((2*IF(circ_int,0,eq_c2/2))+(PI()*(s_0+1*s_r+IF(circ_int,eq_c1/2,0))/2)),IF(circ_int,0,eq_c1/2)+(s_0+1*s_r+IF(circ_int,eq_c1/2,0))*COS((((62+0.5)*(4*IF(circ_int,0,eq_c1/2)+4*IF(circ_int,0,eq_c2/2)+2*PI()*(s_0+1*s_r+IF(circ_int,eq_c1/2,0)))/INDEX(lk_legs,2))-(2*IF(circ_int,0,eq_c2/2)))/(s_0+1*s_r+IF(circ_int,eq_c1/2,0))),IF(((62+0.5)*(4*IF(circ_int,0,eq_c1/2)+4*IF(circ_int,0,eq_c2/2)+2*PI()*(s_0+1*s_r+IF(circ_int,eq_c1/2,0)))/INDEX(lk_legs,2))&lt;(((2*IF(circ_int,0,eq_c2/2))+(PI()*(s_0+1*s_r+IF(circ_int,eq_c1/2,0))/2))+2*IF(circ_int,0,eq_c1/2)),IF(circ_int,0,eq_c1/2)-(((62+0.5)*(4*IF(circ_int,0,eq_c1/2)+4*IF(circ_int,0,eq_c2/2)+2*PI()*(s_0+1*s_r+IF(circ_int,eq_c1/2,0)))/INDEX(lk_legs,2))-((2*IF(circ_int,0,eq_c2/2))+(PI()*(s_0+1*s_r+IF(circ_int,eq_c1/2,0))/2))),IF(((62+0.5)*(4*IF(circ_int,0,eq_c1/2)+4*IF(circ_int,0,eq_c2/2)+2*PI()*(s_0+1*s_r+IF(circ_int,eq_c1/2,0)))/INDEX(lk_legs,2))&lt;((((2*IF(circ_int,0,eq_c2/2))+(PI()*(s_0+1*s_r+IF(circ_int,eq_c1/2,0))/2))+2*IF(circ_int,0,eq_c1/2))+(PI()*(s_0+1*s_r+IF(circ_int,eq_c1/2,0))/2)),-IF(circ_int,0,eq_c1/2)+(s_0+1*s_r+IF(circ_int,eq_c1/2,0))*COS(PI()/2+(((62+0.5)*(4*IF(circ_int,0,eq_c1/2)+4*IF(circ_int,0,eq_c2/2)+2*PI()*(s_0+1*s_r+IF(circ_int,eq_c1/2,0)))/INDEX(lk_legs,2))-(((2*IF(circ_int,0,eq_c2/2))+(PI()*(s_0+1*s_r+IF(circ_int,eq_c1/2,0))/2))+2*IF(circ_int,0,eq_c1/2)))/(s_0+1*s_r+IF(circ_int,eq_c1/2,0))),IF(((62+0.5)*(4*IF(circ_int,0,eq_c1/2)+4*IF(circ_int,0,eq_c2/2)+2*PI()*(s_0+1*s_r+IF(circ_int,eq_c1/2,0)))/INDEX(lk_legs,2))&lt;(((((2*IF(circ_int,0,eq_c2/2))+(PI()*(s_0+1*s_r+IF(circ_int,eq_c1/2,0))/2))+2*IF(circ_int,0,eq_c1/2))+(PI()*(s_0+1*s_r+IF(circ_int,eq_c1/2,0))/2))+2*IF(circ_int,0,eq_c2/2)),-IF(circ_int,0,eq_c1/2)-(s_0+1*s_r+IF(circ_int,eq_c1/2,0)),IF(((62+0.5)*(4*IF(circ_int,0,eq_c1/2)+4*IF(circ_int,0,eq_c2/2)+2*PI()*(s_0+1*s_r+IF(circ_int,eq_c1/2,0)))/INDEX(lk_legs,2))&lt;((((((2*IF(circ_int,0,eq_c2/2))+(PI()*(s_0+1*s_r+IF(circ_int,eq_c1/2,0))/2))+2*IF(circ_int,0,eq_c1/2))+(PI()*(s_0+1*s_r+IF(circ_int,eq_c1/2,0))/2))+2*IF(circ_int,0,eq_c2/2))+(PI()*(s_0+1*s_r+IF(circ_int,eq_c1/2,0))/2)),-IF(circ_int,0,eq_c1/2)+(s_0+1*s_r+IF(circ_int,eq_c1/2,0))*COS(PI()+(((62+0.5)*(4*IF(circ_int,0,eq_c1/2)+4*IF(circ_int,0,eq_c2/2)+2*PI()*(s_0+1*s_r+IF(circ_int,eq_c1/2,0)))/INDEX(lk_legs,2))-(((((2*IF(circ_int,0,eq_c2/2))+(PI()*(s_0+1*s_r+IF(circ_int,eq_c1/2,0))/2))+2*IF(circ_int,0,eq_c1/2))+(PI()*(s_0+1*s_r+IF(circ_int,eq_c1/2,0))/2))+2*IF(circ_int,0,eq_c2/2)))/(s_0+1*s_r+IF(circ_int,eq_c1/2,0))),IF(((62+0.5)*(4*IF(circ_int,0,eq_c1/2)+4*IF(circ_int,0,eq_c2/2)+2*PI()*(s_0+1*s_r+IF(circ_int,eq_c1/2,0)))/INDEX(lk_legs,2))&lt;(((((((2*IF(circ_int,0,eq_c2/2))+(PI()*(s_0+1*s_r+IF(circ_int,eq_c1/2,0))/2))+2*IF(circ_int,0,eq_c1/2))+(PI()*(s_0+1*s_r+IF(circ_int,eq_c1/2,0))/2))+2*IF(circ_int,0,eq_c2/2))+(PI()*(s_0+1*s_r+IF(circ_int,eq_c1/2,0))/2))+2*IF(circ_int,0,eq_c1/2)),-IF(circ_int,0,eq_c1/2)+(((62+0.5)*(4*IF(circ_int,0,eq_c1/2)+4*IF(circ_int,0,eq_c2/2)+2*PI()*(s_0+1*s_r+IF(circ_int,eq_c1/2,0)))/INDEX(lk_legs,2))-((((((2*IF(circ_int,0,eq_c2/2))+(PI()*(s_0+1*s_r+IF(circ_int,eq_c1/2,0))/2))+2*IF(circ_int,0,eq_c1/2))+(PI()*(s_0+1*s_r+IF(circ_int,eq_c1/2,0))/2))+2*IF(circ_int,0,eq_c2/2))+(PI()*(s_0+1*s_r+IF(circ_int,eq_c1/2,0))/2))),IF(circ_int,0,eq_c1/2)+(s_0+1*s_r+IF(circ_int,eq_c1/2,0))*COS(3*PI()/2+(((62+0.5)*(4*IF(circ_int,0,eq_c1/2)+4*IF(circ_int,0,eq_c2/2)+2*PI()*(s_0+1*s_r+IF(circ_int,eq_c1/2,0)))/INDEX(lk_legs,2))-(((((((2*IF(circ_int,0,eq_c2/2))+(PI()*(s_0+1*s_r+IF(circ_int,eq_c1/2,0))/2))+2*IF(circ_int,0,eq_c1/2))+(PI()*(s_0+1*s_r+IF(circ_int,eq_c1/2,0))/2))+2*IF(circ_int,0,eq_c2/2))+(PI()*(s_0+1*s_r+IF(circ_int,eq_c1/2,0))/2))+2*IF(circ_int,0,eq_c1/2)))/(s_0+1*s_r+IF(circ_int,eq_c1/2,0)))))))))),NA())</f>
        <v/>
      </c>
      <c r="BG65">
        <f>IF(AND(AND(links_on,2&lt;=n_per),INDEX(lk_kind,2)=1,62&lt;INDEX(lk_legs,2)),g_oy+IF(((62+0.5)*(4*IF(circ_int,0,eq_c1/2)+4*IF(circ_int,0,eq_c2/2)+2*PI()*(s_0+1*s_r+IF(circ_int,eq_c1/2,0)))/INDEX(lk_legs,2))&lt;(2*IF(circ_int,0,eq_c2/2)),-IF(circ_int,0,eq_c2/2)+((62+0.5)*(4*IF(circ_int,0,eq_c1/2)+4*IF(circ_int,0,eq_c2/2)+2*PI()*(s_0+1*s_r+IF(circ_int,eq_c1/2,0)))/INDEX(lk_legs,2)),IF(((62+0.5)*(4*IF(circ_int,0,eq_c1/2)+4*IF(circ_int,0,eq_c2/2)+2*PI()*(s_0+1*s_r+IF(circ_int,eq_c1/2,0)))/INDEX(lk_legs,2))&lt;((2*IF(circ_int,0,eq_c2/2))+(PI()*(s_0+1*s_r+IF(circ_int,eq_c1/2,0))/2)),IF(circ_int,0,eq_c2/2)+(s_0+1*s_r+IF(circ_int,eq_c1/2,0))*SIN((((62+0.5)*(4*IF(circ_int,0,eq_c1/2)+4*IF(circ_int,0,eq_c2/2)+2*PI()*(s_0+1*s_r+IF(circ_int,eq_c1/2,0)))/INDEX(lk_legs,2))-(2*IF(circ_int,0,eq_c2/2)))/(s_0+1*s_r+IF(circ_int,eq_c1/2,0))),IF(((62+0.5)*(4*IF(circ_int,0,eq_c1/2)+4*IF(circ_int,0,eq_c2/2)+2*PI()*(s_0+1*s_r+IF(circ_int,eq_c1/2,0)))/INDEX(lk_legs,2))&lt;(((2*IF(circ_int,0,eq_c2/2))+(PI()*(s_0+1*s_r+IF(circ_int,eq_c1/2,0))/2))+2*IF(circ_int,0,eq_c1/2)),IF(circ_int,0,eq_c2/2)+(s_0+1*s_r+IF(circ_int,eq_c1/2,0)),IF(((62+0.5)*(4*IF(circ_int,0,eq_c1/2)+4*IF(circ_int,0,eq_c2/2)+2*PI()*(s_0+1*s_r+IF(circ_int,eq_c1/2,0)))/INDEX(lk_legs,2))&lt;((((2*IF(circ_int,0,eq_c2/2))+(PI()*(s_0+1*s_r+IF(circ_int,eq_c1/2,0))/2))+2*IF(circ_int,0,eq_c1/2))+(PI()*(s_0+1*s_r+IF(circ_int,eq_c1/2,0))/2)),IF(circ_int,0,eq_c2/2)+(s_0+1*s_r+IF(circ_int,eq_c1/2,0))*SIN(PI()/2+(((62+0.5)*(4*IF(circ_int,0,eq_c1/2)+4*IF(circ_int,0,eq_c2/2)+2*PI()*(s_0+1*s_r+IF(circ_int,eq_c1/2,0)))/INDEX(lk_legs,2))-(((2*IF(circ_int,0,eq_c2/2))+(PI()*(s_0+1*s_r+IF(circ_int,eq_c1/2,0))/2))+2*IF(circ_int,0,eq_c1/2)))/(s_0+1*s_r+IF(circ_int,eq_c1/2,0))),IF(((62+0.5)*(4*IF(circ_int,0,eq_c1/2)+4*IF(circ_int,0,eq_c2/2)+2*PI()*(s_0+1*s_r+IF(circ_int,eq_c1/2,0)))/INDEX(lk_legs,2))&lt;(((((2*IF(circ_int,0,eq_c2/2))+(PI()*(s_0+1*s_r+IF(circ_int,eq_c1/2,0))/2))+2*IF(circ_int,0,eq_c1/2))+(PI()*(s_0+1*s_r+IF(circ_int,eq_c1/2,0))/2))+2*IF(circ_int,0,eq_c2/2)),IF(circ_int,0,eq_c2/2)-(((62+0.5)*(4*IF(circ_int,0,eq_c1/2)+4*IF(circ_int,0,eq_c2/2)+2*PI()*(s_0+1*s_r+IF(circ_int,eq_c1/2,0)))/INDEX(lk_legs,2))-((((2*IF(circ_int,0,eq_c2/2))+(PI()*(s_0+1*s_r+IF(circ_int,eq_c1/2,0))/2))+2*IF(circ_int,0,eq_c1/2))+(PI()*(s_0+1*s_r+IF(circ_int,eq_c1/2,0))/2))),IF(((62+0.5)*(4*IF(circ_int,0,eq_c1/2)+4*IF(circ_int,0,eq_c2/2)+2*PI()*(s_0+1*s_r+IF(circ_int,eq_c1/2,0)))/INDEX(lk_legs,2))&lt;((((((2*IF(circ_int,0,eq_c2/2))+(PI()*(s_0+1*s_r+IF(circ_int,eq_c1/2,0))/2))+2*IF(circ_int,0,eq_c1/2))+(PI()*(s_0+1*s_r+IF(circ_int,eq_c1/2,0))/2))+2*IF(circ_int,0,eq_c2/2))+(PI()*(s_0+1*s_r+IF(circ_int,eq_c1/2,0))/2)),-IF(circ_int,0,eq_c2/2)+(s_0+1*s_r+IF(circ_int,eq_c1/2,0))*SIN(PI()+(((62+0.5)*(4*IF(circ_int,0,eq_c1/2)+4*IF(circ_int,0,eq_c2/2)+2*PI()*(s_0+1*s_r+IF(circ_int,eq_c1/2,0)))/INDEX(lk_legs,2))-(((((2*IF(circ_int,0,eq_c2/2))+(PI()*(s_0+1*s_r+IF(circ_int,eq_c1/2,0))/2))+2*IF(circ_int,0,eq_c1/2))+(PI()*(s_0+1*s_r+IF(circ_int,eq_c1/2,0))/2))+2*IF(circ_int,0,eq_c2/2)))/(s_0+1*s_r+IF(circ_int,eq_c1/2,0))),IF(((62+0.5)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(62+0.5)*(4*IF(circ_int,0,eq_c1/2)+4*IF(circ_int,0,eq_c2/2)+2*PI()*(s_0+1*s_r+IF(circ_int,eq_c1/2,0)))/INDEX(lk_legs,2))-(((((((2*IF(circ_int,0,eq_c2/2))+(PI()*(s_0+1*s_r+IF(circ_int,eq_c1/2,0))/2))+2*IF(circ_int,0,eq_c1/2))+(PI()*(s_0+1*s_r+IF(circ_int,eq_c1/2,0))/2))+2*IF(circ_int,0,eq_c2/2))+(PI()*(s_0+1*s_r+IF(circ_int,eq_c1/2,0))/2))+2*IF(circ_int,0,eq_c1/2)))/(s_0+1*s_r+IF(circ_int,eq_c1/2,0)))))))))),NA())</f>
        <v/>
      </c>
      <c r="BL65">
        <f>IF(AND(AND(links_on,3&lt;=n_per),INDEX(lk_kind,3)=1,62&lt;INDEX(lk_legs,3)),g_ox+IF(((62+0.5)*(4*IF(circ_int,0,eq_c1/2)+4*IF(circ_int,0,eq_c2/2)+2*PI()*(s_0+2*s_r+IF(circ_int,eq_c1/2,0)))/INDEX(lk_legs,3))&lt;(2*IF(circ_int,0,eq_c2/2)),IF(circ_int,0,eq_c1/2)+(s_0+2*s_r+IF(circ_int,eq_c1/2,0)),IF(((62+0.5)*(4*IF(circ_int,0,eq_c1/2)+4*IF(circ_int,0,eq_c2/2)+2*PI()*(s_0+2*s_r+IF(circ_int,eq_c1/2,0)))/INDEX(lk_legs,3))&lt;((2*IF(circ_int,0,eq_c2/2))+(PI()*(s_0+2*s_r+IF(circ_int,eq_c1/2,0))/2)),IF(circ_int,0,eq_c1/2)+(s_0+2*s_r+IF(circ_int,eq_c1/2,0))*COS((((62+0.5)*(4*IF(circ_int,0,eq_c1/2)+4*IF(circ_int,0,eq_c2/2)+2*PI()*(s_0+2*s_r+IF(circ_int,eq_c1/2,0)))/INDEX(lk_legs,3))-(2*IF(circ_int,0,eq_c2/2)))/(s_0+2*s_r+IF(circ_int,eq_c1/2,0))),IF(((62+0.5)*(4*IF(circ_int,0,eq_c1/2)+4*IF(circ_int,0,eq_c2/2)+2*PI()*(s_0+2*s_r+IF(circ_int,eq_c1/2,0)))/INDEX(lk_legs,3))&lt;(((2*IF(circ_int,0,eq_c2/2))+(PI()*(s_0+2*s_r+IF(circ_int,eq_c1/2,0))/2))+2*IF(circ_int,0,eq_c1/2)),IF(circ_int,0,eq_c1/2)-(((62+0.5)*(4*IF(circ_int,0,eq_c1/2)+4*IF(circ_int,0,eq_c2/2)+2*PI()*(s_0+2*s_r+IF(circ_int,eq_c1/2,0)))/INDEX(lk_legs,3))-((2*IF(circ_int,0,eq_c2/2))+(PI()*(s_0+2*s_r+IF(circ_int,eq_c1/2,0))/2))),IF(((62+0.5)*(4*IF(circ_int,0,eq_c1/2)+4*IF(circ_int,0,eq_c2/2)+2*PI()*(s_0+2*s_r+IF(circ_int,eq_c1/2,0)))/INDEX(lk_legs,3))&lt;((((2*IF(circ_int,0,eq_c2/2))+(PI()*(s_0+2*s_r+IF(circ_int,eq_c1/2,0))/2))+2*IF(circ_int,0,eq_c1/2))+(PI()*(s_0+2*s_r+IF(circ_int,eq_c1/2,0))/2)),-IF(circ_int,0,eq_c1/2)+(s_0+2*s_r+IF(circ_int,eq_c1/2,0))*COS(PI()/2+(((62+0.5)*(4*IF(circ_int,0,eq_c1/2)+4*IF(circ_int,0,eq_c2/2)+2*PI()*(s_0+2*s_r+IF(circ_int,eq_c1/2,0)))/INDEX(lk_legs,3))-(((2*IF(circ_int,0,eq_c2/2))+(PI()*(s_0+2*s_r+IF(circ_int,eq_c1/2,0))/2))+2*IF(circ_int,0,eq_c1/2)))/(s_0+2*s_r+IF(circ_int,eq_c1/2,0))),IF(((62+0.5)*(4*IF(circ_int,0,eq_c1/2)+4*IF(circ_int,0,eq_c2/2)+2*PI()*(s_0+2*s_r+IF(circ_int,eq_c1/2,0)))/INDEX(lk_legs,3))&lt;(((((2*IF(circ_int,0,eq_c2/2))+(PI()*(s_0+2*s_r+IF(circ_int,eq_c1/2,0))/2))+2*IF(circ_int,0,eq_c1/2))+(PI()*(s_0+2*s_r+IF(circ_int,eq_c1/2,0))/2))+2*IF(circ_int,0,eq_c2/2)),-IF(circ_int,0,eq_c1/2)-(s_0+2*s_r+IF(circ_int,eq_c1/2,0)),IF(((62+0.5)*(4*IF(circ_int,0,eq_c1/2)+4*IF(circ_int,0,eq_c2/2)+2*PI()*(s_0+2*s_r+IF(circ_int,eq_c1/2,0)))/INDEX(lk_legs,3))&lt;((((((2*IF(circ_int,0,eq_c2/2))+(PI()*(s_0+2*s_r+IF(circ_int,eq_c1/2,0))/2))+2*IF(circ_int,0,eq_c1/2))+(PI()*(s_0+2*s_r+IF(circ_int,eq_c1/2,0))/2))+2*IF(circ_int,0,eq_c2/2))+(PI()*(s_0+2*s_r+IF(circ_int,eq_c1/2,0))/2)),-IF(circ_int,0,eq_c1/2)+(s_0+2*s_r+IF(circ_int,eq_c1/2,0))*COS(PI()+(((62+0.5)*(4*IF(circ_int,0,eq_c1/2)+4*IF(circ_int,0,eq_c2/2)+2*PI()*(s_0+2*s_r+IF(circ_int,eq_c1/2,0)))/INDEX(lk_legs,3))-(((((2*IF(circ_int,0,eq_c2/2))+(PI()*(s_0+2*s_r+IF(circ_int,eq_c1/2,0))/2))+2*IF(circ_int,0,eq_c1/2))+(PI()*(s_0+2*s_r+IF(circ_int,eq_c1/2,0))/2))+2*IF(circ_int,0,eq_c2/2)))/(s_0+2*s_r+IF(circ_int,eq_c1/2,0))),IF(((62+0.5)*(4*IF(circ_int,0,eq_c1/2)+4*IF(circ_int,0,eq_c2/2)+2*PI()*(s_0+2*s_r+IF(circ_int,eq_c1/2,0)))/INDEX(lk_legs,3))&lt;(((((((2*IF(circ_int,0,eq_c2/2))+(PI()*(s_0+2*s_r+IF(circ_int,eq_c1/2,0))/2))+2*IF(circ_int,0,eq_c1/2))+(PI()*(s_0+2*s_r+IF(circ_int,eq_c1/2,0))/2))+2*IF(circ_int,0,eq_c2/2))+(PI()*(s_0+2*s_r+IF(circ_int,eq_c1/2,0))/2))+2*IF(circ_int,0,eq_c1/2)),-IF(circ_int,0,eq_c1/2)+(((62+0.5)*(4*IF(circ_int,0,eq_c1/2)+4*IF(circ_int,0,eq_c2/2)+2*PI()*(s_0+2*s_r+IF(circ_int,eq_c1/2,0)))/INDEX(lk_legs,3))-((((((2*IF(circ_int,0,eq_c2/2))+(PI()*(s_0+2*s_r+IF(circ_int,eq_c1/2,0))/2))+2*IF(circ_int,0,eq_c1/2))+(PI()*(s_0+2*s_r+IF(circ_int,eq_c1/2,0))/2))+2*IF(circ_int,0,eq_c2/2))+(PI()*(s_0+2*s_r+IF(circ_int,eq_c1/2,0))/2))),IF(circ_int,0,eq_c1/2)+(s_0+2*s_r+IF(circ_int,eq_c1/2,0))*COS(3*PI()/2+(((62+0.5)*(4*IF(circ_int,0,eq_c1/2)+4*IF(circ_int,0,eq_c2/2)+2*PI()*(s_0+2*s_r+IF(circ_int,eq_c1/2,0)))/INDEX(lk_legs,3))-(((((((2*IF(circ_int,0,eq_c2/2))+(PI()*(s_0+2*s_r+IF(circ_int,eq_c1/2,0))/2))+2*IF(circ_int,0,eq_c1/2))+(PI()*(s_0+2*s_r+IF(circ_int,eq_c1/2,0))/2))+2*IF(circ_int,0,eq_c2/2))+(PI()*(s_0+2*s_r+IF(circ_int,eq_c1/2,0))/2))+2*IF(circ_int,0,eq_c1/2)))/(s_0+2*s_r+IF(circ_int,eq_c1/2,0)))))))))),NA())</f>
        <v/>
      </c>
      <c r="BM65">
        <f>IF(AND(AND(links_on,3&lt;=n_per),INDEX(lk_kind,3)=1,62&lt;INDEX(lk_legs,3)),g_oy+IF(((62+0.5)*(4*IF(circ_int,0,eq_c1/2)+4*IF(circ_int,0,eq_c2/2)+2*PI()*(s_0+2*s_r+IF(circ_int,eq_c1/2,0)))/INDEX(lk_legs,3))&lt;(2*IF(circ_int,0,eq_c2/2)),-IF(circ_int,0,eq_c2/2)+((62+0.5)*(4*IF(circ_int,0,eq_c1/2)+4*IF(circ_int,0,eq_c2/2)+2*PI()*(s_0+2*s_r+IF(circ_int,eq_c1/2,0)))/INDEX(lk_legs,3)),IF(((62+0.5)*(4*IF(circ_int,0,eq_c1/2)+4*IF(circ_int,0,eq_c2/2)+2*PI()*(s_0+2*s_r+IF(circ_int,eq_c1/2,0)))/INDEX(lk_legs,3))&lt;((2*IF(circ_int,0,eq_c2/2))+(PI()*(s_0+2*s_r+IF(circ_int,eq_c1/2,0))/2)),IF(circ_int,0,eq_c2/2)+(s_0+2*s_r+IF(circ_int,eq_c1/2,0))*SIN((((62+0.5)*(4*IF(circ_int,0,eq_c1/2)+4*IF(circ_int,0,eq_c2/2)+2*PI()*(s_0+2*s_r+IF(circ_int,eq_c1/2,0)))/INDEX(lk_legs,3))-(2*IF(circ_int,0,eq_c2/2)))/(s_0+2*s_r+IF(circ_int,eq_c1/2,0))),IF(((62+0.5)*(4*IF(circ_int,0,eq_c1/2)+4*IF(circ_int,0,eq_c2/2)+2*PI()*(s_0+2*s_r+IF(circ_int,eq_c1/2,0)))/INDEX(lk_legs,3))&lt;(((2*IF(circ_int,0,eq_c2/2))+(PI()*(s_0+2*s_r+IF(circ_int,eq_c1/2,0))/2))+2*IF(circ_int,0,eq_c1/2)),IF(circ_int,0,eq_c2/2)+(s_0+2*s_r+IF(circ_int,eq_c1/2,0)),IF(((62+0.5)*(4*IF(circ_int,0,eq_c1/2)+4*IF(circ_int,0,eq_c2/2)+2*PI()*(s_0+2*s_r+IF(circ_int,eq_c1/2,0)))/INDEX(lk_legs,3))&lt;((((2*IF(circ_int,0,eq_c2/2))+(PI()*(s_0+2*s_r+IF(circ_int,eq_c1/2,0))/2))+2*IF(circ_int,0,eq_c1/2))+(PI()*(s_0+2*s_r+IF(circ_int,eq_c1/2,0))/2)),IF(circ_int,0,eq_c2/2)+(s_0+2*s_r+IF(circ_int,eq_c1/2,0))*SIN(PI()/2+(((62+0.5)*(4*IF(circ_int,0,eq_c1/2)+4*IF(circ_int,0,eq_c2/2)+2*PI()*(s_0+2*s_r+IF(circ_int,eq_c1/2,0)))/INDEX(lk_legs,3))-(((2*IF(circ_int,0,eq_c2/2))+(PI()*(s_0+2*s_r+IF(circ_int,eq_c1/2,0))/2))+2*IF(circ_int,0,eq_c1/2)))/(s_0+2*s_r+IF(circ_int,eq_c1/2,0))),IF(((62+0.5)*(4*IF(circ_int,0,eq_c1/2)+4*IF(circ_int,0,eq_c2/2)+2*PI()*(s_0+2*s_r+IF(circ_int,eq_c1/2,0)))/INDEX(lk_legs,3))&lt;(((((2*IF(circ_int,0,eq_c2/2))+(PI()*(s_0+2*s_r+IF(circ_int,eq_c1/2,0))/2))+2*IF(circ_int,0,eq_c1/2))+(PI()*(s_0+2*s_r+IF(circ_int,eq_c1/2,0))/2))+2*IF(circ_int,0,eq_c2/2)),IF(circ_int,0,eq_c2/2)-(((62+0.5)*(4*IF(circ_int,0,eq_c1/2)+4*IF(circ_int,0,eq_c2/2)+2*PI()*(s_0+2*s_r+IF(circ_int,eq_c1/2,0)))/INDEX(lk_legs,3))-((((2*IF(circ_int,0,eq_c2/2))+(PI()*(s_0+2*s_r+IF(circ_int,eq_c1/2,0))/2))+2*IF(circ_int,0,eq_c1/2))+(PI()*(s_0+2*s_r+IF(circ_int,eq_c1/2,0))/2))),IF(((62+0.5)*(4*IF(circ_int,0,eq_c1/2)+4*IF(circ_int,0,eq_c2/2)+2*PI()*(s_0+2*s_r+IF(circ_int,eq_c1/2,0)))/INDEX(lk_legs,3))&lt;((((((2*IF(circ_int,0,eq_c2/2))+(PI()*(s_0+2*s_r+IF(circ_int,eq_c1/2,0))/2))+2*IF(circ_int,0,eq_c1/2))+(PI()*(s_0+2*s_r+IF(circ_int,eq_c1/2,0))/2))+2*IF(circ_int,0,eq_c2/2))+(PI()*(s_0+2*s_r+IF(circ_int,eq_c1/2,0))/2)),-IF(circ_int,0,eq_c2/2)+(s_0+2*s_r+IF(circ_int,eq_c1/2,0))*SIN(PI()+(((62+0.5)*(4*IF(circ_int,0,eq_c1/2)+4*IF(circ_int,0,eq_c2/2)+2*PI()*(s_0+2*s_r+IF(circ_int,eq_c1/2,0)))/INDEX(lk_legs,3))-(((((2*IF(circ_int,0,eq_c2/2))+(PI()*(s_0+2*s_r+IF(circ_int,eq_c1/2,0))/2))+2*IF(circ_int,0,eq_c1/2))+(PI()*(s_0+2*s_r+IF(circ_int,eq_c1/2,0))/2))+2*IF(circ_int,0,eq_c2/2)))/(s_0+2*s_r+IF(circ_int,eq_c1/2,0))),IF(((62+0.5)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(62+0.5)*(4*IF(circ_int,0,eq_c1/2)+4*IF(circ_int,0,eq_c2/2)+2*PI()*(s_0+2*s_r+IF(circ_int,eq_c1/2,0)))/INDEX(lk_legs,3))-(((((((2*IF(circ_int,0,eq_c2/2))+(PI()*(s_0+2*s_r+IF(circ_int,eq_c1/2,0))/2))+2*IF(circ_int,0,eq_c1/2))+(PI()*(s_0+2*s_r+IF(circ_int,eq_c1/2,0))/2))+2*IF(circ_int,0,eq_c2/2))+(PI()*(s_0+2*s_r+IF(circ_int,eq_c1/2,0))/2))+2*IF(circ_int,0,eq_c1/2)))/(s_0+2*s_r+IF(circ_int,eq_c1/2,0)))))))))),NA())</f>
        <v/>
      </c>
      <c r="BR65">
        <f>IF(AND(AND(links_on,4&lt;=n_per),INDEX(lk_kind,4)=1,62&lt;INDEX(lk_legs,4)),g_ox+IF(((62+0.5)*(4*IF(circ_int,0,eq_c1/2)+4*IF(circ_int,0,eq_c2/2)+2*PI()*(s_0+3*s_r+IF(circ_int,eq_c1/2,0)))/INDEX(lk_legs,4))&lt;(2*IF(circ_int,0,eq_c2/2)),IF(circ_int,0,eq_c1/2)+(s_0+3*s_r+IF(circ_int,eq_c1/2,0)),IF(((62+0.5)*(4*IF(circ_int,0,eq_c1/2)+4*IF(circ_int,0,eq_c2/2)+2*PI()*(s_0+3*s_r+IF(circ_int,eq_c1/2,0)))/INDEX(lk_legs,4))&lt;((2*IF(circ_int,0,eq_c2/2))+(PI()*(s_0+3*s_r+IF(circ_int,eq_c1/2,0))/2)),IF(circ_int,0,eq_c1/2)+(s_0+3*s_r+IF(circ_int,eq_c1/2,0))*COS((((62+0.5)*(4*IF(circ_int,0,eq_c1/2)+4*IF(circ_int,0,eq_c2/2)+2*PI()*(s_0+3*s_r+IF(circ_int,eq_c1/2,0)))/INDEX(lk_legs,4))-(2*IF(circ_int,0,eq_c2/2)))/(s_0+3*s_r+IF(circ_int,eq_c1/2,0))),IF(((62+0.5)*(4*IF(circ_int,0,eq_c1/2)+4*IF(circ_int,0,eq_c2/2)+2*PI()*(s_0+3*s_r+IF(circ_int,eq_c1/2,0)))/INDEX(lk_legs,4))&lt;(((2*IF(circ_int,0,eq_c2/2))+(PI()*(s_0+3*s_r+IF(circ_int,eq_c1/2,0))/2))+2*IF(circ_int,0,eq_c1/2)),IF(circ_int,0,eq_c1/2)-(((62+0.5)*(4*IF(circ_int,0,eq_c1/2)+4*IF(circ_int,0,eq_c2/2)+2*PI()*(s_0+3*s_r+IF(circ_int,eq_c1/2,0)))/INDEX(lk_legs,4))-((2*IF(circ_int,0,eq_c2/2))+(PI()*(s_0+3*s_r+IF(circ_int,eq_c1/2,0))/2))),IF(((62+0.5)*(4*IF(circ_int,0,eq_c1/2)+4*IF(circ_int,0,eq_c2/2)+2*PI()*(s_0+3*s_r+IF(circ_int,eq_c1/2,0)))/INDEX(lk_legs,4))&lt;((((2*IF(circ_int,0,eq_c2/2))+(PI()*(s_0+3*s_r+IF(circ_int,eq_c1/2,0))/2))+2*IF(circ_int,0,eq_c1/2))+(PI()*(s_0+3*s_r+IF(circ_int,eq_c1/2,0))/2)),-IF(circ_int,0,eq_c1/2)+(s_0+3*s_r+IF(circ_int,eq_c1/2,0))*COS(PI()/2+(((62+0.5)*(4*IF(circ_int,0,eq_c1/2)+4*IF(circ_int,0,eq_c2/2)+2*PI()*(s_0+3*s_r+IF(circ_int,eq_c1/2,0)))/INDEX(lk_legs,4))-(((2*IF(circ_int,0,eq_c2/2))+(PI()*(s_0+3*s_r+IF(circ_int,eq_c1/2,0))/2))+2*IF(circ_int,0,eq_c1/2)))/(s_0+3*s_r+IF(circ_int,eq_c1/2,0))),IF(((62+0.5)*(4*IF(circ_int,0,eq_c1/2)+4*IF(circ_int,0,eq_c2/2)+2*PI()*(s_0+3*s_r+IF(circ_int,eq_c1/2,0)))/INDEX(lk_legs,4))&lt;(((((2*IF(circ_int,0,eq_c2/2))+(PI()*(s_0+3*s_r+IF(circ_int,eq_c1/2,0))/2))+2*IF(circ_int,0,eq_c1/2))+(PI()*(s_0+3*s_r+IF(circ_int,eq_c1/2,0))/2))+2*IF(circ_int,0,eq_c2/2)),-IF(circ_int,0,eq_c1/2)-(s_0+3*s_r+IF(circ_int,eq_c1/2,0)),IF(((62+0.5)*(4*IF(circ_int,0,eq_c1/2)+4*IF(circ_int,0,eq_c2/2)+2*PI()*(s_0+3*s_r+IF(circ_int,eq_c1/2,0)))/INDEX(lk_legs,4))&lt;((((((2*IF(circ_int,0,eq_c2/2))+(PI()*(s_0+3*s_r+IF(circ_int,eq_c1/2,0))/2))+2*IF(circ_int,0,eq_c1/2))+(PI()*(s_0+3*s_r+IF(circ_int,eq_c1/2,0))/2))+2*IF(circ_int,0,eq_c2/2))+(PI()*(s_0+3*s_r+IF(circ_int,eq_c1/2,0))/2)),-IF(circ_int,0,eq_c1/2)+(s_0+3*s_r+IF(circ_int,eq_c1/2,0))*COS(PI()+(((62+0.5)*(4*IF(circ_int,0,eq_c1/2)+4*IF(circ_int,0,eq_c2/2)+2*PI()*(s_0+3*s_r+IF(circ_int,eq_c1/2,0)))/INDEX(lk_legs,4))-(((((2*IF(circ_int,0,eq_c2/2))+(PI()*(s_0+3*s_r+IF(circ_int,eq_c1/2,0))/2))+2*IF(circ_int,0,eq_c1/2))+(PI()*(s_0+3*s_r+IF(circ_int,eq_c1/2,0))/2))+2*IF(circ_int,0,eq_c2/2)))/(s_0+3*s_r+IF(circ_int,eq_c1/2,0))),IF(((62+0.5)*(4*IF(circ_int,0,eq_c1/2)+4*IF(circ_int,0,eq_c2/2)+2*PI()*(s_0+3*s_r+IF(circ_int,eq_c1/2,0)))/INDEX(lk_legs,4))&lt;(((((((2*IF(circ_int,0,eq_c2/2))+(PI()*(s_0+3*s_r+IF(circ_int,eq_c1/2,0))/2))+2*IF(circ_int,0,eq_c1/2))+(PI()*(s_0+3*s_r+IF(circ_int,eq_c1/2,0))/2))+2*IF(circ_int,0,eq_c2/2))+(PI()*(s_0+3*s_r+IF(circ_int,eq_c1/2,0))/2))+2*IF(circ_int,0,eq_c1/2)),-IF(circ_int,0,eq_c1/2)+(((62+0.5)*(4*IF(circ_int,0,eq_c1/2)+4*IF(circ_int,0,eq_c2/2)+2*PI()*(s_0+3*s_r+IF(circ_int,eq_c1/2,0)))/INDEX(lk_legs,4))-((((((2*IF(circ_int,0,eq_c2/2))+(PI()*(s_0+3*s_r+IF(circ_int,eq_c1/2,0))/2))+2*IF(circ_int,0,eq_c1/2))+(PI()*(s_0+3*s_r+IF(circ_int,eq_c1/2,0))/2))+2*IF(circ_int,0,eq_c2/2))+(PI()*(s_0+3*s_r+IF(circ_int,eq_c1/2,0))/2))),IF(circ_int,0,eq_c1/2)+(s_0+3*s_r+IF(circ_int,eq_c1/2,0))*COS(3*PI()/2+(((62+0.5)*(4*IF(circ_int,0,eq_c1/2)+4*IF(circ_int,0,eq_c2/2)+2*PI()*(s_0+3*s_r+IF(circ_int,eq_c1/2,0)))/INDEX(lk_legs,4))-(((((((2*IF(circ_int,0,eq_c2/2))+(PI()*(s_0+3*s_r+IF(circ_int,eq_c1/2,0))/2))+2*IF(circ_int,0,eq_c1/2))+(PI()*(s_0+3*s_r+IF(circ_int,eq_c1/2,0))/2))+2*IF(circ_int,0,eq_c2/2))+(PI()*(s_0+3*s_r+IF(circ_int,eq_c1/2,0))/2))+2*IF(circ_int,0,eq_c1/2)))/(s_0+3*s_r+IF(circ_int,eq_c1/2,0)))))))))),NA())</f>
        <v/>
      </c>
      <c r="BS65">
        <f>IF(AND(AND(links_on,4&lt;=n_per),INDEX(lk_kind,4)=1,62&lt;INDEX(lk_legs,4)),g_oy+IF(((62+0.5)*(4*IF(circ_int,0,eq_c1/2)+4*IF(circ_int,0,eq_c2/2)+2*PI()*(s_0+3*s_r+IF(circ_int,eq_c1/2,0)))/INDEX(lk_legs,4))&lt;(2*IF(circ_int,0,eq_c2/2)),-IF(circ_int,0,eq_c2/2)+((62+0.5)*(4*IF(circ_int,0,eq_c1/2)+4*IF(circ_int,0,eq_c2/2)+2*PI()*(s_0+3*s_r+IF(circ_int,eq_c1/2,0)))/INDEX(lk_legs,4)),IF(((62+0.5)*(4*IF(circ_int,0,eq_c1/2)+4*IF(circ_int,0,eq_c2/2)+2*PI()*(s_0+3*s_r+IF(circ_int,eq_c1/2,0)))/INDEX(lk_legs,4))&lt;((2*IF(circ_int,0,eq_c2/2))+(PI()*(s_0+3*s_r+IF(circ_int,eq_c1/2,0))/2)),IF(circ_int,0,eq_c2/2)+(s_0+3*s_r+IF(circ_int,eq_c1/2,0))*SIN((((62+0.5)*(4*IF(circ_int,0,eq_c1/2)+4*IF(circ_int,0,eq_c2/2)+2*PI()*(s_0+3*s_r+IF(circ_int,eq_c1/2,0)))/INDEX(lk_legs,4))-(2*IF(circ_int,0,eq_c2/2)))/(s_0+3*s_r+IF(circ_int,eq_c1/2,0))),IF(((62+0.5)*(4*IF(circ_int,0,eq_c1/2)+4*IF(circ_int,0,eq_c2/2)+2*PI()*(s_0+3*s_r+IF(circ_int,eq_c1/2,0)))/INDEX(lk_legs,4))&lt;(((2*IF(circ_int,0,eq_c2/2))+(PI()*(s_0+3*s_r+IF(circ_int,eq_c1/2,0))/2))+2*IF(circ_int,0,eq_c1/2)),IF(circ_int,0,eq_c2/2)+(s_0+3*s_r+IF(circ_int,eq_c1/2,0)),IF(((62+0.5)*(4*IF(circ_int,0,eq_c1/2)+4*IF(circ_int,0,eq_c2/2)+2*PI()*(s_0+3*s_r+IF(circ_int,eq_c1/2,0)))/INDEX(lk_legs,4))&lt;((((2*IF(circ_int,0,eq_c2/2))+(PI()*(s_0+3*s_r+IF(circ_int,eq_c1/2,0))/2))+2*IF(circ_int,0,eq_c1/2))+(PI()*(s_0+3*s_r+IF(circ_int,eq_c1/2,0))/2)),IF(circ_int,0,eq_c2/2)+(s_0+3*s_r+IF(circ_int,eq_c1/2,0))*SIN(PI()/2+(((62+0.5)*(4*IF(circ_int,0,eq_c1/2)+4*IF(circ_int,0,eq_c2/2)+2*PI()*(s_0+3*s_r+IF(circ_int,eq_c1/2,0)))/INDEX(lk_legs,4))-(((2*IF(circ_int,0,eq_c2/2))+(PI()*(s_0+3*s_r+IF(circ_int,eq_c1/2,0))/2))+2*IF(circ_int,0,eq_c1/2)))/(s_0+3*s_r+IF(circ_int,eq_c1/2,0))),IF(((62+0.5)*(4*IF(circ_int,0,eq_c1/2)+4*IF(circ_int,0,eq_c2/2)+2*PI()*(s_0+3*s_r+IF(circ_int,eq_c1/2,0)))/INDEX(lk_legs,4))&lt;(((((2*IF(circ_int,0,eq_c2/2))+(PI()*(s_0+3*s_r+IF(circ_int,eq_c1/2,0))/2))+2*IF(circ_int,0,eq_c1/2))+(PI()*(s_0+3*s_r+IF(circ_int,eq_c1/2,0))/2))+2*IF(circ_int,0,eq_c2/2)),IF(circ_int,0,eq_c2/2)-(((62+0.5)*(4*IF(circ_int,0,eq_c1/2)+4*IF(circ_int,0,eq_c2/2)+2*PI()*(s_0+3*s_r+IF(circ_int,eq_c1/2,0)))/INDEX(lk_legs,4))-((((2*IF(circ_int,0,eq_c2/2))+(PI()*(s_0+3*s_r+IF(circ_int,eq_c1/2,0))/2))+2*IF(circ_int,0,eq_c1/2))+(PI()*(s_0+3*s_r+IF(circ_int,eq_c1/2,0))/2))),IF(((62+0.5)*(4*IF(circ_int,0,eq_c1/2)+4*IF(circ_int,0,eq_c2/2)+2*PI()*(s_0+3*s_r+IF(circ_int,eq_c1/2,0)))/INDEX(lk_legs,4))&lt;((((((2*IF(circ_int,0,eq_c2/2))+(PI()*(s_0+3*s_r+IF(circ_int,eq_c1/2,0))/2))+2*IF(circ_int,0,eq_c1/2))+(PI()*(s_0+3*s_r+IF(circ_int,eq_c1/2,0))/2))+2*IF(circ_int,0,eq_c2/2))+(PI()*(s_0+3*s_r+IF(circ_int,eq_c1/2,0))/2)),-IF(circ_int,0,eq_c2/2)+(s_0+3*s_r+IF(circ_int,eq_c1/2,0))*SIN(PI()+(((62+0.5)*(4*IF(circ_int,0,eq_c1/2)+4*IF(circ_int,0,eq_c2/2)+2*PI()*(s_0+3*s_r+IF(circ_int,eq_c1/2,0)))/INDEX(lk_legs,4))-(((((2*IF(circ_int,0,eq_c2/2))+(PI()*(s_0+3*s_r+IF(circ_int,eq_c1/2,0))/2))+2*IF(circ_int,0,eq_c1/2))+(PI()*(s_0+3*s_r+IF(circ_int,eq_c1/2,0))/2))+2*IF(circ_int,0,eq_c2/2)))/(s_0+3*s_r+IF(circ_int,eq_c1/2,0))),IF(((62+0.5)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(62+0.5)*(4*IF(circ_int,0,eq_c1/2)+4*IF(circ_int,0,eq_c2/2)+2*PI()*(s_0+3*s_r+IF(circ_int,eq_c1/2,0)))/INDEX(lk_legs,4))-(((((((2*IF(circ_int,0,eq_c2/2))+(PI()*(s_0+3*s_r+IF(circ_int,eq_c1/2,0))/2))+2*IF(circ_int,0,eq_c1/2))+(PI()*(s_0+3*s_r+IF(circ_int,eq_c1/2,0))/2))+2*IF(circ_int,0,eq_c2/2))+(PI()*(s_0+3*s_r+IF(circ_int,eq_c1/2,0))/2))+2*IF(circ_int,0,eq_c1/2)))/(s_0+3*s_r+IF(circ_int,eq_c1/2,0)))))))))),NA())</f>
        <v/>
      </c>
      <c r="BX65">
        <f>IF(AND(AND(links_on,5&lt;=n_per),INDEX(lk_kind,5)=1,62&lt;INDEX(lk_legs,5)),g_ox+IF(((62+0.5)*(4*IF(circ_int,0,eq_c1/2)+4*IF(circ_int,0,eq_c2/2)+2*PI()*(s_0+4*s_r+IF(circ_int,eq_c1/2,0)))/INDEX(lk_legs,5))&lt;(2*IF(circ_int,0,eq_c2/2)),IF(circ_int,0,eq_c1/2)+(s_0+4*s_r+IF(circ_int,eq_c1/2,0)),IF(((62+0.5)*(4*IF(circ_int,0,eq_c1/2)+4*IF(circ_int,0,eq_c2/2)+2*PI()*(s_0+4*s_r+IF(circ_int,eq_c1/2,0)))/INDEX(lk_legs,5))&lt;((2*IF(circ_int,0,eq_c2/2))+(PI()*(s_0+4*s_r+IF(circ_int,eq_c1/2,0))/2)),IF(circ_int,0,eq_c1/2)+(s_0+4*s_r+IF(circ_int,eq_c1/2,0))*COS((((62+0.5)*(4*IF(circ_int,0,eq_c1/2)+4*IF(circ_int,0,eq_c2/2)+2*PI()*(s_0+4*s_r+IF(circ_int,eq_c1/2,0)))/INDEX(lk_legs,5))-(2*IF(circ_int,0,eq_c2/2)))/(s_0+4*s_r+IF(circ_int,eq_c1/2,0))),IF(((62+0.5)*(4*IF(circ_int,0,eq_c1/2)+4*IF(circ_int,0,eq_c2/2)+2*PI()*(s_0+4*s_r+IF(circ_int,eq_c1/2,0)))/INDEX(lk_legs,5))&lt;(((2*IF(circ_int,0,eq_c2/2))+(PI()*(s_0+4*s_r+IF(circ_int,eq_c1/2,0))/2))+2*IF(circ_int,0,eq_c1/2)),IF(circ_int,0,eq_c1/2)-(((62+0.5)*(4*IF(circ_int,0,eq_c1/2)+4*IF(circ_int,0,eq_c2/2)+2*PI()*(s_0+4*s_r+IF(circ_int,eq_c1/2,0)))/INDEX(lk_legs,5))-((2*IF(circ_int,0,eq_c2/2))+(PI()*(s_0+4*s_r+IF(circ_int,eq_c1/2,0))/2))),IF(((62+0.5)*(4*IF(circ_int,0,eq_c1/2)+4*IF(circ_int,0,eq_c2/2)+2*PI()*(s_0+4*s_r+IF(circ_int,eq_c1/2,0)))/INDEX(lk_legs,5))&lt;((((2*IF(circ_int,0,eq_c2/2))+(PI()*(s_0+4*s_r+IF(circ_int,eq_c1/2,0))/2))+2*IF(circ_int,0,eq_c1/2))+(PI()*(s_0+4*s_r+IF(circ_int,eq_c1/2,0))/2)),-IF(circ_int,0,eq_c1/2)+(s_0+4*s_r+IF(circ_int,eq_c1/2,0))*COS(PI()/2+(((62+0.5)*(4*IF(circ_int,0,eq_c1/2)+4*IF(circ_int,0,eq_c2/2)+2*PI()*(s_0+4*s_r+IF(circ_int,eq_c1/2,0)))/INDEX(lk_legs,5))-(((2*IF(circ_int,0,eq_c2/2))+(PI()*(s_0+4*s_r+IF(circ_int,eq_c1/2,0))/2))+2*IF(circ_int,0,eq_c1/2)))/(s_0+4*s_r+IF(circ_int,eq_c1/2,0))),IF(((62+0.5)*(4*IF(circ_int,0,eq_c1/2)+4*IF(circ_int,0,eq_c2/2)+2*PI()*(s_0+4*s_r+IF(circ_int,eq_c1/2,0)))/INDEX(lk_legs,5))&lt;(((((2*IF(circ_int,0,eq_c2/2))+(PI()*(s_0+4*s_r+IF(circ_int,eq_c1/2,0))/2))+2*IF(circ_int,0,eq_c1/2))+(PI()*(s_0+4*s_r+IF(circ_int,eq_c1/2,0))/2))+2*IF(circ_int,0,eq_c2/2)),-IF(circ_int,0,eq_c1/2)-(s_0+4*s_r+IF(circ_int,eq_c1/2,0)),IF(((62+0.5)*(4*IF(circ_int,0,eq_c1/2)+4*IF(circ_int,0,eq_c2/2)+2*PI()*(s_0+4*s_r+IF(circ_int,eq_c1/2,0)))/INDEX(lk_legs,5))&lt;((((((2*IF(circ_int,0,eq_c2/2))+(PI()*(s_0+4*s_r+IF(circ_int,eq_c1/2,0))/2))+2*IF(circ_int,0,eq_c1/2))+(PI()*(s_0+4*s_r+IF(circ_int,eq_c1/2,0))/2))+2*IF(circ_int,0,eq_c2/2))+(PI()*(s_0+4*s_r+IF(circ_int,eq_c1/2,0))/2)),-IF(circ_int,0,eq_c1/2)+(s_0+4*s_r+IF(circ_int,eq_c1/2,0))*COS(PI()+(((62+0.5)*(4*IF(circ_int,0,eq_c1/2)+4*IF(circ_int,0,eq_c2/2)+2*PI()*(s_0+4*s_r+IF(circ_int,eq_c1/2,0)))/INDEX(lk_legs,5))-(((((2*IF(circ_int,0,eq_c2/2))+(PI()*(s_0+4*s_r+IF(circ_int,eq_c1/2,0))/2))+2*IF(circ_int,0,eq_c1/2))+(PI()*(s_0+4*s_r+IF(circ_int,eq_c1/2,0))/2))+2*IF(circ_int,0,eq_c2/2)))/(s_0+4*s_r+IF(circ_int,eq_c1/2,0))),IF(((62+0.5)*(4*IF(circ_int,0,eq_c1/2)+4*IF(circ_int,0,eq_c2/2)+2*PI()*(s_0+4*s_r+IF(circ_int,eq_c1/2,0)))/INDEX(lk_legs,5))&lt;(((((((2*IF(circ_int,0,eq_c2/2))+(PI()*(s_0+4*s_r+IF(circ_int,eq_c1/2,0))/2))+2*IF(circ_int,0,eq_c1/2))+(PI()*(s_0+4*s_r+IF(circ_int,eq_c1/2,0))/2))+2*IF(circ_int,0,eq_c2/2))+(PI()*(s_0+4*s_r+IF(circ_int,eq_c1/2,0))/2))+2*IF(circ_int,0,eq_c1/2)),-IF(circ_int,0,eq_c1/2)+(((62+0.5)*(4*IF(circ_int,0,eq_c1/2)+4*IF(circ_int,0,eq_c2/2)+2*PI()*(s_0+4*s_r+IF(circ_int,eq_c1/2,0)))/INDEX(lk_legs,5))-((((((2*IF(circ_int,0,eq_c2/2))+(PI()*(s_0+4*s_r+IF(circ_int,eq_c1/2,0))/2))+2*IF(circ_int,0,eq_c1/2))+(PI()*(s_0+4*s_r+IF(circ_int,eq_c1/2,0))/2))+2*IF(circ_int,0,eq_c2/2))+(PI()*(s_0+4*s_r+IF(circ_int,eq_c1/2,0))/2))),IF(circ_int,0,eq_c1/2)+(s_0+4*s_r+IF(circ_int,eq_c1/2,0))*COS(3*PI()/2+(((62+0.5)*(4*IF(circ_int,0,eq_c1/2)+4*IF(circ_int,0,eq_c2/2)+2*PI()*(s_0+4*s_r+IF(circ_int,eq_c1/2,0)))/INDEX(lk_legs,5))-(((((((2*IF(circ_int,0,eq_c2/2))+(PI()*(s_0+4*s_r+IF(circ_int,eq_c1/2,0))/2))+2*IF(circ_int,0,eq_c1/2))+(PI()*(s_0+4*s_r+IF(circ_int,eq_c1/2,0))/2))+2*IF(circ_int,0,eq_c2/2))+(PI()*(s_0+4*s_r+IF(circ_int,eq_c1/2,0))/2))+2*IF(circ_int,0,eq_c1/2)))/(s_0+4*s_r+IF(circ_int,eq_c1/2,0)))))))))),NA())</f>
        <v/>
      </c>
      <c r="BY65">
        <f>IF(AND(AND(links_on,5&lt;=n_per),INDEX(lk_kind,5)=1,62&lt;INDEX(lk_legs,5)),g_oy+IF(((62+0.5)*(4*IF(circ_int,0,eq_c1/2)+4*IF(circ_int,0,eq_c2/2)+2*PI()*(s_0+4*s_r+IF(circ_int,eq_c1/2,0)))/INDEX(lk_legs,5))&lt;(2*IF(circ_int,0,eq_c2/2)),-IF(circ_int,0,eq_c2/2)+((62+0.5)*(4*IF(circ_int,0,eq_c1/2)+4*IF(circ_int,0,eq_c2/2)+2*PI()*(s_0+4*s_r+IF(circ_int,eq_c1/2,0)))/INDEX(lk_legs,5)),IF(((62+0.5)*(4*IF(circ_int,0,eq_c1/2)+4*IF(circ_int,0,eq_c2/2)+2*PI()*(s_0+4*s_r+IF(circ_int,eq_c1/2,0)))/INDEX(lk_legs,5))&lt;((2*IF(circ_int,0,eq_c2/2))+(PI()*(s_0+4*s_r+IF(circ_int,eq_c1/2,0))/2)),IF(circ_int,0,eq_c2/2)+(s_0+4*s_r+IF(circ_int,eq_c1/2,0))*SIN((((62+0.5)*(4*IF(circ_int,0,eq_c1/2)+4*IF(circ_int,0,eq_c2/2)+2*PI()*(s_0+4*s_r+IF(circ_int,eq_c1/2,0)))/INDEX(lk_legs,5))-(2*IF(circ_int,0,eq_c2/2)))/(s_0+4*s_r+IF(circ_int,eq_c1/2,0))),IF(((62+0.5)*(4*IF(circ_int,0,eq_c1/2)+4*IF(circ_int,0,eq_c2/2)+2*PI()*(s_0+4*s_r+IF(circ_int,eq_c1/2,0)))/INDEX(lk_legs,5))&lt;(((2*IF(circ_int,0,eq_c2/2))+(PI()*(s_0+4*s_r+IF(circ_int,eq_c1/2,0))/2))+2*IF(circ_int,0,eq_c1/2)),IF(circ_int,0,eq_c2/2)+(s_0+4*s_r+IF(circ_int,eq_c1/2,0)),IF(((62+0.5)*(4*IF(circ_int,0,eq_c1/2)+4*IF(circ_int,0,eq_c2/2)+2*PI()*(s_0+4*s_r+IF(circ_int,eq_c1/2,0)))/INDEX(lk_legs,5))&lt;((((2*IF(circ_int,0,eq_c2/2))+(PI()*(s_0+4*s_r+IF(circ_int,eq_c1/2,0))/2))+2*IF(circ_int,0,eq_c1/2))+(PI()*(s_0+4*s_r+IF(circ_int,eq_c1/2,0))/2)),IF(circ_int,0,eq_c2/2)+(s_0+4*s_r+IF(circ_int,eq_c1/2,0))*SIN(PI()/2+(((62+0.5)*(4*IF(circ_int,0,eq_c1/2)+4*IF(circ_int,0,eq_c2/2)+2*PI()*(s_0+4*s_r+IF(circ_int,eq_c1/2,0)))/INDEX(lk_legs,5))-(((2*IF(circ_int,0,eq_c2/2))+(PI()*(s_0+4*s_r+IF(circ_int,eq_c1/2,0))/2))+2*IF(circ_int,0,eq_c1/2)))/(s_0+4*s_r+IF(circ_int,eq_c1/2,0))),IF(((62+0.5)*(4*IF(circ_int,0,eq_c1/2)+4*IF(circ_int,0,eq_c2/2)+2*PI()*(s_0+4*s_r+IF(circ_int,eq_c1/2,0)))/INDEX(lk_legs,5))&lt;(((((2*IF(circ_int,0,eq_c2/2))+(PI()*(s_0+4*s_r+IF(circ_int,eq_c1/2,0))/2))+2*IF(circ_int,0,eq_c1/2))+(PI()*(s_0+4*s_r+IF(circ_int,eq_c1/2,0))/2))+2*IF(circ_int,0,eq_c2/2)),IF(circ_int,0,eq_c2/2)-(((62+0.5)*(4*IF(circ_int,0,eq_c1/2)+4*IF(circ_int,0,eq_c2/2)+2*PI()*(s_0+4*s_r+IF(circ_int,eq_c1/2,0)))/INDEX(lk_legs,5))-((((2*IF(circ_int,0,eq_c2/2))+(PI()*(s_0+4*s_r+IF(circ_int,eq_c1/2,0))/2))+2*IF(circ_int,0,eq_c1/2))+(PI()*(s_0+4*s_r+IF(circ_int,eq_c1/2,0))/2))),IF(((62+0.5)*(4*IF(circ_int,0,eq_c1/2)+4*IF(circ_int,0,eq_c2/2)+2*PI()*(s_0+4*s_r+IF(circ_int,eq_c1/2,0)))/INDEX(lk_legs,5))&lt;((((((2*IF(circ_int,0,eq_c2/2))+(PI()*(s_0+4*s_r+IF(circ_int,eq_c1/2,0))/2))+2*IF(circ_int,0,eq_c1/2))+(PI()*(s_0+4*s_r+IF(circ_int,eq_c1/2,0))/2))+2*IF(circ_int,0,eq_c2/2))+(PI()*(s_0+4*s_r+IF(circ_int,eq_c1/2,0))/2)),-IF(circ_int,0,eq_c2/2)+(s_0+4*s_r+IF(circ_int,eq_c1/2,0))*SIN(PI()+(((62+0.5)*(4*IF(circ_int,0,eq_c1/2)+4*IF(circ_int,0,eq_c2/2)+2*PI()*(s_0+4*s_r+IF(circ_int,eq_c1/2,0)))/INDEX(lk_legs,5))-(((((2*IF(circ_int,0,eq_c2/2))+(PI()*(s_0+4*s_r+IF(circ_int,eq_c1/2,0))/2))+2*IF(circ_int,0,eq_c1/2))+(PI()*(s_0+4*s_r+IF(circ_int,eq_c1/2,0))/2))+2*IF(circ_int,0,eq_c2/2)))/(s_0+4*s_r+IF(circ_int,eq_c1/2,0))),IF(((62+0.5)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(62+0.5)*(4*IF(circ_int,0,eq_c1/2)+4*IF(circ_int,0,eq_c2/2)+2*PI()*(s_0+4*s_r+IF(circ_int,eq_c1/2,0)))/INDEX(lk_legs,5))-(((((((2*IF(circ_int,0,eq_c2/2))+(PI()*(s_0+4*s_r+IF(circ_int,eq_c1/2,0))/2))+2*IF(circ_int,0,eq_c1/2))+(PI()*(s_0+4*s_r+IF(circ_int,eq_c1/2,0))/2))+2*IF(circ_int,0,eq_c2/2))+(PI()*(s_0+4*s_r+IF(circ_int,eq_c1/2,0))/2))+2*IF(circ_int,0,eq_c1/2)))/(s_0+4*s_r+IF(circ_int,eq_c1/2,0)))))))))),NA())</f>
        <v/>
      </c>
      <c r="CD65">
        <f>IF(AND(AND(links_on,6&lt;=n_per),INDEX(lk_kind,6)=1,62&lt;INDEX(lk_legs,6)),g_ox+IF(((62+0.5)*(4*IF(circ_int,0,eq_c1/2)+4*IF(circ_int,0,eq_c2/2)+2*PI()*(s_0+5*s_r+IF(circ_int,eq_c1/2,0)))/INDEX(lk_legs,6))&lt;(2*IF(circ_int,0,eq_c2/2)),IF(circ_int,0,eq_c1/2)+(s_0+5*s_r+IF(circ_int,eq_c1/2,0)),IF(((62+0.5)*(4*IF(circ_int,0,eq_c1/2)+4*IF(circ_int,0,eq_c2/2)+2*PI()*(s_0+5*s_r+IF(circ_int,eq_c1/2,0)))/INDEX(lk_legs,6))&lt;((2*IF(circ_int,0,eq_c2/2))+(PI()*(s_0+5*s_r+IF(circ_int,eq_c1/2,0))/2)),IF(circ_int,0,eq_c1/2)+(s_0+5*s_r+IF(circ_int,eq_c1/2,0))*COS((((62+0.5)*(4*IF(circ_int,0,eq_c1/2)+4*IF(circ_int,0,eq_c2/2)+2*PI()*(s_0+5*s_r+IF(circ_int,eq_c1/2,0)))/INDEX(lk_legs,6))-(2*IF(circ_int,0,eq_c2/2)))/(s_0+5*s_r+IF(circ_int,eq_c1/2,0))),IF(((62+0.5)*(4*IF(circ_int,0,eq_c1/2)+4*IF(circ_int,0,eq_c2/2)+2*PI()*(s_0+5*s_r+IF(circ_int,eq_c1/2,0)))/INDEX(lk_legs,6))&lt;(((2*IF(circ_int,0,eq_c2/2))+(PI()*(s_0+5*s_r+IF(circ_int,eq_c1/2,0))/2))+2*IF(circ_int,0,eq_c1/2)),IF(circ_int,0,eq_c1/2)-(((62+0.5)*(4*IF(circ_int,0,eq_c1/2)+4*IF(circ_int,0,eq_c2/2)+2*PI()*(s_0+5*s_r+IF(circ_int,eq_c1/2,0)))/INDEX(lk_legs,6))-((2*IF(circ_int,0,eq_c2/2))+(PI()*(s_0+5*s_r+IF(circ_int,eq_c1/2,0))/2))),IF(((62+0.5)*(4*IF(circ_int,0,eq_c1/2)+4*IF(circ_int,0,eq_c2/2)+2*PI()*(s_0+5*s_r+IF(circ_int,eq_c1/2,0)))/INDEX(lk_legs,6))&lt;((((2*IF(circ_int,0,eq_c2/2))+(PI()*(s_0+5*s_r+IF(circ_int,eq_c1/2,0))/2))+2*IF(circ_int,0,eq_c1/2))+(PI()*(s_0+5*s_r+IF(circ_int,eq_c1/2,0))/2)),-IF(circ_int,0,eq_c1/2)+(s_0+5*s_r+IF(circ_int,eq_c1/2,0))*COS(PI()/2+(((62+0.5)*(4*IF(circ_int,0,eq_c1/2)+4*IF(circ_int,0,eq_c2/2)+2*PI()*(s_0+5*s_r+IF(circ_int,eq_c1/2,0)))/INDEX(lk_legs,6))-(((2*IF(circ_int,0,eq_c2/2))+(PI()*(s_0+5*s_r+IF(circ_int,eq_c1/2,0))/2))+2*IF(circ_int,0,eq_c1/2)))/(s_0+5*s_r+IF(circ_int,eq_c1/2,0))),IF(((62+0.5)*(4*IF(circ_int,0,eq_c1/2)+4*IF(circ_int,0,eq_c2/2)+2*PI()*(s_0+5*s_r+IF(circ_int,eq_c1/2,0)))/INDEX(lk_legs,6))&lt;(((((2*IF(circ_int,0,eq_c2/2))+(PI()*(s_0+5*s_r+IF(circ_int,eq_c1/2,0))/2))+2*IF(circ_int,0,eq_c1/2))+(PI()*(s_0+5*s_r+IF(circ_int,eq_c1/2,0))/2))+2*IF(circ_int,0,eq_c2/2)),-IF(circ_int,0,eq_c1/2)-(s_0+5*s_r+IF(circ_int,eq_c1/2,0)),IF(((62+0.5)*(4*IF(circ_int,0,eq_c1/2)+4*IF(circ_int,0,eq_c2/2)+2*PI()*(s_0+5*s_r+IF(circ_int,eq_c1/2,0)))/INDEX(lk_legs,6))&lt;((((((2*IF(circ_int,0,eq_c2/2))+(PI()*(s_0+5*s_r+IF(circ_int,eq_c1/2,0))/2))+2*IF(circ_int,0,eq_c1/2))+(PI()*(s_0+5*s_r+IF(circ_int,eq_c1/2,0))/2))+2*IF(circ_int,0,eq_c2/2))+(PI()*(s_0+5*s_r+IF(circ_int,eq_c1/2,0))/2)),-IF(circ_int,0,eq_c1/2)+(s_0+5*s_r+IF(circ_int,eq_c1/2,0))*COS(PI()+(((62+0.5)*(4*IF(circ_int,0,eq_c1/2)+4*IF(circ_int,0,eq_c2/2)+2*PI()*(s_0+5*s_r+IF(circ_int,eq_c1/2,0)))/INDEX(lk_legs,6))-(((((2*IF(circ_int,0,eq_c2/2))+(PI()*(s_0+5*s_r+IF(circ_int,eq_c1/2,0))/2))+2*IF(circ_int,0,eq_c1/2))+(PI()*(s_0+5*s_r+IF(circ_int,eq_c1/2,0))/2))+2*IF(circ_int,0,eq_c2/2)))/(s_0+5*s_r+IF(circ_int,eq_c1/2,0))),IF(((62+0.5)*(4*IF(circ_int,0,eq_c1/2)+4*IF(circ_int,0,eq_c2/2)+2*PI()*(s_0+5*s_r+IF(circ_int,eq_c1/2,0)))/INDEX(lk_legs,6))&lt;(((((((2*IF(circ_int,0,eq_c2/2))+(PI()*(s_0+5*s_r+IF(circ_int,eq_c1/2,0))/2))+2*IF(circ_int,0,eq_c1/2))+(PI()*(s_0+5*s_r+IF(circ_int,eq_c1/2,0))/2))+2*IF(circ_int,0,eq_c2/2))+(PI()*(s_0+5*s_r+IF(circ_int,eq_c1/2,0))/2))+2*IF(circ_int,0,eq_c1/2)),-IF(circ_int,0,eq_c1/2)+(((62+0.5)*(4*IF(circ_int,0,eq_c1/2)+4*IF(circ_int,0,eq_c2/2)+2*PI()*(s_0+5*s_r+IF(circ_int,eq_c1/2,0)))/INDEX(lk_legs,6))-((((((2*IF(circ_int,0,eq_c2/2))+(PI()*(s_0+5*s_r+IF(circ_int,eq_c1/2,0))/2))+2*IF(circ_int,0,eq_c1/2))+(PI()*(s_0+5*s_r+IF(circ_int,eq_c1/2,0))/2))+2*IF(circ_int,0,eq_c2/2))+(PI()*(s_0+5*s_r+IF(circ_int,eq_c1/2,0))/2))),IF(circ_int,0,eq_c1/2)+(s_0+5*s_r+IF(circ_int,eq_c1/2,0))*COS(3*PI()/2+(((62+0.5)*(4*IF(circ_int,0,eq_c1/2)+4*IF(circ_int,0,eq_c2/2)+2*PI()*(s_0+5*s_r+IF(circ_int,eq_c1/2,0)))/INDEX(lk_legs,6))-(((((((2*IF(circ_int,0,eq_c2/2))+(PI()*(s_0+5*s_r+IF(circ_int,eq_c1/2,0))/2))+2*IF(circ_int,0,eq_c1/2))+(PI()*(s_0+5*s_r+IF(circ_int,eq_c1/2,0))/2))+2*IF(circ_int,0,eq_c2/2))+(PI()*(s_0+5*s_r+IF(circ_int,eq_c1/2,0))/2))+2*IF(circ_int,0,eq_c1/2)))/(s_0+5*s_r+IF(circ_int,eq_c1/2,0)))))))))),NA())</f>
        <v/>
      </c>
      <c r="CE65">
        <f>IF(AND(AND(links_on,6&lt;=n_per),INDEX(lk_kind,6)=1,62&lt;INDEX(lk_legs,6)),g_oy+IF(((62+0.5)*(4*IF(circ_int,0,eq_c1/2)+4*IF(circ_int,0,eq_c2/2)+2*PI()*(s_0+5*s_r+IF(circ_int,eq_c1/2,0)))/INDEX(lk_legs,6))&lt;(2*IF(circ_int,0,eq_c2/2)),-IF(circ_int,0,eq_c2/2)+((62+0.5)*(4*IF(circ_int,0,eq_c1/2)+4*IF(circ_int,0,eq_c2/2)+2*PI()*(s_0+5*s_r+IF(circ_int,eq_c1/2,0)))/INDEX(lk_legs,6)),IF(((62+0.5)*(4*IF(circ_int,0,eq_c1/2)+4*IF(circ_int,0,eq_c2/2)+2*PI()*(s_0+5*s_r+IF(circ_int,eq_c1/2,0)))/INDEX(lk_legs,6))&lt;((2*IF(circ_int,0,eq_c2/2))+(PI()*(s_0+5*s_r+IF(circ_int,eq_c1/2,0))/2)),IF(circ_int,0,eq_c2/2)+(s_0+5*s_r+IF(circ_int,eq_c1/2,0))*SIN((((62+0.5)*(4*IF(circ_int,0,eq_c1/2)+4*IF(circ_int,0,eq_c2/2)+2*PI()*(s_0+5*s_r+IF(circ_int,eq_c1/2,0)))/INDEX(lk_legs,6))-(2*IF(circ_int,0,eq_c2/2)))/(s_0+5*s_r+IF(circ_int,eq_c1/2,0))),IF(((62+0.5)*(4*IF(circ_int,0,eq_c1/2)+4*IF(circ_int,0,eq_c2/2)+2*PI()*(s_0+5*s_r+IF(circ_int,eq_c1/2,0)))/INDEX(lk_legs,6))&lt;(((2*IF(circ_int,0,eq_c2/2))+(PI()*(s_0+5*s_r+IF(circ_int,eq_c1/2,0))/2))+2*IF(circ_int,0,eq_c1/2)),IF(circ_int,0,eq_c2/2)+(s_0+5*s_r+IF(circ_int,eq_c1/2,0)),IF(((62+0.5)*(4*IF(circ_int,0,eq_c1/2)+4*IF(circ_int,0,eq_c2/2)+2*PI()*(s_0+5*s_r+IF(circ_int,eq_c1/2,0)))/INDEX(lk_legs,6))&lt;((((2*IF(circ_int,0,eq_c2/2))+(PI()*(s_0+5*s_r+IF(circ_int,eq_c1/2,0))/2))+2*IF(circ_int,0,eq_c1/2))+(PI()*(s_0+5*s_r+IF(circ_int,eq_c1/2,0))/2)),IF(circ_int,0,eq_c2/2)+(s_0+5*s_r+IF(circ_int,eq_c1/2,0))*SIN(PI()/2+(((62+0.5)*(4*IF(circ_int,0,eq_c1/2)+4*IF(circ_int,0,eq_c2/2)+2*PI()*(s_0+5*s_r+IF(circ_int,eq_c1/2,0)))/INDEX(lk_legs,6))-(((2*IF(circ_int,0,eq_c2/2))+(PI()*(s_0+5*s_r+IF(circ_int,eq_c1/2,0))/2))+2*IF(circ_int,0,eq_c1/2)))/(s_0+5*s_r+IF(circ_int,eq_c1/2,0))),IF(((62+0.5)*(4*IF(circ_int,0,eq_c1/2)+4*IF(circ_int,0,eq_c2/2)+2*PI()*(s_0+5*s_r+IF(circ_int,eq_c1/2,0)))/INDEX(lk_legs,6))&lt;(((((2*IF(circ_int,0,eq_c2/2))+(PI()*(s_0+5*s_r+IF(circ_int,eq_c1/2,0))/2))+2*IF(circ_int,0,eq_c1/2))+(PI()*(s_0+5*s_r+IF(circ_int,eq_c1/2,0))/2))+2*IF(circ_int,0,eq_c2/2)),IF(circ_int,0,eq_c2/2)-(((62+0.5)*(4*IF(circ_int,0,eq_c1/2)+4*IF(circ_int,0,eq_c2/2)+2*PI()*(s_0+5*s_r+IF(circ_int,eq_c1/2,0)))/INDEX(lk_legs,6))-((((2*IF(circ_int,0,eq_c2/2))+(PI()*(s_0+5*s_r+IF(circ_int,eq_c1/2,0))/2))+2*IF(circ_int,0,eq_c1/2))+(PI()*(s_0+5*s_r+IF(circ_int,eq_c1/2,0))/2))),IF(((62+0.5)*(4*IF(circ_int,0,eq_c1/2)+4*IF(circ_int,0,eq_c2/2)+2*PI()*(s_0+5*s_r+IF(circ_int,eq_c1/2,0)))/INDEX(lk_legs,6))&lt;((((((2*IF(circ_int,0,eq_c2/2))+(PI()*(s_0+5*s_r+IF(circ_int,eq_c1/2,0))/2))+2*IF(circ_int,0,eq_c1/2))+(PI()*(s_0+5*s_r+IF(circ_int,eq_c1/2,0))/2))+2*IF(circ_int,0,eq_c2/2))+(PI()*(s_0+5*s_r+IF(circ_int,eq_c1/2,0))/2)),-IF(circ_int,0,eq_c2/2)+(s_0+5*s_r+IF(circ_int,eq_c1/2,0))*SIN(PI()+(((62+0.5)*(4*IF(circ_int,0,eq_c1/2)+4*IF(circ_int,0,eq_c2/2)+2*PI()*(s_0+5*s_r+IF(circ_int,eq_c1/2,0)))/INDEX(lk_legs,6))-(((((2*IF(circ_int,0,eq_c2/2))+(PI()*(s_0+5*s_r+IF(circ_int,eq_c1/2,0))/2))+2*IF(circ_int,0,eq_c1/2))+(PI()*(s_0+5*s_r+IF(circ_int,eq_c1/2,0))/2))+2*IF(circ_int,0,eq_c2/2)))/(s_0+5*s_r+IF(circ_int,eq_c1/2,0))),IF(((62+0.5)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(62+0.5)*(4*IF(circ_int,0,eq_c1/2)+4*IF(circ_int,0,eq_c2/2)+2*PI()*(s_0+5*s_r+IF(circ_int,eq_c1/2,0)))/INDEX(lk_legs,6))-(((((((2*IF(circ_int,0,eq_c2/2))+(PI()*(s_0+5*s_r+IF(circ_int,eq_c1/2,0))/2))+2*IF(circ_int,0,eq_c1/2))+(PI()*(s_0+5*s_r+IF(circ_int,eq_c1/2,0))/2))+2*IF(circ_int,0,eq_c2/2))+(PI()*(s_0+5*s_r+IF(circ_int,eq_c1/2,0))/2))+2*IF(circ_int,0,eq_c1/2)))/(s_0+5*s_r+IF(circ_int,eq_c1/2,0)))))))))),NA())</f>
        <v/>
      </c>
      <c r="CJ65">
        <f>IF(AND(AND(links_on,7&lt;=n_per),INDEX(lk_kind,7)=1,62&lt;INDEX(lk_legs,7)),g_ox+IF(((62+0.5)*(4*IF(circ_int,0,eq_c1/2)+4*IF(circ_int,0,eq_c2/2)+2*PI()*(s_0+6*s_r+IF(circ_int,eq_c1/2,0)))/INDEX(lk_legs,7))&lt;(2*IF(circ_int,0,eq_c2/2)),IF(circ_int,0,eq_c1/2)+(s_0+6*s_r+IF(circ_int,eq_c1/2,0)),IF(((62+0.5)*(4*IF(circ_int,0,eq_c1/2)+4*IF(circ_int,0,eq_c2/2)+2*PI()*(s_0+6*s_r+IF(circ_int,eq_c1/2,0)))/INDEX(lk_legs,7))&lt;((2*IF(circ_int,0,eq_c2/2))+(PI()*(s_0+6*s_r+IF(circ_int,eq_c1/2,0))/2)),IF(circ_int,0,eq_c1/2)+(s_0+6*s_r+IF(circ_int,eq_c1/2,0))*COS((((62+0.5)*(4*IF(circ_int,0,eq_c1/2)+4*IF(circ_int,0,eq_c2/2)+2*PI()*(s_0+6*s_r+IF(circ_int,eq_c1/2,0)))/INDEX(lk_legs,7))-(2*IF(circ_int,0,eq_c2/2)))/(s_0+6*s_r+IF(circ_int,eq_c1/2,0))),IF(((62+0.5)*(4*IF(circ_int,0,eq_c1/2)+4*IF(circ_int,0,eq_c2/2)+2*PI()*(s_0+6*s_r+IF(circ_int,eq_c1/2,0)))/INDEX(lk_legs,7))&lt;(((2*IF(circ_int,0,eq_c2/2))+(PI()*(s_0+6*s_r+IF(circ_int,eq_c1/2,0))/2))+2*IF(circ_int,0,eq_c1/2)),IF(circ_int,0,eq_c1/2)-(((62+0.5)*(4*IF(circ_int,0,eq_c1/2)+4*IF(circ_int,0,eq_c2/2)+2*PI()*(s_0+6*s_r+IF(circ_int,eq_c1/2,0)))/INDEX(lk_legs,7))-((2*IF(circ_int,0,eq_c2/2))+(PI()*(s_0+6*s_r+IF(circ_int,eq_c1/2,0))/2))),IF(((62+0.5)*(4*IF(circ_int,0,eq_c1/2)+4*IF(circ_int,0,eq_c2/2)+2*PI()*(s_0+6*s_r+IF(circ_int,eq_c1/2,0)))/INDEX(lk_legs,7))&lt;((((2*IF(circ_int,0,eq_c2/2))+(PI()*(s_0+6*s_r+IF(circ_int,eq_c1/2,0))/2))+2*IF(circ_int,0,eq_c1/2))+(PI()*(s_0+6*s_r+IF(circ_int,eq_c1/2,0))/2)),-IF(circ_int,0,eq_c1/2)+(s_0+6*s_r+IF(circ_int,eq_c1/2,0))*COS(PI()/2+(((62+0.5)*(4*IF(circ_int,0,eq_c1/2)+4*IF(circ_int,0,eq_c2/2)+2*PI()*(s_0+6*s_r+IF(circ_int,eq_c1/2,0)))/INDEX(lk_legs,7))-(((2*IF(circ_int,0,eq_c2/2))+(PI()*(s_0+6*s_r+IF(circ_int,eq_c1/2,0))/2))+2*IF(circ_int,0,eq_c1/2)))/(s_0+6*s_r+IF(circ_int,eq_c1/2,0))),IF(((62+0.5)*(4*IF(circ_int,0,eq_c1/2)+4*IF(circ_int,0,eq_c2/2)+2*PI()*(s_0+6*s_r+IF(circ_int,eq_c1/2,0)))/INDEX(lk_legs,7))&lt;(((((2*IF(circ_int,0,eq_c2/2))+(PI()*(s_0+6*s_r+IF(circ_int,eq_c1/2,0))/2))+2*IF(circ_int,0,eq_c1/2))+(PI()*(s_0+6*s_r+IF(circ_int,eq_c1/2,0))/2))+2*IF(circ_int,0,eq_c2/2)),-IF(circ_int,0,eq_c1/2)-(s_0+6*s_r+IF(circ_int,eq_c1/2,0)),IF(((62+0.5)*(4*IF(circ_int,0,eq_c1/2)+4*IF(circ_int,0,eq_c2/2)+2*PI()*(s_0+6*s_r+IF(circ_int,eq_c1/2,0)))/INDEX(lk_legs,7))&lt;((((((2*IF(circ_int,0,eq_c2/2))+(PI()*(s_0+6*s_r+IF(circ_int,eq_c1/2,0))/2))+2*IF(circ_int,0,eq_c1/2))+(PI()*(s_0+6*s_r+IF(circ_int,eq_c1/2,0))/2))+2*IF(circ_int,0,eq_c2/2))+(PI()*(s_0+6*s_r+IF(circ_int,eq_c1/2,0))/2)),-IF(circ_int,0,eq_c1/2)+(s_0+6*s_r+IF(circ_int,eq_c1/2,0))*COS(PI()+(((62+0.5)*(4*IF(circ_int,0,eq_c1/2)+4*IF(circ_int,0,eq_c2/2)+2*PI()*(s_0+6*s_r+IF(circ_int,eq_c1/2,0)))/INDEX(lk_legs,7))-(((((2*IF(circ_int,0,eq_c2/2))+(PI()*(s_0+6*s_r+IF(circ_int,eq_c1/2,0))/2))+2*IF(circ_int,0,eq_c1/2))+(PI()*(s_0+6*s_r+IF(circ_int,eq_c1/2,0))/2))+2*IF(circ_int,0,eq_c2/2)))/(s_0+6*s_r+IF(circ_int,eq_c1/2,0))),IF(((62+0.5)*(4*IF(circ_int,0,eq_c1/2)+4*IF(circ_int,0,eq_c2/2)+2*PI()*(s_0+6*s_r+IF(circ_int,eq_c1/2,0)))/INDEX(lk_legs,7))&lt;(((((((2*IF(circ_int,0,eq_c2/2))+(PI()*(s_0+6*s_r+IF(circ_int,eq_c1/2,0))/2))+2*IF(circ_int,0,eq_c1/2))+(PI()*(s_0+6*s_r+IF(circ_int,eq_c1/2,0))/2))+2*IF(circ_int,0,eq_c2/2))+(PI()*(s_0+6*s_r+IF(circ_int,eq_c1/2,0))/2))+2*IF(circ_int,0,eq_c1/2)),-IF(circ_int,0,eq_c1/2)+(((62+0.5)*(4*IF(circ_int,0,eq_c1/2)+4*IF(circ_int,0,eq_c2/2)+2*PI()*(s_0+6*s_r+IF(circ_int,eq_c1/2,0)))/INDEX(lk_legs,7))-((((((2*IF(circ_int,0,eq_c2/2))+(PI()*(s_0+6*s_r+IF(circ_int,eq_c1/2,0))/2))+2*IF(circ_int,0,eq_c1/2))+(PI()*(s_0+6*s_r+IF(circ_int,eq_c1/2,0))/2))+2*IF(circ_int,0,eq_c2/2))+(PI()*(s_0+6*s_r+IF(circ_int,eq_c1/2,0))/2))),IF(circ_int,0,eq_c1/2)+(s_0+6*s_r+IF(circ_int,eq_c1/2,0))*COS(3*PI()/2+(((62+0.5)*(4*IF(circ_int,0,eq_c1/2)+4*IF(circ_int,0,eq_c2/2)+2*PI()*(s_0+6*s_r+IF(circ_int,eq_c1/2,0)))/INDEX(lk_legs,7))-(((((((2*IF(circ_int,0,eq_c2/2))+(PI()*(s_0+6*s_r+IF(circ_int,eq_c1/2,0))/2))+2*IF(circ_int,0,eq_c1/2))+(PI()*(s_0+6*s_r+IF(circ_int,eq_c1/2,0))/2))+2*IF(circ_int,0,eq_c2/2))+(PI()*(s_0+6*s_r+IF(circ_int,eq_c1/2,0))/2))+2*IF(circ_int,0,eq_c1/2)))/(s_0+6*s_r+IF(circ_int,eq_c1/2,0)))))))))),NA())</f>
        <v/>
      </c>
      <c r="CK65">
        <f>IF(AND(AND(links_on,7&lt;=n_per),INDEX(lk_kind,7)=1,62&lt;INDEX(lk_legs,7)),g_oy+IF(((62+0.5)*(4*IF(circ_int,0,eq_c1/2)+4*IF(circ_int,0,eq_c2/2)+2*PI()*(s_0+6*s_r+IF(circ_int,eq_c1/2,0)))/INDEX(lk_legs,7))&lt;(2*IF(circ_int,0,eq_c2/2)),-IF(circ_int,0,eq_c2/2)+((62+0.5)*(4*IF(circ_int,0,eq_c1/2)+4*IF(circ_int,0,eq_c2/2)+2*PI()*(s_0+6*s_r+IF(circ_int,eq_c1/2,0)))/INDEX(lk_legs,7)),IF(((62+0.5)*(4*IF(circ_int,0,eq_c1/2)+4*IF(circ_int,0,eq_c2/2)+2*PI()*(s_0+6*s_r+IF(circ_int,eq_c1/2,0)))/INDEX(lk_legs,7))&lt;((2*IF(circ_int,0,eq_c2/2))+(PI()*(s_0+6*s_r+IF(circ_int,eq_c1/2,0))/2)),IF(circ_int,0,eq_c2/2)+(s_0+6*s_r+IF(circ_int,eq_c1/2,0))*SIN((((62+0.5)*(4*IF(circ_int,0,eq_c1/2)+4*IF(circ_int,0,eq_c2/2)+2*PI()*(s_0+6*s_r+IF(circ_int,eq_c1/2,0)))/INDEX(lk_legs,7))-(2*IF(circ_int,0,eq_c2/2)))/(s_0+6*s_r+IF(circ_int,eq_c1/2,0))),IF(((62+0.5)*(4*IF(circ_int,0,eq_c1/2)+4*IF(circ_int,0,eq_c2/2)+2*PI()*(s_0+6*s_r+IF(circ_int,eq_c1/2,0)))/INDEX(lk_legs,7))&lt;(((2*IF(circ_int,0,eq_c2/2))+(PI()*(s_0+6*s_r+IF(circ_int,eq_c1/2,0))/2))+2*IF(circ_int,0,eq_c1/2)),IF(circ_int,0,eq_c2/2)+(s_0+6*s_r+IF(circ_int,eq_c1/2,0)),IF(((62+0.5)*(4*IF(circ_int,0,eq_c1/2)+4*IF(circ_int,0,eq_c2/2)+2*PI()*(s_0+6*s_r+IF(circ_int,eq_c1/2,0)))/INDEX(lk_legs,7))&lt;((((2*IF(circ_int,0,eq_c2/2))+(PI()*(s_0+6*s_r+IF(circ_int,eq_c1/2,0))/2))+2*IF(circ_int,0,eq_c1/2))+(PI()*(s_0+6*s_r+IF(circ_int,eq_c1/2,0))/2)),IF(circ_int,0,eq_c2/2)+(s_0+6*s_r+IF(circ_int,eq_c1/2,0))*SIN(PI()/2+(((62+0.5)*(4*IF(circ_int,0,eq_c1/2)+4*IF(circ_int,0,eq_c2/2)+2*PI()*(s_0+6*s_r+IF(circ_int,eq_c1/2,0)))/INDEX(lk_legs,7))-(((2*IF(circ_int,0,eq_c2/2))+(PI()*(s_0+6*s_r+IF(circ_int,eq_c1/2,0))/2))+2*IF(circ_int,0,eq_c1/2)))/(s_0+6*s_r+IF(circ_int,eq_c1/2,0))),IF(((62+0.5)*(4*IF(circ_int,0,eq_c1/2)+4*IF(circ_int,0,eq_c2/2)+2*PI()*(s_0+6*s_r+IF(circ_int,eq_c1/2,0)))/INDEX(lk_legs,7))&lt;(((((2*IF(circ_int,0,eq_c2/2))+(PI()*(s_0+6*s_r+IF(circ_int,eq_c1/2,0))/2))+2*IF(circ_int,0,eq_c1/2))+(PI()*(s_0+6*s_r+IF(circ_int,eq_c1/2,0))/2))+2*IF(circ_int,0,eq_c2/2)),IF(circ_int,0,eq_c2/2)-(((62+0.5)*(4*IF(circ_int,0,eq_c1/2)+4*IF(circ_int,0,eq_c2/2)+2*PI()*(s_0+6*s_r+IF(circ_int,eq_c1/2,0)))/INDEX(lk_legs,7))-((((2*IF(circ_int,0,eq_c2/2))+(PI()*(s_0+6*s_r+IF(circ_int,eq_c1/2,0))/2))+2*IF(circ_int,0,eq_c1/2))+(PI()*(s_0+6*s_r+IF(circ_int,eq_c1/2,0))/2))),IF(((62+0.5)*(4*IF(circ_int,0,eq_c1/2)+4*IF(circ_int,0,eq_c2/2)+2*PI()*(s_0+6*s_r+IF(circ_int,eq_c1/2,0)))/INDEX(lk_legs,7))&lt;((((((2*IF(circ_int,0,eq_c2/2))+(PI()*(s_0+6*s_r+IF(circ_int,eq_c1/2,0))/2))+2*IF(circ_int,0,eq_c1/2))+(PI()*(s_0+6*s_r+IF(circ_int,eq_c1/2,0))/2))+2*IF(circ_int,0,eq_c2/2))+(PI()*(s_0+6*s_r+IF(circ_int,eq_c1/2,0))/2)),-IF(circ_int,0,eq_c2/2)+(s_0+6*s_r+IF(circ_int,eq_c1/2,0))*SIN(PI()+(((62+0.5)*(4*IF(circ_int,0,eq_c1/2)+4*IF(circ_int,0,eq_c2/2)+2*PI()*(s_0+6*s_r+IF(circ_int,eq_c1/2,0)))/INDEX(lk_legs,7))-(((((2*IF(circ_int,0,eq_c2/2))+(PI()*(s_0+6*s_r+IF(circ_int,eq_c1/2,0))/2))+2*IF(circ_int,0,eq_c1/2))+(PI()*(s_0+6*s_r+IF(circ_int,eq_c1/2,0))/2))+2*IF(circ_int,0,eq_c2/2)))/(s_0+6*s_r+IF(circ_int,eq_c1/2,0))),IF(((62+0.5)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(62+0.5)*(4*IF(circ_int,0,eq_c1/2)+4*IF(circ_int,0,eq_c2/2)+2*PI()*(s_0+6*s_r+IF(circ_int,eq_c1/2,0)))/INDEX(lk_legs,7))-(((((((2*IF(circ_int,0,eq_c2/2))+(PI()*(s_0+6*s_r+IF(circ_int,eq_c1/2,0))/2))+2*IF(circ_int,0,eq_c1/2))+(PI()*(s_0+6*s_r+IF(circ_int,eq_c1/2,0))/2))+2*IF(circ_int,0,eq_c2/2))+(PI()*(s_0+6*s_r+IF(circ_int,eq_c1/2,0))/2))+2*IF(circ_int,0,eq_c1/2)))/(s_0+6*s_r+IF(circ_int,eq_c1/2,0)))))))))),NA())</f>
        <v/>
      </c>
      <c r="CP65">
        <f>IF(AND(AND(links_on,8&lt;=n_per),INDEX(lk_kind,8)=1,62&lt;INDEX(lk_legs,8)),g_ox+IF(((62+0.5)*(4*IF(circ_int,0,eq_c1/2)+4*IF(circ_int,0,eq_c2/2)+2*PI()*(s_0+7*s_r+IF(circ_int,eq_c1/2,0)))/INDEX(lk_legs,8))&lt;(2*IF(circ_int,0,eq_c2/2)),IF(circ_int,0,eq_c1/2)+(s_0+7*s_r+IF(circ_int,eq_c1/2,0)),IF(((62+0.5)*(4*IF(circ_int,0,eq_c1/2)+4*IF(circ_int,0,eq_c2/2)+2*PI()*(s_0+7*s_r+IF(circ_int,eq_c1/2,0)))/INDEX(lk_legs,8))&lt;((2*IF(circ_int,0,eq_c2/2))+(PI()*(s_0+7*s_r+IF(circ_int,eq_c1/2,0))/2)),IF(circ_int,0,eq_c1/2)+(s_0+7*s_r+IF(circ_int,eq_c1/2,0))*COS((((62+0.5)*(4*IF(circ_int,0,eq_c1/2)+4*IF(circ_int,0,eq_c2/2)+2*PI()*(s_0+7*s_r+IF(circ_int,eq_c1/2,0)))/INDEX(lk_legs,8))-(2*IF(circ_int,0,eq_c2/2)))/(s_0+7*s_r+IF(circ_int,eq_c1/2,0))),IF(((62+0.5)*(4*IF(circ_int,0,eq_c1/2)+4*IF(circ_int,0,eq_c2/2)+2*PI()*(s_0+7*s_r+IF(circ_int,eq_c1/2,0)))/INDEX(lk_legs,8))&lt;(((2*IF(circ_int,0,eq_c2/2))+(PI()*(s_0+7*s_r+IF(circ_int,eq_c1/2,0))/2))+2*IF(circ_int,0,eq_c1/2)),IF(circ_int,0,eq_c1/2)-(((62+0.5)*(4*IF(circ_int,0,eq_c1/2)+4*IF(circ_int,0,eq_c2/2)+2*PI()*(s_0+7*s_r+IF(circ_int,eq_c1/2,0)))/INDEX(lk_legs,8))-((2*IF(circ_int,0,eq_c2/2))+(PI()*(s_0+7*s_r+IF(circ_int,eq_c1/2,0))/2))),IF(((62+0.5)*(4*IF(circ_int,0,eq_c1/2)+4*IF(circ_int,0,eq_c2/2)+2*PI()*(s_0+7*s_r+IF(circ_int,eq_c1/2,0)))/INDEX(lk_legs,8))&lt;((((2*IF(circ_int,0,eq_c2/2))+(PI()*(s_0+7*s_r+IF(circ_int,eq_c1/2,0))/2))+2*IF(circ_int,0,eq_c1/2))+(PI()*(s_0+7*s_r+IF(circ_int,eq_c1/2,0))/2)),-IF(circ_int,0,eq_c1/2)+(s_0+7*s_r+IF(circ_int,eq_c1/2,0))*COS(PI()/2+(((62+0.5)*(4*IF(circ_int,0,eq_c1/2)+4*IF(circ_int,0,eq_c2/2)+2*PI()*(s_0+7*s_r+IF(circ_int,eq_c1/2,0)))/INDEX(lk_legs,8))-(((2*IF(circ_int,0,eq_c2/2))+(PI()*(s_0+7*s_r+IF(circ_int,eq_c1/2,0))/2))+2*IF(circ_int,0,eq_c1/2)))/(s_0+7*s_r+IF(circ_int,eq_c1/2,0))),IF(((62+0.5)*(4*IF(circ_int,0,eq_c1/2)+4*IF(circ_int,0,eq_c2/2)+2*PI()*(s_0+7*s_r+IF(circ_int,eq_c1/2,0)))/INDEX(lk_legs,8))&lt;(((((2*IF(circ_int,0,eq_c2/2))+(PI()*(s_0+7*s_r+IF(circ_int,eq_c1/2,0))/2))+2*IF(circ_int,0,eq_c1/2))+(PI()*(s_0+7*s_r+IF(circ_int,eq_c1/2,0))/2))+2*IF(circ_int,0,eq_c2/2)),-IF(circ_int,0,eq_c1/2)-(s_0+7*s_r+IF(circ_int,eq_c1/2,0)),IF(((62+0.5)*(4*IF(circ_int,0,eq_c1/2)+4*IF(circ_int,0,eq_c2/2)+2*PI()*(s_0+7*s_r+IF(circ_int,eq_c1/2,0)))/INDEX(lk_legs,8))&lt;((((((2*IF(circ_int,0,eq_c2/2))+(PI()*(s_0+7*s_r+IF(circ_int,eq_c1/2,0))/2))+2*IF(circ_int,0,eq_c1/2))+(PI()*(s_0+7*s_r+IF(circ_int,eq_c1/2,0))/2))+2*IF(circ_int,0,eq_c2/2))+(PI()*(s_0+7*s_r+IF(circ_int,eq_c1/2,0))/2)),-IF(circ_int,0,eq_c1/2)+(s_0+7*s_r+IF(circ_int,eq_c1/2,0))*COS(PI()+(((62+0.5)*(4*IF(circ_int,0,eq_c1/2)+4*IF(circ_int,0,eq_c2/2)+2*PI()*(s_0+7*s_r+IF(circ_int,eq_c1/2,0)))/INDEX(lk_legs,8))-(((((2*IF(circ_int,0,eq_c2/2))+(PI()*(s_0+7*s_r+IF(circ_int,eq_c1/2,0))/2))+2*IF(circ_int,0,eq_c1/2))+(PI()*(s_0+7*s_r+IF(circ_int,eq_c1/2,0))/2))+2*IF(circ_int,0,eq_c2/2)))/(s_0+7*s_r+IF(circ_int,eq_c1/2,0))),IF(((62+0.5)*(4*IF(circ_int,0,eq_c1/2)+4*IF(circ_int,0,eq_c2/2)+2*PI()*(s_0+7*s_r+IF(circ_int,eq_c1/2,0)))/INDEX(lk_legs,8))&lt;(((((((2*IF(circ_int,0,eq_c2/2))+(PI()*(s_0+7*s_r+IF(circ_int,eq_c1/2,0))/2))+2*IF(circ_int,0,eq_c1/2))+(PI()*(s_0+7*s_r+IF(circ_int,eq_c1/2,0))/2))+2*IF(circ_int,0,eq_c2/2))+(PI()*(s_0+7*s_r+IF(circ_int,eq_c1/2,0))/2))+2*IF(circ_int,0,eq_c1/2)),-IF(circ_int,0,eq_c1/2)+(((62+0.5)*(4*IF(circ_int,0,eq_c1/2)+4*IF(circ_int,0,eq_c2/2)+2*PI()*(s_0+7*s_r+IF(circ_int,eq_c1/2,0)))/INDEX(lk_legs,8))-((((((2*IF(circ_int,0,eq_c2/2))+(PI()*(s_0+7*s_r+IF(circ_int,eq_c1/2,0))/2))+2*IF(circ_int,0,eq_c1/2))+(PI()*(s_0+7*s_r+IF(circ_int,eq_c1/2,0))/2))+2*IF(circ_int,0,eq_c2/2))+(PI()*(s_0+7*s_r+IF(circ_int,eq_c1/2,0))/2))),IF(circ_int,0,eq_c1/2)+(s_0+7*s_r+IF(circ_int,eq_c1/2,0))*COS(3*PI()/2+(((62+0.5)*(4*IF(circ_int,0,eq_c1/2)+4*IF(circ_int,0,eq_c2/2)+2*PI()*(s_0+7*s_r+IF(circ_int,eq_c1/2,0)))/INDEX(lk_legs,8))-(((((((2*IF(circ_int,0,eq_c2/2))+(PI()*(s_0+7*s_r+IF(circ_int,eq_c1/2,0))/2))+2*IF(circ_int,0,eq_c1/2))+(PI()*(s_0+7*s_r+IF(circ_int,eq_c1/2,0))/2))+2*IF(circ_int,0,eq_c2/2))+(PI()*(s_0+7*s_r+IF(circ_int,eq_c1/2,0))/2))+2*IF(circ_int,0,eq_c1/2)))/(s_0+7*s_r+IF(circ_int,eq_c1/2,0)))))))))),NA())</f>
        <v/>
      </c>
      <c r="CQ65">
        <f>IF(AND(AND(links_on,8&lt;=n_per),INDEX(lk_kind,8)=1,62&lt;INDEX(lk_legs,8)),g_oy+IF(((62+0.5)*(4*IF(circ_int,0,eq_c1/2)+4*IF(circ_int,0,eq_c2/2)+2*PI()*(s_0+7*s_r+IF(circ_int,eq_c1/2,0)))/INDEX(lk_legs,8))&lt;(2*IF(circ_int,0,eq_c2/2)),-IF(circ_int,0,eq_c2/2)+((62+0.5)*(4*IF(circ_int,0,eq_c1/2)+4*IF(circ_int,0,eq_c2/2)+2*PI()*(s_0+7*s_r+IF(circ_int,eq_c1/2,0)))/INDEX(lk_legs,8)),IF(((62+0.5)*(4*IF(circ_int,0,eq_c1/2)+4*IF(circ_int,0,eq_c2/2)+2*PI()*(s_0+7*s_r+IF(circ_int,eq_c1/2,0)))/INDEX(lk_legs,8))&lt;((2*IF(circ_int,0,eq_c2/2))+(PI()*(s_0+7*s_r+IF(circ_int,eq_c1/2,0))/2)),IF(circ_int,0,eq_c2/2)+(s_0+7*s_r+IF(circ_int,eq_c1/2,0))*SIN((((62+0.5)*(4*IF(circ_int,0,eq_c1/2)+4*IF(circ_int,0,eq_c2/2)+2*PI()*(s_0+7*s_r+IF(circ_int,eq_c1/2,0)))/INDEX(lk_legs,8))-(2*IF(circ_int,0,eq_c2/2)))/(s_0+7*s_r+IF(circ_int,eq_c1/2,0))),IF(((62+0.5)*(4*IF(circ_int,0,eq_c1/2)+4*IF(circ_int,0,eq_c2/2)+2*PI()*(s_0+7*s_r+IF(circ_int,eq_c1/2,0)))/INDEX(lk_legs,8))&lt;(((2*IF(circ_int,0,eq_c2/2))+(PI()*(s_0+7*s_r+IF(circ_int,eq_c1/2,0))/2))+2*IF(circ_int,0,eq_c1/2)),IF(circ_int,0,eq_c2/2)+(s_0+7*s_r+IF(circ_int,eq_c1/2,0)),IF(((62+0.5)*(4*IF(circ_int,0,eq_c1/2)+4*IF(circ_int,0,eq_c2/2)+2*PI()*(s_0+7*s_r+IF(circ_int,eq_c1/2,0)))/INDEX(lk_legs,8))&lt;((((2*IF(circ_int,0,eq_c2/2))+(PI()*(s_0+7*s_r+IF(circ_int,eq_c1/2,0))/2))+2*IF(circ_int,0,eq_c1/2))+(PI()*(s_0+7*s_r+IF(circ_int,eq_c1/2,0))/2)),IF(circ_int,0,eq_c2/2)+(s_0+7*s_r+IF(circ_int,eq_c1/2,0))*SIN(PI()/2+(((62+0.5)*(4*IF(circ_int,0,eq_c1/2)+4*IF(circ_int,0,eq_c2/2)+2*PI()*(s_0+7*s_r+IF(circ_int,eq_c1/2,0)))/INDEX(lk_legs,8))-(((2*IF(circ_int,0,eq_c2/2))+(PI()*(s_0+7*s_r+IF(circ_int,eq_c1/2,0))/2))+2*IF(circ_int,0,eq_c1/2)))/(s_0+7*s_r+IF(circ_int,eq_c1/2,0))),IF(((62+0.5)*(4*IF(circ_int,0,eq_c1/2)+4*IF(circ_int,0,eq_c2/2)+2*PI()*(s_0+7*s_r+IF(circ_int,eq_c1/2,0)))/INDEX(lk_legs,8))&lt;(((((2*IF(circ_int,0,eq_c2/2))+(PI()*(s_0+7*s_r+IF(circ_int,eq_c1/2,0))/2))+2*IF(circ_int,0,eq_c1/2))+(PI()*(s_0+7*s_r+IF(circ_int,eq_c1/2,0))/2))+2*IF(circ_int,0,eq_c2/2)),IF(circ_int,0,eq_c2/2)-(((62+0.5)*(4*IF(circ_int,0,eq_c1/2)+4*IF(circ_int,0,eq_c2/2)+2*PI()*(s_0+7*s_r+IF(circ_int,eq_c1/2,0)))/INDEX(lk_legs,8))-((((2*IF(circ_int,0,eq_c2/2))+(PI()*(s_0+7*s_r+IF(circ_int,eq_c1/2,0))/2))+2*IF(circ_int,0,eq_c1/2))+(PI()*(s_0+7*s_r+IF(circ_int,eq_c1/2,0))/2))),IF(((62+0.5)*(4*IF(circ_int,0,eq_c1/2)+4*IF(circ_int,0,eq_c2/2)+2*PI()*(s_0+7*s_r+IF(circ_int,eq_c1/2,0)))/INDEX(lk_legs,8))&lt;((((((2*IF(circ_int,0,eq_c2/2))+(PI()*(s_0+7*s_r+IF(circ_int,eq_c1/2,0))/2))+2*IF(circ_int,0,eq_c1/2))+(PI()*(s_0+7*s_r+IF(circ_int,eq_c1/2,0))/2))+2*IF(circ_int,0,eq_c2/2))+(PI()*(s_0+7*s_r+IF(circ_int,eq_c1/2,0))/2)),-IF(circ_int,0,eq_c2/2)+(s_0+7*s_r+IF(circ_int,eq_c1/2,0))*SIN(PI()+(((62+0.5)*(4*IF(circ_int,0,eq_c1/2)+4*IF(circ_int,0,eq_c2/2)+2*PI()*(s_0+7*s_r+IF(circ_int,eq_c1/2,0)))/INDEX(lk_legs,8))-(((((2*IF(circ_int,0,eq_c2/2))+(PI()*(s_0+7*s_r+IF(circ_int,eq_c1/2,0))/2))+2*IF(circ_int,0,eq_c1/2))+(PI()*(s_0+7*s_r+IF(circ_int,eq_c1/2,0))/2))+2*IF(circ_int,0,eq_c2/2)))/(s_0+7*s_r+IF(circ_int,eq_c1/2,0))),IF(((62+0.5)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(62+0.5)*(4*IF(circ_int,0,eq_c1/2)+4*IF(circ_int,0,eq_c2/2)+2*PI()*(s_0+7*s_r+IF(circ_int,eq_c1/2,0)))/INDEX(lk_legs,8))-(((((((2*IF(circ_int,0,eq_c2/2))+(PI()*(s_0+7*s_r+IF(circ_int,eq_c1/2,0))/2))+2*IF(circ_int,0,eq_c1/2))+(PI()*(s_0+7*s_r+IF(circ_int,eq_c1/2,0))/2))+2*IF(circ_int,0,eq_c2/2))+(PI()*(s_0+7*s_r+IF(circ_int,eq_c1/2,0))/2))+2*IF(circ_int,0,eq_c1/2)))/(s_0+7*s_r+IF(circ_int,eq_c1/2,0)))))))))),NA())</f>
        <v/>
      </c>
      <c r="CV65">
        <f>IF(AND(AND(links_on,9&lt;=n_per),INDEX(lk_kind,9)=1,62&lt;INDEX(lk_legs,9)),g_ox+IF(((62+0.5)*(4*IF(circ_int,0,eq_c1/2)+4*IF(circ_int,0,eq_c2/2)+2*PI()*(s_0+8*s_r+IF(circ_int,eq_c1/2,0)))/INDEX(lk_legs,9))&lt;(2*IF(circ_int,0,eq_c2/2)),IF(circ_int,0,eq_c1/2)+(s_0+8*s_r+IF(circ_int,eq_c1/2,0)),IF(((62+0.5)*(4*IF(circ_int,0,eq_c1/2)+4*IF(circ_int,0,eq_c2/2)+2*PI()*(s_0+8*s_r+IF(circ_int,eq_c1/2,0)))/INDEX(lk_legs,9))&lt;((2*IF(circ_int,0,eq_c2/2))+(PI()*(s_0+8*s_r+IF(circ_int,eq_c1/2,0))/2)),IF(circ_int,0,eq_c1/2)+(s_0+8*s_r+IF(circ_int,eq_c1/2,0))*COS((((62+0.5)*(4*IF(circ_int,0,eq_c1/2)+4*IF(circ_int,0,eq_c2/2)+2*PI()*(s_0+8*s_r+IF(circ_int,eq_c1/2,0)))/INDEX(lk_legs,9))-(2*IF(circ_int,0,eq_c2/2)))/(s_0+8*s_r+IF(circ_int,eq_c1/2,0))),IF(((62+0.5)*(4*IF(circ_int,0,eq_c1/2)+4*IF(circ_int,0,eq_c2/2)+2*PI()*(s_0+8*s_r+IF(circ_int,eq_c1/2,0)))/INDEX(lk_legs,9))&lt;(((2*IF(circ_int,0,eq_c2/2))+(PI()*(s_0+8*s_r+IF(circ_int,eq_c1/2,0))/2))+2*IF(circ_int,0,eq_c1/2)),IF(circ_int,0,eq_c1/2)-(((62+0.5)*(4*IF(circ_int,0,eq_c1/2)+4*IF(circ_int,0,eq_c2/2)+2*PI()*(s_0+8*s_r+IF(circ_int,eq_c1/2,0)))/INDEX(lk_legs,9))-((2*IF(circ_int,0,eq_c2/2))+(PI()*(s_0+8*s_r+IF(circ_int,eq_c1/2,0))/2))),IF(((62+0.5)*(4*IF(circ_int,0,eq_c1/2)+4*IF(circ_int,0,eq_c2/2)+2*PI()*(s_0+8*s_r+IF(circ_int,eq_c1/2,0)))/INDEX(lk_legs,9))&lt;((((2*IF(circ_int,0,eq_c2/2))+(PI()*(s_0+8*s_r+IF(circ_int,eq_c1/2,0))/2))+2*IF(circ_int,0,eq_c1/2))+(PI()*(s_0+8*s_r+IF(circ_int,eq_c1/2,0))/2)),-IF(circ_int,0,eq_c1/2)+(s_0+8*s_r+IF(circ_int,eq_c1/2,0))*COS(PI()/2+(((62+0.5)*(4*IF(circ_int,0,eq_c1/2)+4*IF(circ_int,0,eq_c2/2)+2*PI()*(s_0+8*s_r+IF(circ_int,eq_c1/2,0)))/INDEX(lk_legs,9))-(((2*IF(circ_int,0,eq_c2/2))+(PI()*(s_0+8*s_r+IF(circ_int,eq_c1/2,0))/2))+2*IF(circ_int,0,eq_c1/2)))/(s_0+8*s_r+IF(circ_int,eq_c1/2,0))),IF(((62+0.5)*(4*IF(circ_int,0,eq_c1/2)+4*IF(circ_int,0,eq_c2/2)+2*PI()*(s_0+8*s_r+IF(circ_int,eq_c1/2,0)))/INDEX(lk_legs,9))&lt;(((((2*IF(circ_int,0,eq_c2/2))+(PI()*(s_0+8*s_r+IF(circ_int,eq_c1/2,0))/2))+2*IF(circ_int,0,eq_c1/2))+(PI()*(s_0+8*s_r+IF(circ_int,eq_c1/2,0))/2))+2*IF(circ_int,0,eq_c2/2)),-IF(circ_int,0,eq_c1/2)-(s_0+8*s_r+IF(circ_int,eq_c1/2,0)),IF(((62+0.5)*(4*IF(circ_int,0,eq_c1/2)+4*IF(circ_int,0,eq_c2/2)+2*PI()*(s_0+8*s_r+IF(circ_int,eq_c1/2,0)))/INDEX(lk_legs,9))&lt;((((((2*IF(circ_int,0,eq_c2/2))+(PI()*(s_0+8*s_r+IF(circ_int,eq_c1/2,0))/2))+2*IF(circ_int,0,eq_c1/2))+(PI()*(s_0+8*s_r+IF(circ_int,eq_c1/2,0))/2))+2*IF(circ_int,0,eq_c2/2))+(PI()*(s_0+8*s_r+IF(circ_int,eq_c1/2,0))/2)),-IF(circ_int,0,eq_c1/2)+(s_0+8*s_r+IF(circ_int,eq_c1/2,0))*COS(PI()+(((62+0.5)*(4*IF(circ_int,0,eq_c1/2)+4*IF(circ_int,0,eq_c2/2)+2*PI()*(s_0+8*s_r+IF(circ_int,eq_c1/2,0)))/INDEX(lk_legs,9))-(((((2*IF(circ_int,0,eq_c2/2))+(PI()*(s_0+8*s_r+IF(circ_int,eq_c1/2,0))/2))+2*IF(circ_int,0,eq_c1/2))+(PI()*(s_0+8*s_r+IF(circ_int,eq_c1/2,0))/2))+2*IF(circ_int,0,eq_c2/2)))/(s_0+8*s_r+IF(circ_int,eq_c1/2,0))),IF(((62+0.5)*(4*IF(circ_int,0,eq_c1/2)+4*IF(circ_int,0,eq_c2/2)+2*PI()*(s_0+8*s_r+IF(circ_int,eq_c1/2,0)))/INDEX(lk_legs,9))&lt;(((((((2*IF(circ_int,0,eq_c2/2))+(PI()*(s_0+8*s_r+IF(circ_int,eq_c1/2,0))/2))+2*IF(circ_int,0,eq_c1/2))+(PI()*(s_0+8*s_r+IF(circ_int,eq_c1/2,0))/2))+2*IF(circ_int,0,eq_c2/2))+(PI()*(s_0+8*s_r+IF(circ_int,eq_c1/2,0))/2))+2*IF(circ_int,0,eq_c1/2)),-IF(circ_int,0,eq_c1/2)+(((62+0.5)*(4*IF(circ_int,0,eq_c1/2)+4*IF(circ_int,0,eq_c2/2)+2*PI()*(s_0+8*s_r+IF(circ_int,eq_c1/2,0)))/INDEX(lk_legs,9))-((((((2*IF(circ_int,0,eq_c2/2))+(PI()*(s_0+8*s_r+IF(circ_int,eq_c1/2,0))/2))+2*IF(circ_int,0,eq_c1/2))+(PI()*(s_0+8*s_r+IF(circ_int,eq_c1/2,0))/2))+2*IF(circ_int,0,eq_c2/2))+(PI()*(s_0+8*s_r+IF(circ_int,eq_c1/2,0))/2))),IF(circ_int,0,eq_c1/2)+(s_0+8*s_r+IF(circ_int,eq_c1/2,0))*COS(3*PI()/2+(((62+0.5)*(4*IF(circ_int,0,eq_c1/2)+4*IF(circ_int,0,eq_c2/2)+2*PI()*(s_0+8*s_r+IF(circ_int,eq_c1/2,0)))/INDEX(lk_legs,9))-(((((((2*IF(circ_int,0,eq_c2/2))+(PI()*(s_0+8*s_r+IF(circ_int,eq_c1/2,0))/2))+2*IF(circ_int,0,eq_c1/2))+(PI()*(s_0+8*s_r+IF(circ_int,eq_c1/2,0))/2))+2*IF(circ_int,0,eq_c2/2))+(PI()*(s_0+8*s_r+IF(circ_int,eq_c1/2,0))/2))+2*IF(circ_int,0,eq_c1/2)))/(s_0+8*s_r+IF(circ_int,eq_c1/2,0)))))))))),NA())</f>
        <v/>
      </c>
      <c r="CW65">
        <f>IF(AND(AND(links_on,9&lt;=n_per),INDEX(lk_kind,9)=1,62&lt;INDEX(lk_legs,9)),g_oy+IF(((62+0.5)*(4*IF(circ_int,0,eq_c1/2)+4*IF(circ_int,0,eq_c2/2)+2*PI()*(s_0+8*s_r+IF(circ_int,eq_c1/2,0)))/INDEX(lk_legs,9))&lt;(2*IF(circ_int,0,eq_c2/2)),-IF(circ_int,0,eq_c2/2)+((62+0.5)*(4*IF(circ_int,0,eq_c1/2)+4*IF(circ_int,0,eq_c2/2)+2*PI()*(s_0+8*s_r+IF(circ_int,eq_c1/2,0)))/INDEX(lk_legs,9)),IF(((62+0.5)*(4*IF(circ_int,0,eq_c1/2)+4*IF(circ_int,0,eq_c2/2)+2*PI()*(s_0+8*s_r+IF(circ_int,eq_c1/2,0)))/INDEX(lk_legs,9))&lt;((2*IF(circ_int,0,eq_c2/2))+(PI()*(s_0+8*s_r+IF(circ_int,eq_c1/2,0))/2)),IF(circ_int,0,eq_c2/2)+(s_0+8*s_r+IF(circ_int,eq_c1/2,0))*SIN((((62+0.5)*(4*IF(circ_int,0,eq_c1/2)+4*IF(circ_int,0,eq_c2/2)+2*PI()*(s_0+8*s_r+IF(circ_int,eq_c1/2,0)))/INDEX(lk_legs,9))-(2*IF(circ_int,0,eq_c2/2)))/(s_0+8*s_r+IF(circ_int,eq_c1/2,0))),IF(((62+0.5)*(4*IF(circ_int,0,eq_c1/2)+4*IF(circ_int,0,eq_c2/2)+2*PI()*(s_0+8*s_r+IF(circ_int,eq_c1/2,0)))/INDEX(lk_legs,9))&lt;(((2*IF(circ_int,0,eq_c2/2))+(PI()*(s_0+8*s_r+IF(circ_int,eq_c1/2,0))/2))+2*IF(circ_int,0,eq_c1/2)),IF(circ_int,0,eq_c2/2)+(s_0+8*s_r+IF(circ_int,eq_c1/2,0)),IF(((62+0.5)*(4*IF(circ_int,0,eq_c1/2)+4*IF(circ_int,0,eq_c2/2)+2*PI()*(s_0+8*s_r+IF(circ_int,eq_c1/2,0)))/INDEX(lk_legs,9))&lt;((((2*IF(circ_int,0,eq_c2/2))+(PI()*(s_0+8*s_r+IF(circ_int,eq_c1/2,0))/2))+2*IF(circ_int,0,eq_c1/2))+(PI()*(s_0+8*s_r+IF(circ_int,eq_c1/2,0))/2)),IF(circ_int,0,eq_c2/2)+(s_0+8*s_r+IF(circ_int,eq_c1/2,0))*SIN(PI()/2+(((62+0.5)*(4*IF(circ_int,0,eq_c1/2)+4*IF(circ_int,0,eq_c2/2)+2*PI()*(s_0+8*s_r+IF(circ_int,eq_c1/2,0)))/INDEX(lk_legs,9))-(((2*IF(circ_int,0,eq_c2/2))+(PI()*(s_0+8*s_r+IF(circ_int,eq_c1/2,0))/2))+2*IF(circ_int,0,eq_c1/2)))/(s_0+8*s_r+IF(circ_int,eq_c1/2,0))),IF(((62+0.5)*(4*IF(circ_int,0,eq_c1/2)+4*IF(circ_int,0,eq_c2/2)+2*PI()*(s_0+8*s_r+IF(circ_int,eq_c1/2,0)))/INDEX(lk_legs,9))&lt;(((((2*IF(circ_int,0,eq_c2/2))+(PI()*(s_0+8*s_r+IF(circ_int,eq_c1/2,0))/2))+2*IF(circ_int,0,eq_c1/2))+(PI()*(s_0+8*s_r+IF(circ_int,eq_c1/2,0))/2))+2*IF(circ_int,0,eq_c2/2)),IF(circ_int,0,eq_c2/2)-(((62+0.5)*(4*IF(circ_int,0,eq_c1/2)+4*IF(circ_int,0,eq_c2/2)+2*PI()*(s_0+8*s_r+IF(circ_int,eq_c1/2,0)))/INDEX(lk_legs,9))-((((2*IF(circ_int,0,eq_c2/2))+(PI()*(s_0+8*s_r+IF(circ_int,eq_c1/2,0))/2))+2*IF(circ_int,0,eq_c1/2))+(PI()*(s_0+8*s_r+IF(circ_int,eq_c1/2,0))/2))),IF(((62+0.5)*(4*IF(circ_int,0,eq_c1/2)+4*IF(circ_int,0,eq_c2/2)+2*PI()*(s_0+8*s_r+IF(circ_int,eq_c1/2,0)))/INDEX(lk_legs,9))&lt;((((((2*IF(circ_int,0,eq_c2/2))+(PI()*(s_0+8*s_r+IF(circ_int,eq_c1/2,0))/2))+2*IF(circ_int,0,eq_c1/2))+(PI()*(s_0+8*s_r+IF(circ_int,eq_c1/2,0))/2))+2*IF(circ_int,0,eq_c2/2))+(PI()*(s_0+8*s_r+IF(circ_int,eq_c1/2,0))/2)),-IF(circ_int,0,eq_c2/2)+(s_0+8*s_r+IF(circ_int,eq_c1/2,0))*SIN(PI()+(((62+0.5)*(4*IF(circ_int,0,eq_c1/2)+4*IF(circ_int,0,eq_c2/2)+2*PI()*(s_0+8*s_r+IF(circ_int,eq_c1/2,0)))/INDEX(lk_legs,9))-(((((2*IF(circ_int,0,eq_c2/2))+(PI()*(s_0+8*s_r+IF(circ_int,eq_c1/2,0))/2))+2*IF(circ_int,0,eq_c1/2))+(PI()*(s_0+8*s_r+IF(circ_int,eq_c1/2,0))/2))+2*IF(circ_int,0,eq_c2/2)))/(s_0+8*s_r+IF(circ_int,eq_c1/2,0))),IF(((62+0.5)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(62+0.5)*(4*IF(circ_int,0,eq_c1/2)+4*IF(circ_int,0,eq_c2/2)+2*PI()*(s_0+8*s_r+IF(circ_int,eq_c1/2,0)))/INDEX(lk_legs,9))-(((((((2*IF(circ_int,0,eq_c2/2))+(PI()*(s_0+8*s_r+IF(circ_int,eq_c1/2,0))/2))+2*IF(circ_int,0,eq_c1/2))+(PI()*(s_0+8*s_r+IF(circ_int,eq_c1/2,0))/2))+2*IF(circ_int,0,eq_c2/2))+(PI()*(s_0+8*s_r+IF(circ_int,eq_c1/2,0))/2))+2*IF(circ_int,0,eq_c1/2)))/(s_0+8*s_r+IF(circ_int,eq_c1/2,0)))))))))),NA())</f>
        <v/>
      </c>
      <c r="DB65">
        <f>IF(AND(AND(links_on,10&lt;=n_per),INDEX(lk_kind,10)=1,62&lt;INDEX(lk_legs,10)),g_ox+IF(((62+0.5)*(4*IF(circ_int,0,eq_c1/2)+4*IF(circ_int,0,eq_c2/2)+2*PI()*(s_0+9*s_r+IF(circ_int,eq_c1/2,0)))/INDEX(lk_legs,10))&lt;(2*IF(circ_int,0,eq_c2/2)),IF(circ_int,0,eq_c1/2)+(s_0+9*s_r+IF(circ_int,eq_c1/2,0)),IF(((62+0.5)*(4*IF(circ_int,0,eq_c1/2)+4*IF(circ_int,0,eq_c2/2)+2*PI()*(s_0+9*s_r+IF(circ_int,eq_c1/2,0)))/INDEX(lk_legs,10))&lt;((2*IF(circ_int,0,eq_c2/2))+(PI()*(s_0+9*s_r+IF(circ_int,eq_c1/2,0))/2)),IF(circ_int,0,eq_c1/2)+(s_0+9*s_r+IF(circ_int,eq_c1/2,0))*COS((((62+0.5)*(4*IF(circ_int,0,eq_c1/2)+4*IF(circ_int,0,eq_c2/2)+2*PI()*(s_0+9*s_r+IF(circ_int,eq_c1/2,0)))/INDEX(lk_legs,10))-(2*IF(circ_int,0,eq_c2/2)))/(s_0+9*s_r+IF(circ_int,eq_c1/2,0))),IF(((62+0.5)*(4*IF(circ_int,0,eq_c1/2)+4*IF(circ_int,0,eq_c2/2)+2*PI()*(s_0+9*s_r+IF(circ_int,eq_c1/2,0)))/INDEX(lk_legs,10))&lt;(((2*IF(circ_int,0,eq_c2/2))+(PI()*(s_0+9*s_r+IF(circ_int,eq_c1/2,0))/2))+2*IF(circ_int,0,eq_c1/2)),IF(circ_int,0,eq_c1/2)-(((62+0.5)*(4*IF(circ_int,0,eq_c1/2)+4*IF(circ_int,0,eq_c2/2)+2*PI()*(s_0+9*s_r+IF(circ_int,eq_c1/2,0)))/INDEX(lk_legs,10))-((2*IF(circ_int,0,eq_c2/2))+(PI()*(s_0+9*s_r+IF(circ_int,eq_c1/2,0))/2))),IF(((62+0.5)*(4*IF(circ_int,0,eq_c1/2)+4*IF(circ_int,0,eq_c2/2)+2*PI()*(s_0+9*s_r+IF(circ_int,eq_c1/2,0)))/INDEX(lk_legs,10))&lt;((((2*IF(circ_int,0,eq_c2/2))+(PI()*(s_0+9*s_r+IF(circ_int,eq_c1/2,0))/2))+2*IF(circ_int,0,eq_c1/2))+(PI()*(s_0+9*s_r+IF(circ_int,eq_c1/2,0))/2)),-IF(circ_int,0,eq_c1/2)+(s_0+9*s_r+IF(circ_int,eq_c1/2,0))*COS(PI()/2+(((62+0.5)*(4*IF(circ_int,0,eq_c1/2)+4*IF(circ_int,0,eq_c2/2)+2*PI()*(s_0+9*s_r+IF(circ_int,eq_c1/2,0)))/INDEX(lk_legs,10))-(((2*IF(circ_int,0,eq_c2/2))+(PI()*(s_0+9*s_r+IF(circ_int,eq_c1/2,0))/2))+2*IF(circ_int,0,eq_c1/2)))/(s_0+9*s_r+IF(circ_int,eq_c1/2,0))),IF(((62+0.5)*(4*IF(circ_int,0,eq_c1/2)+4*IF(circ_int,0,eq_c2/2)+2*PI()*(s_0+9*s_r+IF(circ_int,eq_c1/2,0)))/INDEX(lk_legs,10))&lt;(((((2*IF(circ_int,0,eq_c2/2))+(PI()*(s_0+9*s_r+IF(circ_int,eq_c1/2,0))/2))+2*IF(circ_int,0,eq_c1/2))+(PI()*(s_0+9*s_r+IF(circ_int,eq_c1/2,0))/2))+2*IF(circ_int,0,eq_c2/2)),-IF(circ_int,0,eq_c1/2)-(s_0+9*s_r+IF(circ_int,eq_c1/2,0)),IF(((62+0.5)*(4*IF(circ_int,0,eq_c1/2)+4*IF(circ_int,0,eq_c2/2)+2*PI()*(s_0+9*s_r+IF(circ_int,eq_c1/2,0)))/INDEX(lk_legs,10))&lt;((((((2*IF(circ_int,0,eq_c2/2))+(PI()*(s_0+9*s_r+IF(circ_int,eq_c1/2,0))/2))+2*IF(circ_int,0,eq_c1/2))+(PI()*(s_0+9*s_r+IF(circ_int,eq_c1/2,0))/2))+2*IF(circ_int,0,eq_c2/2))+(PI()*(s_0+9*s_r+IF(circ_int,eq_c1/2,0))/2)),-IF(circ_int,0,eq_c1/2)+(s_0+9*s_r+IF(circ_int,eq_c1/2,0))*COS(PI()+(((62+0.5)*(4*IF(circ_int,0,eq_c1/2)+4*IF(circ_int,0,eq_c2/2)+2*PI()*(s_0+9*s_r+IF(circ_int,eq_c1/2,0)))/INDEX(lk_legs,10))-(((((2*IF(circ_int,0,eq_c2/2))+(PI()*(s_0+9*s_r+IF(circ_int,eq_c1/2,0))/2))+2*IF(circ_int,0,eq_c1/2))+(PI()*(s_0+9*s_r+IF(circ_int,eq_c1/2,0))/2))+2*IF(circ_int,0,eq_c2/2)))/(s_0+9*s_r+IF(circ_int,eq_c1/2,0))),IF(((62+0.5)*(4*IF(circ_int,0,eq_c1/2)+4*IF(circ_int,0,eq_c2/2)+2*PI()*(s_0+9*s_r+IF(circ_int,eq_c1/2,0)))/INDEX(lk_legs,10))&lt;(((((((2*IF(circ_int,0,eq_c2/2))+(PI()*(s_0+9*s_r+IF(circ_int,eq_c1/2,0))/2))+2*IF(circ_int,0,eq_c1/2))+(PI()*(s_0+9*s_r+IF(circ_int,eq_c1/2,0))/2))+2*IF(circ_int,0,eq_c2/2))+(PI()*(s_0+9*s_r+IF(circ_int,eq_c1/2,0))/2))+2*IF(circ_int,0,eq_c1/2)),-IF(circ_int,0,eq_c1/2)+(((62+0.5)*(4*IF(circ_int,0,eq_c1/2)+4*IF(circ_int,0,eq_c2/2)+2*PI()*(s_0+9*s_r+IF(circ_int,eq_c1/2,0)))/INDEX(lk_legs,10))-((((((2*IF(circ_int,0,eq_c2/2))+(PI()*(s_0+9*s_r+IF(circ_int,eq_c1/2,0))/2))+2*IF(circ_int,0,eq_c1/2))+(PI()*(s_0+9*s_r+IF(circ_int,eq_c1/2,0))/2))+2*IF(circ_int,0,eq_c2/2))+(PI()*(s_0+9*s_r+IF(circ_int,eq_c1/2,0))/2))),IF(circ_int,0,eq_c1/2)+(s_0+9*s_r+IF(circ_int,eq_c1/2,0))*COS(3*PI()/2+(((62+0.5)*(4*IF(circ_int,0,eq_c1/2)+4*IF(circ_int,0,eq_c2/2)+2*PI()*(s_0+9*s_r+IF(circ_int,eq_c1/2,0)))/INDEX(lk_legs,10))-(((((((2*IF(circ_int,0,eq_c2/2))+(PI()*(s_0+9*s_r+IF(circ_int,eq_c1/2,0))/2))+2*IF(circ_int,0,eq_c1/2))+(PI()*(s_0+9*s_r+IF(circ_int,eq_c1/2,0))/2))+2*IF(circ_int,0,eq_c2/2))+(PI()*(s_0+9*s_r+IF(circ_int,eq_c1/2,0))/2))+2*IF(circ_int,0,eq_c1/2)))/(s_0+9*s_r+IF(circ_int,eq_c1/2,0)))))))))),NA())</f>
        <v/>
      </c>
      <c r="DC65">
        <f>IF(AND(AND(links_on,10&lt;=n_per),INDEX(lk_kind,10)=1,62&lt;INDEX(lk_legs,10)),g_oy+IF(((62+0.5)*(4*IF(circ_int,0,eq_c1/2)+4*IF(circ_int,0,eq_c2/2)+2*PI()*(s_0+9*s_r+IF(circ_int,eq_c1/2,0)))/INDEX(lk_legs,10))&lt;(2*IF(circ_int,0,eq_c2/2)),-IF(circ_int,0,eq_c2/2)+((62+0.5)*(4*IF(circ_int,0,eq_c1/2)+4*IF(circ_int,0,eq_c2/2)+2*PI()*(s_0+9*s_r+IF(circ_int,eq_c1/2,0)))/INDEX(lk_legs,10)),IF(((62+0.5)*(4*IF(circ_int,0,eq_c1/2)+4*IF(circ_int,0,eq_c2/2)+2*PI()*(s_0+9*s_r+IF(circ_int,eq_c1/2,0)))/INDEX(lk_legs,10))&lt;((2*IF(circ_int,0,eq_c2/2))+(PI()*(s_0+9*s_r+IF(circ_int,eq_c1/2,0))/2)),IF(circ_int,0,eq_c2/2)+(s_0+9*s_r+IF(circ_int,eq_c1/2,0))*SIN((((62+0.5)*(4*IF(circ_int,0,eq_c1/2)+4*IF(circ_int,0,eq_c2/2)+2*PI()*(s_0+9*s_r+IF(circ_int,eq_c1/2,0)))/INDEX(lk_legs,10))-(2*IF(circ_int,0,eq_c2/2)))/(s_0+9*s_r+IF(circ_int,eq_c1/2,0))),IF(((62+0.5)*(4*IF(circ_int,0,eq_c1/2)+4*IF(circ_int,0,eq_c2/2)+2*PI()*(s_0+9*s_r+IF(circ_int,eq_c1/2,0)))/INDEX(lk_legs,10))&lt;(((2*IF(circ_int,0,eq_c2/2))+(PI()*(s_0+9*s_r+IF(circ_int,eq_c1/2,0))/2))+2*IF(circ_int,0,eq_c1/2)),IF(circ_int,0,eq_c2/2)+(s_0+9*s_r+IF(circ_int,eq_c1/2,0)),IF(((62+0.5)*(4*IF(circ_int,0,eq_c1/2)+4*IF(circ_int,0,eq_c2/2)+2*PI()*(s_0+9*s_r+IF(circ_int,eq_c1/2,0)))/INDEX(lk_legs,10))&lt;((((2*IF(circ_int,0,eq_c2/2))+(PI()*(s_0+9*s_r+IF(circ_int,eq_c1/2,0))/2))+2*IF(circ_int,0,eq_c1/2))+(PI()*(s_0+9*s_r+IF(circ_int,eq_c1/2,0))/2)),IF(circ_int,0,eq_c2/2)+(s_0+9*s_r+IF(circ_int,eq_c1/2,0))*SIN(PI()/2+(((62+0.5)*(4*IF(circ_int,0,eq_c1/2)+4*IF(circ_int,0,eq_c2/2)+2*PI()*(s_0+9*s_r+IF(circ_int,eq_c1/2,0)))/INDEX(lk_legs,10))-(((2*IF(circ_int,0,eq_c2/2))+(PI()*(s_0+9*s_r+IF(circ_int,eq_c1/2,0))/2))+2*IF(circ_int,0,eq_c1/2)))/(s_0+9*s_r+IF(circ_int,eq_c1/2,0))),IF(((62+0.5)*(4*IF(circ_int,0,eq_c1/2)+4*IF(circ_int,0,eq_c2/2)+2*PI()*(s_0+9*s_r+IF(circ_int,eq_c1/2,0)))/INDEX(lk_legs,10))&lt;(((((2*IF(circ_int,0,eq_c2/2))+(PI()*(s_0+9*s_r+IF(circ_int,eq_c1/2,0))/2))+2*IF(circ_int,0,eq_c1/2))+(PI()*(s_0+9*s_r+IF(circ_int,eq_c1/2,0))/2))+2*IF(circ_int,0,eq_c2/2)),IF(circ_int,0,eq_c2/2)-(((62+0.5)*(4*IF(circ_int,0,eq_c1/2)+4*IF(circ_int,0,eq_c2/2)+2*PI()*(s_0+9*s_r+IF(circ_int,eq_c1/2,0)))/INDEX(lk_legs,10))-((((2*IF(circ_int,0,eq_c2/2))+(PI()*(s_0+9*s_r+IF(circ_int,eq_c1/2,0))/2))+2*IF(circ_int,0,eq_c1/2))+(PI()*(s_0+9*s_r+IF(circ_int,eq_c1/2,0))/2))),IF(((62+0.5)*(4*IF(circ_int,0,eq_c1/2)+4*IF(circ_int,0,eq_c2/2)+2*PI()*(s_0+9*s_r+IF(circ_int,eq_c1/2,0)))/INDEX(lk_legs,10))&lt;((((((2*IF(circ_int,0,eq_c2/2))+(PI()*(s_0+9*s_r+IF(circ_int,eq_c1/2,0))/2))+2*IF(circ_int,0,eq_c1/2))+(PI()*(s_0+9*s_r+IF(circ_int,eq_c1/2,0))/2))+2*IF(circ_int,0,eq_c2/2))+(PI()*(s_0+9*s_r+IF(circ_int,eq_c1/2,0))/2)),-IF(circ_int,0,eq_c2/2)+(s_0+9*s_r+IF(circ_int,eq_c1/2,0))*SIN(PI()+(((62+0.5)*(4*IF(circ_int,0,eq_c1/2)+4*IF(circ_int,0,eq_c2/2)+2*PI()*(s_0+9*s_r+IF(circ_int,eq_c1/2,0)))/INDEX(lk_legs,10))-(((((2*IF(circ_int,0,eq_c2/2))+(PI()*(s_0+9*s_r+IF(circ_int,eq_c1/2,0))/2))+2*IF(circ_int,0,eq_c1/2))+(PI()*(s_0+9*s_r+IF(circ_int,eq_c1/2,0))/2))+2*IF(circ_int,0,eq_c2/2)))/(s_0+9*s_r+IF(circ_int,eq_c1/2,0))),IF(((62+0.5)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(62+0.5)*(4*IF(circ_int,0,eq_c1/2)+4*IF(circ_int,0,eq_c2/2)+2*PI()*(s_0+9*s_r+IF(circ_int,eq_c1/2,0)))/INDEX(lk_legs,10))-(((((((2*IF(circ_int,0,eq_c2/2))+(PI()*(s_0+9*s_r+IF(circ_int,eq_c1/2,0))/2))+2*IF(circ_int,0,eq_c1/2))+(PI()*(s_0+9*s_r+IF(circ_int,eq_c1/2,0))/2))+2*IF(circ_int,0,eq_c2/2))+(PI()*(s_0+9*s_r+IF(circ_int,eq_c1/2,0))/2))+2*IF(circ_int,0,eq_c1/2)))/(s_0+9*s_r+IF(circ_int,eq_c1/2,0)))))))))),NA())</f>
        <v/>
      </c>
      <c r="DH65">
        <f>IF(AND(AND(links_on,11&lt;=n_per),INDEX(lk_kind,11)=1,62&lt;INDEX(lk_legs,11)),g_ox+IF(((62+0.5)*(4*IF(circ_int,0,eq_c1/2)+4*IF(circ_int,0,eq_c2/2)+2*PI()*(s_0+10*s_r+IF(circ_int,eq_c1/2,0)))/INDEX(lk_legs,11))&lt;(2*IF(circ_int,0,eq_c2/2)),IF(circ_int,0,eq_c1/2)+(s_0+10*s_r+IF(circ_int,eq_c1/2,0)),IF(((62+0.5)*(4*IF(circ_int,0,eq_c1/2)+4*IF(circ_int,0,eq_c2/2)+2*PI()*(s_0+10*s_r+IF(circ_int,eq_c1/2,0)))/INDEX(lk_legs,11))&lt;((2*IF(circ_int,0,eq_c2/2))+(PI()*(s_0+10*s_r+IF(circ_int,eq_c1/2,0))/2)),IF(circ_int,0,eq_c1/2)+(s_0+10*s_r+IF(circ_int,eq_c1/2,0))*COS((((62+0.5)*(4*IF(circ_int,0,eq_c1/2)+4*IF(circ_int,0,eq_c2/2)+2*PI()*(s_0+10*s_r+IF(circ_int,eq_c1/2,0)))/INDEX(lk_legs,11))-(2*IF(circ_int,0,eq_c2/2)))/(s_0+10*s_r+IF(circ_int,eq_c1/2,0))),IF(((62+0.5)*(4*IF(circ_int,0,eq_c1/2)+4*IF(circ_int,0,eq_c2/2)+2*PI()*(s_0+10*s_r+IF(circ_int,eq_c1/2,0)))/INDEX(lk_legs,11))&lt;(((2*IF(circ_int,0,eq_c2/2))+(PI()*(s_0+10*s_r+IF(circ_int,eq_c1/2,0))/2))+2*IF(circ_int,0,eq_c1/2)),IF(circ_int,0,eq_c1/2)-(((62+0.5)*(4*IF(circ_int,0,eq_c1/2)+4*IF(circ_int,0,eq_c2/2)+2*PI()*(s_0+10*s_r+IF(circ_int,eq_c1/2,0)))/INDEX(lk_legs,11))-((2*IF(circ_int,0,eq_c2/2))+(PI()*(s_0+10*s_r+IF(circ_int,eq_c1/2,0))/2))),IF(((62+0.5)*(4*IF(circ_int,0,eq_c1/2)+4*IF(circ_int,0,eq_c2/2)+2*PI()*(s_0+10*s_r+IF(circ_int,eq_c1/2,0)))/INDEX(lk_legs,11))&lt;((((2*IF(circ_int,0,eq_c2/2))+(PI()*(s_0+10*s_r+IF(circ_int,eq_c1/2,0))/2))+2*IF(circ_int,0,eq_c1/2))+(PI()*(s_0+10*s_r+IF(circ_int,eq_c1/2,0))/2)),-IF(circ_int,0,eq_c1/2)+(s_0+10*s_r+IF(circ_int,eq_c1/2,0))*COS(PI()/2+(((62+0.5)*(4*IF(circ_int,0,eq_c1/2)+4*IF(circ_int,0,eq_c2/2)+2*PI()*(s_0+10*s_r+IF(circ_int,eq_c1/2,0)))/INDEX(lk_legs,11))-(((2*IF(circ_int,0,eq_c2/2))+(PI()*(s_0+10*s_r+IF(circ_int,eq_c1/2,0))/2))+2*IF(circ_int,0,eq_c1/2)))/(s_0+10*s_r+IF(circ_int,eq_c1/2,0))),IF(((62+0.5)*(4*IF(circ_int,0,eq_c1/2)+4*IF(circ_int,0,eq_c2/2)+2*PI()*(s_0+10*s_r+IF(circ_int,eq_c1/2,0)))/INDEX(lk_legs,11))&lt;(((((2*IF(circ_int,0,eq_c2/2))+(PI()*(s_0+10*s_r+IF(circ_int,eq_c1/2,0))/2))+2*IF(circ_int,0,eq_c1/2))+(PI()*(s_0+10*s_r+IF(circ_int,eq_c1/2,0))/2))+2*IF(circ_int,0,eq_c2/2)),-IF(circ_int,0,eq_c1/2)-(s_0+10*s_r+IF(circ_int,eq_c1/2,0)),IF(((62+0.5)*(4*IF(circ_int,0,eq_c1/2)+4*IF(circ_int,0,eq_c2/2)+2*PI()*(s_0+10*s_r+IF(circ_int,eq_c1/2,0)))/INDEX(lk_legs,11))&lt;((((((2*IF(circ_int,0,eq_c2/2))+(PI()*(s_0+10*s_r+IF(circ_int,eq_c1/2,0))/2))+2*IF(circ_int,0,eq_c1/2))+(PI()*(s_0+10*s_r+IF(circ_int,eq_c1/2,0))/2))+2*IF(circ_int,0,eq_c2/2))+(PI()*(s_0+10*s_r+IF(circ_int,eq_c1/2,0))/2)),-IF(circ_int,0,eq_c1/2)+(s_0+10*s_r+IF(circ_int,eq_c1/2,0))*COS(PI()+(((62+0.5)*(4*IF(circ_int,0,eq_c1/2)+4*IF(circ_int,0,eq_c2/2)+2*PI()*(s_0+10*s_r+IF(circ_int,eq_c1/2,0)))/INDEX(lk_legs,11))-(((((2*IF(circ_int,0,eq_c2/2))+(PI()*(s_0+10*s_r+IF(circ_int,eq_c1/2,0))/2))+2*IF(circ_int,0,eq_c1/2))+(PI()*(s_0+10*s_r+IF(circ_int,eq_c1/2,0))/2))+2*IF(circ_int,0,eq_c2/2)))/(s_0+10*s_r+IF(circ_int,eq_c1/2,0))),IF(((62+0.5)*(4*IF(circ_int,0,eq_c1/2)+4*IF(circ_int,0,eq_c2/2)+2*PI()*(s_0+10*s_r+IF(circ_int,eq_c1/2,0)))/INDEX(lk_legs,11))&lt;(((((((2*IF(circ_int,0,eq_c2/2))+(PI()*(s_0+10*s_r+IF(circ_int,eq_c1/2,0))/2))+2*IF(circ_int,0,eq_c1/2))+(PI()*(s_0+10*s_r+IF(circ_int,eq_c1/2,0))/2))+2*IF(circ_int,0,eq_c2/2))+(PI()*(s_0+10*s_r+IF(circ_int,eq_c1/2,0))/2))+2*IF(circ_int,0,eq_c1/2)),-IF(circ_int,0,eq_c1/2)+(((62+0.5)*(4*IF(circ_int,0,eq_c1/2)+4*IF(circ_int,0,eq_c2/2)+2*PI()*(s_0+10*s_r+IF(circ_int,eq_c1/2,0)))/INDEX(lk_legs,11))-((((((2*IF(circ_int,0,eq_c2/2))+(PI()*(s_0+10*s_r+IF(circ_int,eq_c1/2,0))/2))+2*IF(circ_int,0,eq_c1/2))+(PI()*(s_0+10*s_r+IF(circ_int,eq_c1/2,0))/2))+2*IF(circ_int,0,eq_c2/2))+(PI()*(s_0+10*s_r+IF(circ_int,eq_c1/2,0))/2))),IF(circ_int,0,eq_c1/2)+(s_0+10*s_r+IF(circ_int,eq_c1/2,0))*COS(3*PI()/2+(((62+0.5)*(4*IF(circ_int,0,eq_c1/2)+4*IF(circ_int,0,eq_c2/2)+2*PI()*(s_0+10*s_r+IF(circ_int,eq_c1/2,0)))/INDEX(lk_legs,11))-(((((((2*IF(circ_int,0,eq_c2/2))+(PI()*(s_0+10*s_r+IF(circ_int,eq_c1/2,0))/2))+2*IF(circ_int,0,eq_c1/2))+(PI()*(s_0+10*s_r+IF(circ_int,eq_c1/2,0))/2))+2*IF(circ_int,0,eq_c2/2))+(PI()*(s_0+10*s_r+IF(circ_int,eq_c1/2,0))/2))+2*IF(circ_int,0,eq_c1/2)))/(s_0+10*s_r+IF(circ_int,eq_c1/2,0)))))))))),NA())</f>
        <v/>
      </c>
      <c r="DI65">
        <f>IF(AND(AND(links_on,11&lt;=n_per),INDEX(lk_kind,11)=1,62&lt;INDEX(lk_legs,11)),g_oy+IF(((62+0.5)*(4*IF(circ_int,0,eq_c1/2)+4*IF(circ_int,0,eq_c2/2)+2*PI()*(s_0+10*s_r+IF(circ_int,eq_c1/2,0)))/INDEX(lk_legs,11))&lt;(2*IF(circ_int,0,eq_c2/2)),-IF(circ_int,0,eq_c2/2)+((62+0.5)*(4*IF(circ_int,0,eq_c1/2)+4*IF(circ_int,0,eq_c2/2)+2*PI()*(s_0+10*s_r+IF(circ_int,eq_c1/2,0)))/INDEX(lk_legs,11)),IF(((62+0.5)*(4*IF(circ_int,0,eq_c1/2)+4*IF(circ_int,0,eq_c2/2)+2*PI()*(s_0+10*s_r+IF(circ_int,eq_c1/2,0)))/INDEX(lk_legs,11))&lt;((2*IF(circ_int,0,eq_c2/2))+(PI()*(s_0+10*s_r+IF(circ_int,eq_c1/2,0))/2)),IF(circ_int,0,eq_c2/2)+(s_0+10*s_r+IF(circ_int,eq_c1/2,0))*SIN((((62+0.5)*(4*IF(circ_int,0,eq_c1/2)+4*IF(circ_int,0,eq_c2/2)+2*PI()*(s_0+10*s_r+IF(circ_int,eq_c1/2,0)))/INDEX(lk_legs,11))-(2*IF(circ_int,0,eq_c2/2)))/(s_0+10*s_r+IF(circ_int,eq_c1/2,0))),IF(((62+0.5)*(4*IF(circ_int,0,eq_c1/2)+4*IF(circ_int,0,eq_c2/2)+2*PI()*(s_0+10*s_r+IF(circ_int,eq_c1/2,0)))/INDEX(lk_legs,11))&lt;(((2*IF(circ_int,0,eq_c2/2))+(PI()*(s_0+10*s_r+IF(circ_int,eq_c1/2,0))/2))+2*IF(circ_int,0,eq_c1/2)),IF(circ_int,0,eq_c2/2)+(s_0+10*s_r+IF(circ_int,eq_c1/2,0)),IF(((62+0.5)*(4*IF(circ_int,0,eq_c1/2)+4*IF(circ_int,0,eq_c2/2)+2*PI()*(s_0+10*s_r+IF(circ_int,eq_c1/2,0)))/INDEX(lk_legs,11))&lt;((((2*IF(circ_int,0,eq_c2/2))+(PI()*(s_0+10*s_r+IF(circ_int,eq_c1/2,0))/2))+2*IF(circ_int,0,eq_c1/2))+(PI()*(s_0+10*s_r+IF(circ_int,eq_c1/2,0))/2)),IF(circ_int,0,eq_c2/2)+(s_0+10*s_r+IF(circ_int,eq_c1/2,0))*SIN(PI()/2+(((62+0.5)*(4*IF(circ_int,0,eq_c1/2)+4*IF(circ_int,0,eq_c2/2)+2*PI()*(s_0+10*s_r+IF(circ_int,eq_c1/2,0)))/INDEX(lk_legs,11))-(((2*IF(circ_int,0,eq_c2/2))+(PI()*(s_0+10*s_r+IF(circ_int,eq_c1/2,0))/2))+2*IF(circ_int,0,eq_c1/2)))/(s_0+10*s_r+IF(circ_int,eq_c1/2,0))),IF(((62+0.5)*(4*IF(circ_int,0,eq_c1/2)+4*IF(circ_int,0,eq_c2/2)+2*PI()*(s_0+10*s_r+IF(circ_int,eq_c1/2,0)))/INDEX(lk_legs,11))&lt;(((((2*IF(circ_int,0,eq_c2/2))+(PI()*(s_0+10*s_r+IF(circ_int,eq_c1/2,0))/2))+2*IF(circ_int,0,eq_c1/2))+(PI()*(s_0+10*s_r+IF(circ_int,eq_c1/2,0))/2))+2*IF(circ_int,0,eq_c2/2)),IF(circ_int,0,eq_c2/2)-(((62+0.5)*(4*IF(circ_int,0,eq_c1/2)+4*IF(circ_int,0,eq_c2/2)+2*PI()*(s_0+10*s_r+IF(circ_int,eq_c1/2,0)))/INDEX(lk_legs,11))-((((2*IF(circ_int,0,eq_c2/2))+(PI()*(s_0+10*s_r+IF(circ_int,eq_c1/2,0))/2))+2*IF(circ_int,0,eq_c1/2))+(PI()*(s_0+10*s_r+IF(circ_int,eq_c1/2,0))/2))),IF(((62+0.5)*(4*IF(circ_int,0,eq_c1/2)+4*IF(circ_int,0,eq_c2/2)+2*PI()*(s_0+10*s_r+IF(circ_int,eq_c1/2,0)))/INDEX(lk_legs,11))&lt;((((((2*IF(circ_int,0,eq_c2/2))+(PI()*(s_0+10*s_r+IF(circ_int,eq_c1/2,0))/2))+2*IF(circ_int,0,eq_c1/2))+(PI()*(s_0+10*s_r+IF(circ_int,eq_c1/2,0))/2))+2*IF(circ_int,0,eq_c2/2))+(PI()*(s_0+10*s_r+IF(circ_int,eq_c1/2,0))/2)),-IF(circ_int,0,eq_c2/2)+(s_0+10*s_r+IF(circ_int,eq_c1/2,0))*SIN(PI()+(((62+0.5)*(4*IF(circ_int,0,eq_c1/2)+4*IF(circ_int,0,eq_c2/2)+2*PI()*(s_0+10*s_r+IF(circ_int,eq_c1/2,0)))/INDEX(lk_legs,11))-(((((2*IF(circ_int,0,eq_c2/2))+(PI()*(s_0+10*s_r+IF(circ_int,eq_c1/2,0))/2))+2*IF(circ_int,0,eq_c1/2))+(PI()*(s_0+10*s_r+IF(circ_int,eq_c1/2,0))/2))+2*IF(circ_int,0,eq_c2/2)))/(s_0+10*s_r+IF(circ_int,eq_c1/2,0))),IF(((62+0.5)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(62+0.5)*(4*IF(circ_int,0,eq_c1/2)+4*IF(circ_int,0,eq_c2/2)+2*PI()*(s_0+10*s_r+IF(circ_int,eq_c1/2,0)))/INDEX(lk_legs,11))-(((((((2*IF(circ_int,0,eq_c2/2))+(PI()*(s_0+10*s_r+IF(circ_int,eq_c1/2,0))/2))+2*IF(circ_int,0,eq_c1/2))+(PI()*(s_0+10*s_r+IF(circ_int,eq_c1/2,0))/2))+2*IF(circ_int,0,eq_c2/2))+(PI()*(s_0+10*s_r+IF(circ_int,eq_c1/2,0))/2))+2*IF(circ_int,0,eq_c1/2)))/(s_0+10*s_r+IF(circ_int,eq_c1/2,0)))))))))),NA())</f>
        <v/>
      </c>
      <c r="DN65">
        <f>IF(AND(AND(links_on,12&lt;=n_per),INDEX(lk_kind,12)=1,62&lt;INDEX(lk_legs,12)),g_ox+IF(((62+0.5)*(4*IF(circ_int,0,eq_c1/2)+4*IF(circ_int,0,eq_c2/2)+2*PI()*(s_0+11*s_r+IF(circ_int,eq_c1/2,0)))/INDEX(lk_legs,12))&lt;(2*IF(circ_int,0,eq_c2/2)),IF(circ_int,0,eq_c1/2)+(s_0+11*s_r+IF(circ_int,eq_c1/2,0)),IF(((62+0.5)*(4*IF(circ_int,0,eq_c1/2)+4*IF(circ_int,0,eq_c2/2)+2*PI()*(s_0+11*s_r+IF(circ_int,eq_c1/2,0)))/INDEX(lk_legs,12))&lt;((2*IF(circ_int,0,eq_c2/2))+(PI()*(s_0+11*s_r+IF(circ_int,eq_c1/2,0))/2)),IF(circ_int,0,eq_c1/2)+(s_0+11*s_r+IF(circ_int,eq_c1/2,0))*COS((((62+0.5)*(4*IF(circ_int,0,eq_c1/2)+4*IF(circ_int,0,eq_c2/2)+2*PI()*(s_0+11*s_r+IF(circ_int,eq_c1/2,0)))/INDEX(lk_legs,12))-(2*IF(circ_int,0,eq_c2/2)))/(s_0+11*s_r+IF(circ_int,eq_c1/2,0))),IF(((62+0.5)*(4*IF(circ_int,0,eq_c1/2)+4*IF(circ_int,0,eq_c2/2)+2*PI()*(s_0+11*s_r+IF(circ_int,eq_c1/2,0)))/INDEX(lk_legs,12))&lt;(((2*IF(circ_int,0,eq_c2/2))+(PI()*(s_0+11*s_r+IF(circ_int,eq_c1/2,0))/2))+2*IF(circ_int,0,eq_c1/2)),IF(circ_int,0,eq_c1/2)-(((62+0.5)*(4*IF(circ_int,0,eq_c1/2)+4*IF(circ_int,0,eq_c2/2)+2*PI()*(s_0+11*s_r+IF(circ_int,eq_c1/2,0)))/INDEX(lk_legs,12))-((2*IF(circ_int,0,eq_c2/2))+(PI()*(s_0+11*s_r+IF(circ_int,eq_c1/2,0))/2))),IF(((62+0.5)*(4*IF(circ_int,0,eq_c1/2)+4*IF(circ_int,0,eq_c2/2)+2*PI()*(s_0+11*s_r+IF(circ_int,eq_c1/2,0)))/INDEX(lk_legs,12))&lt;((((2*IF(circ_int,0,eq_c2/2))+(PI()*(s_0+11*s_r+IF(circ_int,eq_c1/2,0))/2))+2*IF(circ_int,0,eq_c1/2))+(PI()*(s_0+11*s_r+IF(circ_int,eq_c1/2,0))/2)),-IF(circ_int,0,eq_c1/2)+(s_0+11*s_r+IF(circ_int,eq_c1/2,0))*COS(PI()/2+(((62+0.5)*(4*IF(circ_int,0,eq_c1/2)+4*IF(circ_int,0,eq_c2/2)+2*PI()*(s_0+11*s_r+IF(circ_int,eq_c1/2,0)))/INDEX(lk_legs,12))-(((2*IF(circ_int,0,eq_c2/2))+(PI()*(s_0+11*s_r+IF(circ_int,eq_c1/2,0))/2))+2*IF(circ_int,0,eq_c1/2)))/(s_0+11*s_r+IF(circ_int,eq_c1/2,0))),IF(((62+0.5)*(4*IF(circ_int,0,eq_c1/2)+4*IF(circ_int,0,eq_c2/2)+2*PI()*(s_0+11*s_r+IF(circ_int,eq_c1/2,0)))/INDEX(lk_legs,12))&lt;(((((2*IF(circ_int,0,eq_c2/2))+(PI()*(s_0+11*s_r+IF(circ_int,eq_c1/2,0))/2))+2*IF(circ_int,0,eq_c1/2))+(PI()*(s_0+11*s_r+IF(circ_int,eq_c1/2,0))/2))+2*IF(circ_int,0,eq_c2/2)),-IF(circ_int,0,eq_c1/2)-(s_0+11*s_r+IF(circ_int,eq_c1/2,0)),IF(((62+0.5)*(4*IF(circ_int,0,eq_c1/2)+4*IF(circ_int,0,eq_c2/2)+2*PI()*(s_0+11*s_r+IF(circ_int,eq_c1/2,0)))/INDEX(lk_legs,12))&lt;((((((2*IF(circ_int,0,eq_c2/2))+(PI()*(s_0+11*s_r+IF(circ_int,eq_c1/2,0))/2))+2*IF(circ_int,0,eq_c1/2))+(PI()*(s_0+11*s_r+IF(circ_int,eq_c1/2,0))/2))+2*IF(circ_int,0,eq_c2/2))+(PI()*(s_0+11*s_r+IF(circ_int,eq_c1/2,0))/2)),-IF(circ_int,0,eq_c1/2)+(s_0+11*s_r+IF(circ_int,eq_c1/2,0))*COS(PI()+(((62+0.5)*(4*IF(circ_int,0,eq_c1/2)+4*IF(circ_int,0,eq_c2/2)+2*PI()*(s_0+11*s_r+IF(circ_int,eq_c1/2,0)))/INDEX(lk_legs,12))-(((((2*IF(circ_int,0,eq_c2/2))+(PI()*(s_0+11*s_r+IF(circ_int,eq_c1/2,0))/2))+2*IF(circ_int,0,eq_c1/2))+(PI()*(s_0+11*s_r+IF(circ_int,eq_c1/2,0))/2))+2*IF(circ_int,0,eq_c2/2)))/(s_0+11*s_r+IF(circ_int,eq_c1/2,0))),IF(((62+0.5)*(4*IF(circ_int,0,eq_c1/2)+4*IF(circ_int,0,eq_c2/2)+2*PI()*(s_0+11*s_r+IF(circ_int,eq_c1/2,0)))/INDEX(lk_legs,12))&lt;(((((((2*IF(circ_int,0,eq_c2/2))+(PI()*(s_0+11*s_r+IF(circ_int,eq_c1/2,0))/2))+2*IF(circ_int,0,eq_c1/2))+(PI()*(s_0+11*s_r+IF(circ_int,eq_c1/2,0))/2))+2*IF(circ_int,0,eq_c2/2))+(PI()*(s_0+11*s_r+IF(circ_int,eq_c1/2,0))/2))+2*IF(circ_int,0,eq_c1/2)),-IF(circ_int,0,eq_c1/2)+(((62+0.5)*(4*IF(circ_int,0,eq_c1/2)+4*IF(circ_int,0,eq_c2/2)+2*PI()*(s_0+11*s_r+IF(circ_int,eq_c1/2,0)))/INDEX(lk_legs,12))-((((((2*IF(circ_int,0,eq_c2/2))+(PI()*(s_0+11*s_r+IF(circ_int,eq_c1/2,0))/2))+2*IF(circ_int,0,eq_c1/2))+(PI()*(s_0+11*s_r+IF(circ_int,eq_c1/2,0))/2))+2*IF(circ_int,0,eq_c2/2))+(PI()*(s_0+11*s_r+IF(circ_int,eq_c1/2,0))/2))),IF(circ_int,0,eq_c1/2)+(s_0+11*s_r+IF(circ_int,eq_c1/2,0))*COS(3*PI()/2+(((62+0.5)*(4*IF(circ_int,0,eq_c1/2)+4*IF(circ_int,0,eq_c2/2)+2*PI()*(s_0+11*s_r+IF(circ_int,eq_c1/2,0)))/INDEX(lk_legs,12))-(((((((2*IF(circ_int,0,eq_c2/2))+(PI()*(s_0+11*s_r+IF(circ_int,eq_c1/2,0))/2))+2*IF(circ_int,0,eq_c1/2))+(PI()*(s_0+11*s_r+IF(circ_int,eq_c1/2,0))/2))+2*IF(circ_int,0,eq_c2/2))+(PI()*(s_0+11*s_r+IF(circ_int,eq_c1/2,0))/2))+2*IF(circ_int,0,eq_c1/2)))/(s_0+11*s_r+IF(circ_int,eq_c1/2,0)))))))))),NA())</f>
        <v/>
      </c>
      <c r="DO65">
        <f>IF(AND(AND(links_on,12&lt;=n_per),INDEX(lk_kind,12)=1,62&lt;INDEX(lk_legs,12)),g_oy+IF(((62+0.5)*(4*IF(circ_int,0,eq_c1/2)+4*IF(circ_int,0,eq_c2/2)+2*PI()*(s_0+11*s_r+IF(circ_int,eq_c1/2,0)))/INDEX(lk_legs,12))&lt;(2*IF(circ_int,0,eq_c2/2)),-IF(circ_int,0,eq_c2/2)+((62+0.5)*(4*IF(circ_int,0,eq_c1/2)+4*IF(circ_int,0,eq_c2/2)+2*PI()*(s_0+11*s_r+IF(circ_int,eq_c1/2,0)))/INDEX(lk_legs,12)),IF(((62+0.5)*(4*IF(circ_int,0,eq_c1/2)+4*IF(circ_int,0,eq_c2/2)+2*PI()*(s_0+11*s_r+IF(circ_int,eq_c1/2,0)))/INDEX(lk_legs,12))&lt;((2*IF(circ_int,0,eq_c2/2))+(PI()*(s_0+11*s_r+IF(circ_int,eq_c1/2,0))/2)),IF(circ_int,0,eq_c2/2)+(s_0+11*s_r+IF(circ_int,eq_c1/2,0))*SIN((((62+0.5)*(4*IF(circ_int,0,eq_c1/2)+4*IF(circ_int,0,eq_c2/2)+2*PI()*(s_0+11*s_r+IF(circ_int,eq_c1/2,0)))/INDEX(lk_legs,12))-(2*IF(circ_int,0,eq_c2/2)))/(s_0+11*s_r+IF(circ_int,eq_c1/2,0))),IF(((62+0.5)*(4*IF(circ_int,0,eq_c1/2)+4*IF(circ_int,0,eq_c2/2)+2*PI()*(s_0+11*s_r+IF(circ_int,eq_c1/2,0)))/INDEX(lk_legs,12))&lt;(((2*IF(circ_int,0,eq_c2/2))+(PI()*(s_0+11*s_r+IF(circ_int,eq_c1/2,0))/2))+2*IF(circ_int,0,eq_c1/2)),IF(circ_int,0,eq_c2/2)+(s_0+11*s_r+IF(circ_int,eq_c1/2,0)),IF(((62+0.5)*(4*IF(circ_int,0,eq_c1/2)+4*IF(circ_int,0,eq_c2/2)+2*PI()*(s_0+11*s_r+IF(circ_int,eq_c1/2,0)))/INDEX(lk_legs,12))&lt;((((2*IF(circ_int,0,eq_c2/2))+(PI()*(s_0+11*s_r+IF(circ_int,eq_c1/2,0))/2))+2*IF(circ_int,0,eq_c1/2))+(PI()*(s_0+11*s_r+IF(circ_int,eq_c1/2,0))/2)),IF(circ_int,0,eq_c2/2)+(s_0+11*s_r+IF(circ_int,eq_c1/2,0))*SIN(PI()/2+(((62+0.5)*(4*IF(circ_int,0,eq_c1/2)+4*IF(circ_int,0,eq_c2/2)+2*PI()*(s_0+11*s_r+IF(circ_int,eq_c1/2,0)))/INDEX(lk_legs,12))-(((2*IF(circ_int,0,eq_c2/2))+(PI()*(s_0+11*s_r+IF(circ_int,eq_c1/2,0))/2))+2*IF(circ_int,0,eq_c1/2)))/(s_0+11*s_r+IF(circ_int,eq_c1/2,0))),IF(((62+0.5)*(4*IF(circ_int,0,eq_c1/2)+4*IF(circ_int,0,eq_c2/2)+2*PI()*(s_0+11*s_r+IF(circ_int,eq_c1/2,0)))/INDEX(lk_legs,12))&lt;(((((2*IF(circ_int,0,eq_c2/2))+(PI()*(s_0+11*s_r+IF(circ_int,eq_c1/2,0))/2))+2*IF(circ_int,0,eq_c1/2))+(PI()*(s_0+11*s_r+IF(circ_int,eq_c1/2,0))/2))+2*IF(circ_int,0,eq_c2/2)),IF(circ_int,0,eq_c2/2)-(((62+0.5)*(4*IF(circ_int,0,eq_c1/2)+4*IF(circ_int,0,eq_c2/2)+2*PI()*(s_0+11*s_r+IF(circ_int,eq_c1/2,0)))/INDEX(lk_legs,12))-((((2*IF(circ_int,0,eq_c2/2))+(PI()*(s_0+11*s_r+IF(circ_int,eq_c1/2,0))/2))+2*IF(circ_int,0,eq_c1/2))+(PI()*(s_0+11*s_r+IF(circ_int,eq_c1/2,0))/2))),IF(((62+0.5)*(4*IF(circ_int,0,eq_c1/2)+4*IF(circ_int,0,eq_c2/2)+2*PI()*(s_0+11*s_r+IF(circ_int,eq_c1/2,0)))/INDEX(lk_legs,12))&lt;((((((2*IF(circ_int,0,eq_c2/2))+(PI()*(s_0+11*s_r+IF(circ_int,eq_c1/2,0))/2))+2*IF(circ_int,0,eq_c1/2))+(PI()*(s_0+11*s_r+IF(circ_int,eq_c1/2,0))/2))+2*IF(circ_int,0,eq_c2/2))+(PI()*(s_0+11*s_r+IF(circ_int,eq_c1/2,0))/2)),-IF(circ_int,0,eq_c2/2)+(s_0+11*s_r+IF(circ_int,eq_c1/2,0))*SIN(PI()+(((62+0.5)*(4*IF(circ_int,0,eq_c1/2)+4*IF(circ_int,0,eq_c2/2)+2*PI()*(s_0+11*s_r+IF(circ_int,eq_c1/2,0)))/INDEX(lk_legs,12))-(((((2*IF(circ_int,0,eq_c2/2))+(PI()*(s_0+11*s_r+IF(circ_int,eq_c1/2,0))/2))+2*IF(circ_int,0,eq_c1/2))+(PI()*(s_0+11*s_r+IF(circ_int,eq_c1/2,0))/2))+2*IF(circ_int,0,eq_c2/2)))/(s_0+11*s_r+IF(circ_int,eq_c1/2,0))),IF(((62+0.5)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(62+0.5)*(4*IF(circ_int,0,eq_c1/2)+4*IF(circ_int,0,eq_c2/2)+2*PI()*(s_0+11*s_r+IF(circ_int,eq_c1/2,0)))/INDEX(lk_legs,12))-(((((((2*IF(circ_int,0,eq_c2/2))+(PI()*(s_0+11*s_r+IF(circ_int,eq_c1/2,0))/2))+2*IF(circ_int,0,eq_c1/2))+(PI()*(s_0+11*s_r+IF(circ_int,eq_c1/2,0))/2))+2*IF(circ_int,0,eq_c2/2))+(PI()*(s_0+11*s_r+IF(circ_int,eq_c1/2,0))/2))+2*IF(circ_int,0,eq_c1/2)))/(s_0+11*s_r+IF(circ_int,eq_c1/2,0)))))))))),NA())</f>
        <v/>
      </c>
    </row>
    <row r="66">
      <c r="AZ66">
        <f>IF(AND(AND(links_on,1&lt;=n_per),INDEX(lk_kind,1)=1,63&lt;INDEX(lk_legs,1)),g_ox+IF(((63+0.5)*(4*IF(circ_int,0,eq_c1/2)+4*IF(circ_int,0,eq_c2/2)+2*PI()*(s_0+0*s_r+IF(circ_int,eq_c1/2,0)))/INDEX(lk_legs,1))&lt;(2*IF(circ_int,0,eq_c2/2)),IF(circ_int,0,eq_c1/2)+(s_0+0*s_r+IF(circ_int,eq_c1/2,0)),IF(((63+0.5)*(4*IF(circ_int,0,eq_c1/2)+4*IF(circ_int,0,eq_c2/2)+2*PI()*(s_0+0*s_r+IF(circ_int,eq_c1/2,0)))/INDEX(lk_legs,1))&lt;((2*IF(circ_int,0,eq_c2/2))+(PI()*(s_0+0*s_r+IF(circ_int,eq_c1/2,0))/2)),IF(circ_int,0,eq_c1/2)+(s_0+0*s_r+IF(circ_int,eq_c1/2,0))*COS((((63+0.5)*(4*IF(circ_int,0,eq_c1/2)+4*IF(circ_int,0,eq_c2/2)+2*PI()*(s_0+0*s_r+IF(circ_int,eq_c1/2,0)))/INDEX(lk_legs,1))-(2*IF(circ_int,0,eq_c2/2)))/(s_0+0*s_r+IF(circ_int,eq_c1/2,0))),IF(((63+0.5)*(4*IF(circ_int,0,eq_c1/2)+4*IF(circ_int,0,eq_c2/2)+2*PI()*(s_0+0*s_r+IF(circ_int,eq_c1/2,0)))/INDEX(lk_legs,1))&lt;(((2*IF(circ_int,0,eq_c2/2))+(PI()*(s_0+0*s_r+IF(circ_int,eq_c1/2,0))/2))+2*IF(circ_int,0,eq_c1/2)),IF(circ_int,0,eq_c1/2)-(((63+0.5)*(4*IF(circ_int,0,eq_c1/2)+4*IF(circ_int,0,eq_c2/2)+2*PI()*(s_0+0*s_r+IF(circ_int,eq_c1/2,0)))/INDEX(lk_legs,1))-((2*IF(circ_int,0,eq_c2/2))+(PI()*(s_0+0*s_r+IF(circ_int,eq_c1/2,0))/2))),IF(((63+0.5)*(4*IF(circ_int,0,eq_c1/2)+4*IF(circ_int,0,eq_c2/2)+2*PI()*(s_0+0*s_r+IF(circ_int,eq_c1/2,0)))/INDEX(lk_legs,1))&lt;((((2*IF(circ_int,0,eq_c2/2))+(PI()*(s_0+0*s_r+IF(circ_int,eq_c1/2,0))/2))+2*IF(circ_int,0,eq_c1/2))+(PI()*(s_0+0*s_r+IF(circ_int,eq_c1/2,0))/2)),-IF(circ_int,0,eq_c1/2)+(s_0+0*s_r+IF(circ_int,eq_c1/2,0))*COS(PI()/2+(((63+0.5)*(4*IF(circ_int,0,eq_c1/2)+4*IF(circ_int,0,eq_c2/2)+2*PI()*(s_0+0*s_r+IF(circ_int,eq_c1/2,0)))/INDEX(lk_legs,1))-(((2*IF(circ_int,0,eq_c2/2))+(PI()*(s_0+0*s_r+IF(circ_int,eq_c1/2,0))/2))+2*IF(circ_int,0,eq_c1/2)))/(s_0+0*s_r+IF(circ_int,eq_c1/2,0))),IF(((63+0.5)*(4*IF(circ_int,0,eq_c1/2)+4*IF(circ_int,0,eq_c2/2)+2*PI()*(s_0+0*s_r+IF(circ_int,eq_c1/2,0)))/INDEX(lk_legs,1))&lt;(((((2*IF(circ_int,0,eq_c2/2))+(PI()*(s_0+0*s_r+IF(circ_int,eq_c1/2,0))/2))+2*IF(circ_int,0,eq_c1/2))+(PI()*(s_0+0*s_r+IF(circ_int,eq_c1/2,0))/2))+2*IF(circ_int,0,eq_c2/2)),-IF(circ_int,0,eq_c1/2)-(s_0+0*s_r+IF(circ_int,eq_c1/2,0)),IF(((63+0.5)*(4*IF(circ_int,0,eq_c1/2)+4*IF(circ_int,0,eq_c2/2)+2*PI()*(s_0+0*s_r+IF(circ_int,eq_c1/2,0)))/INDEX(lk_legs,1))&lt;((((((2*IF(circ_int,0,eq_c2/2))+(PI()*(s_0+0*s_r+IF(circ_int,eq_c1/2,0))/2))+2*IF(circ_int,0,eq_c1/2))+(PI()*(s_0+0*s_r+IF(circ_int,eq_c1/2,0))/2))+2*IF(circ_int,0,eq_c2/2))+(PI()*(s_0+0*s_r+IF(circ_int,eq_c1/2,0))/2)),-IF(circ_int,0,eq_c1/2)+(s_0+0*s_r+IF(circ_int,eq_c1/2,0))*COS(PI()+(((63+0.5)*(4*IF(circ_int,0,eq_c1/2)+4*IF(circ_int,0,eq_c2/2)+2*PI()*(s_0+0*s_r+IF(circ_int,eq_c1/2,0)))/INDEX(lk_legs,1))-(((((2*IF(circ_int,0,eq_c2/2))+(PI()*(s_0+0*s_r+IF(circ_int,eq_c1/2,0))/2))+2*IF(circ_int,0,eq_c1/2))+(PI()*(s_0+0*s_r+IF(circ_int,eq_c1/2,0))/2))+2*IF(circ_int,0,eq_c2/2)))/(s_0+0*s_r+IF(circ_int,eq_c1/2,0))),IF(((63+0.5)*(4*IF(circ_int,0,eq_c1/2)+4*IF(circ_int,0,eq_c2/2)+2*PI()*(s_0+0*s_r+IF(circ_int,eq_c1/2,0)))/INDEX(lk_legs,1))&lt;(((((((2*IF(circ_int,0,eq_c2/2))+(PI()*(s_0+0*s_r+IF(circ_int,eq_c1/2,0))/2))+2*IF(circ_int,0,eq_c1/2))+(PI()*(s_0+0*s_r+IF(circ_int,eq_c1/2,0))/2))+2*IF(circ_int,0,eq_c2/2))+(PI()*(s_0+0*s_r+IF(circ_int,eq_c1/2,0))/2))+2*IF(circ_int,0,eq_c1/2)),-IF(circ_int,0,eq_c1/2)+(((63+0.5)*(4*IF(circ_int,0,eq_c1/2)+4*IF(circ_int,0,eq_c2/2)+2*PI()*(s_0+0*s_r+IF(circ_int,eq_c1/2,0)))/INDEX(lk_legs,1))-((((((2*IF(circ_int,0,eq_c2/2))+(PI()*(s_0+0*s_r+IF(circ_int,eq_c1/2,0))/2))+2*IF(circ_int,0,eq_c1/2))+(PI()*(s_0+0*s_r+IF(circ_int,eq_c1/2,0))/2))+2*IF(circ_int,0,eq_c2/2))+(PI()*(s_0+0*s_r+IF(circ_int,eq_c1/2,0))/2))),IF(circ_int,0,eq_c1/2)+(s_0+0*s_r+IF(circ_int,eq_c1/2,0))*COS(3*PI()/2+(((63+0.5)*(4*IF(circ_int,0,eq_c1/2)+4*IF(circ_int,0,eq_c2/2)+2*PI()*(s_0+0*s_r+IF(circ_int,eq_c1/2,0)))/INDEX(lk_legs,1))-(((((((2*IF(circ_int,0,eq_c2/2))+(PI()*(s_0+0*s_r+IF(circ_int,eq_c1/2,0))/2))+2*IF(circ_int,0,eq_c1/2))+(PI()*(s_0+0*s_r+IF(circ_int,eq_c1/2,0))/2))+2*IF(circ_int,0,eq_c2/2))+(PI()*(s_0+0*s_r+IF(circ_int,eq_c1/2,0))/2))+2*IF(circ_int,0,eq_c1/2)))/(s_0+0*s_r+IF(circ_int,eq_c1/2,0)))))))))),NA())</f>
        <v/>
      </c>
      <c r="BA66">
        <f>IF(AND(AND(links_on,1&lt;=n_per),INDEX(lk_kind,1)=1,63&lt;INDEX(lk_legs,1)),g_oy+IF(((63+0.5)*(4*IF(circ_int,0,eq_c1/2)+4*IF(circ_int,0,eq_c2/2)+2*PI()*(s_0+0*s_r+IF(circ_int,eq_c1/2,0)))/INDEX(lk_legs,1))&lt;(2*IF(circ_int,0,eq_c2/2)),-IF(circ_int,0,eq_c2/2)+((63+0.5)*(4*IF(circ_int,0,eq_c1/2)+4*IF(circ_int,0,eq_c2/2)+2*PI()*(s_0+0*s_r+IF(circ_int,eq_c1/2,0)))/INDEX(lk_legs,1)),IF(((63+0.5)*(4*IF(circ_int,0,eq_c1/2)+4*IF(circ_int,0,eq_c2/2)+2*PI()*(s_0+0*s_r+IF(circ_int,eq_c1/2,0)))/INDEX(lk_legs,1))&lt;((2*IF(circ_int,0,eq_c2/2))+(PI()*(s_0+0*s_r+IF(circ_int,eq_c1/2,0))/2)),IF(circ_int,0,eq_c2/2)+(s_0+0*s_r+IF(circ_int,eq_c1/2,0))*SIN((((63+0.5)*(4*IF(circ_int,0,eq_c1/2)+4*IF(circ_int,0,eq_c2/2)+2*PI()*(s_0+0*s_r+IF(circ_int,eq_c1/2,0)))/INDEX(lk_legs,1))-(2*IF(circ_int,0,eq_c2/2)))/(s_0+0*s_r+IF(circ_int,eq_c1/2,0))),IF(((63+0.5)*(4*IF(circ_int,0,eq_c1/2)+4*IF(circ_int,0,eq_c2/2)+2*PI()*(s_0+0*s_r+IF(circ_int,eq_c1/2,0)))/INDEX(lk_legs,1))&lt;(((2*IF(circ_int,0,eq_c2/2))+(PI()*(s_0+0*s_r+IF(circ_int,eq_c1/2,0))/2))+2*IF(circ_int,0,eq_c1/2)),IF(circ_int,0,eq_c2/2)+(s_0+0*s_r+IF(circ_int,eq_c1/2,0)),IF(((63+0.5)*(4*IF(circ_int,0,eq_c1/2)+4*IF(circ_int,0,eq_c2/2)+2*PI()*(s_0+0*s_r+IF(circ_int,eq_c1/2,0)))/INDEX(lk_legs,1))&lt;((((2*IF(circ_int,0,eq_c2/2))+(PI()*(s_0+0*s_r+IF(circ_int,eq_c1/2,0))/2))+2*IF(circ_int,0,eq_c1/2))+(PI()*(s_0+0*s_r+IF(circ_int,eq_c1/2,0))/2)),IF(circ_int,0,eq_c2/2)+(s_0+0*s_r+IF(circ_int,eq_c1/2,0))*SIN(PI()/2+(((63+0.5)*(4*IF(circ_int,0,eq_c1/2)+4*IF(circ_int,0,eq_c2/2)+2*PI()*(s_0+0*s_r+IF(circ_int,eq_c1/2,0)))/INDEX(lk_legs,1))-(((2*IF(circ_int,0,eq_c2/2))+(PI()*(s_0+0*s_r+IF(circ_int,eq_c1/2,0))/2))+2*IF(circ_int,0,eq_c1/2)))/(s_0+0*s_r+IF(circ_int,eq_c1/2,0))),IF(((63+0.5)*(4*IF(circ_int,0,eq_c1/2)+4*IF(circ_int,0,eq_c2/2)+2*PI()*(s_0+0*s_r+IF(circ_int,eq_c1/2,0)))/INDEX(lk_legs,1))&lt;(((((2*IF(circ_int,0,eq_c2/2))+(PI()*(s_0+0*s_r+IF(circ_int,eq_c1/2,0))/2))+2*IF(circ_int,0,eq_c1/2))+(PI()*(s_0+0*s_r+IF(circ_int,eq_c1/2,0))/2))+2*IF(circ_int,0,eq_c2/2)),IF(circ_int,0,eq_c2/2)-(((63+0.5)*(4*IF(circ_int,0,eq_c1/2)+4*IF(circ_int,0,eq_c2/2)+2*PI()*(s_0+0*s_r+IF(circ_int,eq_c1/2,0)))/INDEX(lk_legs,1))-((((2*IF(circ_int,0,eq_c2/2))+(PI()*(s_0+0*s_r+IF(circ_int,eq_c1/2,0))/2))+2*IF(circ_int,0,eq_c1/2))+(PI()*(s_0+0*s_r+IF(circ_int,eq_c1/2,0))/2))),IF(((63+0.5)*(4*IF(circ_int,0,eq_c1/2)+4*IF(circ_int,0,eq_c2/2)+2*PI()*(s_0+0*s_r+IF(circ_int,eq_c1/2,0)))/INDEX(lk_legs,1))&lt;((((((2*IF(circ_int,0,eq_c2/2))+(PI()*(s_0+0*s_r+IF(circ_int,eq_c1/2,0))/2))+2*IF(circ_int,0,eq_c1/2))+(PI()*(s_0+0*s_r+IF(circ_int,eq_c1/2,0))/2))+2*IF(circ_int,0,eq_c2/2))+(PI()*(s_0+0*s_r+IF(circ_int,eq_c1/2,0))/2)),-IF(circ_int,0,eq_c2/2)+(s_0+0*s_r+IF(circ_int,eq_c1/2,0))*SIN(PI()+(((63+0.5)*(4*IF(circ_int,0,eq_c1/2)+4*IF(circ_int,0,eq_c2/2)+2*PI()*(s_0+0*s_r+IF(circ_int,eq_c1/2,0)))/INDEX(lk_legs,1))-(((((2*IF(circ_int,0,eq_c2/2))+(PI()*(s_0+0*s_r+IF(circ_int,eq_c1/2,0))/2))+2*IF(circ_int,0,eq_c1/2))+(PI()*(s_0+0*s_r+IF(circ_int,eq_c1/2,0))/2))+2*IF(circ_int,0,eq_c2/2)))/(s_0+0*s_r+IF(circ_int,eq_c1/2,0))),IF(((63+0.5)*(4*IF(circ_int,0,eq_c1/2)+4*IF(circ_int,0,eq_c2/2)+2*PI()*(s_0+0*s_r+IF(circ_int,eq_c1/2,0)))/INDEX(lk_legs,1))&lt;(((((((2*IF(circ_int,0,eq_c2/2))+(PI()*(s_0+0*s_r+IF(circ_int,eq_c1/2,0))/2))+2*IF(circ_int,0,eq_c1/2))+(PI()*(s_0+0*s_r+IF(circ_int,eq_c1/2,0))/2))+2*IF(circ_int,0,eq_c2/2))+(PI()*(s_0+0*s_r+IF(circ_int,eq_c1/2,0))/2))+2*IF(circ_int,0,eq_c1/2)),-IF(circ_int,0,eq_c2/2)-(s_0+0*s_r+IF(circ_int,eq_c1/2,0)),-IF(circ_int,0,eq_c2/2)+(s_0+0*s_r+IF(circ_int,eq_c1/2,0))*SIN(3*PI()/2+(((63+0.5)*(4*IF(circ_int,0,eq_c1/2)+4*IF(circ_int,0,eq_c2/2)+2*PI()*(s_0+0*s_r+IF(circ_int,eq_c1/2,0)))/INDEX(lk_legs,1))-(((((((2*IF(circ_int,0,eq_c2/2))+(PI()*(s_0+0*s_r+IF(circ_int,eq_c1/2,0))/2))+2*IF(circ_int,0,eq_c1/2))+(PI()*(s_0+0*s_r+IF(circ_int,eq_c1/2,0))/2))+2*IF(circ_int,0,eq_c2/2))+(PI()*(s_0+0*s_r+IF(circ_int,eq_c1/2,0))/2))+2*IF(circ_int,0,eq_c1/2)))/(s_0+0*s_r+IF(circ_int,eq_c1/2,0)))))))))),NA())</f>
        <v/>
      </c>
      <c r="BF66">
        <f>IF(AND(AND(links_on,2&lt;=n_per),INDEX(lk_kind,2)=1,63&lt;INDEX(lk_legs,2)),g_ox+IF(((63+0.5)*(4*IF(circ_int,0,eq_c1/2)+4*IF(circ_int,0,eq_c2/2)+2*PI()*(s_0+1*s_r+IF(circ_int,eq_c1/2,0)))/INDEX(lk_legs,2))&lt;(2*IF(circ_int,0,eq_c2/2)),IF(circ_int,0,eq_c1/2)+(s_0+1*s_r+IF(circ_int,eq_c1/2,0)),IF(((63+0.5)*(4*IF(circ_int,0,eq_c1/2)+4*IF(circ_int,0,eq_c2/2)+2*PI()*(s_0+1*s_r+IF(circ_int,eq_c1/2,0)))/INDEX(lk_legs,2))&lt;((2*IF(circ_int,0,eq_c2/2))+(PI()*(s_0+1*s_r+IF(circ_int,eq_c1/2,0))/2)),IF(circ_int,0,eq_c1/2)+(s_0+1*s_r+IF(circ_int,eq_c1/2,0))*COS((((63+0.5)*(4*IF(circ_int,0,eq_c1/2)+4*IF(circ_int,0,eq_c2/2)+2*PI()*(s_0+1*s_r+IF(circ_int,eq_c1/2,0)))/INDEX(lk_legs,2))-(2*IF(circ_int,0,eq_c2/2)))/(s_0+1*s_r+IF(circ_int,eq_c1/2,0))),IF(((63+0.5)*(4*IF(circ_int,0,eq_c1/2)+4*IF(circ_int,0,eq_c2/2)+2*PI()*(s_0+1*s_r+IF(circ_int,eq_c1/2,0)))/INDEX(lk_legs,2))&lt;(((2*IF(circ_int,0,eq_c2/2))+(PI()*(s_0+1*s_r+IF(circ_int,eq_c1/2,0))/2))+2*IF(circ_int,0,eq_c1/2)),IF(circ_int,0,eq_c1/2)-(((63+0.5)*(4*IF(circ_int,0,eq_c1/2)+4*IF(circ_int,0,eq_c2/2)+2*PI()*(s_0+1*s_r+IF(circ_int,eq_c1/2,0)))/INDEX(lk_legs,2))-((2*IF(circ_int,0,eq_c2/2))+(PI()*(s_0+1*s_r+IF(circ_int,eq_c1/2,0))/2))),IF(((63+0.5)*(4*IF(circ_int,0,eq_c1/2)+4*IF(circ_int,0,eq_c2/2)+2*PI()*(s_0+1*s_r+IF(circ_int,eq_c1/2,0)))/INDEX(lk_legs,2))&lt;((((2*IF(circ_int,0,eq_c2/2))+(PI()*(s_0+1*s_r+IF(circ_int,eq_c1/2,0))/2))+2*IF(circ_int,0,eq_c1/2))+(PI()*(s_0+1*s_r+IF(circ_int,eq_c1/2,0))/2)),-IF(circ_int,0,eq_c1/2)+(s_0+1*s_r+IF(circ_int,eq_c1/2,0))*COS(PI()/2+(((63+0.5)*(4*IF(circ_int,0,eq_c1/2)+4*IF(circ_int,0,eq_c2/2)+2*PI()*(s_0+1*s_r+IF(circ_int,eq_c1/2,0)))/INDEX(lk_legs,2))-(((2*IF(circ_int,0,eq_c2/2))+(PI()*(s_0+1*s_r+IF(circ_int,eq_c1/2,0))/2))+2*IF(circ_int,0,eq_c1/2)))/(s_0+1*s_r+IF(circ_int,eq_c1/2,0))),IF(((63+0.5)*(4*IF(circ_int,0,eq_c1/2)+4*IF(circ_int,0,eq_c2/2)+2*PI()*(s_0+1*s_r+IF(circ_int,eq_c1/2,0)))/INDEX(lk_legs,2))&lt;(((((2*IF(circ_int,0,eq_c2/2))+(PI()*(s_0+1*s_r+IF(circ_int,eq_c1/2,0))/2))+2*IF(circ_int,0,eq_c1/2))+(PI()*(s_0+1*s_r+IF(circ_int,eq_c1/2,0))/2))+2*IF(circ_int,0,eq_c2/2)),-IF(circ_int,0,eq_c1/2)-(s_0+1*s_r+IF(circ_int,eq_c1/2,0)),IF(((63+0.5)*(4*IF(circ_int,0,eq_c1/2)+4*IF(circ_int,0,eq_c2/2)+2*PI()*(s_0+1*s_r+IF(circ_int,eq_c1/2,0)))/INDEX(lk_legs,2))&lt;((((((2*IF(circ_int,0,eq_c2/2))+(PI()*(s_0+1*s_r+IF(circ_int,eq_c1/2,0))/2))+2*IF(circ_int,0,eq_c1/2))+(PI()*(s_0+1*s_r+IF(circ_int,eq_c1/2,0))/2))+2*IF(circ_int,0,eq_c2/2))+(PI()*(s_0+1*s_r+IF(circ_int,eq_c1/2,0))/2)),-IF(circ_int,0,eq_c1/2)+(s_0+1*s_r+IF(circ_int,eq_c1/2,0))*COS(PI()+(((63+0.5)*(4*IF(circ_int,0,eq_c1/2)+4*IF(circ_int,0,eq_c2/2)+2*PI()*(s_0+1*s_r+IF(circ_int,eq_c1/2,0)))/INDEX(lk_legs,2))-(((((2*IF(circ_int,0,eq_c2/2))+(PI()*(s_0+1*s_r+IF(circ_int,eq_c1/2,0))/2))+2*IF(circ_int,0,eq_c1/2))+(PI()*(s_0+1*s_r+IF(circ_int,eq_c1/2,0))/2))+2*IF(circ_int,0,eq_c2/2)))/(s_0+1*s_r+IF(circ_int,eq_c1/2,0))),IF(((63+0.5)*(4*IF(circ_int,0,eq_c1/2)+4*IF(circ_int,0,eq_c2/2)+2*PI()*(s_0+1*s_r+IF(circ_int,eq_c1/2,0)))/INDEX(lk_legs,2))&lt;(((((((2*IF(circ_int,0,eq_c2/2))+(PI()*(s_0+1*s_r+IF(circ_int,eq_c1/2,0))/2))+2*IF(circ_int,0,eq_c1/2))+(PI()*(s_0+1*s_r+IF(circ_int,eq_c1/2,0))/2))+2*IF(circ_int,0,eq_c2/2))+(PI()*(s_0+1*s_r+IF(circ_int,eq_c1/2,0))/2))+2*IF(circ_int,0,eq_c1/2)),-IF(circ_int,0,eq_c1/2)+(((63+0.5)*(4*IF(circ_int,0,eq_c1/2)+4*IF(circ_int,0,eq_c2/2)+2*PI()*(s_0+1*s_r+IF(circ_int,eq_c1/2,0)))/INDEX(lk_legs,2))-((((((2*IF(circ_int,0,eq_c2/2))+(PI()*(s_0+1*s_r+IF(circ_int,eq_c1/2,0))/2))+2*IF(circ_int,0,eq_c1/2))+(PI()*(s_0+1*s_r+IF(circ_int,eq_c1/2,0))/2))+2*IF(circ_int,0,eq_c2/2))+(PI()*(s_0+1*s_r+IF(circ_int,eq_c1/2,0))/2))),IF(circ_int,0,eq_c1/2)+(s_0+1*s_r+IF(circ_int,eq_c1/2,0))*COS(3*PI()/2+(((63+0.5)*(4*IF(circ_int,0,eq_c1/2)+4*IF(circ_int,0,eq_c2/2)+2*PI()*(s_0+1*s_r+IF(circ_int,eq_c1/2,0)))/INDEX(lk_legs,2))-(((((((2*IF(circ_int,0,eq_c2/2))+(PI()*(s_0+1*s_r+IF(circ_int,eq_c1/2,0))/2))+2*IF(circ_int,0,eq_c1/2))+(PI()*(s_0+1*s_r+IF(circ_int,eq_c1/2,0))/2))+2*IF(circ_int,0,eq_c2/2))+(PI()*(s_0+1*s_r+IF(circ_int,eq_c1/2,0))/2))+2*IF(circ_int,0,eq_c1/2)))/(s_0+1*s_r+IF(circ_int,eq_c1/2,0)))))))))),NA())</f>
        <v/>
      </c>
      <c r="BG66">
        <f>IF(AND(AND(links_on,2&lt;=n_per),INDEX(lk_kind,2)=1,63&lt;INDEX(lk_legs,2)),g_oy+IF(((63+0.5)*(4*IF(circ_int,0,eq_c1/2)+4*IF(circ_int,0,eq_c2/2)+2*PI()*(s_0+1*s_r+IF(circ_int,eq_c1/2,0)))/INDEX(lk_legs,2))&lt;(2*IF(circ_int,0,eq_c2/2)),-IF(circ_int,0,eq_c2/2)+((63+0.5)*(4*IF(circ_int,0,eq_c1/2)+4*IF(circ_int,0,eq_c2/2)+2*PI()*(s_0+1*s_r+IF(circ_int,eq_c1/2,0)))/INDEX(lk_legs,2)),IF(((63+0.5)*(4*IF(circ_int,0,eq_c1/2)+4*IF(circ_int,0,eq_c2/2)+2*PI()*(s_0+1*s_r+IF(circ_int,eq_c1/2,0)))/INDEX(lk_legs,2))&lt;((2*IF(circ_int,0,eq_c2/2))+(PI()*(s_0+1*s_r+IF(circ_int,eq_c1/2,0))/2)),IF(circ_int,0,eq_c2/2)+(s_0+1*s_r+IF(circ_int,eq_c1/2,0))*SIN((((63+0.5)*(4*IF(circ_int,0,eq_c1/2)+4*IF(circ_int,0,eq_c2/2)+2*PI()*(s_0+1*s_r+IF(circ_int,eq_c1/2,0)))/INDEX(lk_legs,2))-(2*IF(circ_int,0,eq_c2/2)))/(s_0+1*s_r+IF(circ_int,eq_c1/2,0))),IF(((63+0.5)*(4*IF(circ_int,0,eq_c1/2)+4*IF(circ_int,0,eq_c2/2)+2*PI()*(s_0+1*s_r+IF(circ_int,eq_c1/2,0)))/INDEX(lk_legs,2))&lt;(((2*IF(circ_int,0,eq_c2/2))+(PI()*(s_0+1*s_r+IF(circ_int,eq_c1/2,0))/2))+2*IF(circ_int,0,eq_c1/2)),IF(circ_int,0,eq_c2/2)+(s_0+1*s_r+IF(circ_int,eq_c1/2,0)),IF(((63+0.5)*(4*IF(circ_int,0,eq_c1/2)+4*IF(circ_int,0,eq_c2/2)+2*PI()*(s_0+1*s_r+IF(circ_int,eq_c1/2,0)))/INDEX(lk_legs,2))&lt;((((2*IF(circ_int,0,eq_c2/2))+(PI()*(s_0+1*s_r+IF(circ_int,eq_c1/2,0))/2))+2*IF(circ_int,0,eq_c1/2))+(PI()*(s_0+1*s_r+IF(circ_int,eq_c1/2,0))/2)),IF(circ_int,0,eq_c2/2)+(s_0+1*s_r+IF(circ_int,eq_c1/2,0))*SIN(PI()/2+(((63+0.5)*(4*IF(circ_int,0,eq_c1/2)+4*IF(circ_int,0,eq_c2/2)+2*PI()*(s_0+1*s_r+IF(circ_int,eq_c1/2,0)))/INDEX(lk_legs,2))-(((2*IF(circ_int,0,eq_c2/2))+(PI()*(s_0+1*s_r+IF(circ_int,eq_c1/2,0))/2))+2*IF(circ_int,0,eq_c1/2)))/(s_0+1*s_r+IF(circ_int,eq_c1/2,0))),IF(((63+0.5)*(4*IF(circ_int,0,eq_c1/2)+4*IF(circ_int,0,eq_c2/2)+2*PI()*(s_0+1*s_r+IF(circ_int,eq_c1/2,0)))/INDEX(lk_legs,2))&lt;(((((2*IF(circ_int,0,eq_c2/2))+(PI()*(s_0+1*s_r+IF(circ_int,eq_c1/2,0))/2))+2*IF(circ_int,0,eq_c1/2))+(PI()*(s_0+1*s_r+IF(circ_int,eq_c1/2,0))/2))+2*IF(circ_int,0,eq_c2/2)),IF(circ_int,0,eq_c2/2)-(((63+0.5)*(4*IF(circ_int,0,eq_c1/2)+4*IF(circ_int,0,eq_c2/2)+2*PI()*(s_0+1*s_r+IF(circ_int,eq_c1/2,0)))/INDEX(lk_legs,2))-((((2*IF(circ_int,0,eq_c2/2))+(PI()*(s_0+1*s_r+IF(circ_int,eq_c1/2,0))/2))+2*IF(circ_int,0,eq_c1/2))+(PI()*(s_0+1*s_r+IF(circ_int,eq_c1/2,0))/2))),IF(((63+0.5)*(4*IF(circ_int,0,eq_c1/2)+4*IF(circ_int,0,eq_c2/2)+2*PI()*(s_0+1*s_r+IF(circ_int,eq_c1/2,0)))/INDEX(lk_legs,2))&lt;((((((2*IF(circ_int,0,eq_c2/2))+(PI()*(s_0+1*s_r+IF(circ_int,eq_c1/2,0))/2))+2*IF(circ_int,0,eq_c1/2))+(PI()*(s_0+1*s_r+IF(circ_int,eq_c1/2,0))/2))+2*IF(circ_int,0,eq_c2/2))+(PI()*(s_0+1*s_r+IF(circ_int,eq_c1/2,0))/2)),-IF(circ_int,0,eq_c2/2)+(s_0+1*s_r+IF(circ_int,eq_c1/2,0))*SIN(PI()+(((63+0.5)*(4*IF(circ_int,0,eq_c1/2)+4*IF(circ_int,0,eq_c2/2)+2*PI()*(s_0+1*s_r+IF(circ_int,eq_c1/2,0)))/INDEX(lk_legs,2))-(((((2*IF(circ_int,0,eq_c2/2))+(PI()*(s_0+1*s_r+IF(circ_int,eq_c1/2,0))/2))+2*IF(circ_int,0,eq_c1/2))+(PI()*(s_0+1*s_r+IF(circ_int,eq_c1/2,0))/2))+2*IF(circ_int,0,eq_c2/2)))/(s_0+1*s_r+IF(circ_int,eq_c1/2,0))),IF(((63+0.5)*(4*IF(circ_int,0,eq_c1/2)+4*IF(circ_int,0,eq_c2/2)+2*PI()*(s_0+1*s_r+IF(circ_int,eq_c1/2,0)))/INDEX(lk_legs,2))&lt;(((((((2*IF(circ_int,0,eq_c2/2))+(PI()*(s_0+1*s_r+IF(circ_int,eq_c1/2,0))/2))+2*IF(circ_int,0,eq_c1/2))+(PI()*(s_0+1*s_r+IF(circ_int,eq_c1/2,0))/2))+2*IF(circ_int,0,eq_c2/2))+(PI()*(s_0+1*s_r+IF(circ_int,eq_c1/2,0))/2))+2*IF(circ_int,0,eq_c1/2)),-IF(circ_int,0,eq_c2/2)-(s_0+1*s_r+IF(circ_int,eq_c1/2,0)),-IF(circ_int,0,eq_c2/2)+(s_0+1*s_r+IF(circ_int,eq_c1/2,0))*SIN(3*PI()/2+(((63+0.5)*(4*IF(circ_int,0,eq_c1/2)+4*IF(circ_int,0,eq_c2/2)+2*PI()*(s_0+1*s_r+IF(circ_int,eq_c1/2,0)))/INDEX(lk_legs,2))-(((((((2*IF(circ_int,0,eq_c2/2))+(PI()*(s_0+1*s_r+IF(circ_int,eq_c1/2,0))/2))+2*IF(circ_int,0,eq_c1/2))+(PI()*(s_0+1*s_r+IF(circ_int,eq_c1/2,0))/2))+2*IF(circ_int,0,eq_c2/2))+(PI()*(s_0+1*s_r+IF(circ_int,eq_c1/2,0))/2))+2*IF(circ_int,0,eq_c1/2)))/(s_0+1*s_r+IF(circ_int,eq_c1/2,0)))))))))),NA())</f>
        <v/>
      </c>
      <c r="BL66">
        <f>IF(AND(AND(links_on,3&lt;=n_per),INDEX(lk_kind,3)=1,63&lt;INDEX(lk_legs,3)),g_ox+IF(((63+0.5)*(4*IF(circ_int,0,eq_c1/2)+4*IF(circ_int,0,eq_c2/2)+2*PI()*(s_0+2*s_r+IF(circ_int,eq_c1/2,0)))/INDEX(lk_legs,3))&lt;(2*IF(circ_int,0,eq_c2/2)),IF(circ_int,0,eq_c1/2)+(s_0+2*s_r+IF(circ_int,eq_c1/2,0)),IF(((63+0.5)*(4*IF(circ_int,0,eq_c1/2)+4*IF(circ_int,0,eq_c2/2)+2*PI()*(s_0+2*s_r+IF(circ_int,eq_c1/2,0)))/INDEX(lk_legs,3))&lt;((2*IF(circ_int,0,eq_c2/2))+(PI()*(s_0+2*s_r+IF(circ_int,eq_c1/2,0))/2)),IF(circ_int,0,eq_c1/2)+(s_0+2*s_r+IF(circ_int,eq_c1/2,0))*COS((((63+0.5)*(4*IF(circ_int,0,eq_c1/2)+4*IF(circ_int,0,eq_c2/2)+2*PI()*(s_0+2*s_r+IF(circ_int,eq_c1/2,0)))/INDEX(lk_legs,3))-(2*IF(circ_int,0,eq_c2/2)))/(s_0+2*s_r+IF(circ_int,eq_c1/2,0))),IF(((63+0.5)*(4*IF(circ_int,0,eq_c1/2)+4*IF(circ_int,0,eq_c2/2)+2*PI()*(s_0+2*s_r+IF(circ_int,eq_c1/2,0)))/INDEX(lk_legs,3))&lt;(((2*IF(circ_int,0,eq_c2/2))+(PI()*(s_0+2*s_r+IF(circ_int,eq_c1/2,0))/2))+2*IF(circ_int,0,eq_c1/2)),IF(circ_int,0,eq_c1/2)-(((63+0.5)*(4*IF(circ_int,0,eq_c1/2)+4*IF(circ_int,0,eq_c2/2)+2*PI()*(s_0+2*s_r+IF(circ_int,eq_c1/2,0)))/INDEX(lk_legs,3))-((2*IF(circ_int,0,eq_c2/2))+(PI()*(s_0+2*s_r+IF(circ_int,eq_c1/2,0))/2))),IF(((63+0.5)*(4*IF(circ_int,0,eq_c1/2)+4*IF(circ_int,0,eq_c2/2)+2*PI()*(s_0+2*s_r+IF(circ_int,eq_c1/2,0)))/INDEX(lk_legs,3))&lt;((((2*IF(circ_int,0,eq_c2/2))+(PI()*(s_0+2*s_r+IF(circ_int,eq_c1/2,0))/2))+2*IF(circ_int,0,eq_c1/2))+(PI()*(s_0+2*s_r+IF(circ_int,eq_c1/2,0))/2)),-IF(circ_int,0,eq_c1/2)+(s_0+2*s_r+IF(circ_int,eq_c1/2,0))*COS(PI()/2+(((63+0.5)*(4*IF(circ_int,0,eq_c1/2)+4*IF(circ_int,0,eq_c2/2)+2*PI()*(s_0+2*s_r+IF(circ_int,eq_c1/2,0)))/INDEX(lk_legs,3))-(((2*IF(circ_int,0,eq_c2/2))+(PI()*(s_0+2*s_r+IF(circ_int,eq_c1/2,0))/2))+2*IF(circ_int,0,eq_c1/2)))/(s_0+2*s_r+IF(circ_int,eq_c1/2,0))),IF(((63+0.5)*(4*IF(circ_int,0,eq_c1/2)+4*IF(circ_int,0,eq_c2/2)+2*PI()*(s_0+2*s_r+IF(circ_int,eq_c1/2,0)))/INDEX(lk_legs,3))&lt;(((((2*IF(circ_int,0,eq_c2/2))+(PI()*(s_0+2*s_r+IF(circ_int,eq_c1/2,0))/2))+2*IF(circ_int,0,eq_c1/2))+(PI()*(s_0+2*s_r+IF(circ_int,eq_c1/2,0))/2))+2*IF(circ_int,0,eq_c2/2)),-IF(circ_int,0,eq_c1/2)-(s_0+2*s_r+IF(circ_int,eq_c1/2,0)),IF(((63+0.5)*(4*IF(circ_int,0,eq_c1/2)+4*IF(circ_int,0,eq_c2/2)+2*PI()*(s_0+2*s_r+IF(circ_int,eq_c1/2,0)))/INDEX(lk_legs,3))&lt;((((((2*IF(circ_int,0,eq_c2/2))+(PI()*(s_0+2*s_r+IF(circ_int,eq_c1/2,0))/2))+2*IF(circ_int,0,eq_c1/2))+(PI()*(s_0+2*s_r+IF(circ_int,eq_c1/2,0))/2))+2*IF(circ_int,0,eq_c2/2))+(PI()*(s_0+2*s_r+IF(circ_int,eq_c1/2,0))/2)),-IF(circ_int,0,eq_c1/2)+(s_0+2*s_r+IF(circ_int,eq_c1/2,0))*COS(PI()+(((63+0.5)*(4*IF(circ_int,0,eq_c1/2)+4*IF(circ_int,0,eq_c2/2)+2*PI()*(s_0+2*s_r+IF(circ_int,eq_c1/2,0)))/INDEX(lk_legs,3))-(((((2*IF(circ_int,0,eq_c2/2))+(PI()*(s_0+2*s_r+IF(circ_int,eq_c1/2,0))/2))+2*IF(circ_int,0,eq_c1/2))+(PI()*(s_0+2*s_r+IF(circ_int,eq_c1/2,0))/2))+2*IF(circ_int,0,eq_c2/2)))/(s_0+2*s_r+IF(circ_int,eq_c1/2,0))),IF(((63+0.5)*(4*IF(circ_int,0,eq_c1/2)+4*IF(circ_int,0,eq_c2/2)+2*PI()*(s_0+2*s_r+IF(circ_int,eq_c1/2,0)))/INDEX(lk_legs,3))&lt;(((((((2*IF(circ_int,0,eq_c2/2))+(PI()*(s_0+2*s_r+IF(circ_int,eq_c1/2,0))/2))+2*IF(circ_int,0,eq_c1/2))+(PI()*(s_0+2*s_r+IF(circ_int,eq_c1/2,0))/2))+2*IF(circ_int,0,eq_c2/2))+(PI()*(s_0+2*s_r+IF(circ_int,eq_c1/2,0))/2))+2*IF(circ_int,0,eq_c1/2)),-IF(circ_int,0,eq_c1/2)+(((63+0.5)*(4*IF(circ_int,0,eq_c1/2)+4*IF(circ_int,0,eq_c2/2)+2*PI()*(s_0+2*s_r+IF(circ_int,eq_c1/2,0)))/INDEX(lk_legs,3))-((((((2*IF(circ_int,0,eq_c2/2))+(PI()*(s_0+2*s_r+IF(circ_int,eq_c1/2,0))/2))+2*IF(circ_int,0,eq_c1/2))+(PI()*(s_0+2*s_r+IF(circ_int,eq_c1/2,0))/2))+2*IF(circ_int,0,eq_c2/2))+(PI()*(s_0+2*s_r+IF(circ_int,eq_c1/2,0))/2))),IF(circ_int,0,eq_c1/2)+(s_0+2*s_r+IF(circ_int,eq_c1/2,0))*COS(3*PI()/2+(((63+0.5)*(4*IF(circ_int,0,eq_c1/2)+4*IF(circ_int,0,eq_c2/2)+2*PI()*(s_0+2*s_r+IF(circ_int,eq_c1/2,0)))/INDEX(lk_legs,3))-(((((((2*IF(circ_int,0,eq_c2/2))+(PI()*(s_0+2*s_r+IF(circ_int,eq_c1/2,0))/2))+2*IF(circ_int,0,eq_c1/2))+(PI()*(s_0+2*s_r+IF(circ_int,eq_c1/2,0))/2))+2*IF(circ_int,0,eq_c2/2))+(PI()*(s_0+2*s_r+IF(circ_int,eq_c1/2,0))/2))+2*IF(circ_int,0,eq_c1/2)))/(s_0+2*s_r+IF(circ_int,eq_c1/2,0)))))))))),NA())</f>
        <v/>
      </c>
      <c r="BM66">
        <f>IF(AND(AND(links_on,3&lt;=n_per),INDEX(lk_kind,3)=1,63&lt;INDEX(lk_legs,3)),g_oy+IF(((63+0.5)*(4*IF(circ_int,0,eq_c1/2)+4*IF(circ_int,0,eq_c2/2)+2*PI()*(s_0+2*s_r+IF(circ_int,eq_c1/2,0)))/INDEX(lk_legs,3))&lt;(2*IF(circ_int,0,eq_c2/2)),-IF(circ_int,0,eq_c2/2)+((63+0.5)*(4*IF(circ_int,0,eq_c1/2)+4*IF(circ_int,0,eq_c2/2)+2*PI()*(s_0+2*s_r+IF(circ_int,eq_c1/2,0)))/INDEX(lk_legs,3)),IF(((63+0.5)*(4*IF(circ_int,0,eq_c1/2)+4*IF(circ_int,0,eq_c2/2)+2*PI()*(s_0+2*s_r+IF(circ_int,eq_c1/2,0)))/INDEX(lk_legs,3))&lt;((2*IF(circ_int,0,eq_c2/2))+(PI()*(s_0+2*s_r+IF(circ_int,eq_c1/2,0))/2)),IF(circ_int,0,eq_c2/2)+(s_0+2*s_r+IF(circ_int,eq_c1/2,0))*SIN((((63+0.5)*(4*IF(circ_int,0,eq_c1/2)+4*IF(circ_int,0,eq_c2/2)+2*PI()*(s_0+2*s_r+IF(circ_int,eq_c1/2,0)))/INDEX(lk_legs,3))-(2*IF(circ_int,0,eq_c2/2)))/(s_0+2*s_r+IF(circ_int,eq_c1/2,0))),IF(((63+0.5)*(4*IF(circ_int,0,eq_c1/2)+4*IF(circ_int,0,eq_c2/2)+2*PI()*(s_0+2*s_r+IF(circ_int,eq_c1/2,0)))/INDEX(lk_legs,3))&lt;(((2*IF(circ_int,0,eq_c2/2))+(PI()*(s_0+2*s_r+IF(circ_int,eq_c1/2,0))/2))+2*IF(circ_int,0,eq_c1/2)),IF(circ_int,0,eq_c2/2)+(s_0+2*s_r+IF(circ_int,eq_c1/2,0)),IF(((63+0.5)*(4*IF(circ_int,0,eq_c1/2)+4*IF(circ_int,0,eq_c2/2)+2*PI()*(s_0+2*s_r+IF(circ_int,eq_c1/2,0)))/INDEX(lk_legs,3))&lt;((((2*IF(circ_int,0,eq_c2/2))+(PI()*(s_0+2*s_r+IF(circ_int,eq_c1/2,0))/2))+2*IF(circ_int,0,eq_c1/2))+(PI()*(s_0+2*s_r+IF(circ_int,eq_c1/2,0))/2)),IF(circ_int,0,eq_c2/2)+(s_0+2*s_r+IF(circ_int,eq_c1/2,0))*SIN(PI()/2+(((63+0.5)*(4*IF(circ_int,0,eq_c1/2)+4*IF(circ_int,0,eq_c2/2)+2*PI()*(s_0+2*s_r+IF(circ_int,eq_c1/2,0)))/INDEX(lk_legs,3))-(((2*IF(circ_int,0,eq_c2/2))+(PI()*(s_0+2*s_r+IF(circ_int,eq_c1/2,0))/2))+2*IF(circ_int,0,eq_c1/2)))/(s_0+2*s_r+IF(circ_int,eq_c1/2,0))),IF(((63+0.5)*(4*IF(circ_int,0,eq_c1/2)+4*IF(circ_int,0,eq_c2/2)+2*PI()*(s_0+2*s_r+IF(circ_int,eq_c1/2,0)))/INDEX(lk_legs,3))&lt;(((((2*IF(circ_int,0,eq_c2/2))+(PI()*(s_0+2*s_r+IF(circ_int,eq_c1/2,0))/2))+2*IF(circ_int,0,eq_c1/2))+(PI()*(s_0+2*s_r+IF(circ_int,eq_c1/2,0))/2))+2*IF(circ_int,0,eq_c2/2)),IF(circ_int,0,eq_c2/2)-(((63+0.5)*(4*IF(circ_int,0,eq_c1/2)+4*IF(circ_int,0,eq_c2/2)+2*PI()*(s_0+2*s_r+IF(circ_int,eq_c1/2,0)))/INDEX(lk_legs,3))-((((2*IF(circ_int,0,eq_c2/2))+(PI()*(s_0+2*s_r+IF(circ_int,eq_c1/2,0))/2))+2*IF(circ_int,0,eq_c1/2))+(PI()*(s_0+2*s_r+IF(circ_int,eq_c1/2,0))/2))),IF(((63+0.5)*(4*IF(circ_int,0,eq_c1/2)+4*IF(circ_int,0,eq_c2/2)+2*PI()*(s_0+2*s_r+IF(circ_int,eq_c1/2,0)))/INDEX(lk_legs,3))&lt;((((((2*IF(circ_int,0,eq_c2/2))+(PI()*(s_0+2*s_r+IF(circ_int,eq_c1/2,0))/2))+2*IF(circ_int,0,eq_c1/2))+(PI()*(s_0+2*s_r+IF(circ_int,eq_c1/2,0))/2))+2*IF(circ_int,0,eq_c2/2))+(PI()*(s_0+2*s_r+IF(circ_int,eq_c1/2,0))/2)),-IF(circ_int,0,eq_c2/2)+(s_0+2*s_r+IF(circ_int,eq_c1/2,0))*SIN(PI()+(((63+0.5)*(4*IF(circ_int,0,eq_c1/2)+4*IF(circ_int,0,eq_c2/2)+2*PI()*(s_0+2*s_r+IF(circ_int,eq_c1/2,0)))/INDEX(lk_legs,3))-(((((2*IF(circ_int,0,eq_c2/2))+(PI()*(s_0+2*s_r+IF(circ_int,eq_c1/2,0))/2))+2*IF(circ_int,0,eq_c1/2))+(PI()*(s_0+2*s_r+IF(circ_int,eq_c1/2,0))/2))+2*IF(circ_int,0,eq_c2/2)))/(s_0+2*s_r+IF(circ_int,eq_c1/2,0))),IF(((63+0.5)*(4*IF(circ_int,0,eq_c1/2)+4*IF(circ_int,0,eq_c2/2)+2*PI()*(s_0+2*s_r+IF(circ_int,eq_c1/2,0)))/INDEX(lk_legs,3))&lt;(((((((2*IF(circ_int,0,eq_c2/2))+(PI()*(s_0+2*s_r+IF(circ_int,eq_c1/2,0))/2))+2*IF(circ_int,0,eq_c1/2))+(PI()*(s_0+2*s_r+IF(circ_int,eq_c1/2,0))/2))+2*IF(circ_int,0,eq_c2/2))+(PI()*(s_0+2*s_r+IF(circ_int,eq_c1/2,0))/2))+2*IF(circ_int,0,eq_c1/2)),-IF(circ_int,0,eq_c2/2)-(s_0+2*s_r+IF(circ_int,eq_c1/2,0)),-IF(circ_int,0,eq_c2/2)+(s_0+2*s_r+IF(circ_int,eq_c1/2,0))*SIN(3*PI()/2+(((63+0.5)*(4*IF(circ_int,0,eq_c1/2)+4*IF(circ_int,0,eq_c2/2)+2*PI()*(s_0+2*s_r+IF(circ_int,eq_c1/2,0)))/INDEX(lk_legs,3))-(((((((2*IF(circ_int,0,eq_c2/2))+(PI()*(s_0+2*s_r+IF(circ_int,eq_c1/2,0))/2))+2*IF(circ_int,0,eq_c1/2))+(PI()*(s_0+2*s_r+IF(circ_int,eq_c1/2,0))/2))+2*IF(circ_int,0,eq_c2/2))+(PI()*(s_0+2*s_r+IF(circ_int,eq_c1/2,0))/2))+2*IF(circ_int,0,eq_c1/2)))/(s_0+2*s_r+IF(circ_int,eq_c1/2,0)))))))))),NA())</f>
        <v/>
      </c>
      <c r="BR66">
        <f>IF(AND(AND(links_on,4&lt;=n_per),INDEX(lk_kind,4)=1,63&lt;INDEX(lk_legs,4)),g_ox+IF(((63+0.5)*(4*IF(circ_int,0,eq_c1/2)+4*IF(circ_int,0,eq_c2/2)+2*PI()*(s_0+3*s_r+IF(circ_int,eq_c1/2,0)))/INDEX(lk_legs,4))&lt;(2*IF(circ_int,0,eq_c2/2)),IF(circ_int,0,eq_c1/2)+(s_0+3*s_r+IF(circ_int,eq_c1/2,0)),IF(((63+0.5)*(4*IF(circ_int,0,eq_c1/2)+4*IF(circ_int,0,eq_c2/2)+2*PI()*(s_0+3*s_r+IF(circ_int,eq_c1/2,0)))/INDEX(lk_legs,4))&lt;((2*IF(circ_int,0,eq_c2/2))+(PI()*(s_0+3*s_r+IF(circ_int,eq_c1/2,0))/2)),IF(circ_int,0,eq_c1/2)+(s_0+3*s_r+IF(circ_int,eq_c1/2,0))*COS((((63+0.5)*(4*IF(circ_int,0,eq_c1/2)+4*IF(circ_int,0,eq_c2/2)+2*PI()*(s_0+3*s_r+IF(circ_int,eq_c1/2,0)))/INDEX(lk_legs,4))-(2*IF(circ_int,0,eq_c2/2)))/(s_0+3*s_r+IF(circ_int,eq_c1/2,0))),IF(((63+0.5)*(4*IF(circ_int,0,eq_c1/2)+4*IF(circ_int,0,eq_c2/2)+2*PI()*(s_0+3*s_r+IF(circ_int,eq_c1/2,0)))/INDEX(lk_legs,4))&lt;(((2*IF(circ_int,0,eq_c2/2))+(PI()*(s_0+3*s_r+IF(circ_int,eq_c1/2,0))/2))+2*IF(circ_int,0,eq_c1/2)),IF(circ_int,0,eq_c1/2)-(((63+0.5)*(4*IF(circ_int,0,eq_c1/2)+4*IF(circ_int,0,eq_c2/2)+2*PI()*(s_0+3*s_r+IF(circ_int,eq_c1/2,0)))/INDEX(lk_legs,4))-((2*IF(circ_int,0,eq_c2/2))+(PI()*(s_0+3*s_r+IF(circ_int,eq_c1/2,0))/2))),IF(((63+0.5)*(4*IF(circ_int,0,eq_c1/2)+4*IF(circ_int,0,eq_c2/2)+2*PI()*(s_0+3*s_r+IF(circ_int,eq_c1/2,0)))/INDEX(lk_legs,4))&lt;((((2*IF(circ_int,0,eq_c2/2))+(PI()*(s_0+3*s_r+IF(circ_int,eq_c1/2,0))/2))+2*IF(circ_int,0,eq_c1/2))+(PI()*(s_0+3*s_r+IF(circ_int,eq_c1/2,0))/2)),-IF(circ_int,0,eq_c1/2)+(s_0+3*s_r+IF(circ_int,eq_c1/2,0))*COS(PI()/2+(((63+0.5)*(4*IF(circ_int,0,eq_c1/2)+4*IF(circ_int,0,eq_c2/2)+2*PI()*(s_0+3*s_r+IF(circ_int,eq_c1/2,0)))/INDEX(lk_legs,4))-(((2*IF(circ_int,0,eq_c2/2))+(PI()*(s_0+3*s_r+IF(circ_int,eq_c1/2,0))/2))+2*IF(circ_int,0,eq_c1/2)))/(s_0+3*s_r+IF(circ_int,eq_c1/2,0))),IF(((63+0.5)*(4*IF(circ_int,0,eq_c1/2)+4*IF(circ_int,0,eq_c2/2)+2*PI()*(s_0+3*s_r+IF(circ_int,eq_c1/2,0)))/INDEX(lk_legs,4))&lt;(((((2*IF(circ_int,0,eq_c2/2))+(PI()*(s_0+3*s_r+IF(circ_int,eq_c1/2,0))/2))+2*IF(circ_int,0,eq_c1/2))+(PI()*(s_0+3*s_r+IF(circ_int,eq_c1/2,0))/2))+2*IF(circ_int,0,eq_c2/2)),-IF(circ_int,0,eq_c1/2)-(s_0+3*s_r+IF(circ_int,eq_c1/2,0)),IF(((63+0.5)*(4*IF(circ_int,0,eq_c1/2)+4*IF(circ_int,0,eq_c2/2)+2*PI()*(s_0+3*s_r+IF(circ_int,eq_c1/2,0)))/INDEX(lk_legs,4))&lt;((((((2*IF(circ_int,0,eq_c2/2))+(PI()*(s_0+3*s_r+IF(circ_int,eq_c1/2,0))/2))+2*IF(circ_int,0,eq_c1/2))+(PI()*(s_0+3*s_r+IF(circ_int,eq_c1/2,0))/2))+2*IF(circ_int,0,eq_c2/2))+(PI()*(s_0+3*s_r+IF(circ_int,eq_c1/2,0))/2)),-IF(circ_int,0,eq_c1/2)+(s_0+3*s_r+IF(circ_int,eq_c1/2,0))*COS(PI()+(((63+0.5)*(4*IF(circ_int,0,eq_c1/2)+4*IF(circ_int,0,eq_c2/2)+2*PI()*(s_0+3*s_r+IF(circ_int,eq_c1/2,0)))/INDEX(lk_legs,4))-(((((2*IF(circ_int,0,eq_c2/2))+(PI()*(s_0+3*s_r+IF(circ_int,eq_c1/2,0))/2))+2*IF(circ_int,0,eq_c1/2))+(PI()*(s_0+3*s_r+IF(circ_int,eq_c1/2,0))/2))+2*IF(circ_int,0,eq_c2/2)))/(s_0+3*s_r+IF(circ_int,eq_c1/2,0))),IF(((63+0.5)*(4*IF(circ_int,0,eq_c1/2)+4*IF(circ_int,0,eq_c2/2)+2*PI()*(s_0+3*s_r+IF(circ_int,eq_c1/2,0)))/INDEX(lk_legs,4))&lt;(((((((2*IF(circ_int,0,eq_c2/2))+(PI()*(s_0+3*s_r+IF(circ_int,eq_c1/2,0))/2))+2*IF(circ_int,0,eq_c1/2))+(PI()*(s_0+3*s_r+IF(circ_int,eq_c1/2,0))/2))+2*IF(circ_int,0,eq_c2/2))+(PI()*(s_0+3*s_r+IF(circ_int,eq_c1/2,0))/2))+2*IF(circ_int,0,eq_c1/2)),-IF(circ_int,0,eq_c1/2)+(((63+0.5)*(4*IF(circ_int,0,eq_c1/2)+4*IF(circ_int,0,eq_c2/2)+2*PI()*(s_0+3*s_r+IF(circ_int,eq_c1/2,0)))/INDEX(lk_legs,4))-((((((2*IF(circ_int,0,eq_c2/2))+(PI()*(s_0+3*s_r+IF(circ_int,eq_c1/2,0))/2))+2*IF(circ_int,0,eq_c1/2))+(PI()*(s_0+3*s_r+IF(circ_int,eq_c1/2,0))/2))+2*IF(circ_int,0,eq_c2/2))+(PI()*(s_0+3*s_r+IF(circ_int,eq_c1/2,0))/2))),IF(circ_int,0,eq_c1/2)+(s_0+3*s_r+IF(circ_int,eq_c1/2,0))*COS(3*PI()/2+(((63+0.5)*(4*IF(circ_int,0,eq_c1/2)+4*IF(circ_int,0,eq_c2/2)+2*PI()*(s_0+3*s_r+IF(circ_int,eq_c1/2,0)))/INDEX(lk_legs,4))-(((((((2*IF(circ_int,0,eq_c2/2))+(PI()*(s_0+3*s_r+IF(circ_int,eq_c1/2,0))/2))+2*IF(circ_int,0,eq_c1/2))+(PI()*(s_0+3*s_r+IF(circ_int,eq_c1/2,0))/2))+2*IF(circ_int,0,eq_c2/2))+(PI()*(s_0+3*s_r+IF(circ_int,eq_c1/2,0))/2))+2*IF(circ_int,0,eq_c1/2)))/(s_0+3*s_r+IF(circ_int,eq_c1/2,0)))))))))),NA())</f>
        <v/>
      </c>
      <c r="BS66">
        <f>IF(AND(AND(links_on,4&lt;=n_per),INDEX(lk_kind,4)=1,63&lt;INDEX(lk_legs,4)),g_oy+IF(((63+0.5)*(4*IF(circ_int,0,eq_c1/2)+4*IF(circ_int,0,eq_c2/2)+2*PI()*(s_0+3*s_r+IF(circ_int,eq_c1/2,0)))/INDEX(lk_legs,4))&lt;(2*IF(circ_int,0,eq_c2/2)),-IF(circ_int,0,eq_c2/2)+((63+0.5)*(4*IF(circ_int,0,eq_c1/2)+4*IF(circ_int,0,eq_c2/2)+2*PI()*(s_0+3*s_r+IF(circ_int,eq_c1/2,0)))/INDEX(lk_legs,4)),IF(((63+0.5)*(4*IF(circ_int,0,eq_c1/2)+4*IF(circ_int,0,eq_c2/2)+2*PI()*(s_0+3*s_r+IF(circ_int,eq_c1/2,0)))/INDEX(lk_legs,4))&lt;((2*IF(circ_int,0,eq_c2/2))+(PI()*(s_0+3*s_r+IF(circ_int,eq_c1/2,0))/2)),IF(circ_int,0,eq_c2/2)+(s_0+3*s_r+IF(circ_int,eq_c1/2,0))*SIN((((63+0.5)*(4*IF(circ_int,0,eq_c1/2)+4*IF(circ_int,0,eq_c2/2)+2*PI()*(s_0+3*s_r+IF(circ_int,eq_c1/2,0)))/INDEX(lk_legs,4))-(2*IF(circ_int,0,eq_c2/2)))/(s_0+3*s_r+IF(circ_int,eq_c1/2,0))),IF(((63+0.5)*(4*IF(circ_int,0,eq_c1/2)+4*IF(circ_int,0,eq_c2/2)+2*PI()*(s_0+3*s_r+IF(circ_int,eq_c1/2,0)))/INDEX(lk_legs,4))&lt;(((2*IF(circ_int,0,eq_c2/2))+(PI()*(s_0+3*s_r+IF(circ_int,eq_c1/2,0))/2))+2*IF(circ_int,0,eq_c1/2)),IF(circ_int,0,eq_c2/2)+(s_0+3*s_r+IF(circ_int,eq_c1/2,0)),IF(((63+0.5)*(4*IF(circ_int,0,eq_c1/2)+4*IF(circ_int,0,eq_c2/2)+2*PI()*(s_0+3*s_r+IF(circ_int,eq_c1/2,0)))/INDEX(lk_legs,4))&lt;((((2*IF(circ_int,0,eq_c2/2))+(PI()*(s_0+3*s_r+IF(circ_int,eq_c1/2,0))/2))+2*IF(circ_int,0,eq_c1/2))+(PI()*(s_0+3*s_r+IF(circ_int,eq_c1/2,0))/2)),IF(circ_int,0,eq_c2/2)+(s_0+3*s_r+IF(circ_int,eq_c1/2,0))*SIN(PI()/2+(((63+0.5)*(4*IF(circ_int,0,eq_c1/2)+4*IF(circ_int,0,eq_c2/2)+2*PI()*(s_0+3*s_r+IF(circ_int,eq_c1/2,0)))/INDEX(lk_legs,4))-(((2*IF(circ_int,0,eq_c2/2))+(PI()*(s_0+3*s_r+IF(circ_int,eq_c1/2,0))/2))+2*IF(circ_int,0,eq_c1/2)))/(s_0+3*s_r+IF(circ_int,eq_c1/2,0))),IF(((63+0.5)*(4*IF(circ_int,0,eq_c1/2)+4*IF(circ_int,0,eq_c2/2)+2*PI()*(s_0+3*s_r+IF(circ_int,eq_c1/2,0)))/INDEX(lk_legs,4))&lt;(((((2*IF(circ_int,0,eq_c2/2))+(PI()*(s_0+3*s_r+IF(circ_int,eq_c1/2,0))/2))+2*IF(circ_int,0,eq_c1/2))+(PI()*(s_0+3*s_r+IF(circ_int,eq_c1/2,0))/2))+2*IF(circ_int,0,eq_c2/2)),IF(circ_int,0,eq_c2/2)-(((63+0.5)*(4*IF(circ_int,0,eq_c1/2)+4*IF(circ_int,0,eq_c2/2)+2*PI()*(s_0+3*s_r+IF(circ_int,eq_c1/2,0)))/INDEX(lk_legs,4))-((((2*IF(circ_int,0,eq_c2/2))+(PI()*(s_0+3*s_r+IF(circ_int,eq_c1/2,0))/2))+2*IF(circ_int,0,eq_c1/2))+(PI()*(s_0+3*s_r+IF(circ_int,eq_c1/2,0))/2))),IF(((63+0.5)*(4*IF(circ_int,0,eq_c1/2)+4*IF(circ_int,0,eq_c2/2)+2*PI()*(s_0+3*s_r+IF(circ_int,eq_c1/2,0)))/INDEX(lk_legs,4))&lt;((((((2*IF(circ_int,0,eq_c2/2))+(PI()*(s_0+3*s_r+IF(circ_int,eq_c1/2,0))/2))+2*IF(circ_int,0,eq_c1/2))+(PI()*(s_0+3*s_r+IF(circ_int,eq_c1/2,0))/2))+2*IF(circ_int,0,eq_c2/2))+(PI()*(s_0+3*s_r+IF(circ_int,eq_c1/2,0))/2)),-IF(circ_int,0,eq_c2/2)+(s_0+3*s_r+IF(circ_int,eq_c1/2,0))*SIN(PI()+(((63+0.5)*(4*IF(circ_int,0,eq_c1/2)+4*IF(circ_int,0,eq_c2/2)+2*PI()*(s_0+3*s_r+IF(circ_int,eq_c1/2,0)))/INDEX(lk_legs,4))-(((((2*IF(circ_int,0,eq_c2/2))+(PI()*(s_0+3*s_r+IF(circ_int,eq_c1/2,0))/2))+2*IF(circ_int,0,eq_c1/2))+(PI()*(s_0+3*s_r+IF(circ_int,eq_c1/2,0))/2))+2*IF(circ_int,0,eq_c2/2)))/(s_0+3*s_r+IF(circ_int,eq_c1/2,0))),IF(((63+0.5)*(4*IF(circ_int,0,eq_c1/2)+4*IF(circ_int,0,eq_c2/2)+2*PI()*(s_0+3*s_r+IF(circ_int,eq_c1/2,0)))/INDEX(lk_legs,4))&lt;(((((((2*IF(circ_int,0,eq_c2/2))+(PI()*(s_0+3*s_r+IF(circ_int,eq_c1/2,0))/2))+2*IF(circ_int,0,eq_c1/2))+(PI()*(s_0+3*s_r+IF(circ_int,eq_c1/2,0))/2))+2*IF(circ_int,0,eq_c2/2))+(PI()*(s_0+3*s_r+IF(circ_int,eq_c1/2,0))/2))+2*IF(circ_int,0,eq_c1/2)),-IF(circ_int,0,eq_c2/2)-(s_0+3*s_r+IF(circ_int,eq_c1/2,0)),-IF(circ_int,0,eq_c2/2)+(s_0+3*s_r+IF(circ_int,eq_c1/2,0))*SIN(3*PI()/2+(((63+0.5)*(4*IF(circ_int,0,eq_c1/2)+4*IF(circ_int,0,eq_c2/2)+2*PI()*(s_0+3*s_r+IF(circ_int,eq_c1/2,0)))/INDEX(lk_legs,4))-(((((((2*IF(circ_int,0,eq_c2/2))+(PI()*(s_0+3*s_r+IF(circ_int,eq_c1/2,0))/2))+2*IF(circ_int,0,eq_c1/2))+(PI()*(s_0+3*s_r+IF(circ_int,eq_c1/2,0))/2))+2*IF(circ_int,0,eq_c2/2))+(PI()*(s_0+3*s_r+IF(circ_int,eq_c1/2,0))/2))+2*IF(circ_int,0,eq_c1/2)))/(s_0+3*s_r+IF(circ_int,eq_c1/2,0)))))))))),NA())</f>
        <v/>
      </c>
      <c r="BX66">
        <f>IF(AND(AND(links_on,5&lt;=n_per),INDEX(lk_kind,5)=1,63&lt;INDEX(lk_legs,5)),g_ox+IF(((63+0.5)*(4*IF(circ_int,0,eq_c1/2)+4*IF(circ_int,0,eq_c2/2)+2*PI()*(s_0+4*s_r+IF(circ_int,eq_c1/2,0)))/INDEX(lk_legs,5))&lt;(2*IF(circ_int,0,eq_c2/2)),IF(circ_int,0,eq_c1/2)+(s_0+4*s_r+IF(circ_int,eq_c1/2,0)),IF(((63+0.5)*(4*IF(circ_int,0,eq_c1/2)+4*IF(circ_int,0,eq_c2/2)+2*PI()*(s_0+4*s_r+IF(circ_int,eq_c1/2,0)))/INDEX(lk_legs,5))&lt;((2*IF(circ_int,0,eq_c2/2))+(PI()*(s_0+4*s_r+IF(circ_int,eq_c1/2,0))/2)),IF(circ_int,0,eq_c1/2)+(s_0+4*s_r+IF(circ_int,eq_c1/2,0))*COS((((63+0.5)*(4*IF(circ_int,0,eq_c1/2)+4*IF(circ_int,0,eq_c2/2)+2*PI()*(s_0+4*s_r+IF(circ_int,eq_c1/2,0)))/INDEX(lk_legs,5))-(2*IF(circ_int,0,eq_c2/2)))/(s_0+4*s_r+IF(circ_int,eq_c1/2,0))),IF(((63+0.5)*(4*IF(circ_int,0,eq_c1/2)+4*IF(circ_int,0,eq_c2/2)+2*PI()*(s_0+4*s_r+IF(circ_int,eq_c1/2,0)))/INDEX(lk_legs,5))&lt;(((2*IF(circ_int,0,eq_c2/2))+(PI()*(s_0+4*s_r+IF(circ_int,eq_c1/2,0))/2))+2*IF(circ_int,0,eq_c1/2)),IF(circ_int,0,eq_c1/2)-(((63+0.5)*(4*IF(circ_int,0,eq_c1/2)+4*IF(circ_int,0,eq_c2/2)+2*PI()*(s_0+4*s_r+IF(circ_int,eq_c1/2,0)))/INDEX(lk_legs,5))-((2*IF(circ_int,0,eq_c2/2))+(PI()*(s_0+4*s_r+IF(circ_int,eq_c1/2,0))/2))),IF(((63+0.5)*(4*IF(circ_int,0,eq_c1/2)+4*IF(circ_int,0,eq_c2/2)+2*PI()*(s_0+4*s_r+IF(circ_int,eq_c1/2,0)))/INDEX(lk_legs,5))&lt;((((2*IF(circ_int,0,eq_c2/2))+(PI()*(s_0+4*s_r+IF(circ_int,eq_c1/2,0))/2))+2*IF(circ_int,0,eq_c1/2))+(PI()*(s_0+4*s_r+IF(circ_int,eq_c1/2,0))/2)),-IF(circ_int,0,eq_c1/2)+(s_0+4*s_r+IF(circ_int,eq_c1/2,0))*COS(PI()/2+(((63+0.5)*(4*IF(circ_int,0,eq_c1/2)+4*IF(circ_int,0,eq_c2/2)+2*PI()*(s_0+4*s_r+IF(circ_int,eq_c1/2,0)))/INDEX(lk_legs,5))-(((2*IF(circ_int,0,eq_c2/2))+(PI()*(s_0+4*s_r+IF(circ_int,eq_c1/2,0))/2))+2*IF(circ_int,0,eq_c1/2)))/(s_0+4*s_r+IF(circ_int,eq_c1/2,0))),IF(((63+0.5)*(4*IF(circ_int,0,eq_c1/2)+4*IF(circ_int,0,eq_c2/2)+2*PI()*(s_0+4*s_r+IF(circ_int,eq_c1/2,0)))/INDEX(lk_legs,5))&lt;(((((2*IF(circ_int,0,eq_c2/2))+(PI()*(s_0+4*s_r+IF(circ_int,eq_c1/2,0))/2))+2*IF(circ_int,0,eq_c1/2))+(PI()*(s_0+4*s_r+IF(circ_int,eq_c1/2,0))/2))+2*IF(circ_int,0,eq_c2/2)),-IF(circ_int,0,eq_c1/2)-(s_0+4*s_r+IF(circ_int,eq_c1/2,0)),IF(((63+0.5)*(4*IF(circ_int,0,eq_c1/2)+4*IF(circ_int,0,eq_c2/2)+2*PI()*(s_0+4*s_r+IF(circ_int,eq_c1/2,0)))/INDEX(lk_legs,5))&lt;((((((2*IF(circ_int,0,eq_c2/2))+(PI()*(s_0+4*s_r+IF(circ_int,eq_c1/2,0))/2))+2*IF(circ_int,0,eq_c1/2))+(PI()*(s_0+4*s_r+IF(circ_int,eq_c1/2,0))/2))+2*IF(circ_int,0,eq_c2/2))+(PI()*(s_0+4*s_r+IF(circ_int,eq_c1/2,0))/2)),-IF(circ_int,0,eq_c1/2)+(s_0+4*s_r+IF(circ_int,eq_c1/2,0))*COS(PI()+(((63+0.5)*(4*IF(circ_int,0,eq_c1/2)+4*IF(circ_int,0,eq_c2/2)+2*PI()*(s_0+4*s_r+IF(circ_int,eq_c1/2,0)))/INDEX(lk_legs,5))-(((((2*IF(circ_int,0,eq_c2/2))+(PI()*(s_0+4*s_r+IF(circ_int,eq_c1/2,0))/2))+2*IF(circ_int,0,eq_c1/2))+(PI()*(s_0+4*s_r+IF(circ_int,eq_c1/2,0))/2))+2*IF(circ_int,0,eq_c2/2)))/(s_0+4*s_r+IF(circ_int,eq_c1/2,0))),IF(((63+0.5)*(4*IF(circ_int,0,eq_c1/2)+4*IF(circ_int,0,eq_c2/2)+2*PI()*(s_0+4*s_r+IF(circ_int,eq_c1/2,0)))/INDEX(lk_legs,5))&lt;(((((((2*IF(circ_int,0,eq_c2/2))+(PI()*(s_0+4*s_r+IF(circ_int,eq_c1/2,0))/2))+2*IF(circ_int,0,eq_c1/2))+(PI()*(s_0+4*s_r+IF(circ_int,eq_c1/2,0))/2))+2*IF(circ_int,0,eq_c2/2))+(PI()*(s_0+4*s_r+IF(circ_int,eq_c1/2,0))/2))+2*IF(circ_int,0,eq_c1/2)),-IF(circ_int,0,eq_c1/2)+(((63+0.5)*(4*IF(circ_int,0,eq_c1/2)+4*IF(circ_int,0,eq_c2/2)+2*PI()*(s_0+4*s_r+IF(circ_int,eq_c1/2,0)))/INDEX(lk_legs,5))-((((((2*IF(circ_int,0,eq_c2/2))+(PI()*(s_0+4*s_r+IF(circ_int,eq_c1/2,0))/2))+2*IF(circ_int,0,eq_c1/2))+(PI()*(s_0+4*s_r+IF(circ_int,eq_c1/2,0))/2))+2*IF(circ_int,0,eq_c2/2))+(PI()*(s_0+4*s_r+IF(circ_int,eq_c1/2,0))/2))),IF(circ_int,0,eq_c1/2)+(s_0+4*s_r+IF(circ_int,eq_c1/2,0))*COS(3*PI()/2+(((63+0.5)*(4*IF(circ_int,0,eq_c1/2)+4*IF(circ_int,0,eq_c2/2)+2*PI()*(s_0+4*s_r+IF(circ_int,eq_c1/2,0)))/INDEX(lk_legs,5))-(((((((2*IF(circ_int,0,eq_c2/2))+(PI()*(s_0+4*s_r+IF(circ_int,eq_c1/2,0))/2))+2*IF(circ_int,0,eq_c1/2))+(PI()*(s_0+4*s_r+IF(circ_int,eq_c1/2,0))/2))+2*IF(circ_int,0,eq_c2/2))+(PI()*(s_0+4*s_r+IF(circ_int,eq_c1/2,0))/2))+2*IF(circ_int,0,eq_c1/2)))/(s_0+4*s_r+IF(circ_int,eq_c1/2,0)))))))))),NA())</f>
        <v/>
      </c>
      <c r="BY66">
        <f>IF(AND(AND(links_on,5&lt;=n_per),INDEX(lk_kind,5)=1,63&lt;INDEX(lk_legs,5)),g_oy+IF(((63+0.5)*(4*IF(circ_int,0,eq_c1/2)+4*IF(circ_int,0,eq_c2/2)+2*PI()*(s_0+4*s_r+IF(circ_int,eq_c1/2,0)))/INDEX(lk_legs,5))&lt;(2*IF(circ_int,0,eq_c2/2)),-IF(circ_int,0,eq_c2/2)+((63+0.5)*(4*IF(circ_int,0,eq_c1/2)+4*IF(circ_int,0,eq_c2/2)+2*PI()*(s_0+4*s_r+IF(circ_int,eq_c1/2,0)))/INDEX(lk_legs,5)),IF(((63+0.5)*(4*IF(circ_int,0,eq_c1/2)+4*IF(circ_int,0,eq_c2/2)+2*PI()*(s_0+4*s_r+IF(circ_int,eq_c1/2,0)))/INDEX(lk_legs,5))&lt;((2*IF(circ_int,0,eq_c2/2))+(PI()*(s_0+4*s_r+IF(circ_int,eq_c1/2,0))/2)),IF(circ_int,0,eq_c2/2)+(s_0+4*s_r+IF(circ_int,eq_c1/2,0))*SIN((((63+0.5)*(4*IF(circ_int,0,eq_c1/2)+4*IF(circ_int,0,eq_c2/2)+2*PI()*(s_0+4*s_r+IF(circ_int,eq_c1/2,0)))/INDEX(lk_legs,5))-(2*IF(circ_int,0,eq_c2/2)))/(s_0+4*s_r+IF(circ_int,eq_c1/2,0))),IF(((63+0.5)*(4*IF(circ_int,0,eq_c1/2)+4*IF(circ_int,0,eq_c2/2)+2*PI()*(s_0+4*s_r+IF(circ_int,eq_c1/2,0)))/INDEX(lk_legs,5))&lt;(((2*IF(circ_int,0,eq_c2/2))+(PI()*(s_0+4*s_r+IF(circ_int,eq_c1/2,0))/2))+2*IF(circ_int,0,eq_c1/2)),IF(circ_int,0,eq_c2/2)+(s_0+4*s_r+IF(circ_int,eq_c1/2,0)),IF(((63+0.5)*(4*IF(circ_int,0,eq_c1/2)+4*IF(circ_int,0,eq_c2/2)+2*PI()*(s_0+4*s_r+IF(circ_int,eq_c1/2,0)))/INDEX(lk_legs,5))&lt;((((2*IF(circ_int,0,eq_c2/2))+(PI()*(s_0+4*s_r+IF(circ_int,eq_c1/2,0))/2))+2*IF(circ_int,0,eq_c1/2))+(PI()*(s_0+4*s_r+IF(circ_int,eq_c1/2,0))/2)),IF(circ_int,0,eq_c2/2)+(s_0+4*s_r+IF(circ_int,eq_c1/2,0))*SIN(PI()/2+(((63+0.5)*(4*IF(circ_int,0,eq_c1/2)+4*IF(circ_int,0,eq_c2/2)+2*PI()*(s_0+4*s_r+IF(circ_int,eq_c1/2,0)))/INDEX(lk_legs,5))-(((2*IF(circ_int,0,eq_c2/2))+(PI()*(s_0+4*s_r+IF(circ_int,eq_c1/2,0))/2))+2*IF(circ_int,0,eq_c1/2)))/(s_0+4*s_r+IF(circ_int,eq_c1/2,0))),IF(((63+0.5)*(4*IF(circ_int,0,eq_c1/2)+4*IF(circ_int,0,eq_c2/2)+2*PI()*(s_0+4*s_r+IF(circ_int,eq_c1/2,0)))/INDEX(lk_legs,5))&lt;(((((2*IF(circ_int,0,eq_c2/2))+(PI()*(s_0+4*s_r+IF(circ_int,eq_c1/2,0))/2))+2*IF(circ_int,0,eq_c1/2))+(PI()*(s_0+4*s_r+IF(circ_int,eq_c1/2,0))/2))+2*IF(circ_int,0,eq_c2/2)),IF(circ_int,0,eq_c2/2)-(((63+0.5)*(4*IF(circ_int,0,eq_c1/2)+4*IF(circ_int,0,eq_c2/2)+2*PI()*(s_0+4*s_r+IF(circ_int,eq_c1/2,0)))/INDEX(lk_legs,5))-((((2*IF(circ_int,0,eq_c2/2))+(PI()*(s_0+4*s_r+IF(circ_int,eq_c1/2,0))/2))+2*IF(circ_int,0,eq_c1/2))+(PI()*(s_0+4*s_r+IF(circ_int,eq_c1/2,0))/2))),IF(((63+0.5)*(4*IF(circ_int,0,eq_c1/2)+4*IF(circ_int,0,eq_c2/2)+2*PI()*(s_0+4*s_r+IF(circ_int,eq_c1/2,0)))/INDEX(lk_legs,5))&lt;((((((2*IF(circ_int,0,eq_c2/2))+(PI()*(s_0+4*s_r+IF(circ_int,eq_c1/2,0))/2))+2*IF(circ_int,0,eq_c1/2))+(PI()*(s_0+4*s_r+IF(circ_int,eq_c1/2,0))/2))+2*IF(circ_int,0,eq_c2/2))+(PI()*(s_0+4*s_r+IF(circ_int,eq_c1/2,0))/2)),-IF(circ_int,0,eq_c2/2)+(s_0+4*s_r+IF(circ_int,eq_c1/2,0))*SIN(PI()+(((63+0.5)*(4*IF(circ_int,0,eq_c1/2)+4*IF(circ_int,0,eq_c2/2)+2*PI()*(s_0+4*s_r+IF(circ_int,eq_c1/2,0)))/INDEX(lk_legs,5))-(((((2*IF(circ_int,0,eq_c2/2))+(PI()*(s_0+4*s_r+IF(circ_int,eq_c1/2,0))/2))+2*IF(circ_int,0,eq_c1/2))+(PI()*(s_0+4*s_r+IF(circ_int,eq_c1/2,0))/2))+2*IF(circ_int,0,eq_c2/2)))/(s_0+4*s_r+IF(circ_int,eq_c1/2,0))),IF(((63+0.5)*(4*IF(circ_int,0,eq_c1/2)+4*IF(circ_int,0,eq_c2/2)+2*PI()*(s_0+4*s_r+IF(circ_int,eq_c1/2,0)))/INDEX(lk_legs,5))&lt;(((((((2*IF(circ_int,0,eq_c2/2))+(PI()*(s_0+4*s_r+IF(circ_int,eq_c1/2,0))/2))+2*IF(circ_int,0,eq_c1/2))+(PI()*(s_0+4*s_r+IF(circ_int,eq_c1/2,0))/2))+2*IF(circ_int,0,eq_c2/2))+(PI()*(s_0+4*s_r+IF(circ_int,eq_c1/2,0))/2))+2*IF(circ_int,0,eq_c1/2)),-IF(circ_int,0,eq_c2/2)-(s_0+4*s_r+IF(circ_int,eq_c1/2,0)),-IF(circ_int,0,eq_c2/2)+(s_0+4*s_r+IF(circ_int,eq_c1/2,0))*SIN(3*PI()/2+(((63+0.5)*(4*IF(circ_int,0,eq_c1/2)+4*IF(circ_int,0,eq_c2/2)+2*PI()*(s_0+4*s_r+IF(circ_int,eq_c1/2,0)))/INDEX(lk_legs,5))-(((((((2*IF(circ_int,0,eq_c2/2))+(PI()*(s_0+4*s_r+IF(circ_int,eq_c1/2,0))/2))+2*IF(circ_int,0,eq_c1/2))+(PI()*(s_0+4*s_r+IF(circ_int,eq_c1/2,0))/2))+2*IF(circ_int,0,eq_c2/2))+(PI()*(s_0+4*s_r+IF(circ_int,eq_c1/2,0))/2))+2*IF(circ_int,0,eq_c1/2)))/(s_0+4*s_r+IF(circ_int,eq_c1/2,0)))))))))),NA())</f>
        <v/>
      </c>
      <c r="CD66">
        <f>IF(AND(AND(links_on,6&lt;=n_per),INDEX(lk_kind,6)=1,63&lt;INDEX(lk_legs,6)),g_ox+IF(((63+0.5)*(4*IF(circ_int,0,eq_c1/2)+4*IF(circ_int,0,eq_c2/2)+2*PI()*(s_0+5*s_r+IF(circ_int,eq_c1/2,0)))/INDEX(lk_legs,6))&lt;(2*IF(circ_int,0,eq_c2/2)),IF(circ_int,0,eq_c1/2)+(s_0+5*s_r+IF(circ_int,eq_c1/2,0)),IF(((63+0.5)*(4*IF(circ_int,0,eq_c1/2)+4*IF(circ_int,0,eq_c2/2)+2*PI()*(s_0+5*s_r+IF(circ_int,eq_c1/2,0)))/INDEX(lk_legs,6))&lt;((2*IF(circ_int,0,eq_c2/2))+(PI()*(s_0+5*s_r+IF(circ_int,eq_c1/2,0))/2)),IF(circ_int,0,eq_c1/2)+(s_0+5*s_r+IF(circ_int,eq_c1/2,0))*COS((((63+0.5)*(4*IF(circ_int,0,eq_c1/2)+4*IF(circ_int,0,eq_c2/2)+2*PI()*(s_0+5*s_r+IF(circ_int,eq_c1/2,0)))/INDEX(lk_legs,6))-(2*IF(circ_int,0,eq_c2/2)))/(s_0+5*s_r+IF(circ_int,eq_c1/2,0))),IF(((63+0.5)*(4*IF(circ_int,0,eq_c1/2)+4*IF(circ_int,0,eq_c2/2)+2*PI()*(s_0+5*s_r+IF(circ_int,eq_c1/2,0)))/INDEX(lk_legs,6))&lt;(((2*IF(circ_int,0,eq_c2/2))+(PI()*(s_0+5*s_r+IF(circ_int,eq_c1/2,0))/2))+2*IF(circ_int,0,eq_c1/2)),IF(circ_int,0,eq_c1/2)-(((63+0.5)*(4*IF(circ_int,0,eq_c1/2)+4*IF(circ_int,0,eq_c2/2)+2*PI()*(s_0+5*s_r+IF(circ_int,eq_c1/2,0)))/INDEX(lk_legs,6))-((2*IF(circ_int,0,eq_c2/2))+(PI()*(s_0+5*s_r+IF(circ_int,eq_c1/2,0))/2))),IF(((63+0.5)*(4*IF(circ_int,0,eq_c1/2)+4*IF(circ_int,0,eq_c2/2)+2*PI()*(s_0+5*s_r+IF(circ_int,eq_c1/2,0)))/INDEX(lk_legs,6))&lt;((((2*IF(circ_int,0,eq_c2/2))+(PI()*(s_0+5*s_r+IF(circ_int,eq_c1/2,0))/2))+2*IF(circ_int,0,eq_c1/2))+(PI()*(s_0+5*s_r+IF(circ_int,eq_c1/2,0))/2)),-IF(circ_int,0,eq_c1/2)+(s_0+5*s_r+IF(circ_int,eq_c1/2,0))*COS(PI()/2+(((63+0.5)*(4*IF(circ_int,0,eq_c1/2)+4*IF(circ_int,0,eq_c2/2)+2*PI()*(s_0+5*s_r+IF(circ_int,eq_c1/2,0)))/INDEX(lk_legs,6))-(((2*IF(circ_int,0,eq_c2/2))+(PI()*(s_0+5*s_r+IF(circ_int,eq_c1/2,0))/2))+2*IF(circ_int,0,eq_c1/2)))/(s_0+5*s_r+IF(circ_int,eq_c1/2,0))),IF(((63+0.5)*(4*IF(circ_int,0,eq_c1/2)+4*IF(circ_int,0,eq_c2/2)+2*PI()*(s_0+5*s_r+IF(circ_int,eq_c1/2,0)))/INDEX(lk_legs,6))&lt;(((((2*IF(circ_int,0,eq_c2/2))+(PI()*(s_0+5*s_r+IF(circ_int,eq_c1/2,0))/2))+2*IF(circ_int,0,eq_c1/2))+(PI()*(s_0+5*s_r+IF(circ_int,eq_c1/2,0))/2))+2*IF(circ_int,0,eq_c2/2)),-IF(circ_int,0,eq_c1/2)-(s_0+5*s_r+IF(circ_int,eq_c1/2,0)),IF(((63+0.5)*(4*IF(circ_int,0,eq_c1/2)+4*IF(circ_int,0,eq_c2/2)+2*PI()*(s_0+5*s_r+IF(circ_int,eq_c1/2,0)))/INDEX(lk_legs,6))&lt;((((((2*IF(circ_int,0,eq_c2/2))+(PI()*(s_0+5*s_r+IF(circ_int,eq_c1/2,0))/2))+2*IF(circ_int,0,eq_c1/2))+(PI()*(s_0+5*s_r+IF(circ_int,eq_c1/2,0))/2))+2*IF(circ_int,0,eq_c2/2))+(PI()*(s_0+5*s_r+IF(circ_int,eq_c1/2,0))/2)),-IF(circ_int,0,eq_c1/2)+(s_0+5*s_r+IF(circ_int,eq_c1/2,0))*COS(PI()+(((63+0.5)*(4*IF(circ_int,0,eq_c1/2)+4*IF(circ_int,0,eq_c2/2)+2*PI()*(s_0+5*s_r+IF(circ_int,eq_c1/2,0)))/INDEX(lk_legs,6))-(((((2*IF(circ_int,0,eq_c2/2))+(PI()*(s_0+5*s_r+IF(circ_int,eq_c1/2,0))/2))+2*IF(circ_int,0,eq_c1/2))+(PI()*(s_0+5*s_r+IF(circ_int,eq_c1/2,0))/2))+2*IF(circ_int,0,eq_c2/2)))/(s_0+5*s_r+IF(circ_int,eq_c1/2,0))),IF(((63+0.5)*(4*IF(circ_int,0,eq_c1/2)+4*IF(circ_int,0,eq_c2/2)+2*PI()*(s_0+5*s_r+IF(circ_int,eq_c1/2,0)))/INDEX(lk_legs,6))&lt;(((((((2*IF(circ_int,0,eq_c2/2))+(PI()*(s_0+5*s_r+IF(circ_int,eq_c1/2,0))/2))+2*IF(circ_int,0,eq_c1/2))+(PI()*(s_0+5*s_r+IF(circ_int,eq_c1/2,0))/2))+2*IF(circ_int,0,eq_c2/2))+(PI()*(s_0+5*s_r+IF(circ_int,eq_c1/2,0))/2))+2*IF(circ_int,0,eq_c1/2)),-IF(circ_int,0,eq_c1/2)+(((63+0.5)*(4*IF(circ_int,0,eq_c1/2)+4*IF(circ_int,0,eq_c2/2)+2*PI()*(s_0+5*s_r+IF(circ_int,eq_c1/2,0)))/INDEX(lk_legs,6))-((((((2*IF(circ_int,0,eq_c2/2))+(PI()*(s_0+5*s_r+IF(circ_int,eq_c1/2,0))/2))+2*IF(circ_int,0,eq_c1/2))+(PI()*(s_0+5*s_r+IF(circ_int,eq_c1/2,0))/2))+2*IF(circ_int,0,eq_c2/2))+(PI()*(s_0+5*s_r+IF(circ_int,eq_c1/2,0))/2))),IF(circ_int,0,eq_c1/2)+(s_0+5*s_r+IF(circ_int,eq_c1/2,0))*COS(3*PI()/2+(((63+0.5)*(4*IF(circ_int,0,eq_c1/2)+4*IF(circ_int,0,eq_c2/2)+2*PI()*(s_0+5*s_r+IF(circ_int,eq_c1/2,0)))/INDEX(lk_legs,6))-(((((((2*IF(circ_int,0,eq_c2/2))+(PI()*(s_0+5*s_r+IF(circ_int,eq_c1/2,0))/2))+2*IF(circ_int,0,eq_c1/2))+(PI()*(s_0+5*s_r+IF(circ_int,eq_c1/2,0))/2))+2*IF(circ_int,0,eq_c2/2))+(PI()*(s_0+5*s_r+IF(circ_int,eq_c1/2,0))/2))+2*IF(circ_int,0,eq_c1/2)))/(s_0+5*s_r+IF(circ_int,eq_c1/2,0)))))))))),NA())</f>
        <v/>
      </c>
      <c r="CE66">
        <f>IF(AND(AND(links_on,6&lt;=n_per),INDEX(lk_kind,6)=1,63&lt;INDEX(lk_legs,6)),g_oy+IF(((63+0.5)*(4*IF(circ_int,0,eq_c1/2)+4*IF(circ_int,0,eq_c2/2)+2*PI()*(s_0+5*s_r+IF(circ_int,eq_c1/2,0)))/INDEX(lk_legs,6))&lt;(2*IF(circ_int,0,eq_c2/2)),-IF(circ_int,0,eq_c2/2)+((63+0.5)*(4*IF(circ_int,0,eq_c1/2)+4*IF(circ_int,0,eq_c2/2)+2*PI()*(s_0+5*s_r+IF(circ_int,eq_c1/2,0)))/INDEX(lk_legs,6)),IF(((63+0.5)*(4*IF(circ_int,0,eq_c1/2)+4*IF(circ_int,0,eq_c2/2)+2*PI()*(s_0+5*s_r+IF(circ_int,eq_c1/2,0)))/INDEX(lk_legs,6))&lt;((2*IF(circ_int,0,eq_c2/2))+(PI()*(s_0+5*s_r+IF(circ_int,eq_c1/2,0))/2)),IF(circ_int,0,eq_c2/2)+(s_0+5*s_r+IF(circ_int,eq_c1/2,0))*SIN((((63+0.5)*(4*IF(circ_int,0,eq_c1/2)+4*IF(circ_int,0,eq_c2/2)+2*PI()*(s_0+5*s_r+IF(circ_int,eq_c1/2,0)))/INDEX(lk_legs,6))-(2*IF(circ_int,0,eq_c2/2)))/(s_0+5*s_r+IF(circ_int,eq_c1/2,0))),IF(((63+0.5)*(4*IF(circ_int,0,eq_c1/2)+4*IF(circ_int,0,eq_c2/2)+2*PI()*(s_0+5*s_r+IF(circ_int,eq_c1/2,0)))/INDEX(lk_legs,6))&lt;(((2*IF(circ_int,0,eq_c2/2))+(PI()*(s_0+5*s_r+IF(circ_int,eq_c1/2,0))/2))+2*IF(circ_int,0,eq_c1/2)),IF(circ_int,0,eq_c2/2)+(s_0+5*s_r+IF(circ_int,eq_c1/2,0)),IF(((63+0.5)*(4*IF(circ_int,0,eq_c1/2)+4*IF(circ_int,0,eq_c2/2)+2*PI()*(s_0+5*s_r+IF(circ_int,eq_c1/2,0)))/INDEX(lk_legs,6))&lt;((((2*IF(circ_int,0,eq_c2/2))+(PI()*(s_0+5*s_r+IF(circ_int,eq_c1/2,0))/2))+2*IF(circ_int,0,eq_c1/2))+(PI()*(s_0+5*s_r+IF(circ_int,eq_c1/2,0))/2)),IF(circ_int,0,eq_c2/2)+(s_0+5*s_r+IF(circ_int,eq_c1/2,0))*SIN(PI()/2+(((63+0.5)*(4*IF(circ_int,0,eq_c1/2)+4*IF(circ_int,0,eq_c2/2)+2*PI()*(s_0+5*s_r+IF(circ_int,eq_c1/2,0)))/INDEX(lk_legs,6))-(((2*IF(circ_int,0,eq_c2/2))+(PI()*(s_0+5*s_r+IF(circ_int,eq_c1/2,0))/2))+2*IF(circ_int,0,eq_c1/2)))/(s_0+5*s_r+IF(circ_int,eq_c1/2,0))),IF(((63+0.5)*(4*IF(circ_int,0,eq_c1/2)+4*IF(circ_int,0,eq_c2/2)+2*PI()*(s_0+5*s_r+IF(circ_int,eq_c1/2,0)))/INDEX(lk_legs,6))&lt;(((((2*IF(circ_int,0,eq_c2/2))+(PI()*(s_0+5*s_r+IF(circ_int,eq_c1/2,0))/2))+2*IF(circ_int,0,eq_c1/2))+(PI()*(s_0+5*s_r+IF(circ_int,eq_c1/2,0))/2))+2*IF(circ_int,0,eq_c2/2)),IF(circ_int,0,eq_c2/2)-(((63+0.5)*(4*IF(circ_int,0,eq_c1/2)+4*IF(circ_int,0,eq_c2/2)+2*PI()*(s_0+5*s_r+IF(circ_int,eq_c1/2,0)))/INDEX(lk_legs,6))-((((2*IF(circ_int,0,eq_c2/2))+(PI()*(s_0+5*s_r+IF(circ_int,eq_c1/2,0))/2))+2*IF(circ_int,0,eq_c1/2))+(PI()*(s_0+5*s_r+IF(circ_int,eq_c1/2,0))/2))),IF(((63+0.5)*(4*IF(circ_int,0,eq_c1/2)+4*IF(circ_int,0,eq_c2/2)+2*PI()*(s_0+5*s_r+IF(circ_int,eq_c1/2,0)))/INDEX(lk_legs,6))&lt;((((((2*IF(circ_int,0,eq_c2/2))+(PI()*(s_0+5*s_r+IF(circ_int,eq_c1/2,0))/2))+2*IF(circ_int,0,eq_c1/2))+(PI()*(s_0+5*s_r+IF(circ_int,eq_c1/2,0))/2))+2*IF(circ_int,0,eq_c2/2))+(PI()*(s_0+5*s_r+IF(circ_int,eq_c1/2,0))/2)),-IF(circ_int,0,eq_c2/2)+(s_0+5*s_r+IF(circ_int,eq_c1/2,0))*SIN(PI()+(((63+0.5)*(4*IF(circ_int,0,eq_c1/2)+4*IF(circ_int,0,eq_c2/2)+2*PI()*(s_0+5*s_r+IF(circ_int,eq_c1/2,0)))/INDEX(lk_legs,6))-(((((2*IF(circ_int,0,eq_c2/2))+(PI()*(s_0+5*s_r+IF(circ_int,eq_c1/2,0))/2))+2*IF(circ_int,0,eq_c1/2))+(PI()*(s_0+5*s_r+IF(circ_int,eq_c1/2,0))/2))+2*IF(circ_int,0,eq_c2/2)))/(s_0+5*s_r+IF(circ_int,eq_c1/2,0))),IF(((63+0.5)*(4*IF(circ_int,0,eq_c1/2)+4*IF(circ_int,0,eq_c2/2)+2*PI()*(s_0+5*s_r+IF(circ_int,eq_c1/2,0)))/INDEX(lk_legs,6))&lt;(((((((2*IF(circ_int,0,eq_c2/2))+(PI()*(s_0+5*s_r+IF(circ_int,eq_c1/2,0))/2))+2*IF(circ_int,0,eq_c1/2))+(PI()*(s_0+5*s_r+IF(circ_int,eq_c1/2,0))/2))+2*IF(circ_int,0,eq_c2/2))+(PI()*(s_0+5*s_r+IF(circ_int,eq_c1/2,0))/2))+2*IF(circ_int,0,eq_c1/2)),-IF(circ_int,0,eq_c2/2)-(s_0+5*s_r+IF(circ_int,eq_c1/2,0)),-IF(circ_int,0,eq_c2/2)+(s_0+5*s_r+IF(circ_int,eq_c1/2,0))*SIN(3*PI()/2+(((63+0.5)*(4*IF(circ_int,0,eq_c1/2)+4*IF(circ_int,0,eq_c2/2)+2*PI()*(s_0+5*s_r+IF(circ_int,eq_c1/2,0)))/INDEX(lk_legs,6))-(((((((2*IF(circ_int,0,eq_c2/2))+(PI()*(s_0+5*s_r+IF(circ_int,eq_c1/2,0))/2))+2*IF(circ_int,0,eq_c1/2))+(PI()*(s_0+5*s_r+IF(circ_int,eq_c1/2,0))/2))+2*IF(circ_int,0,eq_c2/2))+(PI()*(s_0+5*s_r+IF(circ_int,eq_c1/2,0))/2))+2*IF(circ_int,0,eq_c1/2)))/(s_0+5*s_r+IF(circ_int,eq_c1/2,0)))))))))),NA())</f>
        <v/>
      </c>
      <c r="CJ66">
        <f>IF(AND(AND(links_on,7&lt;=n_per),INDEX(lk_kind,7)=1,63&lt;INDEX(lk_legs,7)),g_ox+IF(((63+0.5)*(4*IF(circ_int,0,eq_c1/2)+4*IF(circ_int,0,eq_c2/2)+2*PI()*(s_0+6*s_r+IF(circ_int,eq_c1/2,0)))/INDEX(lk_legs,7))&lt;(2*IF(circ_int,0,eq_c2/2)),IF(circ_int,0,eq_c1/2)+(s_0+6*s_r+IF(circ_int,eq_c1/2,0)),IF(((63+0.5)*(4*IF(circ_int,0,eq_c1/2)+4*IF(circ_int,0,eq_c2/2)+2*PI()*(s_0+6*s_r+IF(circ_int,eq_c1/2,0)))/INDEX(lk_legs,7))&lt;((2*IF(circ_int,0,eq_c2/2))+(PI()*(s_0+6*s_r+IF(circ_int,eq_c1/2,0))/2)),IF(circ_int,0,eq_c1/2)+(s_0+6*s_r+IF(circ_int,eq_c1/2,0))*COS((((63+0.5)*(4*IF(circ_int,0,eq_c1/2)+4*IF(circ_int,0,eq_c2/2)+2*PI()*(s_0+6*s_r+IF(circ_int,eq_c1/2,0)))/INDEX(lk_legs,7))-(2*IF(circ_int,0,eq_c2/2)))/(s_0+6*s_r+IF(circ_int,eq_c1/2,0))),IF(((63+0.5)*(4*IF(circ_int,0,eq_c1/2)+4*IF(circ_int,0,eq_c2/2)+2*PI()*(s_0+6*s_r+IF(circ_int,eq_c1/2,0)))/INDEX(lk_legs,7))&lt;(((2*IF(circ_int,0,eq_c2/2))+(PI()*(s_0+6*s_r+IF(circ_int,eq_c1/2,0))/2))+2*IF(circ_int,0,eq_c1/2)),IF(circ_int,0,eq_c1/2)-(((63+0.5)*(4*IF(circ_int,0,eq_c1/2)+4*IF(circ_int,0,eq_c2/2)+2*PI()*(s_0+6*s_r+IF(circ_int,eq_c1/2,0)))/INDEX(lk_legs,7))-((2*IF(circ_int,0,eq_c2/2))+(PI()*(s_0+6*s_r+IF(circ_int,eq_c1/2,0))/2))),IF(((63+0.5)*(4*IF(circ_int,0,eq_c1/2)+4*IF(circ_int,0,eq_c2/2)+2*PI()*(s_0+6*s_r+IF(circ_int,eq_c1/2,0)))/INDEX(lk_legs,7))&lt;((((2*IF(circ_int,0,eq_c2/2))+(PI()*(s_0+6*s_r+IF(circ_int,eq_c1/2,0))/2))+2*IF(circ_int,0,eq_c1/2))+(PI()*(s_0+6*s_r+IF(circ_int,eq_c1/2,0))/2)),-IF(circ_int,0,eq_c1/2)+(s_0+6*s_r+IF(circ_int,eq_c1/2,0))*COS(PI()/2+(((63+0.5)*(4*IF(circ_int,0,eq_c1/2)+4*IF(circ_int,0,eq_c2/2)+2*PI()*(s_0+6*s_r+IF(circ_int,eq_c1/2,0)))/INDEX(lk_legs,7))-(((2*IF(circ_int,0,eq_c2/2))+(PI()*(s_0+6*s_r+IF(circ_int,eq_c1/2,0))/2))+2*IF(circ_int,0,eq_c1/2)))/(s_0+6*s_r+IF(circ_int,eq_c1/2,0))),IF(((63+0.5)*(4*IF(circ_int,0,eq_c1/2)+4*IF(circ_int,0,eq_c2/2)+2*PI()*(s_0+6*s_r+IF(circ_int,eq_c1/2,0)))/INDEX(lk_legs,7))&lt;(((((2*IF(circ_int,0,eq_c2/2))+(PI()*(s_0+6*s_r+IF(circ_int,eq_c1/2,0))/2))+2*IF(circ_int,0,eq_c1/2))+(PI()*(s_0+6*s_r+IF(circ_int,eq_c1/2,0))/2))+2*IF(circ_int,0,eq_c2/2)),-IF(circ_int,0,eq_c1/2)-(s_0+6*s_r+IF(circ_int,eq_c1/2,0)),IF(((63+0.5)*(4*IF(circ_int,0,eq_c1/2)+4*IF(circ_int,0,eq_c2/2)+2*PI()*(s_0+6*s_r+IF(circ_int,eq_c1/2,0)))/INDEX(lk_legs,7))&lt;((((((2*IF(circ_int,0,eq_c2/2))+(PI()*(s_0+6*s_r+IF(circ_int,eq_c1/2,0))/2))+2*IF(circ_int,0,eq_c1/2))+(PI()*(s_0+6*s_r+IF(circ_int,eq_c1/2,0))/2))+2*IF(circ_int,0,eq_c2/2))+(PI()*(s_0+6*s_r+IF(circ_int,eq_c1/2,0))/2)),-IF(circ_int,0,eq_c1/2)+(s_0+6*s_r+IF(circ_int,eq_c1/2,0))*COS(PI()+(((63+0.5)*(4*IF(circ_int,0,eq_c1/2)+4*IF(circ_int,0,eq_c2/2)+2*PI()*(s_0+6*s_r+IF(circ_int,eq_c1/2,0)))/INDEX(lk_legs,7))-(((((2*IF(circ_int,0,eq_c2/2))+(PI()*(s_0+6*s_r+IF(circ_int,eq_c1/2,0))/2))+2*IF(circ_int,0,eq_c1/2))+(PI()*(s_0+6*s_r+IF(circ_int,eq_c1/2,0))/2))+2*IF(circ_int,0,eq_c2/2)))/(s_0+6*s_r+IF(circ_int,eq_c1/2,0))),IF(((63+0.5)*(4*IF(circ_int,0,eq_c1/2)+4*IF(circ_int,0,eq_c2/2)+2*PI()*(s_0+6*s_r+IF(circ_int,eq_c1/2,0)))/INDEX(lk_legs,7))&lt;(((((((2*IF(circ_int,0,eq_c2/2))+(PI()*(s_0+6*s_r+IF(circ_int,eq_c1/2,0))/2))+2*IF(circ_int,0,eq_c1/2))+(PI()*(s_0+6*s_r+IF(circ_int,eq_c1/2,0))/2))+2*IF(circ_int,0,eq_c2/2))+(PI()*(s_0+6*s_r+IF(circ_int,eq_c1/2,0))/2))+2*IF(circ_int,0,eq_c1/2)),-IF(circ_int,0,eq_c1/2)+(((63+0.5)*(4*IF(circ_int,0,eq_c1/2)+4*IF(circ_int,0,eq_c2/2)+2*PI()*(s_0+6*s_r+IF(circ_int,eq_c1/2,0)))/INDEX(lk_legs,7))-((((((2*IF(circ_int,0,eq_c2/2))+(PI()*(s_0+6*s_r+IF(circ_int,eq_c1/2,0))/2))+2*IF(circ_int,0,eq_c1/2))+(PI()*(s_0+6*s_r+IF(circ_int,eq_c1/2,0))/2))+2*IF(circ_int,0,eq_c2/2))+(PI()*(s_0+6*s_r+IF(circ_int,eq_c1/2,0))/2))),IF(circ_int,0,eq_c1/2)+(s_0+6*s_r+IF(circ_int,eq_c1/2,0))*COS(3*PI()/2+(((63+0.5)*(4*IF(circ_int,0,eq_c1/2)+4*IF(circ_int,0,eq_c2/2)+2*PI()*(s_0+6*s_r+IF(circ_int,eq_c1/2,0)))/INDEX(lk_legs,7))-(((((((2*IF(circ_int,0,eq_c2/2))+(PI()*(s_0+6*s_r+IF(circ_int,eq_c1/2,0))/2))+2*IF(circ_int,0,eq_c1/2))+(PI()*(s_0+6*s_r+IF(circ_int,eq_c1/2,0))/2))+2*IF(circ_int,0,eq_c2/2))+(PI()*(s_0+6*s_r+IF(circ_int,eq_c1/2,0))/2))+2*IF(circ_int,0,eq_c1/2)))/(s_0+6*s_r+IF(circ_int,eq_c1/2,0)))))))))),NA())</f>
        <v/>
      </c>
      <c r="CK66">
        <f>IF(AND(AND(links_on,7&lt;=n_per),INDEX(lk_kind,7)=1,63&lt;INDEX(lk_legs,7)),g_oy+IF(((63+0.5)*(4*IF(circ_int,0,eq_c1/2)+4*IF(circ_int,0,eq_c2/2)+2*PI()*(s_0+6*s_r+IF(circ_int,eq_c1/2,0)))/INDEX(lk_legs,7))&lt;(2*IF(circ_int,0,eq_c2/2)),-IF(circ_int,0,eq_c2/2)+((63+0.5)*(4*IF(circ_int,0,eq_c1/2)+4*IF(circ_int,0,eq_c2/2)+2*PI()*(s_0+6*s_r+IF(circ_int,eq_c1/2,0)))/INDEX(lk_legs,7)),IF(((63+0.5)*(4*IF(circ_int,0,eq_c1/2)+4*IF(circ_int,0,eq_c2/2)+2*PI()*(s_0+6*s_r+IF(circ_int,eq_c1/2,0)))/INDEX(lk_legs,7))&lt;((2*IF(circ_int,0,eq_c2/2))+(PI()*(s_0+6*s_r+IF(circ_int,eq_c1/2,0))/2)),IF(circ_int,0,eq_c2/2)+(s_0+6*s_r+IF(circ_int,eq_c1/2,0))*SIN((((63+0.5)*(4*IF(circ_int,0,eq_c1/2)+4*IF(circ_int,0,eq_c2/2)+2*PI()*(s_0+6*s_r+IF(circ_int,eq_c1/2,0)))/INDEX(lk_legs,7))-(2*IF(circ_int,0,eq_c2/2)))/(s_0+6*s_r+IF(circ_int,eq_c1/2,0))),IF(((63+0.5)*(4*IF(circ_int,0,eq_c1/2)+4*IF(circ_int,0,eq_c2/2)+2*PI()*(s_0+6*s_r+IF(circ_int,eq_c1/2,0)))/INDEX(lk_legs,7))&lt;(((2*IF(circ_int,0,eq_c2/2))+(PI()*(s_0+6*s_r+IF(circ_int,eq_c1/2,0))/2))+2*IF(circ_int,0,eq_c1/2)),IF(circ_int,0,eq_c2/2)+(s_0+6*s_r+IF(circ_int,eq_c1/2,0)),IF(((63+0.5)*(4*IF(circ_int,0,eq_c1/2)+4*IF(circ_int,0,eq_c2/2)+2*PI()*(s_0+6*s_r+IF(circ_int,eq_c1/2,0)))/INDEX(lk_legs,7))&lt;((((2*IF(circ_int,0,eq_c2/2))+(PI()*(s_0+6*s_r+IF(circ_int,eq_c1/2,0))/2))+2*IF(circ_int,0,eq_c1/2))+(PI()*(s_0+6*s_r+IF(circ_int,eq_c1/2,0))/2)),IF(circ_int,0,eq_c2/2)+(s_0+6*s_r+IF(circ_int,eq_c1/2,0))*SIN(PI()/2+(((63+0.5)*(4*IF(circ_int,0,eq_c1/2)+4*IF(circ_int,0,eq_c2/2)+2*PI()*(s_0+6*s_r+IF(circ_int,eq_c1/2,0)))/INDEX(lk_legs,7))-(((2*IF(circ_int,0,eq_c2/2))+(PI()*(s_0+6*s_r+IF(circ_int,eq_c1/2,0))/2))+2*IF(circ_int,0,eq_c1/2)))/(s_0+6*s_r+IF(circ_int,eq_c1/2,0))),IF(((63+0.5)*(4*IF(circ_int,0,eq_c1/2)+4*IF(circ_int,0,eq_c2/2)+2*PI()*(s_0+6*s_r+IF(circ_int,eq_c1/2,0)))/INDEX(lk_legs,7))&lt;(((((2*IF(circ_int,0,eq_c2/2))+(PI()*(s_0+6*s_r+IF(circ_int,eq_c1/2,0))/2))+2*IF(circ_int,0,eq_c1/2))+(PI()*(s_0+6*s_r+IF(circ_int,eq_c1/2,0))/2))+2*IF(circ_int,0,eq_c2/2)),IF(circ_int,0,eq_c2/2)-(((63+0.5)*(4*IF(circ_int,0,eq_c1/2)+4*IF(circ_int,0,eq_c2/2)+2*PI()*(s_0+6*s_r+IF(circ_int,eq_c1/2,0)))/INDEX(lk_legs,7))-((((2*IF(circ_int,0,eq_c2/2))+(PI()*(s_0+6*s_r+IF(circ_int,eq_c1/2,0))/2))+2*IF(circ_int,0,eq_c1/2))+(PI()*(s_0+6*s_r+IF(circ_int,eq_c1/2,0))/2))),IF(((63+0.5)*(4*IF(circ_int,0,eq_c1/2)+4*IF(circ_int,0,eq_c2/2)+2*PI()*(s_0+6*s_r+IF(circ_int,eq_c1/2,0)))/INDEX(lk_legs,7))&lt;((((((2*IF(circ_int,0,eq_c2/2))+(PI()*(s_0+6*s_r+IF(circ_int,eq_c1/2,0))/2))+2*IF(circ_int,0,eq_c1/2))+(PI()*(s_0+6*s_r+IF(circ_int,eq_c1/2,0))/2))+2*IF(circ_int,0,eq_c2/2))+(PI()*(s_0+6*s_r+IF(circ_int,eq_c1/2,0))/2)),-IF(circ_int,0,eq_c2/2)+(s_0+6*s_r+IF(circ_int,eq_c1/2,0))*SIN(PI()+(((63+0.5)*(4*IF(circ_int,0,eq_c1/2)+4*IF(circ_int,0,eq_c2/2)+2*PI()*(s_0+6*s_r+IF(circ_int,eq_c1/2,0)))/INDEX(lk_legs,7))-(((((2*IF(circ_int,0,eq_c2/2))+(PI()*(s_0+6*s_r+IF(circ_int,eq_c1/2,0))/2))+2*IF(circ_int,0,eq_c1/2))+(PI()*(s_0+6*s_r+IF(circ_int,eq_c1/2,0))/2))+2*IF(circ_int,0,eq_c2/2)))/(s_0+6*s_r+IF(circ_int,eq_c1/2,0))),IF(((63+0.5)*(4*IF(circ_int,0,eq_c1/2)+4*IF(circ_int,0,eq_c2/2)+2*PI()*(s_0+6*s_r+IF(circ_int,eq_c1/2,0)))/INDEX(lk_legs,7))&lt;(((((((2*IF(circ_int,0,eq_c2/2))+(PI()*(s_0+6*s_r+IF(circ_int,eq_c1/2,0))/2))+2*IF(circ_int,0,eq_c1/2))+(PI()*(s_0+6*s_r+IF(circ_int,eq_c1/2,0))/2))+2*IF(circ_int,0,eq_c2/2))+(PI()*(s_0+6*s_r+IF(circ_int,eq_c1/2,0))/2))+2*IF(circ_int,0,eq_c1/2)),-IF(circ_int,0,eq_c2/2)-(s_0+6*s_r+IF(circ_int,eq_c1/2,0)),-IF(circ_int,0,eq_c2/2)+(s_0+6*s_r+IF(circ_int,eq_c1/2,0))*SIN(3*PI()/2+(((63+0.5)*(4*IF(circ_int,0,eq_c1/2)+4*IF(circ_int,0,eq_c2/2)+2*PI()*(s_0+6*s_r+IF(circ_int,eq_c1/2,0)))/INDEX(lk_legs,7))-(((((((2*IF(circ_int,0,eq_c2/2))+(PI()*(s_0+6*s_r+IF(circ_int,eq_c1/2,0))/2))+2*IF(circ_int,0,eq_c1/2))+(PI()*(s_0+6*s_r+IF(circ_int,eq_c1/2,0))/2))+2*IF(circ_int,0,eq_c2/2))+(PI()*(s_0+6*s_r+IF(circ_int,eq_c1/2,0))/2))+2*IF(circ_int,0,eq_c1/2)))/(s_0+6*s_r+IF(circ_int,eq_c1/2,0)))))))))),NA())</f>
        <v/>
      </c>
      <c r="CP66">
        <f>IF(AND(AND(links_on,8&lt;=n_per),INDEX(lk_kind,8)=1,63&lt;INDEX(lk_legs,8)),g_ox+IF(((63+0.5)*(4*IF(circ_int,0,eq_c1/2)+4*IF(circ_int,0,eq_c2/2)+2*PI()*(s_0+7*s_r+IF(circ_int,eq_c1/2,0)))/INDEX(lk_legs,8))&lt;(2*IF(circ_int,0,eq_c2/2)),IF(circ_int,0,eq_c1/2)+(s_0+7*s_r+IF(circ_int,eq_c1/2,0)),IF(((63+0.5)*(4*IF(circ_int,0,eq_c1/2)+4*IF(circ_int,0,eq_c2/2)+2*PI()*(s_0+7*s_r+IF(circ_int,eq_c1/2,0)))/INDEX(lk_legs,8))&lt;((2*IF(circ_int,0,eq_c2/2))+(PI()*(s_0+7*s_r+IF(circ_int,eq_c1/2,0))/2)),IF(circ_int,0,eq_c1/2)+(s_0+7*s_r+IF(circ_int,eq_c1/2,0))*COS((((63+0.5)*(4*IF(circ_int,0,eq_c1/2)+4*IF(circ_int,0,eq_c2/2)+2*PI()*(s_0+7*s_r+IF(circ_int,eq_c1/2,0)))/INDEX(lk_legs,8))-(2*IF(circ_int,0,eq_c2/2)))/(s_0+7*s_r+IF(circ_int,eq_c1/2,0))),IF(((63+0.5)*(4*IF(circ_int,0,eq_c1/2)+4*IF(circ_int,0,eq_c2/2)+2*PI()*(s_0+7*s_r+IF(circ_int,eq_c1/2,0)))/INDEX(lk_legs,8))&lt;(((2*IF(circ_int,0,eq_c2/2))+(PI()*(s_0+7*s_r+IF(circ_int,eq_c1/2,0))/2))+2*IF(circ_int,0,eq_c1/2)),IF(circ_int,0,eq_c1/2)-(((63+0.5)*(4*IF(circ_int,0,eq_c1/2)+4*IF(circ_int,0,eq_c2/2)+2*PI()*(s_0+7*s_r+IF(circ_int,eq_c1/2,0)))/INDEX(lk_legs,8))-((2*IF(circ_int,0,eq_c2/2))+(PI()*(s_0+7*s_r+IF(circ_int,eq_c1/2,0))/2))),IF(((63+0.5)*(4*IF(circ_int,0,eq_c1/2)+4*IF(circ_int,0,eq_c2/2)+2*PI()*(s_0+7*s_r+IF(circ_int,eq_c1/2,0)))/INDEX(lk_legs,8))&lt;((((2*IF(circ_int,0,eq_c2/2))+(PI()*(s_0+7*s_r+IF(circ_int,eq_c1/2,0))/2))+2*IF(circ_int,0,eq_c1/2))+(PI()*(s_0+7*s_r+IF(circ_int,eq_c1/2,0))/2)),-IF(circ_int,0,eq_c1/2)+(s_0+7*s_r+IF(circ_int,eq_c1/2,0))*COS(PI()/2+(((63+0.5)*(4*IF(circ_int,0,eq_c1/2)+4*IF(circ_int,0,eq_c2/2)+2*PI()*(s_0+7*s_r+IF(circ_int,eq_c1/2,0)))/INDEX(lk_legs,8))-(((2*IF(circ_int,0,eq_c2/2))+(PI()*(s_0+7*s_r+IF(circ_int,eq_c1/2,0))/2))+2*IF(circ_int,0,eq_c1/2)))/(s_0+7*s_r+IF(circ_int,eq_c1/2,0))),IF(((63+0.5)*(4*IF(circ_int,0,eq_c1/2)+4*IF(circ_int,0,eq_c2/2)+2*PI()*(s_0+7*s_r+IF(circ_int,eq_c1/2,0)))/INDEX(lk_legs,8))&lt;(((((2*IF(circ_int,0,eq_c2/2))+(PI()*(s_0+7*s_r+IF(circ_int,eq_c1/2,0))/2))+2*IF(circ_int,0,eq_c1/2))+(PI()*(s_0+7*s_r+IF(circ_int,eq_c1/2,0))/2))+2*IF(circ_int,0,eq_c2/2)),-IF(circ_int,0,eq_c1/2)-(s_0+7*s_r+IF(circ_int,eq_c1/2,0)),IF(((63+0.5)*(4*IF(circ_int,0,eq_c1/2)+4*IF(circ_int,0,eq_c2/2)+2*PI()*(s_0+7*s_r+IF(circ_int,eq_c1/2,0)))/INDEX(lk_legs,8))&lt;((((((2*IF(circ_int,0,eq_c2/2))+(PI()*(s_0+7*s_r+IF(circ_int,eq_c1/2,0))/2))+2*IF(circ_int,0,eq_c1/2))+(PI()*(s_0+7*s_r+IF(circ_int,eq_c1/2,0))/2))+2*IF(circ_int,0,eq_c2/2))+(PI()*(s_0+7*s_r+IF(circ_int,eq_c1/2,0))/2)),-IF(circ_int,0,eq_c1/2)+(s_0+7*s_r+IF(circ_int,eq_c1/2,0))*COS(PI()+(((63+0.5)*(4*IF(circ_int,0,eq_c1/2)+4*IF(circ_int,0,eq_c2/2)+2*PI()*(s_0+7*s_r+IF(circ_int,eq_c1/2,0)))/INDEX(lk_legs,8))-(((((2*IF(circ_int,0,eq_c2/2))+(PI()*(s_0+7*s_r+IF(circ_int,eq_c1/2,0))/2))+2*IF(circ_int,0,eq_c1/2))+(PI()*(s_0+7*s_r+IF(circ_int,eq_c1/2,0))/2))+2*IF(circ_int,0,eq_c2/2)))/(s_0+7*s_r+IF(circ_int,eq_c1/2,0))),IF(((63+0.5)*(4*IF(circ_int,0,eq_c1/2)+4*IF(circ_int,0,eq_c2/2)+2*PI()*(s_0+7*s_r+IF(circ_int,eq_c1/2,0)))/INDEX(lk_legs,8))&lt;(((((((2*IF(circ_int,0,eq_c2/2))+(PI()*(s_0+7*s_r+IF(circ_int,eq_c1/2,0))/2))+2*IF(circ_int,0,eq_c1/2))+(PI()*(s_0+7*s_r+IF(circ_int,eq_c1/2,0))/2))+2*IF(circ_int,0,eq_c2/2))+(PI()*(s_0+7*s_r+IF(circ_int,eq_c1/2,0))/2))+2*IF(circ_int,0,eq_c1/2)),-IF(circ_int,0,eq_c1/2)+(((63+0.5)*(4*IF(circ_int,0,eq_c1/2)+4*IF(circ_int,0,eq_c2/2)+2*PI()*(s_0+7*s_r+IF(circ_int,eq_c1/2,0)))/INDEX(lk_legs,8))-((((((2*IF(circ_int,0,eq_c2/2))+(PI()*(s_0+7*s_r+IF(circ_int,eq_c1/2,0))/2))+2*IF(circ_int,0,eq_c1/2))+(PI()*(s_0+7*s_r+IF(circ_int,eq_c1/2,0))/2))+2*IF(circ_int,0,eq_c2/2))+(PI()*(s_0+7*s_r+IF(circ_int,eq_c1/2,0))/2))),IF(circ_int,0,eq_c1/2)+(s_0+7*s_r+IF(circ_int,eq_c1/2,0))*COS(3*PI()/2+(((63+0.5)*(4*IF(circ_int,0,eq_c1/2)+4*IF(circ_int,0,eq_c2/2)+2*PI()*(s_0+7*s_r+IF(circ_int,eq_c1/2,0)))/INDEX(lk_legs,8))-(((((((2*IF(circ_int,0,eq_c2/2))+(PI()*(s_0+7*s_r+IF(circ_int,eq_c1/2,0))/2))+2*IF(circ_int,0,eq_c1/2))+(PI()*(s_0+7*s_r+IF(circ_int,eq_c1/2,0))/2))+2*IF(circ_int,0,eq_c2/2))+(PI()*(s_0+7*s_r+IF(circ_int,eq_c1/2,0))/2))+2*IF(circ_int,0,eq_c1/2)))/(s_0+7*s_r+IF(circ_int,eq_c1/2,0)))))))))),NA())</f>
        <v/>
      </c>
      <c r="CQ66">
        <f>IF(AND(AND(links_on,8&lt;=n_per),INDEX(lk_kind,8)=1,63&lt;INDEX(lk_legs,8)),g_oy+IF(((63+0.5)*(4*IF(circ_int,0,eq_c1/2)+4*IF(circ_int,0,eq_c2/2)+2*PI()*(s_0+7*s_r+IF(circ_int,eq_c1/2,0)))/INDEX(lk_legs,8))&lt;(2*IF(circ_int,0,eq_c2/2)),-IF(circ_int,0,eq_c2/2)+((63+0.5)*(4*IF(circ_int,0,eq_c1/2)+4*IF(circ_int,0,eq_c2/2)+2*PI()*(s_0+7*s_r+IF(circ_int,eq_c1/2,0)))/INDEX(lk_legs,8)),IF(((63+0.5)*(4*IF(circ_int,0,eq_c1/2)+4*IF(circ_int,0,eq_c2/2)+2*PI()*(s_0+7*s_r+IF(circ_int,eq_c1/2,0)))/INDEX(lk_legs,8))&lt;((2*IF(circ_int,0,eq_c2/2))+(PI()*(s_0+7*s_r+IF(circ_int,eq_c1/2,0))/2)),IF(circ_int,0,eq_c2/2)+(s_0+7*s_r+IF(circ_int,eq_c1/2,0))*SIN((((63+0.5)*(4*IF(circ_int,0,eq_c1/2)+4*IF(circ_int,0,eq_c2/2)+2*PI()*(s_0+7*s_r+IF(circ_int,eq_c1/2,0)))/INDEX(lk_legs,8))-(2*IF(circ_int,0,eq_c2/2)))/(s_0+7*s_r+IF(circ_int,eq_c1/2,0))),IF(((63+0.5)*(4*IF(circ_int,0,eq_c1/2)+4*IF(circ_int,0,eq_c2/2)+2*PI()*(s_0+7*s_r+IF(circ_int,eq_c1/2,0)))/INDEX(lk_legs,8))&lt;(((2*IF(circ_int,0,eq_c2/2))+(PI()*(s_0+7*s_r+IF(circ_int,eq_c1/2,0))/2))+2*IF(circ_int,0,eq_c1/2)),IF(circ_int,0,eq_c2/2)+(s_0+7*s_r+IF(circ_int,eq_c1/2,0)),IF(((63+0.5)*(4*IF(circ_int,0,eq_c1/2)+4*IF(circ_int,0,eq_c2/2)+2*PI()*(s_0+7*s_r+IF(circ_int,eq_c1/2,0)))/INDEX(lk_legs,8))&lt;((((2*IF(circ_int,0,eq_c2/2))+(PI()*(s_0+7*s_r+IF(circ_int,eq_c1/2,0))/2))+2*IF(circ_int,0,eq_c1/2))+(PI()*(s_0+7*s_r+IF(circ_int,eq_c1/2,0))/2)),IF(circ_int,0,eq_c2/2)+(s_0+7*s_r+IF(circ_int,eq_c1/2,0))*SIN(PI()/2+(((63+0.5)*(4*IF(circ_int,0,eq_c1/2)+4*IF(circ_int,0,eq_c2/2)+2*PI()*(s_0+7*s_r+IF(circ_int,eq_c1/2,0)))/INDEX(lk_legs,8))-(((2*IF(circ_int,0,eq_c2/2))+(PI()*(s_0+7*s_r+IF(circ_int,eq_c1/2,0))/2))+2*IF(circ_int,0,eq_c1/2)))/(s_0+7*s_r+IF(circ_int,eq_c1/2,0))),IF(((63+0.5)*(4*IF(circ_int,0,eq_c1/2)+4*IF(circ_int,0,eq_c2/2)+2*PI()*(s_0+7*s_r+IF(circ_int,eq_c1/2,0)))/INDEX(lk_legs,8))&lt;(((((2*IF(circ_int,0,eq_c2/2))+(PI()*(s_0+7*s_r+IF(circ_int,eq_c1/2,0))/2))+2*IF(circ_int,0,eq_c1/2))+(PI()*(s_0+7*s_r+IF(circ_int,eq_c1/2,0))/2))+2*IF(circ_int,0,eq_c2/2)),IF(circ_int,0,eq_c2/2)-(((63+0.5)*(4*IF(circ_int,0,eq_c1/2)+4*IF(circ_int,0,eq_c2/2)+2*PI()*(s_0+7*s_r+IF(circ_int,eq_c1/2,0)))/INDEX(lk_legs,8))-((((2*IF(circ_int,0,eq_c2/2))+(PI()*(s_0+7*s_r+IF(circ_int,eq_c1/2,0))/2))+2*IF(circ_int,0,eq_c1/2))+(PI()*(s_0+7*s_r+IF(circ_int,eq_c1/2,0))/2))),IF(((63+0.5)*(4*IF(circ_int,0,eq_c1/2)+4*IF(circ_int,0,eq_c2/2)+2*PI()*(s_0+7*s_r+IF(circ_int,eq_c1/2,0)))/INDEX(lk_legs,8))&lt;((((((2*IF(circ_int,0,eq_c2/2))+(PI()*(s_0+7*s_r+IF(circ_int,eq_c1/2,0))/2))+2*IF(circ_int,0,eq_c1/2))+(PI()*(s_0+7*s_r+IF(circ_int,eq_c1/2,0))/2))+2*IF(circ_int,0,eq_c2/2))+(PI()*(s_0+7*s_r+IF(circ_int,eq_c1/2,0))/2)),-IF(circ_int,0,eq_c2/2)+(s_0+7*s_r+IF(circ_int,eq_c1/2,0))*SIN(PI()+(((63+0.5)*(4*IF(circ_int,0,eq_c1/2)+4*IF(circ_int,0,eq_c2/2)+2*PI()*(s_0+7*s_r+IF(circ_int,eq_c1/2,0)))/INDEX(lk_legs,8))-(((((2*IF(circ_int,0,eq_c2/2))+(PI()*(s_0+7*s_r+IF(circ_int,eq_c1/2,0))/2))+2*IF(circ_int,0,eq_c1/2))+(PI()*(s_0+7*s_r+IF(circ_int,eq_c1/2,0))/2))+2*IF(circ_int,0,eq_c2/2)))/(s_0+7*s_r+IF(circ_int,eq_c1/2,0))),IF(((63+0.5)*(4*IF(circ_int,0,eq_c1/2)+4*IF(circ_int,0,eq_c2/2)+2*PI()*(s_0+7*s_r+IF(circ_int,eq_c1/2,0)))/INDEX(lk_legs,8))&lt;(((((((2*IF(circ_int,0,eq_c2/2))+(PI()*(s_0+7*s_r+IF(circ_int,eq_c1/2,0))/2))+2*IF(circ_int,0,eq_c1/2))+(PI()*(s_0+7*s_r+IF(circ_int,eq_c1/2,0))/2))+2*IF(circ_int,0,eq_c2/2))+(PI()*(s_0+7*s_r+IF(circ_int,eq_c1/2,0))/2))+2*IF(circ_int,0,eq_c1/2)),-IF(circ_int,0,eq_c2/2)-(s_0+7*s_r+IF(circ_int,eq_c1/2,0)),-IF(circ_int,0,eq_c2/2)+(s_0+7*s_r+IF(circ_int,eq_c1/2,0))*SIN(3*PI()/2+(((63+0.5)*(4*IF(circ_int,0,eq_c1/2)+4*IF(circ_int,0,eq_c2/2)+2*PI()*(s_0+7*s_r+IF(circ_int,eq_c1/2,0)))/INDEX(lk_legs,8))-(((((((2*IF(circ_int,0,eq_c2/2))+(PI()*(s_0+7*s_r+IF(circ_int,eq_c1/2,0))/2))+2*IF(circ_int,0,eq_c1/2))+(PI()*(s_0+7*s_r+IF(circ_int,eq_c1/2,0))/2))+2*IF(circ_int,0,eq_c2/2))+(PI()*(s_0+7*s_r+IF(circ_int,eq_c1/2,0))/2))+2*IF(circ_int,0,eq_c1/2)))/(s_0+7*s_r+IF(circ_int,eq_c1/2,0)))))))))),NA())</f>
        <v/>
      </c>
      <c r="CV66">
        <f>IF(AND(AND(links_on,9&lt;=n_per),INDEX(lk_kind,9)=1,63&lt;INDEX(lk_legs,9)),g_ox+IF(((63+0.5)*(4*IF(circ_int,0,eq_c1/2)+4*IF(circ_int,0,eq_c2/2)+2*PI()*(s_0+8*s_r+IF(circ_int,eq_c1/2,0)))/INDEX(lk_legs,9))&lt;(2*IF(circ_int,0,eq_c2/2)),IF(circ_int,0,eq_c1/2)+(s_0+8*s_r+IF(circ_int,eq_c1/2,0)),IF(((63+0.5)*(4*IF(circ_int,0,eq_c1/2)+4*IF(circ_int,0,eq_c2/2)+2*PI()*(s_0+8*s_r+IF(circ_int,eq_c1/2,0)))/INDEX(lk_legs,9))&lt;((2*IF(circ_int,0,eq_c2/2))+(PI()*(s_0+8*s_r+IF(circ_int,eq_c1/2,0))/2)),IF(circ_int,0,eq_c1/2)+(s_0+8*s_r+IF(circ_int,eq_c1/2,0))*COS((((63+0.5)*(4*IF(circ_int,0,eq_c1/2)+4*IF(circ_int,0,eq_c2/2)+2*PI()*(s_0+8*s_r+IF(circ_int,eq_c1/2,0)))/INDEX(lk_legs,9))-(2*IF(circ_int,0,eq_c2/2)))/(s_0+8*s_r+IF(circ_int,eq_c1/2,0))),IF(((63+0.5)*(4*IF(circ_int,0,eq_c1/2)+4*IF(circ_int,0,eq_c2/2)+2*PI()*(s_0+8*s_r+IF(circ_int,eq_c1/2,0)))/INDEX(lk_legs,9))&lt;(((2*IF(circ_int,0,eq_c2/2))+(PI()*(s_0+8*s_r+IF(circ_int,eq_c1/2,0))/2))+2*IF(circ_int,0,eq_c1/2)),IF(circ_int,0,eq_c1/2)-(((63+0.5)*(4*IF(circ_int,0,eq_c1/2)+4*IF(circ_int,0,eq_c2/2)+2*PI()*(s_0+8*s_r+IF(circ_int,eq_c1/2,0)))/INDEX(lk_legs,9))-((2*IF(circ_int,0,eq_c2/2))+(PI()*(s_0+8*s_r+IF(circ_int,eq_c1/2,0))/2))),IF(((63+0.5)*(4*IF(circ_int,0,eq_c1/2)+4*IF(circ_int,0,eq_c2/2)+2*PI()*(s_0+8*s_r+IF(circ_int,eq_c1/2,0)))/INDEX(lk_legs,9))&lt;((((2*IF(circ_int,0,eq_c2/2))+(PI()*(s_0+8*s_r+IF(circ_int,eq_c1/2,0))/2))+2*IF(circ_int,0,eq_c1/2))+(PI()*(s_0+8*s_r+IF(circ_int,eq_c1/2,0))/2)),-IF(circ_int,0,eq_c1/2)+(s_0+8*s_r+IF(circ_int,eq_c1/2,0))*COS(PI()/2+(((63+0.5)*(4*IF(circ_int,0,eq_c1/2)+4*IF(circ_int,0,eq_c2/2)+2*PI()*(s_0+8*s_r+IF(circ_int,eq_c1/2,0)))/INDEX(lk_legs,9))-(((2*IF(circ_int,0,eq_c2/2))+(PI()*(s_0+8*s_r+IF(circ_int,eq_c1/2,0))/2))+2*IF(circ_int,0,eq_c1/2)))/(s_0+8*s_r+IF(circ_int,eq_c1/2,0))),IF(((63+0.5)*(4*IF(circ_int,0,eq_c1/2)+4*IF(circ_int,0,eq_c2/2)+2*PI()*(s_0+8*s_r+IF(circ_int,eq_c1/2,0)))/INDEX(lk_legs,9))&lt;(((((2*IF(circ_int,0,eq_c2/2))+(PI()*(s_0+8*s_r+IF(circ_int,eq_c1/2,0))/2))+2*IF(circ_int,0,eq_c1/2))+(PI()*(s_0+8*s_r+IF(circ_int,eq_c1/2,0))/2))+2*IF(circ_int,0,eq_c2/2)),-IF(circ_int,0,eq_c1/2)-(s_0+8*s_r+IF(circ_int,eq_c1/2,0)),IF(((63+0.5)*(4*IF(circ_int,0,eq_c1/2)+4*IF(circ_int,0,eq_c2/2)+2*PI()*(s_0+8*s_r+IF(circ_int,eq_c1/2,0)))/INDEX(lk_legs,9))&lt;((((((2*IF(circ_int,0,eq_c2/2))+(PI()*(s_0+8*s_r+IF(circ_int,eq_c1/2,0))/2))+2*IF(circ_int,0,eq_c1/2))+(PI()*(s_0+8*s_r+IF(circ_int,eq_c1/2,0))/2))+2*IF(circ_int,0,eq_c2/2))+(PI()*(s_0+8*s_r+IF(circ_int,eq_c1/2,0))/2)),-IF(circ_int,0,eq_c1/2)+(s_0+8*s_r+IF(circ_int,eq_c1/2,0))*COS(PI()+(((63+0.5)*(4*IF(circ_int,0,eq_c1/2)+4*IF(circ_int,0,eq_c2/2)+2*PI()*(s_0+8*s_r+IF(circ_int,eq_c1/2,0)))/INDEX(lk_legs,9))-(((((2*IF(circ_int,0,eq_c2/2))+(PI()*(s_0+8*s_r+IF(circ_int,eq_c1/2,0))/2))+2*IF(circ_int,0,eq_c1/2))+(PI()*(s_0+8*s_r+IF(circ_int,eq_c1/2,0))/2))+2*IF(circ_int,0,eq_c2/2)))/(s_0+8*s_r+IF(circ_int,eq_c1/2,0))),IF(((63+0.5)*(4*IF(circ_int,0,eq_c1/2)+4*IF(circ_int,0,eq_c2/2)+2*PI()*(s_0+8*s_r+IF(circ_int,eq_c1/2,0)))/INDEX(lk_legs,9))&lt;(((((((2*IF(circ_int,0,eq_c2/2))+(PI()*(s_0+8*s_r+IF(circ_int,eq_c1/2,0))/2))+2*IF(circ_int,0,eq_c1/2))+(PI()*(s_0+8*s_r+IF(circ_int,eq_c1/2,0))/2))+2*IF(circ_int,0,eq_c2/2))+(PI()*(s_0+8*s_r+IF(circ_int,eq_c1/2,0))/2))+2*IF(circ_int,0,eq_c1/2)),-IF(circ_int,0,eq_c1/2)+(((63+0.5)*(4*IF(circ_int,0,eq_c1/2)+4*IF(circ_int,0,eq_c2/2)+2*PI()*(s_0+8*s_r+IF(circ_int,eq_c1/2,0)))/INDEX(lk_legs,9))-((((((2*IF(circ_int,0,eq_c2/2))+(PI()*(s_0+8*s_r+IF(circ_int,eq_c1/2,0))/2))+2*IF(circ_int,0,eq_c1/2))+(PI()*(s_0+8*s_r+IF(circ_int,eq_c1/2,0))/2))+2*IF(circ_int,0,eq_c2/2))+(PI()*(s_0+8*s_r+IF(circ_int,eq_c1/2,0))/2))),IF(circ_int,0,eq_c1/2)+(s_0+8*s_r+IF(circ_int,eq_c1/2,0))*COS(3*PI()/2+(((63+0.5)*(4*IF(circ_int,0,eq_c1/2)+4*IF(circ_int,0,eq_c2/2)+2*PI()*(s_0+8*s_r+IF(circ_int,eq_c1/2,0)))/INDEX(lk_legs,9))-(((((((2*IF(circ_int,0,eq_c2/2))+(PI()*(s_0+8*s_r+IF(circ_int,eq_c1/2,0))/2))+2*IF(circ_int,0,eq_c1/2))+(PI()*(s_0+8*s_r+IF(circ_int,eq_c1/2,0))/2))+2*IF(circ_int,0,eq_c2/2))+(PI()*(s_0+8*s_r+IF(circ_int,eq_c1/2,0))/2))+2*IF(circ_int,0,eq_c1/2)))/(s_0+8*s_r+IF(circ_int,eq_c1/2,0)))))))))),NA())</f>
        <v/>
      </c>
      <c r="CW66">
        <f>IF(AND(AND(links_on,9&lt;=n_per),INDEX(lk_kind,9)=1,63&lt;INDEX(lk_legs,9)),g_oy+IF(((63+0.5)*(4*IF(circ_int,0,eq_c1/2)+4*IF(circ_int,0,eq_c2/2)+2*PI()*(s_0+8*s_r+IF(circ_int,eq_c1/2,0)))/INDEX(lk_legs,9))&lt;(2*IF(circ_int,0,eq_c2/2)),-IF(circ_int,0,eq_c2/2)+((63+0.5)*(4*IF(circ_int,0,eq_c1/2)+4*IF(circ_int,0,eq_c2/2)+2*PI()*(s_0+8*s_r+IF(circ_int,eq_c1/2,0)))/INDEX(lk_legs,9)),IF(((63+0.5)*(4*IF(circ_int,0,eq_c1/2)+4*IF(circ_int,0,eq_c2/2)+2*PI()*(s_0+8*s_r+IF(circ_int,eq_c1/2,0)))/INDEX(lk_legs,9))&lt;((2*IF(circ_int,0,eq_c2/2))+(PI()*(s_0+8*s_r+IF(circ_int,eq_c1/2,0))/2)),IF(circ_int,0,eq_c2/2)+(s_0+8*s_r+IF(circ_int,eq_c1/2,0))*SIN((((63+0.5)*(4*IF(circ_int,0,eq_c1/2)+4*IF(circ_int,0,eq_c2/2)+2*PI()*(s_0+8*s_r+IF(circ_int,eq_c1/2,0)))/INDEX(lk_legs,9))-(2*IF(circ_int,0,eq_c2/2)))/(s_0+8*s_r+IF(circ_int,eq_c1/2,0))),IF(((63+0.5)*(4*IF(circ_int,0,eq_c1/2)+4*IF(circ_int,0,eq_c2/2)+2*PI()*(s_0+8*s_r+IF(circ_int,eq_c1/2,0)))/INDEX(lk_legs,9))&lt;(((2*IF(circ_int,0,eq_c2/2))+(PI()*(s_0+8*s_r+IF(circ_int,eq_c1/2,0))/2))+2*IF(circ_int,0,eq_c1/2)),IF(circ_int,0,eq_c2/2)+(s_0+8*s_r+IF(circ_int,eq_c1/2,0)),IF(((63+0.5)*(4*IF(circ_int,0,eq_c1/2)+4*IF(circ_int,0,eq_c2/2)+2*PI()*(s_0+8*s_r+IF(circ_int,eq_c1/2,0)))/INDEX(lk_legs,9))&lt;((((2*IF(circ_int,0,eq_c2/2))+(PI()*(s_0+8*s_r+IF(circ_int,eq_c1/2,0))/2))+2*IF(circ_int,0,eq_c1/2))+(PI()*(s_0+8*s_r+IF(circ_int,eq_c1/2,0))/2)),IF(circ_int,0,eq_c2/2)+(s_0+8*s_r+IF(circ_int,eq_c1/2,0))*SIN(PI()/2+(((63+0.5)*(4*IF(circ_int,0,eq_c1/2)+4*IF(circ_int,0,eq_c2/2)+2*PI()*(s_0+8*s_r+IF(circ_int,eq_c1/2,0)))/INDEX(lk_legs,9))-(((2*IF(circ_int,0,eq_c2/2))+(PI()*(s_0+8*s_r+IF(circ_int,eq_c1/2,0))/2))+2*IF(circ_int,0,eq_c1/2)))/(s_0+8*s_r+IF(circ_int,eq_c1/2,0))),IF(((63+0.5)*(4*IF(circ_int,0,eq_c1/2)+4*IF(circ_int,0,eq_c2/2)+2*PI()*(s_0+8*s_r+IF(circ_int,eq_c1/2,0)))/INDEX(lk_legs,9))&lt;(((((2*IF(circ_int,0,eq_c2/2))+(PI()*(s_0+8*s_r+IF(circ_int,eq_c1/2,0))/2))+2*IF(circ_int,0,eq_c1/2))+(PI()*(s_0+8*s_r+IF(circ_int,eq_c1/2,0))/2))+2*IF(circ_int,0,eq_c2/2)),IF(circ_int,0,eq_c2/2)-(((63+0.5)*(4*IF(circ_int,0,eq_c1/2)+4*IF(circ_int,0,eq_c2/2)+2*PI()*(s_0+8*s_r+IF(circ_int,eq_c1/2,0)))/INDEX(lk_legs,9))-((((2*IF(circ_int,0,eq_c2/2))+(PI()*(s_0+8*s_r+IF(circ_int,eq_c1/2,0))/2))+2*IF(circ_int,0,eq_c1/2))+(PI()*(s_0+8*s_r+IF(circ_int,eq_c1/2,0))/2))),IF(((63+0.5)*(4*IF(circ_int,0,eq_c1/2)+4*IF(circ_int,0,eq_c2/2)+2*PI()*(s_0+8*s_r+IF(circ_int,eq_c1/2,0)))/INDEX(lk_legs,9))&lt;((((((2*IF(circ_int,0,eq_c2/2))+(PI()*(s_0+8*s_r+IF(circ_int,eq_c1/2,0))/2))+2*IF(circ_int,0,eq_c1/2))+(PI()*(s_0+8*s_r+IF(circ_int,eq_c1/2,0))/2))+2*IF(circ_int,0,eq_c2/2))+(PI()*(s_0+8*s_r+IF(circ_int,eq_c1/2,0))/2)),-IF(circ_int,0,eq_c2/2)+(s_0+8*s_r+IF(circ_int,eq_c1/2,0))*SIN(PI()+(((63+0.5)*(4*IF(circ_int,0,eq_c1/2)+4*IF(circ_int,0,eq_c2/2)+2*PI()*(s_0+8*s_r+IF(circ_int,eq_c1/2,0)))/INDEX(lk_legs,9))-(((((2*IF(circ_int,0,eq_c2/2))+(PI()*(s_0+8*s_r+IF(circ_int,eq_c1/2,0))/2))+2*IF(circ_int,0,eq_c1/2))+(PI()*(s_0+8*s_r+IF(circ_int,eq_c1/2,0))/2))+2*IF(circ_int,0,eq_c2/2)))/(s_0+8*s_r+IF(circ_int,eq_c1/2,0))),IF(((63+0.5)*(4*IF(circ_int,0,eq_c1/2)+4*IF(circ_int,0,eq_c2/2)+2*PI()*(s_0+8*s_r+IF(circ_int,eq_c1/2,0)))/INDEX(lk_legs,9))&lt;(((((((2*IF(circ_int,0,eq_c2/2))+(PI()*(s_0+8*s_r+IF(circ_int,eq_c1/2,0))/2))+2*IF(circ_int,0,eq_c1/2))+(PI()*(s_0+8*s_r+IF(circ_int,eq_c1/2,0))/2))+2*IF(circ_int,0,eq_c2/2))+(PI()*(s_0+8*s_r+IF(circ_int,eq_c1/2,0))/2))+2*IF(circ_int,0,eq_c1/2)),-IF(circ_int,0,eq_c2/2)-(s_0+8*s_r+IF(circ_int,eq_c1/2,0)),-IF(circ_int,0,eq_c2/2)+(s_0+8*s_r+IF(circ_int,eq_c1/2,0))*SIN(3*PI()/2+(((63+0.5)*(4*IF(circ_int,0,eq_c1/2)+4*IF(circ_int,0,eq_c2/2)+2*PI()*(s_0+8*s_r+IF(circ_int,eq_c1/2,0)))/INDEX(lk_legs,9))-(((((((2*IF(circ_int,0,eq_c2/2))+(PI()*(s_0+8*s_r+IF(circ_int,eq_c1/2,0))/2))+2*IF(circ_int,0,eq_c1/2))+(PI()*(s_0+8*s_r+IF(circ_int,eq_c1/2,0))/2))+2*IF(circ_int,0,eq_c2/2))+(PI()*(s_0+8*s_r+IF(circ_int,eq_c1/2,0))/2))+2*IF(circ_int,0,eq_c1/2)))/(s_0+8*s_r+IF(circ_int,eq_c1/2,0)))))))))),NA())</f>
        <v/>
      </c>
      <c r="DB66">
        <f>IF(AND(AND(links_on,10&lt;=n_per),INDEX(lk_kind,10)=1,63&lt;INDEX(lk_legs,10)),g_ox+IF(((63+0.5)*(4*IF(circ_int,0,eq_c1/2)+4*IF(circ_int,0,eq_c2/2)+2*PI()*(s_0+9*s_r+IF(circ_int,eq_c1/2,0)))/INDEX(lk_legs,10))&lt;(2*IF(circ_int,0,eq_c2/2)),IF(circ_int,0,eq_c1/2)+(s_0+9*s_r+IF(circ_int,eq_c1/2,0)),IF(((63+0.5)*(4*IF(circ_int,0,eq_c1/2)+4*IF(circ_int,0,eq_c2/2)+2*PI()*(s_0+9*s_r+IF(circ_int,eq_c1/2,0)))/INDEX(lk_legs,10))&lt;((2*IF(circ_int,0,eq_c2/2))+(PI()*(s_0+9*s_r+IF(circ_int,eq_c1/2,0))/2)),IF(circ_int,0,eq_c1/2)+(s_0+9*s_r+IF(circ_int,eq_c1/2,0))*COS((((63+0.5)*(4*IF(circ_int,0,eq_c1/2)+4*IF(circ_int,0,eq_c2/2)+2*PI()*(s_0+9*s_r+IF(circ_int,eq_c1/2,0)))/INDEX(lk_legs,10))-(2*IF(circ_int,0,eq_c2/2)))/(s_0+9*s_r+IF(circ_int,eq_c1/2,0))),IF(((63+0.5)*(4*IF(circ_int,0,eq_c1/2)+4*IF(circ_int,0,eq_c2/2)+2*PI()*(s_0+9*s_r+IF(circ_int,eq_c1/2,0)))/INDEX(lk_legs,10))&lt;(((2*IF(circ_int,0,eq_c2/2))+(PI()*(s_0+9*s_r+IF(circ_int,eq_c1/2,0))/2))+2*IF(circ_int,0,eq_c1/2)),IF(circ_int,0,eq_c1/2)-(((63+0.5)*(4*IF(circ_int,0,eq_c1/2)+4*IF(circ_int,0,eq_c2/2)+2*PI()*(s_0+9*s_r+IF(circ_int,eq_c1/2,0)))/INDEX(lk_legs,10))-((2*IF(circ_int,0,eq_c2/2))+(PI()*(s_0+9*s_r+IF(circ_int,eq_c1/2,0))/2))),IF(((63+0.5)*(4*IF(circ_int,0,eq_c1/2)+4*IF(circ_int,0,eq_c2/2)+2*PI()*(s_0+9*s_r+IF(circ_int,eq_c1/2,0)))/INDEX(lk_legs,10))&lt;((((2*IF(circ_int,0,eq_c2/2))+(PI()*(s_0+9*s_r+IF(circ_int,eq_c1/2,0))/2))+2*IF(circ_int,0,eq_c1/2))+(PI()*(s_0+9*s_r+IF(circ_int,eq_c1/2,0))/2)),-IF(circ_int,0,eq_c1/2)+(s_0+9*s_r+IF(circ_int,eq_c1/2,0))*COS(PI()/2+(((63+0.5)*(4*IF(circ_int,0,eq_c1/2)+4*IF(circ_int,0,eq_c2/2)+2*PI()*(s_0+9*s_r+IF(circ_int,eq_c1/2,0)))/INDEX(lk_legs,10))-(((2*IF(circ_int,0,eq_c2/2))+(PI()*(s_0+9*s_r+IF(circ_int,eq_c1/2,0))/2))+2*IF(circ_int,0,eq_c1/2)))/(s_0+9*s_r+IF(circ_int,eq_c1/2,0))),IF(((63+0.5)*(4*IF(circ_int,0,eq_c1/2)+4*IF(circ_int,0,eq_c2/2)+2*PI()*(s_0+9*s_r+IF(circ_int,eq_c1/2,0)))/INDEX(lk_legs,10))&lt;(((((2*IF(circ_int,0,eq_c2/2))+(PI()*(s_0+9*s_r+IF(circ_int,eq_c1/2,0))/2))+2*IF(circ_int,0,eq_c1/2))+(PI()*(s_0+9*s_r+IF(circ_int,eq_c1/2,0))/2))+2*IF(circ_int,0,eq_c2/2)),-IF(circ_int,0,eq_c1/2)-(s_0+9*s_r+IF(circ_int,eq_c1/2,0)),IF(((63+0.5)*(4*IF(circ_int,0,eq_c1/2)+4*IF(circ_int,0,eq_c2/2)+2*PI()*(s_0+9*s_r+IF(circ_int,eq_c1/2,0)))/INDEX(lk_legs,10))&lt;((((((2*IF(circ_int,0,eq_c2/2))+(PI()*(s_0+9*s_r+IF(circ_int,eq_c1/2,0))/2))+2*IF(circ_int,0,eq_c1/2))+(PI()*(s_0+9*s_r+IF(circ_int,eq_c1/2,0))/2))+2*IF(circ_int,0,eq_c2/2))+(PI()*(s_0+9*s_r+IF(circ_int,eq_c1/2,0))/2)),-IF(circ_int,0,eq_c1/2)+(s_0+9*s_r+IF(circ_int,eq_c1/2,0))*COS(PI()+(((63+0.5)*(4*IF(circ_int,0,eq_c1/2)+4*IF(circ_int,0,eq_c2/2)+2*PI()*(s_0+9*s_r+IF(circ_int,eq_c1/2,0)))/INDEX(lk_legs,10))-(((((2*IF(circ_int,0,eq_c2/2))+(PI()*(s_0+9*s_r+IF(circ_int,eq_c1/2,0))/2))+2*IF(circ_int,0,eq_c1/2))+(PI()*(s_0+9*s_r+IF(circ_int,eq_c1/2,0))/2))+2*IF(circ_int,0,eq_c2/2)))/(s_0+9*s_r+IF(circ_int,eq_c1/2,0))),IF(((63+0.5)*(4*IF(circ_int,0,eq_c1/2)+4*IF(circ_int,0,eq_c2/2)+2*PI()*(s_0+9*s_r+IF(circ_int,eq_c1/2,0)))/INDEX(lk_legs,10))&lt;(((((((2*IF(circ_int,0,eq_c2/2))+(PI()*(s_0+9*s_r+IF(circ_int,eq_c1/2,0))/2))+2*IF(circ_int,0,eq_c1/2))+(PI()*(s_0+9*s_r+IF(circ_int,eq_c1/2,0))/2))+2*IF(circ_int,0,eq_c2/2))+(PI()*(s_0+9*s_r+IF(circ_int,eq_c1/2,0))/2))+2*IF(circ_int,0,eq_c1/2)),-IF(circ_int,0,eq_c1/2)+(((63+0.5)*(4*IF(circ_int,0,eq_c1/2)+4*IF(circ_int,0,eq_c2/2)+2*PI()*(s_0+9*s_r+IF(circ_int,eq_c1/2,0)))/INDEX(lk_legs,10))-((((((2*IF(circ_int,0,eq_c2/2))+(PI()*(s_0+9*s_r+IF(circ_int,eq_c1/2,0))/2))+2*IF(circ_int,0,eq_c1/2))+(PI()*(s_0+9*s_r+IF(circ_int,eq_c1/2,0))/2))+2*IF(circ_int,0,eq_c2/2))+(PI()*(s_0+9*s_r+IF(circ_int,eq_c1/2,0))/2))),IF(circ_int,0,eq_c1/2)+(s_0+9*s_r+IF(circ_int,eq_c1/2,0))*COS(3*PI()/2+(((63+0.5)*(4*IF(circ_int,0,eq_c1/2)+4*IF(circ_int,0,eq_c2/2)+2*PI()*(s_0+9*s_r+IF(circ_int,eq_c1/2,0)))/INDEX(lk_legs,10))-(((((((2*IF(circ_int,0,eq_c2/2))+(PI()*(s_0+9*s_r+IF(circ_int,eq_c1/2,0))/2))+2*IF(circ_int,0,eq_c1/2))+(PI()*(s_0+9*s_r+IF(circ_int,eq_c1/2,0))/2))+2*IF(circ_int,0,eq_c2/2))+(PI()*(s_0+9*s_r+IF(circ_int,eq_c1/2,0))/2))+2*IF(circ_int,0,eq_c1/2)))/(s_0+9*s_r+IF(circ_int,eq_c1/2,0)))))))))),NA())</f>
        <v/>
      </c>
      <c r="DC66">
        <f>IF(AND(AND(links_on,10&lt;=n_per),INDEX(lk_kind,10)=1,63&lt;INDEX(lk_legs,10)),g_oy+IF(((63+0.5)*(4*IF(circ_int,0,eq_c1/2)+4*IF(circ_int,0,eq_c2/2)+2*PI()*(s_0+9*s_r+IF(circ_int,eq_c1/2,0)))/INDEX(lk_legs,10))&lt;(2*IF(circ_int,0,eq_c2/2)),-IF(circ_int,0,eq_c2/2)+((63+0.5)*(4*IF(circ_int,0,eq_c1/2)+4*IF(circ_int,0,eq_c2/2)+2*PI()*(s_0+9*s_r+IF(circ_int,eq_c1/2,0)))/INDEX(lk_legs,10)),IF(((63+0.5)*(4*IF(circ_int,0,eq_c1/2)+4*IF(circ_int,0,eq_c2/2)+2*PI()*(s_0+9*s_r+IF(circ_int,eq_c1/2,0)))/INDEX(lk_legs,10))&lt;((2*IF(circ_int,0,eq_c2/2))+(PI()*(s_0+9*s_r+IF(circ_int,eq_c1/2,0))/2)),IF(circ_int,0,eq_c2/2)+(s_0+9*s_r+IF(circ_int,eq_c1/2,0))*SIN((((63+0.5)*(4*IF(circ_int,0,eq_c1/2)+4*IF(circ_int,0,eq_c2/2)+2*PI()*(s_0+9*s_r+IF(circ_int,eq_c1/2,0)))/INDEX(lk_legs,10))-(2*IF(circ_int,0,eq_c2/2)))/(s_0+9*s_r+IF(circ_int,eq_c1/2,0))),IF(((63+0.5)*(4*IF(circ_int,0,eq_c1/2)+4*IF(circ_int,0,eq_c2/2)+2*PI()*(s_0+9*s_r+IF(circ_int,eq_c1/2,0)))/INDEX(lk_legs,10))&lt;(((2*IF(circ_int,0,eq_c2/2))+(PI()*(s_0+9*s_r+IF(circ_int,eq_c1/2,0))/2))+2*IF(circ_int,0,eq_c1/2)),IF(circ_int,0,eq_c2/2)+(s_0+9*s_r+IF(circ_int,eq_c1/2,0)),IF(((63+0.5)*(4*IF(circ_int,0,eq_c1/2)+4*IF(circ_int,0,eq_c2/2)+2*PI()*(s_0+9*s_r+IF(circ_int,eq_c1/2,0)))/INDEX(lk_legs,10))&lt;((((2*IF(circ_int,0,eq_c2/2))+(PI()*(s_0+9*s_r+IF(circ_int,eq_c1/2,0))/2))+2*IF(circ_int,0,eq_c1/2))+(PI()*(s_0+9*s_r+IF(circ_int,eq_c1/2,0))/2)),IF(circ_int,0,eq_c2/2)+(s_0+9*s_r+IF(circ_int,eq_c1/2,0))*SIN(PI()/2+(((63+0.5)*(4*IF(circ_int,0,eq_c1/2)+4*IF(circ_int,0,eq_c2/2)+2*PI()*(s_0+9*s_r+IF(circ_int,eq_c1/2,0)))/INDEX(lk_legs,10))-(((2*IF(circ_int,0,eq_c2/2))+(PI()*(s_0+9*s_r+IF(circ_int,eq_c1/2,0))/2))+2*IF(circ_int,0,eq_c1/2)))/(s_0+9*s_r+IF(circ_int,eq_c1/2,0))),IF(((63+0.5)*(4*IF(circ_int,0,eq_c1/2)+4*IF(circ_int,0,eq_c2/2)+2*PI()*(s_0+9*s_r+IF(circ_int,eq_c1/2,0)))/INDEX(lk_legs,10))&lt;(((((2*IF(circ_int,0,eq_c2/2))+(PI()*(s_0+9*s_r+IF(circ_int,eq_c1/2,0))/2))+2*IF(circ_int,0,eq_c1/2))+(PI()*(s_0+9*s_r+IF(circ_int,eq_c1/2,0))/2))+2*IF(circ_int,0,eq_c2/2)),IF(circ_int,0,eq_c2/2)-(((63+0.5)*(4*IF(circ_int,0,eq_c1/2)+4*IF(circ_int,0,eq_c2/2)+2*PI()*(s_0+9*s_r+IF(circ_int,eq_c1/2,0)))/INDEX(lk_legs,10))-((((2*IF(circ_int,0,eq_c2/2))+(PI()*(s_0+9*s_r+IF(circ_int,eq_c1/2,0))/2))+2*IF(circ_int,0,eq_c1/2))+(PI()*(s_0+9*s_r+IF(circ_int,eq_c1/2,0))/2))),IF(((63+0.5)*(4*IF(circ_int,0,eq_c1/2)+4*IF(circ_int,0,eq_c2/2)+2*PI()*(s_0+9*s_r+IF(circ_int,eq_c1/2,0)))/INDEX(lk_legs,10))&lt;((((((2*IF(circ_int,0,eq_c2/2))+(PI()*(s_0+9*s_r+IF(circ_int,eq_c1/2,0))/2))+2*IF(circ_int,0,eq_c1/2))+(PI()*(s_0+9*s_r+IF(circ_int,eq_c1/2,0))/2))+2*IF(circ_int,0,eq_c2/2))+(PI()*(s_0+9*s_r+IF(circ_int,eq_c1/2,0))/2)),-IF(circ_int,0,eq_c2/2)+(s_0+9*s_r+IF(circ_int,eq_c1/2,0))*SIN(PI()+(((63+0.5)*(4*IF(circ_int,0,eq_c1/2)+4*IF(circ_int,0,eq_c2/2)+2*PI()*(s_0+9*s_r+IF(circ_int,eq_c1/2,0)))/INDEX(lk_legs,10))-(((((2*IF(circ_int,0,eq_c2/2))+(PI()*(s_0+9*s_r+IF(circ_int,eq_c1/2,0))/2))+2*IF(circ_int,0,eq_c1/2))+(PI()*(s_0+9*s_r+IF(circ_int,eq_c1/2,0))/2))+2*IF(circ_int,0,eq_c2/2)))/(s_0+9*s_r+IF(circ_int,eq_c1/2,0))),IF(((63+0.5)*(4*IF(circ_int,0,eq_c1/2)+4*IF(circ_int,0,eq_c2/2)+2*PI()*(s_0+9*s_r+IF(circ_int,eq_c1/2,0)))/INDEX(lk_legs,10))&lt;(((((((2*IF(circ_int,0,eq_c2/2))+(PI()*(s_0+9*s_r+IF(circ_int,eq_c1/2,0))/2))+2*IF(circ_int,0,eq_c1/2))+(PI()*(s_0+9*s_r+IF(circ_int,eq_c1/2,0))/2))+2*IF(circ_int,0,eq_c2/2))+(PI()*(s_0+9*s_r+IF(circ_int,eq_c1/2,0))/2))+2*IF(circ_int,0,eq_c1/2)),-IF(circ_int,0,eq_c2/2)-(s_0+9*s_r+IF(circ_int,eq_c1/2,0)),-IF(circ_int,0,eq_c2/2)+(s_0+9*s_r+IF(circ_int,eq_c1/2,0))*SIN(3*PI()/2+(((63+0.5)*(4*IF(circ_int,0,eq_c1/2)+4*IF(circ_int,0,eq_c2/2)+2*PI()*(s_0+9*s_r+IF(circ_int,eq_c1/2,0)))/INDEX(lk_legs,10))-(((((((2*IF(circ_int,0,eq_c2/2))+(PI()*(s_0+9*s_r+IF(circ_int,eq_c1/2,0))/2))+2*IF(circ_int,0,eq_c1/2))+(PI()*(s_0+9*s_r+IF(circ_int,eq_c1/2,0))/2))+2*IF(circ_int,0,eq_c2/2))+(PI()*(s_0+9*s_r+IF(circ_int,eq_c1/2,0))/2))+2*IF(circ_int,0,eq_c1/2)))/(s_0+9*s_r+IF(circ_int,eq_c1/2,0)))))))))),NA())</f>
        <v/>
      </c>
      <c r="DH66">
        <f>IF(AND(AND(links_on,11&lt;=n_per),INDEX(lk_kind,11)=1,63&lt;INDEX(lk_legs,11)),g_ox+IF(((63+0.5)*(4*IF(circ_int,0,eq_c1/2)+4*IF(circ_int,0,eq_c2/2)+2*PI()*(s_0+10*s_r+IF(circ_int,eq_c1/2,0)))/INDEX(lk_legs,11))&lt;(2*IF(circ_int,0,eq_c2/2)),IF(circ_int,0,eq_c1/2)+(s_0+10*s_r+IF(circ_int,eq_c1/2,0)),IF(((63+0.5)*(4*IF(circ_int,0,eq_c1/2)+4*IF(circ_int,0,eq_c2/2)+2*PI()*(s_0+10*s_r+IF(circ_int,eq_c1/2,0)))/INDEX(lk_legs,11))&lt;((2*IF(circ_int,0,eq_c2/2))+(PI()*(s_0+10*s_r+IF(circ_int,eq_c1/2,0))/2)),IF(circ_int,0,eq_c1/2)+(s_0+10*s_r+IF(circ_int,eq_c1/2,0))*COS((((63+0.5)*(4*IF(circ_int,0,eq_c1/2)+4*IF(circ_int,0,eq_c2/2)+2*PI()*(s_0+10*s_r+IF(circ_int,eq_c1/2,0)))/INDEX(lk_legs,11))-(2*IF(circ_int,0,eq_c2/2)))/(s_0+10*s_r+IF(circ_int,eq_c1/2,0))),IF(((63+0.5)*(4*IF(circ_int,0,eq_c1/2)+4*IF(circ_int,0,eq_c2/2)+2*PI()*(s_0+10*s_r+IF(circ_int,eq_c1/2,0)))/INDEX(lk_legs,11))&lt;(((2*IF(circ_int,0,eq_c2/2))+(PI()*(s_0+10*s_r+IF(circ_int,eq_c1/2,0))/2))+2*IF(circ_int,0,eq_c1/2)),IF(circ_int,0,eq_c1/2)-(((63+0.5)*(4*IF(circ_int,0,eq_c1/2)+4*IF(circ_int,0,eq_c2/2)+2*PI()*(s_0+10*s_r+IF(circ_int,eq_c1/2,0)))/INDEX(lk_legs,11))-((2*IF(circ_int,0,eq_c2/2))+(PI()*(s_0+10*s_r+IF(circ_int,eq_c1/2,0))/2))),IF(((63+0.5)*(4*IF(circ_int,0,eq_c1/2)+4*IF(circ_int,0,eq_c2/2)+2*PI()*(s_0+10*s_r+IF(circ_int,eq_c1/2,0)))/INDEX(lk_legs,11))&lt;((((2*IF(circ_int,0,eq_c2/2))+(PI()*(s_0+10*s_r+IF(circ_int,eq_c1/2,0))/2))+2*IF(circ_int,0,eq_c1/2))+(PI()*(s_0+10*s_r+IF(circ_int,eq_c1/2,0))/2)),-IF(circ_int,0,eq_c1/2)+(s_0+10*s_r+IF(circ_int,eq_c1/2,0))*COS(PI()/2+(((63+0.5)*(4*IF(circ_int,0,eq_c1/2)+4*IF(circ_int,0,eq_c2/2)+2*PI()*(s_0+10*s_r+IF(circ_int,eq_c1/2,0)))/INDEX(lk_legs,11))-(((2*IF(circ_int,0,eq_c2/2))+(PI()*(s_0+10*s_r+IF(circ_int,eq_c1/2,0))/2))+2*IF(circ_int,0,eq_c1/2)))/(s_0+10*s_r+IF(circ_int,eq_c1/2,0))),IF(((63+0.5)*(4*IF(circ_int,0,eq_c1/2)+4*IF(circ_int,0,eq_c2/2)+2*PI()*(s_0+10*s_r+IF(circ_int,eq_c1/2,0)))/INDEX(lk_legs,11))&lt;(((((2*IF(circ_int,0,eq_c2/2))+(PI()*(s_0+10*s_r+IF(circ_int,eq_c1/2,0))/2))+2*IF(circ_int,0,eq_c1/2))+(PI()*(s_0+10*s_r+IF(circ_int,eq_c1/2,0))/2))+2*IF(circ_int,0,eq_c2/2)),-IF(circ_int,0,eq_c1/2)-(s_0+10*s_r+IF(circ_int,eq_c1/2,0)),IF(((63+0.5)*(4*IF(circ_int,0,eq_c1/2)+4*IF(circ_int,0,eq_c2/2)+2*PI()*(s_0+10*s_r+IF(circ_int,eq_c1/2,0)))/INDEX(lk_legs,11))&lt;((((((2*IF(circ_int,0,eq_c2/2))+(PI()*(s_0+10*s_r+IF(circ_int,eq_c1/2,0))/2))+2*IF(circ_int,0,eq_c1/2))+(PI()*(s_0+10*s_r+IF(circ_int,eq_c1/2,0))/2))+2*IF(circ_int,0,eq_c2/2))+(PI()*(s_0+10*s_r+IF(circ_int,eq_c1/2,0))/2)),-IF(circ_int,0,eq_c1/2)+(s_0+10*s_r+IF(circ_int,eq_c1/2,0))*COS(PI()+(((63+0.5)*(4*IF(circ_int,0,eq_c1/2)+4*IF(circ_int,0,eq_c2/2)+2*PI()*(s_0+10*s_r+IF(circ_int,eq_c1/2,0)))/INDEX(lk_legs,11))-(((((2*IF(circ_int,0,eq_c2/2))+(PI()*(s_0+10*s_r+IF(circ_int,eq_c1/2,0))/2))+2*IF(circ_int,0,eq_c1/2))+(PI()*(s_0+10*s_r+IF(circ_int,eq_c1/2,0))/2))+2*IF(circ_int,0,eq_c2/2)))/(s_0+10*s_r+IF(circ_int,eq_c1/2,0))),IF(((63+0.5)*(4*IF(circ_int,0,eq_c1/2)+4*IF(circ_int,0,eq_c2/2)+2*PI()*(s_0+10*s_r+IF(circ_int,eq_c1/2,0)))/INDEX(lk_legs,11))&lt;(((((((2*IF(circ_int,0,eq_c2/2))+(PI()*(s_0+10*s_r+IF(circ_int,eq_c1/2,0))/2))+2*IF(circ_int,0,eq_c1/2))+(PI()*(s_0+10*s_r+IF(circ_int,eq_c1/2,0))/2))+2*IF(circ_int,0,eq_c2/2))+(PI()*(s_0+10*s_r+IF(circ_int,eq_c1/2,0))/2))+2*IF(circ_int,0,eq_c1/2)),-IF(circ_int,0,eq_c1/2)+(((63+0.5)*(4*IF(circ_int,0,eq_c1/2)+4*IF(circ_int,0,eq_c2/2)+2*PI()*(s_0+10*s_r+IF(circ_int,eq_c1/2,0)))/INDEX(lk_legs,11))-((((((2*IF(circ_int,0,eq_c2/2))+(PI()*(s_0+10*s_r+IF(circ_int,eq_c1/2,0))/2))+2*IF(circ_int,0,eq_c1/2))+(PI()*(s_0+10*s_r+IF(circ_int,eq_c1/2,0))/2))+2*IF(circ_int,0,eq_c2/2))+(PI()*(s_0+10*s_r+IF(circ_int,eq_c1/2,0))/2))),IF(circ_int,0,eq_c1/2)+(s_0+10*s_r+IF(circ_int,eq_c1/2,0))*COS(3*PI()/2+(((63+0.5)*(4*IF(circ_int,0,eq_c1/2)+4*IF(circ_int,0,eq_c2/2)+2*PI()*(s_0+10*s_r+IF(circ_int,eq_c1/2,0)))/INDEX(lk_legs,11))-(((((((2*IF(circ_int,0,eq_c2/2))+(PI()*(s_0+10*s_r+IF(circ_int,eq_c1/2,0))/2))+2*IF(circ_int,0,eq_c1/2))+(PI()*(s_0+10*s_r+IF(circ_int,eq_c1/2,0))/2))+2*IF(circ_int,0,eq_c2/2))+(PI()*(s_0+10*s_r+IF(circ_int,eq_c1/2,0))/2))+2*IF(circ_int,0,eq_c1/2)))/(s_0+10*s_r+IF(circ_int,eq_c1/2,0)))))))))),NA())</f>
        <v/>
      </c>
      <c r="DI66">
        <f>IF(AND(AND(links_on,11&lt;=n_per),INDEX(lk_kind,11)=1,63&lt;INDEX(lk_legs,11)),g_oy+IF(((63+0.5)*(4*IF(circ_int,0,eq_c1/2)+4*IF(circ_int,0,eq_c2/2)+2*PI()*(s_0+10*s_r+IF(circ_int,eq_c1/2,0)))/INDEX(lk_legs,11))&lt;(2*IF(circ_int,0,eq_c2/2)),-IF(circ_int,0,eq_c2/2)+((63+0.5)*(4*IF(circ_int,0,eq_c1/2)+4*IF(circ_int,0,eq_c2/2)+2*PI()*(s_0+10*s_r+IF(circ_int,eq_c1/2,0)))/INDEX(lk_legs,11)),IF(((63+0.5)*(4*IF(circ_int,0,eq_c1/2)+4*IF(circ_int,0,eq_c2/2)+2*PI()*(s_0+10*s_r+IF(circ_int,eq_c1/2,0)))/INDEX(lk_legs,11))&lt;((2*IF(circ_int,0,eq_c2/2))+(PI()*(s_0+10*s_r+IF(circ_int,eq_c1/2,0))/2)),IF(circ_int,0,eq_c2/2)+(s_0+10*s_r+IF(circ_int,eq_c1/2,0))*SIN((((63+0.5)*(4*IF(circ_int,0,eq_c1/2)+4*IF(circ_int,0,eq_c2/2)+2*PI()*(s_0+10*s_r+IF(circ_int,eq_c1/2,0)))/INDEX(lk_legs,11))-(2*IF(circ_int,0,eq_c2/2)))/(s_0+10*s_r+IF(circ_int,eq_c1/2,0))),IF(((63+0.5)*(4*IF(circ_int,0,eq_c1/2)+4*IF(circ_int,0,eq_c2/2)+2*PI()*(s_0+10*s_r+IF(circ_int,eq_c1/2,0)))/INDEX(lk_legs,11))&lt;(((2*IF(circ_int,0,eq_c2/2))+(PI()*(s_0+10*s_r+IF(circ_int,eq_c1/2,0))/2))+2*IF(circ_int,0,eq_c1/2)),IF(circ_int,0,eq_c2/2)+(s_0+10*s_r+IF(circ_int,eq_c1/2,0)),IF(((63+0.5)*(4*IF(circ_int,0,eq_c1/2)+4*IF(circ_int,0,eq_c2/2)+2*PI()*(s_0+10*s_r+IF(circ_int,eq_c1/2,0)))/INDEX(lk_legs,11))&lt;((((2*IF(circ_int,0,eq_c2/2))+(PI()*(s_0+10*s_r+IF(circ_int,eq_c1/2,0))/2))+2*IF(circ_int,0,eq_c1/2))+(PI()*(s_0+10*s_r+IF(circ_int,eq_c1/2,0))/2)),IF(circ_int,0,eq_c2/2)+(s_0+10*s_r+IF(circ_int,eq_c1/2,0))*SIN(PI()/2+(((63+0.5)*(4*IF(circ_int,0,eq_c1/2)+4*IF(circ_int,0,eq_c2/2)+2*PI()*(s_0+10*s_r+IF(circ_int,eq_c1/2,0)))/INDEX(lk_legs,11))-(((2*IF(circ_int,0,eq_c2/2))+(PI()*(s_0+10*s_r+IF(circ_int,eq_c1/2,0))/2))+2*IF(circ_int,0,eq_c1/2)))/(s_0+10*s_r+IF(circ_int,eq_c1/2,0))),IF(((63+0.5)*(4*IF(circ_int,0,eq_c1/2)+4*IF(circ_int,0,eq_c2/2)+2*PI()*(s_0+10*s_r+IF(circ_int,eq_c1/2,0)))/INDEX(lk_legs,11))&lt;(((((2*IF(circ_int,0,eq_c2/2))+(PI()*(s_0+10*s_r+IF(circ_int,eq_c1/2,0))/2))+2*IF(circ_int,0,eq_c1/2))+(PI()*(s_0+10*s_r+IF(circ_int,eq_c1/2,0))/2))+2*IF(circ_int,0,eq_c2/2)),IF(circ_int,0,eq_c2/2)-(((63+0.5)*(4*IF(circ_int,0,eq_c1/2)+4*IF(circ_int,0,eq_c2/2)+2*PI()*(s_0+10*s_r+IF(circ_int,eq_c1/2,0)))/INDEX(lk_legs,11))-((((2*IF(circ_int,0,eq_c2/2))+(PI()*(s_0+10*s_r+IF(circ_int,eq_c1/2,0))/2))+2*IF(circ_int,0,eq_c1/2))+(PI()*(s_0+10*s_r+IF(circ_int,eq_c1/2,0))/2))),IF(((63+0.5)*(4*IF(circ_int,0,eq_c1/2)+4*IF(circ_int,0,eq_c2/2)+2*PI()*(s_0+10*s_r+IF(circ_int,eq_c1/2,0)))/INDEX(lk_legs,11))&lt;((((((2*IF(circ_int,0,eq_c2/2))+(PI()*(s_0+10*s_r+IF(circ_int,eq_c1/2,0))/2))+2*IF(circ_int,0,eq_c1/2))+(PI()*(s_0+10*s_r+IF(circ_int,eq_c1/2,0))/2))+2*IF(circ_int,0,eq_c2/2))+(PI()*(s_0+10*s_r+IF(circ_int,eq_c1/2,0))/2)),-IF(circ_int,0,eq_c2/2)+(s_0+10*s_r+IF(circ_int,eq_c1/2,0))*SIN(PI()+(((63+0.5)*(4*IF(circ_int,0,eq_c1/2)+4*IF(circ_int,0,eq_c2/2)+2*PI()*(s_0+10*s_r+IF(circ_int,eq_c1/2,0)))/INDEX(lk_legs,11))-(((((2*IF(circ_int,0,eq_c2/2))+(PI()*(s_0+10*s_r+IF(circ_int,eq_c1/2,0))/2))+2*IF(circ_int,0,eq_c1/2))+(PI()*(s_0+10*s_r+IF(circ_int,eq_c1/2,0))/2))+2*IF(circ_int,0,eq_c2/2)))/(s_0+10*s_r+IF(circ_int,eq_c1/2,0))),IF(((63+0.5)*(4*IF(circ_int,0,eq_c1/2)+4*IF(circ_int,0,eq_c2/2)+2*PI()*(s_0+10*s_r+IF(circ_int,eq_c1/2,0)))/INDEX(lk_legs,11))&lt;(((((((2*IF(circ_int,0,eq_c2/2))+(PI()*(s_0+10*s_r+IF(circ_int,eq_c1/2,0))/2))+2*IF(circ_int,0,eq_c1/2))+(PI()*(s_0+10*s_r+IF(circ_int,eq_c1/2,0))/2))+2*IF(circ_int,0,eq_c2/2))+(PI()*(s_0+10*s_r+IF(circ_int,eq_c1/2,0))/2))+2*IF(circ_int,0,eq_c1/2)),-IF(circ_int,0,eq_c2/2)-(s_0+10*s_r+IF(circ_int,eq_c1/2,0)),-IF(circ_int,0,eq_c2/2)+(s_0+10*s_r+IF(circ_int,eq_c1/2,0))*SIN(3*PI()/2+(((63+0.5)*(4*IF(circ_int,0,eq_c1/2)+4*IF(circ_int,0,eq_c2/2)+2*PI()*(s_0+10*s_r+IF(circ_int,eq_c1/2,0)))/INDEX(lk_legs,11))-(((((((2*IF(circ_int,0,eq_c2/2))+(PI()*(s_0+10*s_r+IF(circ_int,eq_c1/2,0))/2))+2*IF(circ_int,0,eq_c1/2))+(PI()*(s_0+10*s_r+IF(circ_int,eq_c1/2,0))/2))+2*IF(circ_int,0,eq_c2/2))+(PI()*(s_0+10*s_r+IF(circ_int,eq_c1/2,0))/2))+2*IF(circ_int,0,eq_c1/2)))/(s_0+10*s_r+IF(circ_int,eq_c1/2,0)))))))))),NA())</f>
        <v/>
      </c>
      <c r="DN66">
        <f>IF(AND(AND(links_on,12&lt;=n_per),INDEX(lk_kind,12)=1,63&lt;INDEX(lk_legs,12)),g_ox+IF(((63+0.5)*(4*IF(circ_int,0,eq_c1/2)+4*IF(circ_int,0,eq_c2/2)+2*PI()*(s_0+11*s_r+IF(circ_int,eq_c1/2,0)))/INDEX(lk_legs,12))&lt;(2*IF(circ_int,0,eq_c2/2)),IF(circ_int,0,eq_c1/2)+(s_0+11*s_r+IF(circ_int,eq_c1/2,0)),IF(((63+0.5)*(4*IF(circ_int,0,eq_c1/2)+4*IF(circ_int,0,eq_c2/2)+2*PI()*(s_0+11*s_r+IF(circ_int,eq_c1/2,0)))/INDEX(lk_legs,12))&lt;((2*IF(circ_int,0,eq_c2/2))+(PI()*(s_0+11*s_r+IF(circ_int,eq_c1/2,0))/2)),IF(circ_int,0,eq_c1/2)+(s_0+11*s_r+IF(circ_int,eq_c1/2,0))*COS((((63+0.5)*(4*IF(circ_int,0,eq_c1/2)+4*IF(circ_int,0,eq_c2/2)+2*PI()*(s_0+11*s_r+IF(circ_int,eq_c1/2,0)))/INDEX(lk_legs,12))-(2*IF(circ_int,0,eq_c2/2)))/(s_0+11*s_r+IF(circ_int,eq_c1/2,0))),IF(((63+0.5)*(4*IF(circ_int,0,eq_c1/2)+4*IF(circ_int,0,eq_c2/2)+2*PI()*(s_0+11*s_r+IF(circ_int,eq_c1/2,0)))/INDEX(lk_legs,12))&lt;(((2*IF(circ_int,0,eq_c2/2))+(PI()*(s_0+11*s_r+IF(circ_int,eq_c1/2,0))/2))+2*IF(circ_int,0,eq_c1/2)),IF(circ_int,0,eq_c1/2)-(((63+0.5)*(4*IF(circ_int,0,eq_c1/2)+4*IF(circ_int,0,eq_c2/2)+2*PI()*(s_0+11*s_r+IF(circ_int,eq_c1/2,0)))/INDEX(lk_legs,12))-((2*IF(circ_int,0,eq_c2/2))+(PI()*(s_0+11*s_r+IF(circ_int,eq_c1/2,0))/2))),IF(((63+0.5)*(4*IF(circ_int,0,eq_c1/2)+4*IF(circ_int,0,eq_c2/2)+2*PI()*(s_0+11*s_r+IF(circ_int,eq_c1/2,0)))/INDEX(lk_legs,12))&lt;((((2*IF(circ_int,0,eq_c2/2))+(PI()*(s_0+11*s_r+IF(circ_int,eq_c1/2,0))/2))+2*IF(circ_int,0,eq_c1/2))+(PI()*(s_0+11*s_r+IF(circ_int,eq_c1/2,0))/2)),-IF(circ_int,0,eq_c1/2)+(s_0+11*s_r+IF(circ_int,eq_c1/2,0))*COS(PI()/2+(((63+0.5)*(4*IF(circ_int,0,eq_c1/2)+4*IF(circ_int,0,eq_c2/2)+2*PI()*(s_0+11*s_r+IF(circ_int,eq_c1/2,0)))/INDEX(lk_legs,12))-(((2*IF(circ_int,0,eq_c2/2))+(PI()*(s_0+11*s_r+IF(circ_int,eq_c1/2,0))/2))+2*IF(circ_int,0,eq_c1/2)))/(s_0+11*s_r+IF(circ_int,eq_c1/2,0))),IF(((63+0.5)*(4*IF(circ_int,0,eq_c1/2)+4*IF(circ_int,0,eq_c2/2)+2*PI()*(s_0+11*s_r+IF(circ_int,eq_c1/2,0)))/INDEX(lk_legs,12))&lt;(((((2*IF(circ_int,0,eq_c2/2))+(PI()*(s_0+11*s_r+IF(circ_int,eq_c1/2,0))/2))+2*IF(circ_int,0,eq_c1/2))+(PI()*(s_0+11*s_r+IF(circ_int,eq_c1/2,0))/2))+2*IF(circ_int,0,eq_c2/2)),-IF(circ_int,0,eq_c1/2)-(s_0+11*s_r+IF(circ_int,eq_c1/2,0)),IF(((63+0.5)*(4*IF(circ_int,0,eq_c1/2)+4*IF(circ_int,0,eq_c2/2)+2*PI()*(s_0+11*s_r+IF(circ_int,eq_c1/2,0)))/INDEX(lk_legs,12))&lt;((((((2*IF(circ_int,0,eq_c2/2))+(PI()*(s_0+11*s_r+IF(circ_int,eq_c1/2,0))/2))+2*IF(circ_int,0,eq_c1/2))+(PI()*(s_0+11*s_r+IF(circ_int,eq_c1/2,0))/2))+2*IF(circ_int,0,eq_c2/2))+(PI()*(s_0+11*s_r+IF(circ_int,eq_c1/2,0))/2)),-IF(circ_int,0,eq_c1/2)+(s_0+11*s_r+IF(circ_int,eq_c1/2,0))*COS(PI()+(((63+0.5)*(4*IF(circ_int,0,eq_c1/2)+4*IF(circ_int,0,eq_c2/2)+2*PI()*(s_0+11*s_r+IF(circ_int,eq_c1/2,0)))/INDEX(lk_legs,12))-(((((2*IF(circ_int,0,eq_c2/2))+(PI()*(s_0+11*s_r+IF(circ_int,eq_c1/2,0))/2))+2*IF(circ_int,0,eq_c1/2))+(PI()*(s_0+11*s_r+IF(circ_int,eq_c1/2,0))/2))+2*IF(circ_int,0,eq_c2/2)))/(s_0+11*s_r+IF(circ_int,eq_c1/2,0))),IF(((63+0.5)*(4*IF(circ_int,0,eq_c1/2)+4*IF(circ_int,0,eq_c2/2)+2*PI()*(s_0+11*s_r+IF(circ_int,eq_c1/2,0)))/INDEX(lk_legs,12))&lt;(((((((2*IF(circ_int,0,eq_c2/2))+(PI()*(s_0+11*s_r+IF(circ_int,eq_c1/2,0))/2))+2*IF(circ_int,0,eq_c1/2))+(PI()*(s_0+11*s_r+IF(circ_int,eq_c1/2,0))/2))+2*IF(circ_int,0,eq_c2/2))+(PI()*(s_0+11*s_r+IF(circ_int,eq_c1/2,0))/2))+2*IF(circ_int,0,eq_c1/2)),-IF(circ_int,0,eq_c1/2)+(((63+0.5)*(4*IF(circ_int,0,eq_c1/2)+4*IF(circ_int,0,eq_c2/2)+2*PI()*(s_0+11*s_r+IF(circ_int,eq_c1/2,0)))/INDEX(lk_legs,12))-((((((2*IF(circ_int,0,eq_c2/2))+(PI()*(s_0+11*s_r+IF(circ_int,eq_c1/2,0))/2))+2*IF(circ_int,0,eq_c1/2))+(PI()*(s_0+11*s_r+IF(circ_int,eq_c1/2,0))/2))+2*IF(circ_int,0,eq_c2/2))+(PI()*(s_0+11*s_r+IF(circ_int,eq_c1/2,0))/2))),IF(circ_int,0,eq_c1/2)+(s_0+11*s_r+IF(circ_int,eq_c1/2,0))*COS(3*PI()/2+(((63+0.5)*(4*IF(circ_int,0,eq_c1/2)+4*IF(circ_int,0,eq_c2/2)+2*PI()*(s_0+11*s_r+IF(circ_int,eq_c1/2,0)))/INDEX(lk_legs,12))-(((((((2*IF(circ_int,0,eq_c2/2))+(PI()*(s_0+11*s_r+IF(circ_int,eq_c1/2,0))/2))+2*IF(circ_int,0,eq_c1/2))+(PI()*(s_0+11*s_r+IF(circ_int,eq_c1/2,0))/2))+2*IF(circ_int,0,eq_c2/2))+(PI()*(s_0+11*s_r+IF(circ_int,eq_c1/2,0))/2))+2*IF(circ_int,0,eq_c1/2)))/(s_0+11*s_r+IF(circ_int,eq_c1/2,0)))))))))),NA())</f>
        <v/>
      </c>
      <c r="DO66">
        <f>IF(AND(AND(links_on,12&lt;=n_per),INDEX(lk_kind,12)=1,63&lt;INDEX(lk_legs,12)),g_oy+IF(((63+0.5)*(4*IF(circ_int,0,eq_c1/2)+4*IF(circ_int,0,eq_c2/2)+2*PI()*(s_0+11*s_r+IF(circ_int,eq_c1/2,0)))/INDEX(lk_legs,12))&lt;(2*IF(circ_int,0,eq_c2/2)),-IF(circ_int,0,eq_c2/2)+((63+0.5)*(4*IF(circ_int,0,eq_c1/2)+4*IF(circ_int,0,eq_c2/2)+2*PI()*(s_0+11*s_r+IF(circ_int,eq_c1/2,0)))/INDEX(lk_legs,12)),IF(((63+0.5)*(4*IF(circ_int,0,eq_c1/2)+4*IF(circ_int,0,eq_c2/2)+2*PI()*(s_0+11*s_r+IF(circ_int,eq_c1/2,0)))/INDEX(lk_legs,12))&lt;((2*IF(circ_int,0,eq_c2/2))+(PI()*(s_0+11*s_r+IF(circ_int,eq_c1/2,0))/2)),IF(circ_int,0,eq_c2/2)+(s_0+11*s_r+IF(circ_int,eq_c1/2,0))*SIN((((63+0.5)*(4*IF(circ_int,0,eq_c1/2)+4*IF(circ_int,0,eq_c2/2)+2*PI()*(s_0+11*s_r+IF(circ_int,eq_c1/2,0)))/INDEX(lk_legs,12))-(2*IF(circ_int,0,eq_c2/2)))/(s_0+11*s_r+IF(circ_int,eq_c1/2,0))),IF(((63+0.5)*(4*IF(circ_int,0,eq_c1/2)+4*IF(circ_int,0,eq_c2/2)+2*PI()*(s_0+11*s_r+IF(circ_int,eq_c1/2,0)))/INDEX(lk_legs,12))&lt;(((2*IF(circ_int,0,eq_c2/2))+(PI()*(s_0+11*s_r+IF(circ_int,eq_c1/2,0))/2))+2*IF(circ_int,0,eq_c1/2)),IF(circ_int,0,eq_c2/2)+(s_0+11*s_r+IF(circ_int,eq_c1/2,0)),IF(((63+0.5)*(4*IF(circ_int,0,eq_c1/2)+4*IF(circ_int,0,eq_c2/2)+2*PI()*(s_0+11*s_r+IF(circ_int,eq_c1/2,0)))/INDEX(lk_legs,12))&lt;((((2*IF(circ_int,0,eq_c2/2))+(PI()*(s_0+11*s_r+IF(circ_int,eq_c1/2,0))/2))+2*IF(circ_int,0,eq_c1/2))+(PI()*(s_0+11*s_r+IF(circ_int,eq_c1/2,0))/2)),IF(circ_int,0,eq_c2/2)+(s_0+11*s_r+IF(circ_int,eq_c1/2,0))*SIN(PI()/2+(((63+0.5)*(4*IF(circ_int,0,eq_c1/2)+4*IF(circ_int,0,eq_c2/2)+2*PI()*(s_0+11*s_r+IF(circ_int,eq_c1/2,0)))/INDEX(lk_legs,12))-(((2*IF(circ_int,0,eq_c2/2))+(PI()*(s_0+11*s_r+IF(circ_int,eq_c1/2,0))/2))+2*IF(circ_int,0,eq_c1/2)))/(s_0+11*s_r+IF(circ_int,eq_c1/2,0))),IF(((63+0.5)*(4*IF(circ_int,0,eq_c1/2)+4*IF(circ_int,0,eq_c2/2)+2*PI()*(s_0+11*s_r+IF(circ_int,eq_c1/2,0)))/INDEX(lk_legs,12))&lt;(((((2*IF(circ_int,0,eq_c2/2))+(PI()*(s_0+11*s_r+IF(circ_int,eq_c1/2,0))/2))+2*IF(circ_int,0,eq_c1/2))+(PI()*(s_0+11*s_r+IF(circ_int,eq_c1/2,0))/2))+2*IF(circ_int,0,eq_c2/2)),IF(circ_int,0,eq_c2/2)-(((63+0.5)*(4*IF(circ_int,0,eq_c1/2)+4*IF(circ_int,0,eq_c2/2)+2*PI()*(s_0+11*s_r+IF(circ_int,eq_c1/2,0)))/INDEX(lk_legs,12))-((((2*IF(circ_int,0,eq_c2/2))+(PI()*(s_0+11*s_r+IF(circ_int,eq_c1/2,0))/2))+2*IF(circ_int,0,eq_c1/2))+(PI()*(s_0+11*s_r+IF(circ_int,eq_c1/2,0))/2))),IF(((63+0.5)*(4*IF(circ_int,0,eq_c1/2)+4*IF(circ_int,0,eq_c2/2)+2*PI()*(s_0+11*s_r+IF(circ_int,eq_c1/2,0)))/INDEX(lk_legs,12))&lt;((((((2*IF(circ_int,0,eq_c2/2))+(PI()*(s_0+11*s_r+IF(circ_int,eq_c1/2,0))/2))+2*IF(circ_int,0,eq_c1/2))+(PI()*(s_0+11*s_r+IF(circ_int,eq_c1/2,0))/2))+2*IF(circ_int,0,eq_c2/2))+(PI()*(s_0+11*s_r+IF(circ_int,eq_c1/2,0))/2)),-IF(circ_int,0,eq_c2/2)+(s_0+11*s_r+IF(circ_int,eq_c1/2,0))*SIN(PI()+(((63+0.5)*(4*IF(circ_int,0,eq_c1/2)+4*IF(circ_int,0,eq_c2/2)+2*PI()*(s_0+11*s_r+IF(circ_int,eq_c1/2,0)))/INDEX(lk_legs,12))-(((((2*IF(circ_int,0,eq_c2/2))+(PI()*(s_0+11*s_r+IF(circ_int,eq_c1/2,0))/2))+2*IF(circ_int,0,eq_c1/2))+(PI()*(s_0+11*s_r+IF(circ_int,eq_c1/2,0))/2))+2*IF(circ_int,0,eq_c2/2)))/(s_0+11*s_r+IF(circ_int,eq_c1/2,0))),IF(((63+0.5)*(4*IF(circ_int,0,eq_c1/2)+4*IF(circ_int,0,eq_c2/2)+2*PI()*(s_0+11*s_r+IF(circ_int,eq_c1/2,0)))/INDEX(lk_legs,12))&lt;(((((((2*IF(circ_int,0,eq_c2/2))+(PI()*(s_0+11*s_r+IF(circ_int,eq_c1/2,0))/2))+2*IF(circ_int,0,eq_c1/2))+(PI()*(s_0+11*s_r+IF(circ_int,eq_c1/2,0))/2))+2*IF(circ_int,0,eq_c2/2))+(PI()*(s_0+11*s_r+IF(circ_int,eq_c1/2,0))/2))+2*IF(circ_int,0,eq_c1/2)),-IF(circ_int,0,eq_c2/2)-(s_0+11*s_r+IF(circ_int,eq_c1/2,0)),-IF(circ_int,0,eq_c2/2)+(s_0+11*s_r+IF(circ_int,eq_c1/2,0))*SIN(3*PI()/2+(((63+0.5)*(4*IF(circ_int,0,eq_c1/2)+4*IF(circ_int,0,eq_c2/2)+2*PI()*(s_0+11*s_r+IF(circ_int,eq_c1/2,0)))/INDEX(lk_legs,12))-(((((((2*IF(circ_int,0,eq_c2/2))+(PI()*(s_0+11*s_r+IF(circ_int,eq_c1/2,0))/2))+2*IF(circ_int,0,eq_c1/2))+(PI()*(s_0+11*s_r+IF(circ_int,eq_c1/2,0))/2))+2*IF(circ_int,0,eq_c2/2))+(PI()*(s_0+11*s_r+IF(circ_int,eq_c1/2,0))/2))+2*IF(circ_int,0,eq_c1/2)))/(s_0+11*s_r+IF(circ_int,eq_c1/2,0)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4"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5" t="inlineStr">
        <is>
          <t>Parameter</t>
        </is>
      </c>
      <c r="C5" s="55" t="inlineStr">
        <is>
          <t>Clause</t>
        </is>
      </c>
      <c r="D5" s="55" t="inlineStr">
        <is>
          <t>UK NA</t>
        </is>
      </c>
      <c r="E5" s="55" t="inlineStr">
        <is>
          <t>PL NA</t>
        </is>
      </c>
      <c r="F5" s="55" t="inlineStr">
        <is>
          <t>Notes</t>
        </is>
      </c>
    </row>
    <row r="6">
      <c r="B6" s="56" t="inlineStr">
        <is>
          <t>Partial factor, concrete  γc</t>
        </is>
      </c>
      <c r="C6" s="57" t="inlineStr">
        <is>
          <t>2.4.2.4(1)</t>
        </is>
      </c>
      <c r="D6" s="58" t="n">
        <v>1.5</v>
      </c>
      <c r="E6" s="58" t="n">
        <v>1.4</v>
      </c>
      <c r="F6" s="57" t="inlineStr">
        <is>
          <t>Persistent &amp; transient. UK NA: recommended; PL: NA.2, Table NA.2</t>
        </is>
      </c>
    </row>
    <row r="7">
      <c r="B7" s="56" t="inlineStr">
        <is>
          <t>Partial factor, reinforcement  γs</t>
        </is>
      </c>
      <c r="C7" s="57" t="inlineStr">
        <is>
          <t>2.4.2.4(1)</t>
        </is>
      </c>
      <c r="D7" s="58" t="n">
        <v>1.15</v>
      </c>
      <c r="E7" s="58" t="n">
        <v>1.15</v>
      </c>
      <c r="F7" s="57" t="inlineStr">
        <is>
          <t>UK NA: recommended; PL: NA.2, Table NA.2</t>
        </is>
      </c>
    </row>
    <row r="8">
      <c r="B8" s="56" t="inlineStr">
        <is>
          <t>αcc  (compression in flexure / axial)</t>
        </is>
      </c>
      <c r="C8" s="57" t="inlineStr">
        <is>
          <t>3.1.6(1)</t>
        </is>
      </c>
      <c r="D8" s="58" t="n">
        <v>0.85</v>
      </c>
      <c r="E8" s="58" t="n">
        <v>1</v>
      </c>
      <c r="F8" s="57" t="inlineStr">
        <is>
          <t>UK NA: 0.85; PL: recommended (NA.9)</t>
        </is>
      </c>
    </row>
    <row r="9">
      <c r="B9" s="56" t="inlineStr">
        <is>
          <t>αcc,pl  (plain concrete, compression)</t>
        </is>
      </c>
      <c r="C9" s="57" t="inlineStr">
        <is>
          <t>12.3.1(1)</t>
        </is>
      </c>
      <c r="D9" s="58" t="n">
        <v>0.6</v>
      </c>
      <c r="E9" s="58" t="n">
        <v>0.8</v>
      </c>
      <c r="F9" s="57" t="inlineStr">
        <is>
          <t>UK NA Table NA.1: 0.6; PL: recommended (NA.9)</t>
        </is>
      </c>
    </row>
    <row r="10">
      <c r="B10" s="56" t="inlineStr">
        <is>
          <t>αcc  (shear and punching)</t>
        </is>
      </c>
      <c r="C10" s="57" t="inlineStr">
        <is>
          <t>3.1.6(1)</t>
        </is>
      </c>
      <c r="D10" s="58" t="n">
        <v>1</v>
      </c>
      <c r="E10" s="58" t="n">
        <v>1</v>
      </c>
      <c r="F10" s="57" t="inlineStr">
        <is>
          <t>UK NA: 1.0 for other phenomena; PL: recommended (NA.9)</t>
        </is>
      </c>
    </row>
    <row r="11">
      <c r="B11" s="56" t="inlineStr">
        <is>
          <t>αct  (design tensile strength)</t>
        </is>
      </c>
      <c r="C11" s="57" t="inlineStr">
        <is>
          <t>3.1.6(2)</t>
        </is>
      </c>
      <c r="D11" s="58" t="n">
        <v>1</v>
      </c>
      <c r="E11" s="58" t="n">
        <v>1</v>
      </c>
      <c r="F11" s="57" t="inlineStr">
        <is>
          <t>Recommended value in both annexes</t>
        </is>
      </c>
    </row>
    <row r="12">
      <c r="B12" s="56" t="inlineStr">
        <is>
          <t>CRd,c numerator  (CRd,c = value / γc)</t>
        </is>
      </c>
      <c r="C12" s="57" t="inlineStr">
        <is>
          <t>6.2.2(1), 6.4.4(1)</t>
        </is>
      </c>
      <c r="D12" s="58" t="n">
        <v>0.18</v>
      </c>
      <c r="E12" s="58" t="n">
        <v>0.18</v>
      </c>
      <c r="F12" s="57" t="inlineStr">
        <is>
          <t>Recommended value in both annexes</t>
        </is>
      </c>
    </row>
    <row r="13">
      <c r="B13" s="56" t="inlineStr">
        <is>
          <t>k1  (axial stress term, punching)</t>
        </is>
      </c>
      <c r="C13" s="57" t="inlineStr">
        <is>
          <t>6.4.4(1)</t>
        </is>
      </c>
      <c r="D13" s="58" t="n">
        <v>0.1</v>
      </c>
      <c r="E13" s="58" t="n">
        <v>0.1</v>
      </c>
      <c r="F13" s="57" t="inlineStr">
        <is>
          <t>Recommended value in both annexes</t>
        </is>
      </c>
    </row>
    <row r="14">
      <c r="B14" s="56" t="inlineStr">
        <is>
          <t>vRd,max factor  (vRd,max = factor · ν · fcd)</t>
        </is>
      </c>
      <c r="C14" s="57" t="inlineStr">
        <is>
          <t>6.4.5(3)</t>
        </is>
      </c>
      <c r="D14" s="58" t="n">
        <v>0.5</v>
      </c>
      <c r="E14" s="58" t="n">
        <v>0.4</v>
      </c>
      <c r="F14" s="57" t="inlineStr">
        <is>
          <t>UK NA: 0.5 ν fcd; PL: recommended value (NA.9), 0.4 ν fcd since EN 1992-1-1 AC:2010 (PN-EN 1992-1-1:2008/AC:2011)</t>
        </is>
      </c>
    </row>
    <row r="15">
      <c r="B15" s="56" t="inlineStr">
        <is>
          <t>kmax  (vEd ≤ kmax · vRd,c at u1)</t>
        </is>
      </c>
      <c r="C15" s="57" t="inlineStr">
        <is>
          <t>6.4.5</t>
        </is>
      </c>
      <c r="D15" s="58" t="n">
        <v>2</v>
      </c>
      <c r="E15" s="58" t="n">
        <v>1.5</v>
      </c>
      <c r="F15" s="57" t="inlineStr">
        <is>
          <t>UK NA 6.4.5(3): 2 vRd,c. PL: no limit in PN-EN 1992-1-1:2008; 1.5 (A1:2014 recommendation) applied conservatively</t>
        </is>
      </c>
    </row>
    <row r="16">
      <c r="B16" s="56" t="inlineStr">
        <is>
          <t>φlarge  (large bar threshold, mm)</t>
        </is>
      </c>
      <c r="C16" s="57" t="inlineStr">
        <is>
          <t>8.8(1)</t>
        </is>
      </c>
      <c r="D16" s="58" t="n">
        <v>40</v>
      </c>
      <c r="E16" s="58" t="n">
        <v>32</v>
      </c>
      <c r="F16" s="57" t="inlineStr">
        <is>
          <t>UK NA: 40 mm; PL: 32 mm recommended (NA.9)</t>
        </is>
      </c>
    </row>
    <row r="17">
      <c r="B17" s="56" t="inlineStr">
        <is>
          <t>cot θ upper limit  (variable strut)</t>
        </is>
      </c>
      <c r="C17" s="57" t="inlineStr">
        <is>
          <t>6.2.3(2)</t>
        </is>
      </c>
      <c r="D17" s="58" t="n">
        <v>2.5</v>
      </c>
      <c r="E17" s="58" t="n">
        <v>2</v>
      </c>
      <c r="F17" s="57" t="inlineStr">
        <is>
          <t>UK NA: 2.5 (1.25 with axial tension); PL: NA.4, 1 ≤ cot θ ≤ 2.0</t>
        </is>
      </c>
    </row>
    <row r="18">
      <c r="B18" s="56" t="inlineStr">
        <is>
          <t>k1  (x/d limit, δ ≥ k1 + k2 xu/d)</t>
        </is>
      </c>
      <c r="C18" s="57" t="inlineStr">
        <is>
          <t>5.5(4)</t>
        </is>
      </c>
      <c r="D18" s="58" t="n">
        <v>0.4</v>
      </c>
      <c r="E18" s="58" t="n">
        <v>0.44</v>
      </c>
      <c r="F18" s="57" t="inlineStr">
        <is>
          <t>UK NA for fyk ≤ 500 MPa; PL: recommended (NA.9)</t>
        </is>
      </c>
    </row>
    <row r="19">
      <c r="B19" s="56" t="inlineStr">
        <is>
          <t>k2  (x/d limit, εcu2 = 0.0035)</t>
        </is>
      </c>
      <c r="C19" s="57" t="inlineStr">
        <is>
          <t>5.5(4)</t>
        </is>
      </c>
      <c r="D19" s="58" t="n">
        <v>1</v>
      </c>
      <c r="E19" s="58" t="n">
        <v>1.25</v>
      </c>
      <c r="F19" s="57" t="inlineStr">
        <is>
          <t>UK NA: 0.6 + 0.0014/εcu2; PL: 1.25(0.6 + 0.0014/εcu2)</t>
        </is>
      </c>
    </row>
    <row r="20">
      <c r="B20" s="56" t="inlineStr">
        <is>
          <t>Upper limit on the (310/σs) factor  (0 = none)</t>
        </is>
      </c>
      <c r="C20" s="57" t="inlineStr">
        <is>
          <t>7.4.2(2)</t>
        </is>
      </c>
      <c r="D20" s="58" t="n">
        <v>1.5</v>
      </c>
      <c r="E20" s="58" t="n">
        <v>0</v>
      </c>
      <c r="F20" s="57" t="inlineStr">
        <is>
          <t>UK NA Table NA.5 Note 5: (310/σs) or (500/fyk)(As,prov/As,req) ≤ 1.5; PL: none</t>
        </is>
      </c>
    </row>
    <row r="21">
      <c r="B21" s="56" t="inlineStr">
        <is>
          <t>L/d not to exceed 40 K  (1 = applies)</t>
        </is>
      </c>
      <c r="C21" s="57" t="inlineStr">
        <is>
          <t>7.4.2(2)</t>
        </is>
      </c>
      <c r="D21" s="58" t="n">
        <v>1</v>
      </c>
      <c r="E21" s="58" t="n">
        <v>0</v>
      </c>
      <c r="F21" s="57" t="inlineStr">
        <is>
          <t>UK NA Table NA.5 Note 6; not in EN text</t>
        </is>
      </c>
    </row>
    <row r="22">
      <c r="B22" s="56" t="inlineStr">
        <is>
          <t>φmin  (longitudinal bars in columns, mm)</t>
        </is>
      </c>
      <c r="C22" s="57" t="inlineStr">
        <is>
          <t>9.5.2(1)</t>
        </is>
      </c>
      <c r="D22" s="58" t="n">
        <v>12</v>
      </c>
      <c r="E22" s="58" t="n">
        <v>6</v>
      </c>
      <c r="F22" s="57" t="inlineStr">
        <is>
          <t>UK NA: 12 mm; PL: NA.6, 6 mm</t>
        </is>
      </c>
    </row>
    <row r="23">
      <c r="B23" s="56" t="inlineStr">
        <is>
          <t>k3  (crack spacing)</t>
        </is>
      </c>
      <c r="C23" s="57" t="inlineStr">
        <is>
          <t>7.3.4(3)</t>
        </is>
      </c>
      <c r="D23" s="58" t="n">
        <v>3.4</v>
      </c>
      <c r="E23" s="58" t="n">
        <v>3.4</v>
      </c>
      <c r="F23" s="57" t="inlineStr">
        <is>
          <t>Recommended value in both annexes</t>
        </is>
      </c>
    </row>
    <row r="24">
      <c r="B24" s="56" t="inlineStr">
        <is>
          <t>k4  (crack spacing)</t>
        </is>
      </c>
      <c r="C24" s="57" t="inlineStr">
        <is>
          <t>7.3.4(3)</t>
        </is>
      </c>
      <c r="D24" s="58" t="n">
        <v>0.425</v>
      </c>
      <c r="E24" s="58" t="n">
        <v>0.425</v>
      </c>
      <c r="F24" s="57" t="inlineStr">
        <is>
          <t>Recommended value in both annexes</t>
        </is>
      </c>
    </row>
    <row r="25">
      <c r="B25" s="56" t="inlineStr">
        <is>
          <t>k1  (concrete stress, characteristic; XD, XF, XS)</t>
        </is>
      </c>
      <c r="C25" s="57" t="inlineStr">
        <is>
          <t>7.2(2)</t>
        </is>
      </c>
      <c r="D25" s="58" t="n">
        <v>0.6</v>
      </c>
      <c r="E25" s="58" t="n">
        <v>1</v>
      </c>
      <c r="F25" s="57" t="inlineStr">
        <is>
          <t>UK NA: recommended; PL: NA.5, k1 = 1.0</t>
        </is>
      </c>
    </row>
    <row r="26">
      <c r="B26" s="56" t="inlineStr">
        <is>
          <t>k2  (concrete stress, quasi-permanent; linear creep)</t>
        </is>
      </c>
      <c r="C26" s="57" t="inlineStr">
        <is>
          <t>7.2(3)</t>
        </is>
      </c>
      <c r="D26" s="58" t="n">
        <v>0.45</v>
      </c>
      <c r="E26" s="58" t="n">
        <v>0.45</v>
      </c>
      <c r="F26" s="57" t="inlineStr">
        <is>
          <t>Recommended value in both annexes (UK NA; PL NA.9)</t>
        </is>
      </c>
    </row>
    <row r="27">
      <c r="B27" s="56" t="inlineStr">
        <is>
          <t>k3  (steel stress, characteristic)</t>
        </is>
      </c>
      <c r="C27" s="57" t="inlineStr">
        <is>
          <t>7.2(5)</t>
        </is>
      </c>
      <c r="D27" s="58" t="n">
        <v>0.8</v>
      </c>
      <c r="E27" s="58" t="n">
        <v>0.8</v>
      </c>
      <c r="F27" s="57" t="inlineStr">
        <is>
          <t>Recommended value in both annexes (UK NA; PL NA.9)</t>
        </is>
      </c>
    </row>
    <row r="28">
      <c r="B28" s="56" t="inlineStr">
        <is>
          <t>k4  (steel stress, imposed deformation)</t>
        </is>
      </c>
      <c r="C28" s="57" t="inlineStr">
        <is>
          <t>7.2(5)</t>
        </is>
      </c>
      <c r="D28" s="58" t="n">
        <v>1</v>
      </c>
      <c r="E28" s="58" t="n">
        <v>1</v>
      </c>
      <c r="F28" s="57"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&amp;K8A8A8ANAE-RC-002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NAE-RC-002 Punching shear</dc:title>
  <dc:subject xmlns:dc="http://purl.org/dc/elements/1.1/">Flat slabs  ·  EN 1992-1-1 §6.4  ·  UK NA / PN-EN</dc:subject>
  <dcterms:created xmlns:dcterms="http://purl.org/dc/terms/" xmlns:xsi="http://www.w3.org/2001/XMLSchema-instance" xsi:type="dcterms:W3CDTF">2026-10-30T10:58:35Z</dcterms:created>
  <dcterms:modified xmlns:dcterms="http://purl.org/dc/terms/" xmlns:xsi="http://www.w3.org/2001/XMLSchema-instance" xsi:type="dcterms:W3CDTF">2026-10-30T10:58:35Z</dcterms:modified>
  <cp:lastModifiedBy>NA Engineering sp. z o.o.</cp:lastModifiedBy>
  <cp:keywords>NA Engineering; Eurocode 2; EN 1992-1-1</cp:keywords>
</cp:coreProperties>
</file>