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workbookPassword="AA0A" lockStructure="1"/>
  <bookViews>
    <workbookView visibility="visible" minimized="0" showHorizontalScroll="1" showVerticalScroll="1" showSheetTabs="1" tabRatio="600" firstSheet="0" activeTab="1" autoFilterDateGrouping="1"/>
  </bookViews>
  <sheets>
    <sheet xmlns:r="http://schemas.openxmlformats.org/officeDocument/2006/relationships" name="About" sheetId="1" state="visible" r:id="rId1"/>
    <sheet xmlns:r="http://schemas.openxmlformats.org/officeDocument/2006/relationships" name="Calculation" sheetId="2" state="visible" r:id="rId2"/>
    <sheet xmlns:r="http://schemas.openxmlformats.org/officeDocument/2006/relationships" name="Geometry" sheetId="3" state="hidden" r:id="rId3"/>
    <sheet xmlns:r="http://schemas.openxmlformats.org/officeDocument/2006/relationships" name="NDP" sheetId="4" state="visible" r:id="rId4"/>
  </sheets>
  <definedNames>
    <definedName name="NA_sel">'Calculation'!$E$11</definedName>
    <definedName name="conc_class">'Calculation'!$E$12</definedName>
    <definedName name="f_yk">'Calculation'!$E$13</definedName>
    <definedName name="phi">'Calculation'!$E$14</definedName>
    <definedName name="bond">'Calculation'!$E$15</definedName>
    <definedName name="stress_ratio">'Calculation'!$E$16</definedName>
    <definedName name="c_nom">'Calculation'!$E$17</definedName>
    <definedName name="s_bar">'Calculation'!$E$18</definedName>
    <definedName name="p_lap">'Calculation'!$E$19</definedName>
    <definedName name="inputs_ok">IFERROR(AND(OR(NA_sel="UK NA (BS EN)",NA_sel="PL NA (PN-EN)"),OR(conc_class="C20/25",conc_class="C25/30",conc_class="C28/35",conc_class="C30/37",conc_class="C32/40",conc_class="C35/45",conc_class="C40/50",conc_class="C45/55",conc_class="C50/60"),ISNUMBER(f_yk),f_yk&gt;0,OR(AND(ISNUMBER(phi),phi=8),AND(ISNUMBER(phi),phi=10),AND(ISNUMBER(phi),phi=12),AND(ISNUMBER(phi),phi=16),AND(ISNUMBER(phi),phi=20),AND(ISNUMBER(phi),phi=25),AND(ISNUMBER(phi),phi=32),AND(ISNUMBER(phi),phi=40)),OR(bond="Good",bond="Poor"),ISNUMBER(stress_ratio),stress_ratio&gt;0,ISNUMBER(c_nom),c_nom&gt;0,ISNUMBER(s_bar),s_bar&gt;0,OR(AND(ISNUMBER(p_lap),p_lap=25),AND(ISNUMBER(p_lap),p_lap=33),AND(ISNUMBER(p_lap),p_lap=50),AND(ISNUMBER(p_lap),p_lap=100)),AND(f_yk&gt;0,stress_ratio&gt;0,c_nom&gt;0,s_bar&gt;phi)),FALSE)</definedName>
    <definedName name="input_status">'Calculation'!$G$20</definedName>
    <definedName name="lap_status">'Calculation'!$G$63</definedName>
    <definedName name="large_status">'Calculation'!$G$65</definedName>
    <definedName name="gamma_c">'Calculation'!$E$69</definedName>
    <definedName name="gamma_s">'Calculation'!$E$70</definedName>
    <definedName name="alpha_ct">'Calculation'!$E$71</definedName>
    <definedName name="phi_large">'Calculation'!$E$72</definedName>
    <definedName name="f_ck">'Calculation'!$E$73</definedName>
    <definedName name="f_ctm">'Calculation'!$E$74</definedName>
    <definedName name="f_ctk">'Calculation'!$E$75</definedName>
    <definedName name="f_ctd">'Calculation'!$E$76</definedName>
    <definedName name="f_yd">'Calculation'!$E$77</definedName>
    <definedName name="eta_1">'Calculation'!$E$78</definedName>
    <definedName name="eta_2">'Calculation'!$E$79</definedName>
    <definedName name="f_bd">'Calculation'!$E$80</definedName>
    <definedName name="sigma_sd">'Calculation'!$E$81</definedName>
    <definedName name="lb_rqd">'Calculation'!$E$82</definedName>
    <definedName name="c_d">'Calculation'!$E$83</definedName>
    <definedName name="alpha_2">'Calculation'!$E$84</definedName>
    <definedName name="alpha_6">'Calculation'!$E$85</definedName>
    <definedName name="lb_min_t">'Calculation'!$E$87</definedName>
    <definedName name="l_bd_t">'Calculation'!$E$88</definedName>
    <definedName name="l0_min">'Calculation'!$E$89</definedName>
    <definedName name="l_0_t">'Calculation'!$E$90</definedName>
    <definedName name="lb_min_c">'Calculation'!$E$91</definedName>
    <definedName name="l_bd_c">'Calculation'!$E$92</definedName>
    <definedName name="l_0_c">'Calculation'!$E$93</definedName>
    <definedName name="ndp_gamma_c">INDEX('NDP'!$D$6:$E$6,na_idx)</definedName>
    <definedName name="ndp_gamma_s">INDEX('NDP'!$D$7:$E$7,na_idx)</definedName>
    <definedName name="ndp_alpha_cc">INDEX('NDP'!$D$8:$E$8,na_idx)</definedName>
    <definedName name="ndp_alpha_cc_pl">INDEX('NDP'!$D$9:$E$9,na_idx)</definedName>
    <definedName name="ndp_alpha_cc_shear">INDEX('NDP'!$D$10:$E$10,na_idx)</definedName>
    <definedName name="ndp_alpha_ct">INDEX('NDP'!$D$11:$E$11,na_idx)</definedName>
    <definedName name="ndp_C_Rdc">INDEX('NDP'!$D$12:$E$12,na_idx)</definedName>
    <definedName name="ndp_k1_p">INDEX('NDP'!$D$13:$E$13,na_idx)</definedName>
    <definedName name="ndp_vmax">INDEX('NDP'!$D$14:$E$14,na_idx)</definedName>
    <definedName name="ndp_kmax">INDEX('NDP'!$D$15:$E$15,na_idx)</definedName>
    <definedName name="ndp_phi_large">INDEX('NDP'!$D$16:$E$16,na_idx)</definedName>
    <definedName name="ndp_cot_max">INDEX('NDP'!$D$17:$E$17,na_idx)</definedName>
    <definedName name="ndp_k1_red">INDEX('NDP'!$D$18:$E$18,na_idx)</definedName>
    <definedName name="ndp_k2_red">INDEX('NDP'!$D$19:$E$19,na_idx)</definedName>
    <definedName name="ndp_ld_mod_max">INDEX('NDP'!$D$20:$E$20,na_idx)</definedName>
    <definedName name="ndp_ld_cap_40K">INDEX('NDP'!$D$21:$E$21,na_idx)</definedName>
    <definedName name="ndp_phi_min_col">INDEX('NDP'!$D$22:$E$22,na_idx)</definedName>
    <definedName name="ndp_k3">INDEX('NDP'!$D$23:$E$23,na_idx)</definedName>
    <definedName name="ndp_k4">INDEX('NDP'!$D$24:$E$24,na_idx)</definedName>
    <definedName name="ndp_k1_sl">INDEX('NDP'!$D$25:$E$25,na_idx)</definedName>
    <definedName name="ndp_k2_sl">INDEX('NDP'!$D$26:$E$26,na_idx)</definedName>
    <definedName name="ndp_k3_sl">INDEX('NDP'!$D$27:$E$27,na_idx)</definedName>
    <definedName name="ndp_k4_sl">INDEX('NDP'!$D$28:$E$28,na_idx)</definedName>
    <definedName name="na_idx">IF(NA_sel="PL NA (PN-EN)",2,IF(NA_sel="UK NA (BS EN)",1,NA()))</definedName>
    <definedName name="_xlnm.Print_Area" localSheetId="0">'About'!$A$1:$D$39</definedName>
    <definedName name="_xlnm.Print_Area" localSheetId="1">'Calculation'!$A$1:$H$108</definedName>
    <definedName name="_xlnm.Print_Area" localSheetId="3">'NDP'!$A$1:$G$29</definedName>
  </definedNames>
  <calcPr calcId="124519" fullCalcOnLoad="1"/>
</workbook>
</file>

<file path=xl/styles.xml><?xml version="1.0" encoding="utf-8"?>
<styleSheet xmlns="http://schemas.openxmlformats.org/spreadsheetml/2006/main">
  <numFmts count="3">
    <numFmt numFmtId="164" formatCode="dd mmm yyyy"/>
    <numFmt numFmtId="165" formatCode="0.0"/>
    <numFmt numFmtId="166" formatCode="0.000"/>
  </numFmts>
  <fonts count="22">
    <font>
      <name val="Calibri"/>
      <family val="2"/>
      <color theme="1"/>
      <sz val="11"/>
      <scheme val="minor"/>
    </font>
    <font>
      <name val="Calibri"/>
      <color rgb="00BDBDBD"/>
      <sz val="9"/>
    </font>
    <font>
      <name val="Calibri"/>
      <b val="1"/>
      <color rgb="002B2B2B"/>
      <sz val="24"/>
    </font>
    <font>
      <name val="Calibri"/>
      <color rgb="008A8A8A"/>
      <sz val="12"/>
    </font>
    <font>
      <name val="Calibri"/>
      <color rgb="008A8A8A"/>
      <sz val="10"/>
    </font>
    <font>
      <name val="Calibri"/>
      <color rgb="002B2B2B"/>
      <sz val="10"/>
    </font>
    <font>
      <name val="Calibri"/>
      <b val="1"/>
      <color rgb="005B7F8A"/>
      <sz val="11"/>
    </font>
    <font>
      <name val="Calibri"/>
      <color rgb="005B7F8A"/>
      <sz val="10"/>
    </font>
    <font>
      <name val="Calibri"/>
      <color rgb="008A8A8A"/>
      <sz val="9"/>
    </font>
    <font>
      <name val="Calibri"/>
      <b val="1"/>
      <color rgb="00FFFFFF"/>
      <sz val="14"/>
    </font>
    <font>
      <name val="Calibri"/>
      <b val="1"/>
      <color rgb="005B7F8A"/>
      <sz val="12"/>
    </font>
    <font>
      <name val="Calibri"/>
      <i val="1"/>
      <color rgb="008A8A8A"/>
      <sz val="8"/>
    </font>
    <font>
      <name val="Calibri"/>
      <b val="1"/>
      <color rgb="002B2B2B"/>
      <sz val="10"/>
    </font>
    <font>
      <name val="Calibri"/>
      <color rgb="008A8A8A"/>
      <sz val="8"/>
    </font>
    <font>
      <name val="Calibri"/>
      <b val="1"/>
      <color rgb="002B2B2B"/>
      <sz val="9"/>
    </font>
    <font>
      <name val="Calibri"/>
      <family val="2"/>
      <i val="1"/>
      <color rgb="008A8A8A"/>
      <sz val="9"/>
      <scheme val="minor"/>
    </font>
    <font>
      <name val="Calibri"/>
      <color rgb="002B2B2B"/>
      <sz val="11"/>
    </font>
    <font>
      <name val="Calibri"/>
      <b val="1"/>
      <color rgb="002B2B2B"/>
      <sz val="15"/>
    </font>
    <font>
      <name val="Calibri"/>
      <i val="1"/>
      <color rgb="008A8A8A"/>
      <sz val="8.5"/>
    </font>
    <font>
      <name val="Calibri"/>
      <family val="2"/>
      <b val="1"/>
      <color rgb="008A8A8A"/>
      <sz val="9"/>
      <scheme val="minor"/>
    </font>
    <font>
      <name val="Calibri"/>
      <b val="1"/>
      <color rgb="002B2B2B"/>
      <sz val="16"/>
    </font>
    <font>
      <name val="Calibri"/>
      <b val="1"/>
      <color rgb="008A8A8A"/>
      <sz val="9"/>
    </font>
  </fonts>
  <fills count="5">
    <fill>
      <patternFill/>
    </fill>
    <fill>
      <patternFill patternType="gray125"/>
    </fill>
    <fill>
      <patternFill patternType="solid">
        <fgColor rgb="001F1F1F"/>
        <bgColor rgb="001F1F1F"/>
      </patternFill>
    </fill>
    <fill>
      <patternFill patternType="solid">
        <fgColor rgb="00FFF4D6"/>
        <bgColor rgb="00FFF4D6"/>
      </patternFill>
    </fill>
    <fill>
      <patternFill patternType="solid">
        <fgColor rgb="00EEF4F6"/>
        <bgColor rgb="00EEF4F6"/>
      </patternFill>
    </fill>
  </fills>
  <borders count="3">
    <border>
      <left/>
      <right/>
      <top/>
      <bottom/>
      <diagonal/>
    </border>
    <border>
      <bottom style="thin">
        <color rgb="00E3E3E3"/>
      </bottom>
    </border>
    <border>
      <bottom style="thin">
        <color rgb="005B7F8A"/>
      </bottom>
    </border>
  </borders>
  <cellStyleXfs count="1">
    <xf numFmtId="0" fontId="0" fillId="0" borderId="0"/>
  </cellStyleXfs>
  <cellXfs count="52">
    <xf numFmtId="0" fontId="0" fillId="0" borderId="0" pivotButton="0" quotePrefix="0" xfId="0"/>
    <xf numFmtId="0" fontId="0" fillId="2" borderId="0" pivotButton="0" quotePrefix="0" xfId="0"/>
    <xf numFmtId="0" fontId="1" fillId="2" borderId="0" applyAlignment="1" pivotButton="0" quotePrefix="0" xfId="0">
      <alignment horizontal="right" vertical="center"/>
    </xf>
    <xf numFmtId="0" fontId="2" fillId="0" borderId="0" pivotButton="0" quotePrefix="0" xfId="0"/>
    <xf numFmtId="0" fontId="3" fillId="0" borderId="0" pivotButton="0" quotePrefix="0" xfId="0"/>
    <xf numFmtId="0" fontId="4" fillId="0" borderId="0" applyAlignment="1" pivotButton="0" quotePrefix="0" xfId="0">
      <alignment vertical="top"/>
    </xf>
    <xf numFmtId="0" fontId="5" fillId="0" borderId="0" pivotButton="0" quotePrefix="0" xfId="0"/>
    <xf numFmtId="0" fontId="5" fillId="0" borderId="0" applyAlignment="1" pivotButton="0" quotePrefix="0" xfId="0">
      <alignment vertical="top" wrapText="1"/>
    </xf>
    <xf numFmtId="0" fontId="6" fillId="0" borderId="1" pivotButton="0" quotePrefix="0" xfId="0"/>
    <xf numFmtId="0" fontId="0" fillId="0" borderId="1" pivotButton="0" quotePrefix="0" xfId="0"/>
    <xf numFmtId="0" fontId="4" fillId="0" borderId="0" applyAlignment="1" pivotButton="0" quotePrefix="0" xfId="0">
      <alignment vertical="top" wrapText="1"/>
    </xf>
    <xf numFmtId="0" fontId="4" fillId="0" borderId="0" pivotButton="0" quotePrefix="0" xfId="0"/>
    <xf numFmtId="0" fontId="7" fillId="0" borderId="0" pivotButton="0" quotePrefix="0" xfId="0"/>
    <xf numFmtId="0" fontId="8" fillId="0" borderId="0" applyAlignment="1" pivotButton="0" quotePrefix="0" xfId="0">
      <alignment vertical="top" wrapText="1"/>
    </xf>
    <xf numFmtId="0" fontId="9" fillId="2" borderId="0" applyAlignment="1" pivotButton="0" quotePrefix="0" xfId="0">
      <alignment horizontal="right" vertical="center"/>
    </xf>
    <xf numFmtId="0" fontId="1" fillId="2" borderId="0" applyAlignment="1" pivotButton="0" quotePrefix="0" xfId="0">
      <alignment horizontal="right" vertical="top"/>
    </xf>
    <xf numFmtId="0" fontId="8" fillId="0" borderId="0" pivotButton="0" quotePrefix="0" xfId="0"/>
    <xf numFmtId="0" fontId="5" fillId="3" borderId="0" applyProtection="1" pivotButton="0" quotePrefix="0" xfId="0">
      <protection locked="0" hidden="0"/>
    </xf>
    <xf numFmtId="0" fontId="8" fillId="0" borderId="0" applyAlignment="1" pivotButton="0" quotePrefix="0" xfId="0">
      <alignment horizontal="right"/>
    </xf>
    <xf numFmtId="164" fontId="5" fillId="3" borderId="0" applyProtection="1" pivotButton="0" quotePrefix="0" xfId="0">
      <protection locked="0" hidden="0"/>
    </xf>
    <xf numFmtId="0" fontId="10" fillId="0" borderId="2" pivotButton="0" quotePrefix="0" xfId="0"/>
    <xf numFmtId="0" fontId="0" fillId="0" borderId="2" pivotButton="0" quotePrefix="0" xfId="0"/>
    <xf numFmtId="0" fontId="11" fillId="0" borderId="2" applyAlignment="1" pivotButton="0" quotePrefix="0" xfId="0">
      <alignment horizontal="right"/>
    </xf>
    <xf numFmtId="0" fontId="0" fillId="0" borderId="1" applyAlignment="1" pivotButton="0" quotePrefix="0" xfId="0">
      <alignment vertical="center"/>
    </xf>
    <xf numFmtId="0" fontId="5" fillId="0" borderId="1" applyAlignment="1" pivotButton="0" quotePrefix="0" xfId="0">
      <alignment vertical="center"/>
    </xf>
    <xf numFmtId="0" fontId="12" fillId="3" borderId="1" applyAlignment="1" applyProtection="1" pivotButton="0" quotePrefix="0" xfId="0">
      <alignment horizontal="center" vertical="center"/>
      <protection locked="0" hidden="0"/>
    </xf>
    <xf numFmtId="0" fontId="13" fillId="0" borderId="1" applyAlignment="1" pivotButton="0" quotePrefix="0" xfId="0">
      <alignment vertical="center"/>
    </xf>
    <xf numFmtId="0" fontId="0" fillId="0" borderId="1" applyAlignment="1" pivotButton="0" quotePrefix="0" xfId="0">
      <alignment horizontal="center" vertical="center"/>
    </xf>
    <xf numFmtId="0" fontId="8" fillId="0" borderId="1" applyAlignment="1" pivotButton="0" quotePrefix="0" xfId="0">
      <alignment vertical="center"/>
    </xf>
    <xf numFmtId="2" fontId="12" fillId="3" borderId="1" applyAlignment="1" applyProtection="1" pivotButton="0" quotePrefix="0" xfId="0">
      <alignment horizontal="center" vertical="center"/>
      <protection locked="0" hidden="0"/>
    </xf>
    <xf numFmtId="0" fontId="14" fillId="0" borderId="1" applyAlignment="1" pivotButton="0" quotePrefix="0" xfId="0">
      <alignment horizontal="center" vertical="center"/>
    </xf>
    <xf numFmtId="0" fontId="15" fillId="0" borderId="0" pivotButton="0" quotePrefix="0" xfId="0"/>
    <xf numFmtId="0" fontId="0" fillId="4" borderId="0" pivotButton="0" quotePrefix="0" xfId="0"/>
    <xf numFmtId="0" fontId="16" fillId="4" borderId="0" applyAlignment="1" pivotButton="0" quotePrefix="0" xfId="0">
      <alignment vertical="center"/>
    </xf>
    <xf numFmtId="0" fontId="0" fillId="4" borderId="0" applyAlignment="1" pivotButton="0" quotePrefix="0" xfId="0">
      <alignment horizontal="center" vertical="center"/>
    </xf>
    <xf numFmtId="1" fontId="17" fillId="4" borderId="0" applyAlignment="1" pivotButton="0" quotePrefix="0" xfId="0">
      <alignment horizontal="center" vertical="center"/>
    </xf>
    <xf numFmtId="0" fontId="4" fillId="4" borderId="0" applyAlignment="1" pivotButton="0" quotePrefix="0" xfId="0">
      <alignment vertical="center"/>
    </xf>
    <xf numFmtId="0" fontId="12" fillId="4" borderId="0" applyAlignment="1" pivotButton="0" quotePrefix="0" xfId="0">
      <alignment horizontal="center" vertical="center"/>
    </xf>
    <xf numFmtId="1" fontId="5" fillId="0" borderId="1" applyAlignment="1" pivotButton="0" quotePrefix="0" xfId="0">
      <alignment horizontal="center" vertical="center"/>
    </xf>
    <xf numFmtId="2" fontId="5" fillId="0" borderId="1" applyAlignment="1" pivotButton="0" quotePrefix="0" xfId="0">
      <alignment horizontal="center" vertical="center"/>
    </xf>
    <xf numFmtId="165" fontId="5" fillId="0" borderId="1" applyAlignment="1" pivotButton="0" quotePrefix="0" xfId="0">
      <alignment horizontal="center" vertical="center"/>
    </xf>
    <xf numFmtId="166" fontId="5" fillId="0" borderId="1" applyAlignment="1" pivotButton="0" quotePrefix="0" xfId="0">
      <alignment horizontal="center" vertical="center"/>
    </xf>
    <xf numFmtId="0" fontId="18" fillId="0" borderId="0" applyAlignment="1" pivotButton="0" quotePrefix="0" xfId="0">
      <alignment vertical="top" wrapText="1"/>
    </xf>
    <xf numFmtId="1" fontId="12" fillId="0" borderId="1" applyAlignment="1" pivotButton="0" quotePrefix="0" xfId="0">
      <alignment horizontal="center" vertical="center"/>
    </xf>
    <xf numFmtId="0" fontId="19" fillId="0" borderId="0" applyAlignment="1" pivotButton="0" quotePrefix="0" xfId="0">
      <alignment horizontal="center"/>
    </xf>
    <xf numFmtId="1" fontId="12" fillId="0" borderId="1" applyAlignment="1" pivotButton="0" quotePrefix="0" xfId="0">
      <alignment horizontal="center"/>
    </xf>
    <xf numFmtId="1" fontId="5" fillId="0" borderId="1" applyAlignment="1" pivotButton="0" quotePrefix="0" xfId="0">
      <alignment horizontal="center"/>
    </xf>
    <xf numFmtId="0" fontId="20" fillId="0" borderId="0" pivotButton="0" quotePrefix="0" xfId="0"/>
    <xf numFmtId="0" fontId="21" fillId="0" borderId="2" pivotButton="0" quotePrefix="0" xfId="0"/>
    <xf numFmtId="0" fontId="5" fillId="0" borderId="1" pivotButton="0" quotePrefix="0" xfId="0"/>
    <xf numFmtId="0" fontId="8" fillId="0" borderId="1" pivotButton="0" quotePrefix="0" xfId="0"/>
    <xf numFmtId="0" fontId="12" fillId="0" borderId="1" applyAlignment="1" pivotButton="0" quotePrefix="0" xfId="0">
      <alignment horizontal="center"/>
    </xf>
  </cellXfs>
  <cellStyles count="1">
    <cellStyle name="Normal" xfId="0" builtinId="0" hidden="0"/>
  </cellStyles>
  <dxfs count="4">
    <dxf>
      <fill>
        <patternFill patternType="solid">
          <fgColor rgb="00FFF1D6"/>
          <bgColor rgb="00FFF1D6"/>
        </patternFill>
      </fill>
    </dxf>
    <dxf>
      <font>
        <name val="Calibri"/>
        <b val="1"/>
        <color rgb="001E7F4F"/>
      </font>
      <fill>
        <patternFill patternType="solid">
          <fgColor rgb="00E6F4EC"/>
          <bgColor rgb="00E6F4EC"/>
        </patternFill>
      </fill>
    </dxf>
    <dxf>
      <font>
        <name val="Calibri"/>
        <b val="1"/>
        <color rgb="00B3261E"/>
      </font>
      <fill>
        <patternFill patternType="solid">
          <fgColor rgb="00FBE9E7"/>
          <bgColor rgb="00FBE9E7"/>
        </patternFill>
      </fill>
    </dxf>
    <dxf>
      <font>
        <name val="Calibri"/>
        <b val="1"/>
        <color rgb="008A5A00"/>
      </font>
      <fill>
        <patternFill patternType="solid">
          <fgColor rgb="00FFF1D6"/>
          <bgColor rgb="00FFF1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style val="1"/>
  <chart>
    <plotArea>
      <scatterChart>
        <scatterStyle val="lineMarker"/>
        <ser>
          <idx val="0"/>
          <order val="0"/>
          <tx>
            <v>face</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'Geometry'!$A$3:$A$4</f>
            </numRef>
          </xVal>
          <yVal>
            <numRef>
              <f>'Geometry'!$B$3:$B$4</f>
            </numRef>
          </yVal>
          <smooth val="0"/>
        </ser>
        <ser>
          <idx val="1"/>
          <order val="1"/>
          <tx>
            <v>cut</v>
          </tx>
          <spPr>
            <a:ln xmlns:a="http://schemas.openxmlformats.org/drawingml/2006/main" w="12700">
              <a:solidFill>
                <a:srgbClr val="9A9A9A"/>
              </a:solidFill>
              <a:prstDash val="dash"/>
            </a:ln>
          </spPr>
          <marker>
            <symbol val="none"/>
            <spPr>
              <a:ln xmlns:a="http://schemas.openxmlformats.org/drawingml/2006/main">
                <a:prstDash val="solid"/>
              </a:ln>
            </spPr>
          </marker>
          <xVal>
            <numRef>
              <f>'Geometry'!$D$3:$D$4</f>
            </numRef>
          </xVal>
          <yVal>
            <numRef>
              <f>'Geometry'!$E$3:$E$4</f>
            </numRef>
          </yVal>
          <smooth val="0"/>
        </ser>
        <ser>
          <idx val="2"/>
          <order val="2"/>
          <tx>
            <v>cut2</v>
          </tx>
          <spPr>
            <a:ln xmlns:a="http://schemas.openxmlformats.org/drawingml/2006/main" w="12700">
              <a:solidFill>
                <a:srgbClr val="9A9A9A"/>
              </a:solidFill>
              <a:prstDash val="dash"/>
            </a:ln>
          </spPr>
          <marker>
            <symbol val="none"/>
            <spPr>
              <a:ln xmlns:a="http://schemas.openxmlformats.org/drawingml/2006/main">
                <a:prstDash val="solid"/>
              </a:ln>
            </spPr>
          </marker>
          <xVal>
            <numRef>
              <f>'Geometry'!$G$3:$G$4</f>
            </numRef>
          </xVal>
          <yVal>
            <numRef>
              <f>'Geometry'!$H$3:$H$4</f>
            </numRef>
          </yVal>
          <smooth val="0"/>
        </ser>
        <ser>
          <idx val="3"/>
          <order val="3"/>
          <tx>
            <v>bar 0</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'Geometry'!$J$3:$J$19</f>
            </numRef>
          </xVal>
          <yVal>
            <numRef>
              <f>'Geometry'!$K$3:$K$19</f>
            </numRef>
          </yVal>
          <smooth val="0"/>
        </ser>
        <ser>
          <idx val="4"/>
          <order val="4"/>
          <tx>
            <v>bar 1</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'Geometry'!$M$3:$M$19</f>
            </numRef>
          </xVal>
          <yVal>
            <numRef>
              <f>'Geometry'!$N$3:$N$19</f>
            </numRef>
          </yVal>
          <smooth val="0"/>
        </ser>
        <ser>
          <idx val="5"/>
          <order val="5"/>
          <tx>
            <v>bar 2</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'Geometry'!$P$3:$P$19</f>
            </numRef>
          </xVal>
          <yVal>
            <numRef>
              <f>'Geometry'!$Q$3:$Q$19</f>
            </numRef>
          </yVal>
          <smooth val="0"/>
        </ser>
        <ser>
          <idx val="6"/>
          <order val="6"/>
          <tx>
            <v>bar 3</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'Geometry'!$S$3:$S$19</f>
            </numRef>
          </xVal>
          <yVal>
            <numRef>
              <f>'Geometry'!$T$3:$T$19</f>
            </numRef>
          </yVal>
          <smooth val="0"/>
        </ser>
        <ser>
          <idx val="7"/>
          <order val="7"/>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'Geometry'!$V$3:$V$4</f>
            </numRef>
          </xVal>
          <yVal>
            <numRef>
              <f>'Geometry'!$W$3:$W$4</f>
            </numRef>
          </yVal>
          <smooth val="0"/>
        </ser>
        <ser>
          <idx val="8"/>
          <order val="8"/>
          <tx>
            <strRef>
              <f>'Geometry'!$Y$2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r"/>
            <showLegendKey val="0"/>
            <showVal val="0"/>
            <showCatName val="0"/>
            <showSerName val="1"/>
            <showPercent val="0"/>
          </dLbls>
          <xVal>
            <numRef>
              <f>'Geometry'!$Y$3</f>
            </numRef>
          </xVal>
          <yVal>
            <numRef>
              <f>'Geometry'!$Z$3</f>
            </numRef>
          </yVal>
          <smooth val="0"/>
        </ser>
        <ser>
          <idx val="9"/>
          <order val="9"/>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'Geometry'!$AB$3:$AB$4</f>
            </numRef>
          </xVal>
          <yVal>
            <numRef>
              <f>'Geometry'!$AC$3:$AC$4</f>
            </numRef>
          </yVal>
          <smooth val="0"/>
        </ser>
        <ser>
          <idx val="10"/>
          <order val="10"/>
          <tx>
            <strRef>
              <f>'Geometry'!$AE$2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t"/>
            <showLegendKey val="0"/>
            <showVal val="0"/>
            <showCatName val="0"/>
            <showSerName val="1"/>
            <showPercent val="0"/>
          </dLbls>
          <xVal>
            <numRef>
              <f>'Geometry'!$AE$3</f>
            </numRef>
          </xVal>
          <yVal>
            <numRef>
              <f>'Geometry'!$AF$3</f>
            </numRef>
          </yVal>
          <smooth val="0"/>
        </ser>
        <ser>
          <idx val="11"/>
          <order val="11"/>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'Geometry'!$AH$3:$AH$4</f>
            </numRef>
          </xVal>
          <yVal>
            <numRef>
              <f>'Geometry'!$AI$3:$AI$4</f>
            </numRef>
          </yVal>
          <smooth val="0"/>
        </ser>
        <ser>
          <idx val="12"/>
          <order val="12"/>
          <tx>
            <strRef>
              <f>'Geometry'!$AK$2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b"/>
            <showLegendKey val="0"/>
            <showVal val="0"/>
            <showCatName val="0"/>
            <showSerName val="1"/>
            <showPercent val="0"/>
          </dLbls>
          <xVal>
            <numRef>
              <f>'Geometry'!$AK$3</f>
            </numRef>
          </xVal>
          <yVal>
            <numRef>
              <f>'Geometry'!$AL$3</f>
            </numRef>
          </yVal>
          <smooth val="0"/>
        </ser>
        <ser>
          <idx val="13"/>
          <order val="13"/>
          <tx>
            <strRef>
              <f>'Geometry'!$AN$2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t"/>
            <showLegendKey val="0"/>
            <showVal val="0"/>
            <showCatName val="0"/>
            <showSerName val="1"/>
            <showPercent val="0"/>
          </dLbls>
          <xVal>
            <numRef>
              <f>'Geometry'!$AN$3</f>
            </numRef>
          </xVal>
          <yVal>
            <numRef>
              <f>'Geometry'!$AO$3</f>
            </numRef>
          </yVal>
          <smooth val="0"/>
        </ser>
        <ser>
          <idx val="14"/>
          <order val="14"/>
          <tx>
            <v>frame</v>
          </tx>
          <spPr>
            <a:ln xmlns:a="http://schemas.openxmlformats.org/drawingml/2006/main">
              <a:noFill/>
              <a:prstDash val="solid"/>
            </a:ln>
          </spPr>
          <marker>
            <symbol val="none"/>
            <spPr>
              <a:ln xmlns:a="http://schemas.openxmlformats.org/drawingml/2006/main">
                <a:prstDash val="solid"/>
              </a:ln>
            </spPr>
          </marker>
          <xVal>
            <numRef>
              <f>'Geometry'!$AQ$3:$AQ$4</f>
            </numRef>
          </xVal>
          <yVal>
            <numRef>
              <f>'Geometry'!$AR$3:$AR$4</f>
            </numRef>
          </yVal>
          <smooth val="0"/>
        </ser>
        <axId val="10"/>
        <axId val="20"/>
      </scatterChart>
      <valAx>
        <axId val="10"/>
        <scaling>
          <orientation val="minMax"/>
        </scaling>
        <delete val="1"/>
        <axPos val="l"/>
        <majorTickMark val="none"/>
        <minorTickMark val="none"/>
        <crossAx val="20"/>
      </valAx>
      <valAx>
        <axId val="20"/>
        <scaling>
          <orientation val="minMax"/>
        </scaling>
        <delete val="1"/>
        <axPos val="l"/>
        <majorTickMark val="none"/>
        <minorTickMark val="none"/>
        <crossAx val="10"/>
      </valAx>
    </plotArea>
    <plotVisOnly val="1"/>
    <dispBlanksAs val="gap"/>
  </chart>
  <spPr>
    <a:ln xmlns:a="http://schemas.openxmlformats.org/drawingml/2006/main">
      <a:noFill/>
      <a:prstDash val="solid"/>
    </a:ln>
  </spPr>
</chartSpace>
</file>

<file path=xl/charts/chart2.xml><?xml version="1.0" encoding="utf-8"?>
<chartSpace xmlns="http://schemas.openxmlformats.org/drawingml/2006/chart">
  <style val="1"/>
  <chart>
    <plotArea>
      <scatterChart>
        <scatterStyle val="lineMarker"/>
        <ser>
          <idx val="0"/>
          <order val="0"/>
          <tx>
            <v>l₀ tension a</v>
          </tx>
          <spPr>
            <a:ln xmlns:a="http://schemas.openxmlformats.org/drawingml/2006/main" w="31750">
              <a:solidFill>
                <a:srgbClr val="2B2B2B"/>
              </a:solidFill>
              <a:prstDash val="solid"/>
            </a:ln>
          </spPr>
          <marker>
            <symbol val="none"/>
            <spPr>
              <a:ln xmlns:a="http://schemas.openxmlformats.org/drawingml/2006/main">
                <a:prstDash val="solid"/>
              </a:ln>
            </spPr>
          </marker>
          <xVal>
            <numRef>
              <f>'Geometry'!$AT$3:$AT$4</f>
            </numRef>
          </xVal>
          <yVal>
            <numRef>
              <f>'Geometry'!$AU$3:$AU$4</f>
            </numRef>
          </yVal>
          <smooth val="0"/>
        </ser>
        <ser>
          <idx val="1"/>
          <order val="1"/>
          <tx>
            <v>l₀ tension b</v>
          </tx>
          <spPr>
            <a:ln xmlns:a="http://schemas.openxmlformats.org/drawingml/2006/main" w="31750">
              <a:solidFill>
                <a:srgbClr val="2B2B2B"/>
              </a:solidFill>
              <a:prstDash val="solid"/>
            </a:ln>
          </spPr>
          <marker>
            <symbol val="none"/>
            <spPr>
              <a:ln xmlns:a="http://schemas.openxmlformats.org/drawingml/2006/main">
                <a:prstDash val="solid"/>
              </a:ln>
            </spPr>
          </marker>
          <xVal>
            <numRef>
              <f>'Geometry'!$AW$3:$AW$4</f>
            </numRef>
          </xVal>
          <yVal>
            <numRef>
              <f>'Geometry'!$AX$3:$AX$4</f>
            </numRef>
          </yVal>
          <smooth val="0"/>
        </ser>
        <ser>
          <idx val="2"/>
          <order val="2"/>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'Geometry'!$AZ$3:$AZ$4</f>
            </numRef>
          </xVal>
          <yVal>
            <numRef>
              <f>'Geometry'!$BA$3:$BA$4</f>
            </numRef>
          </yVal>
          <smooth val="0"/>
        </ser>
        <ser>
          <idx val="3"/>
          <order val="3"/>
          <tx>
            <strRef>
              <f>'Geometry'!$BC$2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t"/>
            <showLegendKey val="0"/>
            <showVal val="0"/>
            <showCatName val="0"/>
            <showSerName val="1"/>
            <showPercent val="0"/>
          </dLbls>
          <xVal>
            <numRef>
              <f>'Geometry'!$BC$3</f>
            </numRef>
          </xVal>
          <yVal>
            <numRef>
              <f>'Geometry'!$BD$3</f>
            </numRef>
          </yVal>
          <smooth val="0"/>
        </ser>
        <ser>
          <idx val="4"/>
          <order val="4"/>
          <tx>
            <v>tension</v>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9A9A9A"/>
                    </a:solidFill>
                  </a:defRPr>
                </a:pPr>
                <a:r>
                  <a:t/>
                </a:r>
                <a:endParaRPr sz="800">
                  <a:solidFill>
                    <a:srgbClr val="9A9A9A"/>
                  </a:solidFill>
                </a:endParaRPr>
              </a:p>
            </txPr>
            <dLblPos val="l"/>
            <showLegendKey val="0"/>
            <showVal val="0"/>
            <showCatName val="0"/>
            <showSerName val="1"/>
            <showPercent val="0"/>
          </dLbls>
          <xVal>
            <numRef>
              <f>'Geometry'!$BF$3</f>
            </numRef>
          </xVal>
          <yVal>
            <numRef>
              <f>'Geometry'!$BG$3</f>
            </numRef>
          </yVal>
          <smooth val="0"/>
        </ser>
        <ser>
          <idx val="5"/>
          <order val="5"/>
          <tx>
            <v>l₀ compression a</v>
          </tx>
          <spPr>
            <a:ln xmlns:a="http://schemas.openxmlformats.org/drawingml/2006/main" w="31750">
              <a:solidFill>
                <a:srgbClr val="2B2B2B"/>
              </a:solidFill>
              <a:prstDash val="dash"/>
            </a:ln>
          </spPr>
          <marker>
            <symbol val="none"/>
            <spPr>
              <a:ln xmlns:a="http://schemas.openxmlformats.org/drawingml/2006/main">
                <a:prstDash val="solid"/>
              </a:ln>
            </spPr>
          </marker>
          <xVal>
            <numRef>
              <f>'Geometry'!$BI$3:$BI$4</f>
            </numRef>
          </xVal>
          <yVal>
            <numRef>
              <f>'Geometry'!$BJ$3:$BJ$4</f>
            </numRef>
          </yVal>
          <smooth val="0"/>
        </ser>
        <ser>
          <idx val="6"/>
          <order val="6"/>
          <tx>
            <v>l₀ compression b</v>
          </tx>
          <spPr>
            <a:ln xmlns:a="http://schemas.openxmlformats.org/drawingml/2006/main" w="31750">
              <a:solidFill>
                <a:srgbClr val="2B2B2B"/>
              </a:solidFill>
              <a:prstDash val="dash"/>
            </a:ln>
          </spPr>
          <marker>
            <symbol val="none"/>
            <spPr>
              <a:ln xmlns:a="http://schemas.openxmlformats.org/drawingml/2006/main">
                <a:prstDash val="solid"/>
              </a:ln>
            </spPr>
          </marker>
          <xVal>
            <numRef>
              <f>'Geometry'!$BL$3:$BL$4</f>
            </numRef>
          </xVal>
          <yVal>
            <numRef>
              <f>'Geometry'!$BM$3:$BM$4</f>
            </numRef>
          </yVal>
          <smooth val="0"/>
        </ser>
        <ser>
          <idx val="7"/>
          <order val="7"/>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'Geometry'!$BO$3:$BO$4</f>
            </numRef>
          </xVal>
          <yVal>
            <numRef>
              <f>'Geometry'!$BP$3:$BP$4</f>
            </numRef>
          </yVal>
          <smooth val="0"/>
        </ser>
        <ser>
          <idx val="8"/>
          <order val="8"/>
          <tx>
            <strRef>
              <f>'Geometry'!$BR$2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t"/>
            <showLegendKey val="0"/>
            <showVal val="0"/>
            <showCatName val="0"/>
            <showSerName val="1"/>
            <showPercent val="0"/>
          </dLbls>
          <xVal>
            <numRef>
              <f>'Geometry'!$BR$3</f>
            </numRef>
          </xVal>
          <yVal>
            <numRef>
              <f>'Geometry'!$BS$3</f>
            </numRef>
          </yVal>
          <smooth val="0"/>
        </ser>
        <ser>
          <idx val="9"/>
          <order val="9"/>
          <tx>
            <v>compression</v>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9A9A9A"/>
                    </a:solidFill>
                  </a:defRPr>
                </a:pPr>
                <a:r>
                  <a:t/>
                </a:r>
                <a:endParaRPr sz="800">
                  <a:solidFill>
                    <a:srgbClr val="9A9A9A"/>
                  </a:solidFill>
                </a:endParaRPr>
              </a:p>
            </txPr>
            <dLblPos val="l"/>
            <showLegendKey val="0"/>
            <showVal val="0"/>
            <showCatName val="0"/>
            <showSerName val="1"/>
            <showPercent val="0"/>
          </dLbls>
          <xVal>
            <numRef>
              <f>'Geometry'!$BU$3</f>
            </numRef>
          </xVal>
          <yVal>
            <numRef>
              <f>'Geometry'!$BV$3</f>
            </numRef>
          </yVal>
          <smooth val="0"/>
        </ser>
        <ser>
          <idx val="10"/>
          <order val="10"/>
          <tx>
            <v>lbd tension face</v>
          </tx>
          <spPr>
            <a:ln xmlns:a="http://schemas.openxmlformats.org/drawingml/2006/main" w="38100">
              <a:solidFill>
                <a:srgbClr val="9A9A9A"/>
              </a:solidFill>
              <a:prstDash val="solid"/>
            </a:ln>
          </spPr>
          <marker>
            <symbol val="none"/>
            <spPr>
              <a:ln xmlns:a="http://schemas.openxmlformats.org/drawingml/2006/main">
                <a:prstDash val="solid"/>
              </a:ln>
            </spPr>
          </marker>
          <xVal>
            <numRef>
              <f>'Geometry'!$BX$3:$BX$4</f>
            </numRef>
          </xVal>
          <yVal>
            <numRef>
              <f>'Geometry'!$BY$3:$BY$4</f>
            </numRef>
          </yVal>
          <smooth val="0"/>
        </ser>
        <ser>
          <idx val="11"/>
          <order val="11"/>
          <tx>
            <v>lbd tension</v>
          </tx>
          <spPr>
            <a:ln xmlns:a="http://schemas.openxmlformats.org/drawingml/2006/main" w="31750">
              <a:solidFill>
                <a:srgbClr val="5B7F8A"/>
              </a:solidFill>
              <a:prstDash val="solid"/>
            </a:ln>
          </spPr>
          <marker>
            <symbol val="none"/>
            <spPr>
              <a:ln xmlns:a="http://schemas.openxmlformats.org/drawingml/2006/main">
                <a:prstDash val="solid"/>
              </a:ln>
            </spPr>
          </marker>
          <xVal>
            <numRef>
              <f>'Geometry'!$CA$3:$CA$4</f>
            </numRef>
          </xVal>
          <yVal>
            <numRef>
              <f>'Geometry'!$CB$3:$CB$4</f>
            </numRef>
          </yVal>
          <smooth val="0"/>
        </ser>
        <ser>
          <idx val="12"/>
          <order val="12"/>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'Geometry'!$CD$3:$CD$4</f>
            </numRef>
          </xVal>
          <yVal>
            <numRef>
              <f>'Geometry'!$CE$3:$CE$4</f>
            </numRef>
          </yVal>
          <smooth val="0"/>
        </ser>
        <ser>
          <idx val="13"/>
          <order val="13"/>
          <tx>
            <strRef>
              <f>'Geometry'!$CG$2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t"/>
            <showLegendKey val="0"/>
            <showVal val="0"/>
            <showCatName val="0"/>
            <showSerName val="1"/>
            <showPercent val="0"/>
          </dLbls>
          <xVal>
            <numRef>
              <f>'Geometry'!$CG$3</f>
            </numRef>
          </xVal>
          <yVal>
            <numRef>
              <f>'Geometry'!$CH$3</f>
            </numRef>
          </yVal>
          <smooth val="0"/>
        </ser>
        <ser>
          <idx val="14"/>
          <order val="14"/>
          <tx>
            <v>tension</v>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9A9A9A"/>
                    </a:solidFill>
                  </a:defRPr>
                </a:pPr>
                <a:r>
                  <a:t/>
                </a:r>
                <a:endParaRPr sz="800">
                  <a:solidFill>
                    <a:srgbClr val="9A9A9A"/>
                  </a:solidFill>
                </a:endParaRPr>
              </a:p>
            </txPr>
            <dLblPos val="l"/>
            <showLegendKey val="0"/>
            <showVal val="0"/>
            <showCatName val="0"/>
            <showSerName val="1"/>
            <showPercent val="0"/>
          </dLbls>
          <xVal>
            <numRef>
              <f>'Geometry'!$CJ$3</f>
            </numRef>
          </xVal>
          <yVal>
            <numRef>
              <f>'Geometry'!$CK$3</f>
            </numRef>
          </yVal>
          <smooth val="0"/>
        </ser>
        <ser>
          <idx val="15"/>
          <order val="15"/>
          <tx>
            <v>lbd compression face</v>
          </tx>
          <spPr>
            <a:ln xmlns:a="http://schemas.openxmlformats.org/drawingml/2006/main" w="38100">
              <a:solidFill>
                <a:srgbClr val="9A9A9A"/>
              </a:solidFill>
              <a:prstDash val="solid"/>
            </a:ln>
          </spPr>
          <marker>
            <symbol val="none"/>
            <spPr>
              <a:ln xmlns:a="http://schemas.openxmlformats.org/drawingml/2006/main">
                <a:prstDash val="solid"/>
              </a:ln>
            </spPr>
          </marker>
          <xVal>
            <numRef>
              <f>'Geometry'!$CM$3:$CM$4</f>
            </numRef>
          </xVal>
          <yVal>
            <numRef>
              <f>'Geometry'!$CN$3:$CN$4</f>
            </numRef>
          </yVal>
          <smooth val="0"/>
        </ser>
        <ser>
          <idx val="16"/>
          <order val="16"/>
          <tx>
            <v>lbd compression</v>
          </tx>
          <spPr>
            <a:ln xmlns:a="http://schemas.openxmlformats.org/drawingml/2006/main" w="31750">
              <a:solidFill>
                <a:srgbClr val="5B7F8A"/>
              </a:solidFill>
              <a:prstDash val="dash"/>
            </a:ln>
          </spPr>
          <marker>
            <symbol val="none"/>
            <spPr>
              <a:ln xmlns:a="http://schemas.openxmlformats.org/drawingml/2006/main">
                <a:prstDash val="solid"/>
              </a:ln>
            </spPr>
          </marker>
          <xVal>
            <numRef>
              <f>'Geometry'!$CP$3:$CP$4</f>
            </numRef>
          </xVal>
          <yVal>
            <numRef>
              <f>'Geometry'!$CQ$3:$CQ$4</f>
            </numRef>
          </yVal>
          <smooth val="0"/>
        </ser>
        <ser>
          <idx val="17"/>
          <order val="17"/>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'Geometry'!$CS$3:$CS$4</f>
            </numRef>
          </xVal>
          <yVal>
            <numRef>
              <f>'Geometry'!$CT$3:$CT$4</f>
            </numRef>
          </yVal>
          <smooth val="0"/>
        </ser>
        <ser>
          <idx val="18"/>
          <order val="18"/>
          <tx>
            <strRef>
              <f>'Geometry'!$CV$2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t"/>
            <showLegendKey val="0"/>
            <showVal val="0"/>
            <showCatName val="0"/>
            <showSerName val="1"/>
            <showPercent val="0"/>
          </dLbls>
          <xVal>
            <numRef>
              <f>'Geometry'!$CV$3</f>
            </numRef>
          </xVal>
          <yVal>
            <numRef>
              <f>'Geometry'!$CW$3</f>
            </numRef>
          </yVal>
          <smooth val="0"/>
        </ser>
        <ser>
          <idx val="19"/>
          <order val="19"/>
          <tx>
            <v>compression</v>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9A9A9A"/>
                    </a:solidFill>
                  </a:defRPr>
                </a:pPr>
                <a:r>
                  <a:t/>
                </a:r>
                <a:endParaRPr sz="800">
                  <a:solidFill>
                    <a:srgbClr val="9A9A9A"/>
                  </a:solidFill>
                </a:endParaRPr>
              </a:p>
            </txPr>
            <dLblPos val="l"/>
            <showLegendKey val="0"/>
            <showVal val="0"/>
            <showCatName val="0"/>
            <showSerName val="1"/>
            <showPercent val="0"/>
          </dLbls>
          <xVal>
            <numRef>
              <f>'Geometry'!$CY$3</f>
            </numRef>
          </xVal>
          <yVal>
            <numRef>
              <f>'Geometry'!$CZ$3</f>
            </numRef>
          </yVal>
          <smooth val="0"/>
        </ser>
        <ser>
          <idx val="20"/>
          <order val="20"/>
          <tx>
            <v>frame</v>
          </tx>
          <spPr>
            <a:ln xmlns:a="http://schemas.openxmlformats.org/drawingml/2006/main">
              <a:noFill/>
              <a:prstDash val="solid"/>
            </a:ln>
          </spPr>
          <marker>
            <symbol val="none"/>
            <spPr>
              <a:ln xmlns:a="http://schemas.openxmlformats.org/drawingml/2006/main">
                <a:prstDash val="solid"/>
              </a:ln>
            </spPr>
          </marker>
          <xVal>
            <numRef>
              <f>'Geometry'!$DB$3:$DB$4</f>
            </numRef>
          </xVal>
          <yVal>
            <numRef>
              <f>'Geometry'!$DC$3:$DC$4</f>
            </numRef>
          </yVal>
          <smooth val="0"/>
        </ser>
        <axId val="10"/>
        <axId val="20"/>
      </scatterChart>
      <valAx>
        <axId val="10"/>
        <scaling>
          <orientation val="minMax"/>
        </scaling>
        <delete val="1"/>
        <axPos val="l"/>
        <majorTickMark val="none"/>
        <minorTickMark val="none"/>
        <crossAx val="20"/>
      </valAx>
      <valAx>
        <axId val="20"/>
        <scaling>
          <orientation val="minMax"/>
        </scaling>
        <delete val="1"/>
        <axPos val="l"/>
        <majorTickMark val="none"/>
        <minorTickMark val="none"/>
        <crossAx val="10"/>
      </valAx>
    </plotArea>
    <plotVisOnly val="1"/>
    <dispBlanksAs val="gap"/>
  </chart>
  <spPr>
    <a:ln xmlns:a="http://schemas.openxmlformats.org/drawingml/2006/main">
      <a:noFill/>
      <a:prstDash val="solid"/>
    </a:ln>
  </spPr>
</chartSpace>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image" Target="/xl/media/image2.png" Id="rId3"/></Relationships>
</file>

<file path=xl/drawings/drawing1.xml><?xml version="1.0" encoding="utf-8"?>
<wsDr xmlns="http://schemas.openxmlformats.org/drawingml/2006/spreadsheetDrawing">
  <oneCellAnchor>
    <from>
      <col>1</col>
      <colOff>0</colOff>
      <row>1</row>
      <rowOff>0</rowOff>
    </from>
    <ext cx="2847975" cy="6096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2</col>
      <colOff>0</colOff>
      <row>22</row>
      <rowOff>0</rowOff>
    </from>
    <ext cx="3348000" cy="216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2</col>
      <colOff>0</colOff>
      <row>36</row>
      <rowOff>0</rowOff>
    </from>
    <ext cx="5022000" cy="324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1</col>
      <colOff>0</colOff>
      <row>1</row>
      <rowOff>0</rowOff>
    </from>
    <ext cx="1514475" cy="32385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naengineering.uk" TargetMode="External" Id="rId1"/><Relationship Type="http://schemas.openxmlformats.org/officeDocument/2006/relationships/hyperlink" Target="mailto:adrian@naengineering.uk" TargetMode="External" Id="rId2"/><Relationship Type="http://schemas.openxmlformats.org/officeDocument/2006/relationships/hyperlink" Target="https://www.linkedin.com/company/naengineering" TargetMode="External" Id="rId3"/><Relationship Type="http://schemas.openxmlformats.org/officeDocument/2006/relationships/drawing" Target="/xl/drawings/drawing1.xml" Id="rId4"/></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outlinePr summaryBelow="1" summaryRight="1"/>
    <pageSetUpPr fitToPage="1"/>
  </sheetPr>
  <dimension ref="A1:D38"/>
  <sheetViews>
    <sheetView showGridLines="0" tabSelected="0" workbookViewId="0">
      <selection activeCell="A1" sqref="A1"/>
    </sheetView>
  </sheetViews>
  <sheetFormatPr baseColWidth="8" defaultRowHeight="15"/>
  <cols>
    <col width="4" customWidth="1" min="1" max="1"/>
    <col width="24" customWidth="1" min="2" max="2"/>
    <col width="78" customWidth="1" min="3" max="3"/>
    <col width="4" customWidth="1" min="4" max="4"/>
  </cols>
  <sheetData>
    <row r="1" ht="14" customHeight="1">
      <c r="A1" s="1" t="n"/>
      <c r="B1" s="1" t="n"/>
      <c r="C1" s="1" t="n"/>
      <c r="D1" s="1" t="n"/>
    </row>
    <row r="2" ht="50" customHeight="1">
      <c r="A2" s="1" t="n"/>
      <c r="B2" s="1" t="n"/>
      <c r="C2" s="1" t="n"/>
      <c r="D2" s="1" t="n"/>
    </row>
    <row r="3" ht="14" customHeight="1">
      <c r="A3" s="1" t="n"/>
      <c r="B3" s="1" t="n"/>
      <c r="C3" s="1" t="n"/>
      <c r="D3" s="1" t="n"/>
    </row>
    <row r="4" ht="18" customHeight="1">
      <c r="A4" s="1" t="n"/>
      <c r="B4" s="1" t="n"/>
      <c r="C4" s="2" t="inlineStr">
        <is>
          <t>Structural design  ·  RC modelling &amp; detailing  ·  Steel detailing</t>
        </is>
      </c>
      <c r="D4" s="1" t="n"/>
    </row>
    <row r="5" ht="10" customHeight="1">
      <c r="A5" s="1" t="n"/>
      <c r="B5" s="1" t="n"/>
      <c r="C5" s="1" t="n"/>
      <c r="D5" s="1" t="n"/>
    </row>
    <row r="7" ht="36" customHeight="1">
      <c r="B7" s="3" t="inlineStr">
        <is>
          <t>Anchorage &amp; lap lengths</t>
        </is>
      </c>
    </row>
    <row r="8" ht="20" customHeight="1">
      <c r="B8" s="4" t="inlineStr">
        <is>
          <t>Reinforced concrete  ·  EN 1992-1-1 §8.4 and §8.7  ·  UK NA / PN-EN</t>
        </is>
      </c>
    </row>
    <row r="10">
      <c r="B10" s="5" t="inlineStr">
        <is>
          <t>Reference</t>
        </is>
      </c>
      <c r="C10" s="6" t="inlineStr">
        <is>
          <t>NAE-RC-001  ·  version 1.0</t>
        </is>
      </c>
    </row>
    <row r="11" ht="31" customHeight="1">
      <c r="B11" s="5" t="inlineStr">
        <is>
          <t>Standards</t>
        </is>
      </c>
      <c r="C11" s="7" t="inlineStr">
        <is>
          <t>BS EN 1992-1-1:2004 with UK NA  ·  PN-EN 1992-1-1:2008 with Polish NA (NDP sources listed on the NDP sheet)</t>
        </is>
      </c>
    </row>
    <row r="12">
      <c r="B12" s="5" t="inlineStr">
        <is>
          <t>National Annex</t>
        </is>
      </c>
      <c r="C12" s="6" t="inlineStr">
        <is>
          <t>Selectable: UK NA to BS EN 1992-1-1 or Polish NA to PN-EN 1992-1-1</t>
        </is>
      </c>
    </row>
    <row r="13">
      <c r="B13" s="5" t="inlineStr">
        <is>
          <t>Issued</t>
        </is>
      </c>
      <c r="C13" s="6" t="inlineStr">
        <is>
          <t>30 October 2026</t>
        </is>
      </c>
    </row>
    <row r="15" ht="20" customHeight="1">
      <c r="B15" s="8" t="inlineStr">
        <is>
          <t>What it does</t>
        </is>
      </c>
      <c r="C15" s="9" t="n"/>
    </row>
    <row r="16" ht="33" customHeight="1">
      <c r="B16" s="7" t="inlineStr">
        <is>
          <t>Design anchorage length lbd and lap length l0 of straight ribbed bars in tension and in compression, for one bar size in detail and as a ready-to-use table for all bar sizes from 8 to 40 mm.</t>
        </is>
      </c>
    </row>
    <row r="18" ht="20" customHeight="1">
      <c r="B18" s="8" t="inlineStr">
        <is>
          <t>How to use</t>
        </is>
      </c>
      <c r="C18" s="9" t="n"/>
    </row>
    <row r="19" ht="47.5" customHeight="1">
      <c r="B19" s="7" t="inlineStr">
        <is>
          <t>1.  Open the Calculation sheet and select the National Annex.
2.  Fill in the shaded input cells. Everything else is calculated.
3.  Read the Results block; every step below it quotes its clause. Print or save as PDF for your calculation package.</t>
        </is>
      </c>
    </row>
    <row r="21" ht="20" customHeight="1">
      <c r="B21" s="8" t="inlineStr">
        <is>
          <t>Scope and limitations</t>
        </is>
      </c>
      <c r="C21" s="9" t="n"/>
    </row>
    <row r="22" ht="105.5" customHeight="1">
      <c r="B22" s="7" t="inlineStr">
        <is>
          <t>Straight ribbed bars (B500) only; no bends, hooks or welded transverse bars (α1 = α3 = α4 = α5 = 1.0, which is conservative). Bond conditions per EN 1992-1-1 Fig. 8.2 are chosen by the user. cd is taken as min(a/2; c) for straight bars. Bundled bars, mechanical couplers and lightweight concrete are outside the scope. Concrete classes up to C50/60.
The sheet gives lengths only. Transverse reinforcement at laps (8.7.4) and the rules for large bars (8.8) must be checked separately; the sheet flags when they apply.
The second-generation EN 1992-1-1:2023 is not yet implemented; the UK and Polish annexes to the 2004 edition remain in use during the co-existence period.</t>
        </is>
      </c>
    </row>
    <row r="24" ht="20" customHeight="1">
      <c r="B24" s="8" t="inlineStr">
        <is>
          <t>Further reading and independent cross-check</t>
        </is>
      </c>
      <c r="C24" s="9" t="n"/>
    </row>
    <row r="25" ht="91" customHeight="1">
      <c r="B25" s="10" t="inlineStr">
        <is>
          <t>•  The Concrete Centre, How to design concrete structures using Eurocode 2: Detailing.
•  The Concrete Centre, RC Spreadsheets v4, TCC101 Detailing data (licensed product) can be used as an independent cross-check.
•  IStructE, Manual for the design of concrete building structures to Eurocode 2.
NA Engineering is not affiliated with The Concrete Centre or CIRIA; their publications are referenced for information only.</t>
        </is>
      </c>
    </row>
    <row r="27" ht="20" customHeight="1">
      <c r="B27" s="8" t="inlineStr">
        <is>
          <t>About NA Engineering</t>
        </is>
      </c>
      <c r="C27" s="9" t="n"/>
    </row>
    <row r="28" ht="62" customHeight="1">
      <c r="B28" s="7" t="inlineStr">
        <is>
          <t>NA Engineering is a structural engineering consultancy delivering structural design, reinforced concrete modelling and detailing, and steel detailing for residential, commercial, infrastructure, energy and refurbishment projects. We share tools like this one because good engineering should be transparent: every formula here is visible and referenced. If you need a design, a check or a full detailing package, talk to us.</t>
        </is>
      </c>
    </row>
    <row r="29">
      <c r="B29" s="11" t="inlineStr">
        <is>
          <t>Website</t>
        </is>
      </c>
      <c r="C29" s="12" t="inlineStr">
        <is>
          <t>naengineering.uk</t>
        </is>
      </c>
    </row>
    <row r="30">
      <c r="B30" s="11" t="inlineStr">
        <is>
          <t>Email</t>
        </is>
      </c>
      <c r="C30" s="12" t="inlineStr">
        <is>
          <t>adrian@naengineering.uk</t>
        </is>
      </c>
    </row>
    <row r="31">
      <c r="B31" s="11" t="inlineStr">
        <is>
          <t>Phone</t>
        </is>
      </c>
      <c r="C31" s="6" t="inlineStr">
        <is>
          <t>+48 505 844 422</t>
        </is>
      </c>
    </row>
    <row r="32">
      <c r="B32" s="11" t="inlineStr">
        <is>
          <t>LinkedIn</t>
        </is>
      </c>
      <c r="C32" s="12" t="inlineStr">
        <is>
          <t>linkedin.com/company/naengineering</t>
        </is>
      </c>
    </row>
    <row r="34" ht="20" customHeight="1">
      <c r="B34" s="8" t="inlineStr">
        <is>
          <t>Disclaimer</t>
        </is>
      </c>
      <c r="C34" s="9" t="n"/>
    </row>
    <row r="35" ht="76.5" customHeight="1">
      <c r="B35" s="13" t="inlineStr">
        <is>
          <t>This spreadsheet is provided free of charge, as is, for use by competent engineers. It does not replace engineering judgement. The user is responsible for the input, for checking that the method suits the element being designed and for verifying the results. NA Engineering accepts no liability for any loss arising from its use. Sheets are password-protected and the workbook structure is locked so that the formulas and the NA Engineering details cannot be changed; only the shaded input cells can be edited.</t>
        </is>
      </c>
    </row>
    <row r="37" ht="20" customHeight="1">
      <c r="B37" s="8" t="inlineStr">
        <is>
          <t>Revision history</t>
        </is>
      </c>
      <c r="C37" s="9" t="n"/>
    </row>
    <row r="38">
      <c r="B38" s="5" t="inlineStr">
        <is>
          <t>v1.0</t>
        </is>
      </c>
      <c r="C38" s="6" t="inlineStr">
        <is>
          <t>30 Oct 2026  ·  First issue</t>
        </is>
      </c>
    </row>
  </sheetData>
  <sheetProtection selectLockedCells="0" selectUnlockedCells="0" sheet="1" objects="1" insertRows="1" insertHyperlinks="1" autoFilter="1" scenarios="0" formatColumns="1" deleteColumns="1" insertColumns="1" pivotTables="1" deleteRows="1" formatCells="1" formatRows="1" sort="1" password="AA0A"/>
  <mergeCells count="6">
    <mergeCell ref="B16:C16"/>
    <mergeCell ref="B25:C25"/>
    <mergeCell ref="B19:C19"/>
    <mergeCell ref="B28:C28"/>
    <mergeCell ref="B22:C22"/>
    <mergeCell ref="B35:C35"/>
  </mergeCells>
  <hyperlinks>
    <hyperlink xmlns:r="http://schemas.openxmlformats.org/officeDocument/2006/relationships" ref="C29" r:id="rId1"/>
    <hyperlink xmlns:r="http://schemas.openxmlformats.org/officeDocument/2006/relationships" ref="C30" r:id="rId2"/>
    <hyperlink xmlns:r="http://schemas.openxmlformats.org/officeDocument/2006/relationships" ref="C32" r:id="rId3"/>
  </hyperlinks>
  <printOptions horizontalCentered="1"/>
  <pageMargins left="0.4" right="0.4" top="0.4" bottom="0.6" header="0.5" footer="0.5"/>
  <pageSetup orientation="portrait" paperSize="9" fitToHeight="1" fitToWidth="1"/>
  <headerFooter>
    <oddHeader/>
    <oddFooter>&amp;L&amp;7 &amp;K8A8A8ANA Engineering sp. z o.o.  ·  naengineering.uk  ·  adrian@naengineering.uk  ·  +48 505 844 422&amp;C&amp;7 &amp;K8A8A8A&amp;P / &amp;N&amp;R&amp;7 &amp;K8A8A8ANAE-RC-001  v1.0</oddFooter>
    <evenHeader/>
    <evenFooter/>
    <firstHeader/>
    <firstFooter/>
  </headerFooter>
  <drawing xmlns:r="http://schemas.openxmlformats.org/officeDocument/2006/relationships" r:id="rId4"/>
</worksheet>
</file>

<file path=xl/worksheets/sheet2.xml><?xml version="1.0" encoding="utf-8"?>
<worksheet xmlns="http://schemas.openxmlformats.org/spreadsheetml/2006/main">
  <sheetPr>
    <outlinePr summaryBelow="1" summaryRight="1"/>
    <pageSetUpPr fitToPage="1"/>
  </sheetPr>
  <dimension ref="A1:H107"/>
  <sheetViews>
    <sheetView showGridLines="0" tabSelected="1" workbookViewId="0">
      <selection activeCell="A1" sqref="A1"/>
    </sheetView>
  </sheetViews>
  <sheetFormatPr baseColWidth="8" defaultRowHeight="15"/>
  <cols>
    <col width="2.5" customWidth="1" min="1" max="1"/>
    <col width="11" customWidth="1" min="2" max="2"/>
    <col width="46" customWidth="1" min="3" max="3"/>
    <col width="10" customWidth="1" min="4" max="4"/>
    <col width="13" customWidth="1" min="5" max="5"/>
    <col width="8" customWidth="1" min="6" max="6"/>
    <col width="22" customWidth="1" min="7" max="7"/>
    <col width="2.5" customWidth="1" min="8" max="8"/>
  </cols>
  <sheetData>
    <row r="1" ht="8" customHeight="1">
      <c r="A1" s="1" t="n"/>
      <c r="B1" s="1" t="n"/>
      <c r="C1" s="1" t="n"/>
      <c r="D1" s="1" t="n"/>
      <c r="E1" s="1" t="n"/>
      <c r="F1" s="1" t="n"/>
      <c r="G1" s="1" t="n"/>
      <c r="H1" s="1" t="n"/>
    </row>
    <row r="2" ht="30" customHeight="1">
      <c r="A2" s="1" t="n"/>
      <c r="B2" s="1" t="n"/>
      <c r="C2" s="1" t="n"/>
      <c r="D2" s="14" t="inlineStr">
        <is>
          <t>Anchorage &amp; lap lengths</t>
        </is>
      </c>
      <c r="H2" s="1" t="n"/>
    </row>
    <row r="3" ht="16" customHeight="1">
      <c r="A3" s="1" t="n"/>
      <c r="B3" s="1" t="n"/>
      <c r="C3" s="15" t="inlineStr">
        <is>
          <t>NAE-RC-001 v1.0  ·  naengineering.uk  ·  adrian@naengineering.uk  ·  +48 505 844 422</t>
        </is>
      </c>
      <c r="H3" s="1" t="n"/>
    </row>
    <row r="5">
      <c r="B5" s="16" t="inlineStr">
        <is>
          <t>Project</t>
        </is>
      </c>
      <c r="C5" s="17" t="n"/>
      <c r="D5" s="18" t="inlineStr">
        <is>
          <t>Job no.</t>
        </is>
      </c>
      <c r="E5" s="17" t="n"/>
    </row>
    <row r="6">
      <c r="B6" s="16" t="inlineStr">
        <is>
          <t>Element</t>
        </is>
      </c>
      <c r="C6" s="17" t="n"/>
      <c r="D6" s="18" t="inlineStr">
        <is>
          <t>Made by</t>
        </is>
      </c>
      <c r="E6" s="17" t="n"/>
    </row>
    <row r="7">
      <c r="B7" s="16" t="inlineStr">
        <is>
          <t>Date</t>
        </is>
      </c>
      <c r="C7" s="19" t="n"/>
      <c r="D7" s="18" t="inlineStr">
        <is>
          <t>Checked</t>
        </is>
      </c>
      <c r="E7" s="17" t="n"/>
    </row>
    <row r="10" ht="22" customHeight="1">
      <c r="B10" s="20" t="inlineStr">
        <is>
          <t>Inputs</t>
        </is>
      </c>
      <c r="C10" s="21" t="n"/>
      <c r="D10" s="21" t="n"/>
      <c r="E10" s="21" t="n"/>
      <c r="F10" s="21" t="n"/>
      <c r="G10" s="22" t="inlineStr">
        <is>
          <t>Shaded cells only</t>
        </is>
      </c>
    </row>
    <row r="11" ht="17" customHeight="1">
      <c r="B11" s="23" t="n"/>
      <c r="C11" s="24" t="inlineStr">
        <is>
          <t>National Annex</t>
        </is>
      </c>
      <c r="D11" s="23" t="n"/>
      <c r="E11" s="25" t="inlineStr">
        <is>
          <t>UK NA (BS EN)</t>
        </is>
      </c>
      <c r="F11" s="23" t="n"/>
      <c r="G11" s="23" t="n"/>
    </row>
    <row r="12" ht="17" customHeight="1">
      <c r="B12" s="26" t="inlineStr">
        <is>
          <t>Table 3.1</t>
        </is>
      </c>
      <c r="C12" s="24" t="inlineStr">
        <is>
          <t>Concrete strength class</t>
        </is>
      </c>
      <c r="D12" s="23" t="n"/>
      <c r="E12" s="25" t="inlineStr">
        <is>
          <t>C32/40</t>
        </is>
      </c>
      <c r="F12" s="23" t="n"/>
      <c r="G12" s="23" t="n"/>
    </row>
    <row r="13" ht="17" customHeight="1">
      <c r="B13" s="26" t="inlineStr">
        <is>
          <t>3.2.2</t>
        </is>
      </c>
      <c r="C13" s="24" t="inlineStr">
        <is>
          <t>Reinforcement characteristic yield strength</t>
        </is>
      </c>
      <c r="D13" s="27" t="inlineStr">
        <is>
          <r>
            <rPr>
              <rFont val="Calibri"/>
              <i val="1"/>
              <color rgb="002B2B2B"/>
              <sz val="10"/>
            </rPr>
            <t>f</t>
          </r>
          <r>
            <rPr>
              <rFont val="Calibri"/>
              <i val="1"/>
              <color rgb="002B2B2B"/>
              <sz val="10"/>
              <vertAlign val="subscript"/>
            </rPr>
            <t>yk</t>
          </r>
        </is>
      </c>
      <c r="E13" s="25" t="n">
        <v>500</v>
      </c>
      <c r="F13" s="28" t="inlineStr">
        <is>
          <t>MPa</t>
        </is>
      </c>
      <c r="G13" s="23" t="n"/>
    </row>
    <row r="14" ht="17" customHeight="1">
      <c r="B14" s="23" t="n"/>
      <c r="C14" s="24" t="inlineStr">
        <is>
          <t>Bar diameter (detailed result)</t>
        </is>
      </c>
      <c r="D14" s="27" t="inlineStr">
        <is>
          <r>
            <rPr>
              <rFont val="Calibri"/>
              <i val="1"/>
              <color rgb="002B2B2B"/>
              <sz val="10"/>
            </rPr>
            <t>φ</t>
          </r>
        </is>
      </c>
      <c r="E14" s="25" t="n">
        <v>16</v>
      </c>
      <c r="F14" s="28" t="inlineStr">
        <is>
          <t>mm</t>
        </is>
      </c>
      <c r="G14" s="23" t="n"/>
    </row>
    <row r="15" ht="17" customHeight="1">
      <c r="B15" s="26" t="inlineStr">
        <is>
          <t>Fig. 8.2</t>
        </is>
      </c>
      <c r="C15" s="24" t="inlineStr">
        <is>
          <t>Bond condition</t>
        </is>
      </c>
      <c r="D15" s="23" t="n"/>
      <c r="E15" s="25" t="inlineStr">
        <is>
          <t>Good</t>
        </is>
      </c>
      <c r="F15" s="23" t="n"/>
      <c r="G15" s="26" t="inlineStr">
        <is>
          <t>Poor: top bars in deep pours</t>
        </is>
      </c>
    </row>
    <row r="16" ht="17" customHeight="1">
      <c r="B16" s="23" t="n"/>
      <c r="C16" s="24" t="inlineStr">
        <is>
          <t>Bar stress ratio  σsd / fyd</t>
        </is>
      </c>
      <c r="D16" s="23" t="n"/>
      <c r="E16" s="29" t="n">
        <v>1</v>
      </c>
      <c r="F16" s="23" t="n"/>
      <c r="G16" s="26" t="inlineStr">
        <is>
          <t>1.00 = fully stressed bar</t>
        </is>
      </c>
    </row>
    <row r="17" ht="17" customHeight="1">
      <c r="B17" s="26" t="inlineStr">
        <is>
          <t>4.4.1</t>
        </is>
      </c>
      <c r="C17" s="24" t="inlineStr">
        <is>
          <t>Nominal cover to the lapped bars</t>
        </is>
      </c>
      <c r="D17" s="27" t="inlineStr">
        <is>
          <r>
            <rPr>
              <rFont val="Calibri"/>
              <i val="1"/>
              <color rgb="002B2B2B"/>
              <sz val="10"/>
            </rPr>
            <t>c</t>
          </r>
        </is>
      </c>
      <c r="E17" s="25" t="n">
        <v>35</v>
      </c>
      <c r="F17" s="28" t="inlineStr">
        <is>
          <t>mm</t>
        </is>
      </c>
      <c r="G17" s="23" t="n"/>
    </row>
    <row r="18" ht="17" customHeight="1">
      <c r="B18" s="23" t="n"/>
      <c r="C18" s="24" t="inlineStr">
        <is>
          <t>Bar centres</t>
        </is>
      </c>
      <c r="D18" s="27" t="inlineStr">
        <is>
          <r>
            <rPr>
              <rFont val="Calibri"/>
              <i val="1"/>
              <color rgb="002B2B2B"/>
              <sz val="10"/>
            </rPr>
            <t>s</t>
          </r>
        </is>
      </c>
      <c r="E18" s="25" t="n">
        <v>150</v>
      </c>
      <c r="F18" s="28" t="inlineStr">
        <is>
          <t>mm</t>
        </is>
      </c>
      <c r="G18" s="23" t="n"/>
    </row>
    <row r="19" ht="17" customHeight="1">
      <c r="B19" s="26" t="inlineStr">
        <is>
          <t>Table 8.3</t>
        </is>
      </c>
      <c r="C19" s="24" t="inlineStr">
        <is>
          <t>Proportion of bars lapped in one section</t>
        </is>
      </c>
      <c r="D19" s="27" t="inlineStr">
        <is>
          <r>
            <rPr>
              <rFont val="Calibri"/>
              <i val="1"/>
              <color rgb="002B2B2B"/>
              <sz val="10"/>
            </rPr>
            <t>ρ</t>
          </r>
          <r>
            <rPr>
              <rFont val="Calibri"/>
              <i val="1"/>
              <color rgb="002B2B2B"/>
              <sz val="10"/>
              <vertAlign val="subscript"/>
            </rPr>
            <t>1</t>
          </r>
        </is>
      </c>
      <c r="E19" s="25" t="n">
        <v>100</v>
      </c>
      <c r="F19" s="28" t="inlineStr">
        <is>
          <t>%</t>
        </is>
      </c>
      <c r="G19" s="23" t="n"/>
    </row>
    <row r="20" ht="17" customHeight="1">
      <c r="B20" s="23" t="n"/>
      <c r="C20" s="24" t="inlineStr">
        <is>
          <t>Inputs valid and consistent</t>
        </is>
      </c>
      <c r="D20" s="23" t="n"/>
      <c r="E20" s="9" t="n"/>
      <c r="F20" s="23" t="n"/>
      <c r="G20" s="30">
        <f>IF(inputs_ok,"OK","FAIL")</f>
        <v/>
      </c>
    </row>
    <row r="22">
      <c r="B22" s="31" t="inlineStr">
        <is>
          <t>Your bars, to scale  ·  section at the lap</t>
        </is>
      </c>
    </row>
    <row r="36">
      <c r="B36" s="31" t="inlineStr">
        <is>
          <t>Lengths for this bar, to the same scale  ·  laps (dark), anchorage (blue), compression dashed</t>
        </is>
      </c>
    </row>
    <row r="56" ht="22" customHeight="1">
      <c r="B56" s="20" t="inlineStr">
        <is>
          <t>Results</t>
        </is>
      </c>
      <c r="C56" s="21" t="n"/>
      <c r="D56" s="21" t="n"/>
      <c r="E56" s="21" t="n"/>
      <c r="F56" s="21" t="n"/>
      <c r="G56" s="22" t="inlineStr">
        <is>
          <t>Rounded up to 5 mm</t>
        </is>
      </c>
    </row>
    <row r="57" ht="26" customHeight="1">
      <c r="B57" s="32" t="n"/>
      <c r="C57" s="33" t="inlineStr">
        <is>
          <t>Anchorage length, tension</t>
        </is>
      </c>
      <c r="D57" s="34" t="inlineStr">
        <is>
          <r>
            <rPr>
              <rFont val="Calibri"/>
              <i val="1"/>
              <color rgb="002B2B2B"/>
              <sz val="11"/>
            </rPr>
            <t>l</t>
          </r>
          <r>
            <rPr>
              <rFont val="Calibri"/>
              <i val="1"/>
              <color rgb="002B2B2B"/>
              <sz val="11"/>
              <vertAlign val="subscript"/>
            </rPr>
            <t>bd</t>
          </r>
        </is>
      </c>
      <c r="E57" s="35">
        <f>IF(inputs_ok,CEILING(l_bd_t,5),"–")</f>
        <v/>
      </c>
      <c r="F57" s="36" t="inlineStr">
        <is>
          <t>mm</t>
        </is>
      </c>
      <c r="G57" s="37">
        <f>IF(NOT(inputs_ok),"FAIL",IF(inputs_ok,TEXT(CEILING(l_bd_t,5)/phi,"0")&amp;" φ","FAIL"))</f>
        <v/>
      </c>
    </row>
    <row r="58" ht="26" customHeight="1">
      <c r="B58" s="32" t="n"/>
      <c r="C58" s="33" t="inlineStr">
        <is>
          <t>Lap length, tension</t>
        </is>
      </c>
      <c r="D58" s="34" t="inlineStr">
        <is>
          <r>
            <rPr>
              <rFont val="Calibri"/>
              <i val="1"/>
              <color rgb="002B2B2B"/>
              <sz val="11"/>
            </rPr>
            <t>l</t>
          </r>
          <r>
            <rPr>
              <rFont val="Calibri"/>
              <i val="1"/>
              <color rgb="002B2B2B"/>
              <sz val="11"/>
              <vertAlign val="subscript"/>
            </rPr>
            <t>0</t>
          </r>
        </is>
      </c>
      <c r="E58" s="35">
        <f>IF(inputs_ok,CEILING(l_0_t,5),"–")</f>
        <v/>
      </c>
      <c r="F58" s="36" t="inlineStr">
        <is>
          <t>mm</t>
        </is>
      </c>
      <c r="G58" s="37">
        <f>IF(NOT(inputs_ok),"FAIL",IF(inputs_ok,TEXT(CEILING(l_0_t,5)/phi,"0")&amp;" φ","FAIL"))</f>
        <v/>
      </c>
    </row>
    <row r="59" ht="26" customHeight="1">
      <c r="B59" s="32" t="n"/>
      <c r="C59" s="33" t="inlineStr">
        <is>
          <t>Anchorage length, compression</t>
        </is>
      </c>
      <c r="D59" s="34" t="inlineStr">
        <is>
          <r>
            <rPr>
              <rFont val="Calibri"/>
              <i val="1"/>
              <color rgb="002B2B2B"/>
              <sz val="11"/>
            </rPr>
            <t>l</t>
          </r>
          <r>
            <rPr>
              <rFont val="Calibri"/>
              <i val="1"/>
              <color rgb="002B2B2B"/>
              <sz val="11"/>
              <vertAlign val="subscript"/>
            </rPr>
            <t>bd</t>
          </r>
        </is>
      </c>
      <c r="E59" s="35">
        <f>IF(inputs_ok,CEILING(l_bd_c,5),"–")</f>
        <v/>
      </c>
      <c r="F59" s="36" t="inlineStr">
        <is>
          <t>mm</t>
        </is>
      </c>
      <c r="G59" s="37">
        <f>IF(NOT(inputs_ok),"FAIL",IF(inputs_ok,TEXT(CEILING(l_bd_c,5)/phi,"0")&amp;" φ","FAIL"))</f>
        <v/>
      </c>
    </row>
    <row r="60" ht="26" customHeight="1">
      <c r="B60" s="32" t="n"/>
      <c r="C60" s="33" t="inlineStr">
        <is>
          <t>Lap length, compression</t>
        </is>
      </c>
      <c r="D60" s="34" t="inlineStr">
        <is>
          <r>
            <rPr>
              <rFont val="Calibri"/>
              <i val="1"/>
              <color rgb="002B2B2B"/>
              <sz val="11"/>
            </rPr>
            <t>l</t>
          </r>
          <r>
            <rPr>
              <rFont val="Calibri"/>
              <i val="1"/>
              <color rgb="002B2B2B"/>
              <sz val="11"/>
              <vertAlign val="subscript"/>
            </rPr>
            <t>0</t>
          </r>
        </is>
      </c>
      <c r="E60" s="35">
        <f>IF(inputs_ok,CEILING(l_0_c,5),"–")</f>
        <v/>
      </c>
      <c r="F60" s="36" t="inlineStr">
        <is>
          <t>mm</t>
        </is>
      </c>
      <c r="G60" s="37">
        <f>IF(NOT(inputs_ok),"FAIL",IF(inputs_ok,TEXT(CEILING(l_0_c,5)/phi,"0")&amp;" φ","FAIL"))</f>
        <v/>
      </c>
    </row>
    <row r="62" ht="22" customHeight="1">
      <c r="B62" s="20" t="inlineStr">
        <is>
          <t>Detailing checks</t>
        </is>
      </c>
      <c r="C62" s="21" t="n"/>
      <c r="D62" s="21" t="n"/>
      <c r="E62" s="21" t="n"/>
      <c r="F62" s="21" t="n"/>
      <c r="G62" s="22" t="inlineStr">
        <is>
          <t>Not covered by the lengths above</t>
        </is>
      </c>
    </row>
    <row r="63" ht="17" customHeight="1">
      <c r="B63" s="26" t="inlineStr">
        <is>
          <t>8.7.4.1(3)</t>
        </is>
      </c>
      <c r="C63" s="24" t="inlineStr">
        <is>
          <t>Transverse reinforcement at tension laps (φ ≥ 20 and &gt; 25 % lapped)</t>
        </is>
      </c>
      <c r="D63" s="23" t="n"/>
      <c r="E63" s="9" t="n"/>
      <c r="F63" s="23" t="n"/>
      <c r="G63" s="30">
        <f>IF(NOT(inputs_ok),"FAIL",IF(AND(phi&gt;=20,p_lap&gt;25),"! Check 8.7.4.1","OK"))</f>
        <v/>
      </c>
    </row>
    <row r="64" ht="17" customHeight="1">
      <c r="B64" s="26" t="inlineStr">
        <is>
          <t>8.7.4.2</t>
        </is>
      </c>
      <c r="C64" s="24" t="inlineStr">
        <is>
          <t>Compression laps: one transverse bar outside each lap end</t>
        </is>
      </c>
      <c r="D64" s="23" t="n"/>
      <c r="E64" s="9" t="n"/>
      <c r="F64" s="23" t="n"/>
      <c r="G64" s="30">
        <f>IF(NOT(inputs_ok),"FAIL","! Detail")</f>
        <v/>
      </c>
    </row>
    <row r="65" ht="17" customHeight="1">
      <c r="B65" s="26" t="inlineStr">
        <is>
          <t>8.8</t>
        </is>
      </c>
      <c r="C65" s="24" t="inlineStr">
        <is>
          <t>Large bars (φ &gt; φlarge from the National Annex)</t>
        </is>
      </c>
      <c r="D65" s="23" t="n"/>
      <c r="E65" s="9" t="n"/>
      <c r="F65" s="23" t="n"/>
      <c r="G65" s="30">
        <f>IF(NOT(inputs_ok),"FAIL",IF(phi&gt;phi_large,"! See 8.8","OK"))</f>
        <v/>
      </c>
    </row>
    <row r="67" ht="22" customHeight="1">
      <c r="B67" s="20" t="inlineStr">
        <is>
          <t>Calculation</t>
        </is>
      </c>
      <c r="C67" s="21" t="n"/>
      <c r="D67" s="21" t="n"/>
      <c r="E67" s="21" t="n"/>
      <c r="F67" s="21" t="n"/>
      <c r="G67" s="21" t="n"/>
    </row>
    <row r="68" ht="17" customHeight="1">
      <c r="B68" s="23" t="n"/>
      <c r="C68" s="24" t="inlineStr">
        <is>
          <t>Clear gap between bars  s − φ</t>
        </is>
      </c>
      <c r="D68" s="23" t="n"/>
      <c r="E68" s="38">
        <f>s_bar-phi</f>
        <v/>
      </c>
      <c r="F68" s="28" t="inlineStr">
        <is>
          <t>mm</t>
        </is>
      </c>
      <c r="G68" s="30">
        <f>IF(NOT(inputs_ok),"FAIL",IF(s_bar&gt;phi,"OK","FAIL"))</f>
        <v/>
      </c>
    </row>
    <row r="69" ht="17" customHeight="1">
      <c r="B69" s="26" t="inlineStr">
        <is>
          <t>2.4.2.4(1)</t>
        </is>
      </c>
      <c r="C69" s="24" t="inlineStr">
        <is>
          <t>Partial factor, concrete</t>
        </is>
      </c>
      <c r="D69" s="27" t="inlineStr">
        <is>
          <r>
            <rPr>
              <rFont val="Calibri"/>
              <i val="1"/>
              <color rgb="002B2B2B"/>
              <sz val="10"/>
            </rPr>
            <t>γ</t>
          </r>
          <r>
            <rPr>
              <rFont val="Calibri"/>
              <i val="1"/>
              <color rgb="002B2B2B"/>
              <sz val="10"/>
              <vertAlign val="subscript"/>
            </rPr>
            <t>c</t>
          </r>
        </is>
      </c>
      <c r="E69" s="39">
        <f>ndp_gamma_c</f>
        <v/>
      </c>
      <c r="F69" s="23" t="n"/>
      <c r="G69" s="26" t="inlineStr">
        <is>
          <t>NDP sheet</t>
        </is>
      </c>
    </row>
    <row r="70" ht="17" customHeight="1">
      <c r="B70" s="26" t="inlineStr">
        <is>
          <t>2.4.2.4(1)</t>
        </is>
      </c>
      <c r="C70" s="24" t="inlineStr">
        <is>
          <t>Partial factor, reinforcement</t>
        </is>
      </c>
      <c r="D70" s="27" t="inlineStr">
        <is>
          <r>
            <rPr>
              <rFont val="Calibri"/>
              <i val="1"/>
              <color rgb="002B2B2B"/>
              <sz val="10"/>
            </rPr>
            <t>γ</t>
          </r>
          <r>
            <rPr>
              <rFont val="Calibri"/>
              <i val="1"/>
              <color rgb="002B2B2B"/>
              <sz val="10"/>
              <vertAlign val="subscript"/>
            </rPr>
            <t>s</t>
          </r>
        </is>
      </c>
      <c r="E70" s="39">
        <f>ndp_gamma_s</f>
        <v/>
      </c>
      <c r="F70" s="23" t="n"/>
      <c r="G70" s="26" t="inlineStr">
        <is>
          <t>NDP sheet</t>
        </is>
      </c>
    </row>
    <row r="71" ht="17" customHeight="1">
      <c r="B71" s="26" t="inlineStr">
        <is>
          <t>3.1.6(2)</t>
        </is>
      </c>
      <c r="C71" s="24" t="inlineStr">
        <is>
          <t>Coefficient on tensile strength</t>
        </is>
      </c>
      <c r="D71" s="27" t="inlineStr">
        <is>
          <r>
            <rPr>
              <rFont val="Calibri"/>
              <i val="1"/>
              <color rgb="002B2B2B"/>
              <sz val="10"/>
            </rPr>
            <t>α</t>
          </r>
          <r>
            <rPr>
              <rFont val="Calibri"/>
              <i val="1"/>
              <color rgb="002B2B2B"/>
              <sz val="10"/>
              <vertAlign val="subscript"/>
            </rPr>
            <t>ct</t>
          </r>
        </is>
      </c>
      <c r="E71" s="39">
        <f>ndp_alpha_ct</f>
        <v/>
      </c>
      <c r="F71" s="23" t="n"/>
      <c r="G71" s="26" t="inlineStr">
        <is>
          <t>NDP sheet</t>
        </is>
      </c>
    </row>
    <row r="72" ht="17" customHeight="1">
      <c r="B72" s="26" t="inlineStr">
        <is>
          <t>8.8(1)</t>
        </is>
      </c>
      <c r="C72" s="24" t="inlineStr">
        <is>
          <t>Large bar threshold</t>
        </is>
      </c>
      <c r="D72" s="27" t="inlineStr">
        <is>
          <r>
            <rPr>
              <rFont val="Calibri"/>
              <i val="1"/>
              <color rgb="002B2B2B"/>
              <sz val="10"/>
            </rPr>
            <t>φ</t>
          </r>
          <r>
            <rPr>
              <rFont val="Calibri"/>
              <i val="1"/>
              <color rgb="002B2B2B"/>
              <sz val="10"/>
              <vertAlign val="subscript"/>
            </rPr>
            <t>large</t>
          </r>
        </is>
      </c>
      <c r="E72" s="38">
        <f>ndp_phi_large</f>
        <v/>
      </c>
      <c r="F72" s="28" t="inlineStr">
        <is>
          <t>mm</t>
        </is>
      </c>
      <c r="G72" s="26" t="inlineStr">
        <is>
          <t>NDP sheet</t>
        </is>
      </c>
    </row>
    <row r="73" ht="17" customHeight="1">
      <c r="B73" s="26" t="inlineStr">
        <is>
          <t>Table 3.1</t>
        </is>
      </c>
      <c r="C73" s="24" t="inlineStr">
        <is>
          <t>Characteristic cylinder strength</t>
        </is>
      </c>
      <c r="D73" s="27" t="inlineStr">
        <is>
          <r>
            <rPr>
              <rFont val="Calibri"/>
              <i val="1"/>
              <color rgb="002B2B2B"/>
              <sz val="10"/>
            </rPr>
            <t>f</t>
          </r>
          <r>
            <rPr>
              <rFont val="Calibri"/>
              <i val="1"/>
              <color rgb="002B2B2B"/>
              <sz val="10"/>
              <vertAlign val="subscript"/>
            </rPr>
            <t>ck</t>
          </r>
        </is>
      </c>
      <c r="E73" s="38">
        <f>VALUE(MID(conc_class,2,FIND("/",conc_class)-2))</f>
        <v/>
      </c>
      <c r="F73" s="28" t="inlineStr">
        <is>
          <t>MPa</t>
        </is>
      </c>
      <c r="G73" s="23" t="n"/>
    </row>
    <row r="74" ht="17" customHeight="1">
      <c r="B74" s="26" t="inlineStr">
        <is>
          <t>Table 3.1</t>
        </is>
      </c>
      <c r="C74" s="24" t="inlineStr">
        <is>
          <t>Mean tensile strength</t>
        </is>
      </c>
      <c r="D74" s="27" t="inlineStr">
        <is>
          <r>
            <rPr>
              <rFont val="Calibri"/>
              <i val="1"/>
              <color rgb="002B2B2B"/>
              <sz val="10"/>
            </rPr>
            <t>f</t>
          </r>
          <r>
            <rPr>
              <rFont val="Calibri"/>
              <i val="1"/>
              <color rgb="002B2B2B"/>
              <sz val="10"/>
              <vertAlign val="subscript"/>
            </rPr>
            <t>ctm</t>
          </r>
        </is>
      </c>
      <c r="E74" s="39">
        <f>IF(f_ck&lt;=50,0.3*f_ck^(2/3),2.12*LN(1+(f_ck+8)/10))</f>
        <v/>
      </c>
      <c r="F74" s="28" t="inlineStr">
        <is>
          <t>MPa</t>
        </is>
      </c>
      <c r="G74" s="23" t="n"/>
    </row>
    <row r="75" ht="17" customHeight="1">
      <c r="B75" s="26" t="inlineStr">
        <is>
          <t>Table 3.1</t>
        </is>
      </c>
      <c r="C75" s="24" t="inlineStr">
        <is>
          <t>Characteristic tensile strength (5 % fractile)</t>
        </is>
      </c>
      <c r="D75" s="27" t="inlineStr">
        <is>
          <r>
            <rPr>
              <rFont val="Calibri"/>
              <i val="1"/>
              <color rgb="002B2B2B"/>
              <sz val="10"/>
            </rPr>
            <t>f</t>
          </r>
          <r>
            <rPr>
              <rFont val="Calibri"/>
              <i val="1"/>
              <color rgb="002B2B2B"/>
              <sz val="10"/>
              <vertAlign val="subscript"/>
            </rPr>
            <t>ctk,0.05</t>
          </r>
        </is>
      </c>
      <c r="E75" s="39">
        <f>0.7*f_ctm</f>
        <v/>
      </c>
      <c r="F75" s="28" t="inlineStr">
        <is>
          <t>MPa</t>
        </is>
      </c>
      <c r="G75" s="23" t="n"/>
    </row>
    <row r="76" ht="17" customHeight="1">
      <c r="B76" s="26" t="inlineStr">
        <is>
          <t>3.1.6(2), 8.4.2(2)</t>
        </is>
      </c>
      <c r="C76" s="24" t="inlineStr">
        <is>
          <t>Design tensile strength (fctk,0.05 not above C60/75 value)</t>
        </is>
      </c>
      <c r="D76" s="27" t="inlineStr">
        <is>
          <r>
            <rPr>
              <rFont val="Calibri"/>
              <i val="1"/>
              <color rgb="002B2B2B"/>
              <sz val="10"/>
            </rPr>
            <t>f</t>
          </r>
          <r>
            <rPr>
              <rFont val="Calibri"/>
              <i val="1"/>
              <color rgb="002B2B2B"/>
              <sz val="10"/>
              <vertAlign val="subscript"/>
            </rPr>
            <t>ctd</t>
          </r>
        </is>
      </c>
      <c r="E76" s="39">
        <f>alpha_ct*MIN(f_ctk,0.7*2.12*LN(1+68/10))/gamma_c</f>
        <v/>
      </c>
      <c r="F76" s="28" t="inlineStr">
        <is>
          <t>MPa</t>
        </is>
      </c>
      <c r="G76" s="23" t="n"/>
    </row>
    <row r="77" ht="17" customHeight="1">
      <c r="B77" s="26" t="inlineStr">
        <is>
          <t>3.2.7</t>
        </is>
      </c>
      <c r="C77" s="24" t="inlineStr">
        <is>
          <t>Design yield strength</t>
        </is>
      </c>
      <c r="D77" s="27" t="inlineStr">
        <is>
          <r>
            <rPr>
              <rFont val="Calibri"/>
              <i val="1"/>
              <color rgb="002B2B2B"/>
              <sz val="10"/>
            </rPr>
            <t>f</t>
          </r>
          <r>
            <rPr>
              <rFont val="Calibri"/>
              <i val="1"/>
              <color rgb="002B2B2B"/>
              <sz val="10"/>
              <vertAlign val="subscript"/>
            </rPr>
            <t>yd</t>
          </r>
        </is>
      </c>
      <c r="E77" s="40">
        <f>f_yk/gamma_s</f>
        <v/>
      </c>
      <c r="F77" s="28" t="inlineStr">
        <is>
          <t>MPa</t>
        </is>
      </c>
      <c r="G77" s="23" t="n"/>
    </row>
    <row r="78" ht="17" customHeight="1">
      <c r="B78" s="26" t="inlineStr">
        <is>
          <t>8.4.2(2)</t>
        </is>
      </c>
      <c r="C78" s="24" t="inlineStr">
        <is>
          <t>Bond condition coefficient</t>
        </is>
      </c>
      <c r="D78" s="27" t="inlineStr">
        <is>
          <r>
            <rPr>
              <rFont val="Calibri"/>
              <i val="1"/>
              <color rgb="002B2B2B"/>
              <sz val="10"/>
            </rPr>
            <t>η</t>
          </r>
          <r>
            <rPr>
              <rFont val="Calibri"/>
              <i val="1"/>
              <color rgb="002B2B2B"/>
              <sz val="10"/>
              <vertAlign val="subscript"/>
            </rPr>
            <t>1</t>
          </r>
        </is>
      </c>
      <c r="E78" s="39">
        <f>IF(bond="Good",1,0.7)</f>
        <v/>
      </c>
      <c r="F78" s="23" t="n"/>
      <c r="G78" s="23" t="n"/>
    </row>
    <row r="79" ht="17" customHeight="1">
      <c r="B79" s="26" t="inlineStr">
        <is>
          <t>8.4.2(2)</t>
        </is>
      </c>
      <c r="C79" s="24" t="inlineStr">
        <is>
          <t>Bar size coefficient</t>
        </is>
      </c>
      <c r="D79" s="27" t="inlineStr">
        <is>
          <r>
            <rPr>
              <rFont val="Calibri"/>
              <i val="1"/>
              <color rgb="002B2B2B"/>
              <sz val="10"/>
            </rPr>
            <t>η</t>
          </r>
          <r>
            <rPr>
              <rFont val="Calibri"/>
              <i val="1"/>
              <color rgb="002B2B2B"/>
              <sz val="10"/>
              <vertAlign val="subscript"/>
            </rPr>
            <t>2</t>
          </r>
        </is>
      </c>
      <c r="E79" s="39">
        <f>IF(phi&lt;=32,1,(132-phi)/100)</f>
        <v/>
      </c>
      <c r="F79" s="23" t="n"/>
      <c r="G79" s="23" t="n"/>
    </row>
    <row r="80" ht="17" customHeight="1">
      <c r="B80" s="26" t="inlineStr">
        <is>
          <t>(8.2)</t>
        </is>
      </c>
      <c r="C80" s="24" t="inlineStr">
        <is>
          <t>Ultimate bond stress</t>
        </is>
      </c>
      <c r="D80" s="27" t="inlineStr">
        <is>
          <r>
            <rPr>
              <rFont val="Calibri"/>
              <i val="1"/>
              <color rgb="002B2B2B"/>
              <sz val="10"/>
            </rPr>
            <t>f</t>
          </r>
          <r>
            <rPr>
              <rFont val="Calibri"/>
              <i val="1"/>
              <color rgb="002B2B2B"/>
              <sz val="10"/>
              <vertAlign val="subscript"/>
            </rPr>
            <t>bd</t>
          </r>
        </is>
      </c>
      <c r="E80" s="39">
        <f>2.25*eta_1*eta_2*f_ctd</f>
        <v/>
      </c>
      <c r="F80" s="28" t="inlineStr">
        <is>
          <t>MPa</t>
        </is>
      </c>
      <c r="G80" s="23" t="n"/>
    </row>
    <row r="81" ht="17" customHeight="1">
      <c r="B81" s="26" t="inlineStr">
        <is>
          <t>8.4.3(2)</t>
        </is>
      </c>
      <c r="C81" s="24" t="inlineStr">
        <is>
          <t>Design stress in the bar</t>
        </is>
      </c>
      <c r="D81" s="27" t="inlineStr">
        <is>
          <r>
            <rPr>
              <rFont val="Calibri"/>
              <i val="1"/>
              <color rgb="002B2B2B"/>
              <sz val="10"/>
            </rPr>
            <t>σ</t>
          </r>
          <r>
            <rPr>
              <rFont val="Calibri"/>
              <i val="1"/>
              <color rgb="002B2B2B"/>
              <sz val="10"/>
              <vertAlign val="subscript"/>
            </rPr>
            <t>sd</t>
          </r>
        </is>
      </c>
      <c r="E81" s="40">
        <f>stress_ratio*f_yd</f>
        <v/>
      </c>
      <c r="F81" s="28" t="inlineStr">
        <is>
          <t>MPa</t>
        </is>
      </c>
      <c r="G81" s="23" t="n"/>
    </row>
    <row r="82" ht="17" customHeight="1">
      <c r="B82" s="26" t="inlineStr">
        <is>
          <t>(8.3)</t>
        </is>
      </c>
      <c r="C82" s="24" t="inlineStr">
        <is>
          <t>Basic required anchorage length</t>
        </is>
      </c>
      <c r="D82" s="27" t="inlineStr">
        <is>
          <r>
            <rPr>
              <rFont val="Calibri"/>
              <i val="1"/>
              <color rgb="002B2B2B"/>
              <sz val="10"/>
            </rPr>
            <t>l</t>
          </r>
          <r>
            <rPr>
              <rFont val="Calibri"/>
              <i val="1"/>
              <color rgb="002B2B2B"/>
              <sz val="10"/>
              <vertAlign val="subscript"/>
            </rPr>
            <t>b,rqd</t>
          </r>
        </is>
      </c>
      <c r="E82" s="38">
        <f>phi/4*sigma_sd/f_bd</f>
        <v/>
      </c>
      <c r="F82" s="28" t="inlineStr">
        <is>
          <t>mm</t>
        </is>
      </c>
      <c r="G82" s="23" t="n"/>
    </row>
    <row r="83" ht="17" customHeight="1">
      <c r="B83" s="26" t="inlineStr">
        <is>
          <t>Table 8.2</t>
        </is>
      </c>
      <c r="C83" s="24" t="inlineStr">
        <is>
          <t>Cover / spacing dimension  min(a/2; c)</t>
        </is>
      </c>
      <c r="D83" s="27" t="inlineStr">
        <is>
          <r>
            <rPr>
              <rFont val="Calibri"/>
              <i val="1"/>
              <color rgb="002B2B2B"/>
              <sz val="10"/>
            </rPr>
            <t>c</t>
          </r>
          <r>
            <rPr>
              <rFont val="Calibri"/>
              <i val="1"/>
              <color rgb="002B2B2B"/>
              <sz val="10"/>
              <vertAlign val="subscript"/>
            </rPr>
            <t>d</t>
          </r>
        </is>
      </c>
      <c r="E83" s="38">
        <f>MIN((s_bar-phi)/2,c_nom)</f>
        <v/>
      </c>
      <c r="F83" s="28" t="inlineStr">
        <is>
          <t>mm</t>
        </is>
      </c>
      <c r="G83" s="23" t="n"/>
    </row>
    <row r="84" ht="17" customHeight="1">
      <c r="B84" s="26" t="inlineStr">
        <is>
          <t>Table 8.2</t>
        </is>
      </c>
      <c r="C84" s="24" t="inlineStr">
        <is>
          <t>Effect of concrete cover (tension)</t>
        </is>
      </c>
      <c r="D84" s="27" t="inlineStr">
        <is>
          <r>
            <rPr>
              <rFont val="Calibri"/>
              <i val="1"/>
              <color rgb="002B2B2B"/>
              <sz val="10"/>
            </rPr>
            <t>α</t>
          </r>
          <r>
            <rPr>
              <rFont val="Calibri"/>
              <i val="1"/>
              <color rgb="002B2B2B"/>
              <sz val="10"/>
              <vertAlign val="subscript"/>
            </rPr>
            <t>2</t>
          </r>
        </is>
      </c>
      <c r="E84" s="41">
        <f>MIN(1,MAX(0.7,1-0.15*(c_d-phi)/phi))</f>
        <v/>
      </c>
      <c r="F84" s="23" t="n"/>
      <c r="G84" s="23" t="n"/>
    </row>
    <row r="85" ht="17" customHeight="1">
      <c r="B85" s="26" t="inlineStr">
        <is>
          <t>(8.10)</t>
        </is>
      </c>
      <c r="C85" s="24" t="inlineStr">
        <is>
          <t>Effect of proportion of lapped bars</t>
        </is>
      </c>
      <c r="D85" s="27" t="inlineStr">
        <is>
          <r>
            <rPr>
              <rFont val="Calibri"/>
              <i val="1"/>
              <color rgb="002B2B2B"/>
              <sz val="10"/>
            </rPr>
            <t>α</t>
          </r>
          <r>
            <rPr>
              <rFont val="Calibri"/>
              <i val="1"/>
              <color rgb="002B2B2B"/>
              <sz val="10"/>
              <vertAlign val="subscript"/>
            </rPr>
            <t>6</t>
          </r>
        </is>
      </c>
      <c r="E85" s="41">
        <f>MIN(1.5,MAX(1,SQRT(p_lap/25)))</f>
        <v/>
      </c>
      <c r="F85" s="23" t="n"/>
      <c r="G85" s="23" t="n"/>
    </row>
    <row r="86" ht="16.5" customHeight="1">
      <c r="B86" s="42" t="inlineStr">
        <is>
          <t>α1 = α3 = α4 = α5 = 1.0: straight bars, no credit taken for transverse reinforcement or transverse pressure (conservative).</t>
        </is>
      </c>
    </row>
    <row r="87" ht="17" customHeight="1">
      <c r="B87" s="26" t="inlineStr">
        <is>
          <t>(8.6)</t>
        </is>
      </c>
      <c r="C87" s="24" t="inlineStr">
        <is>
          <t>Minimum anchorage length, tension</t>
        </is>
      </c>
      <c r="D87" s="27" t="inlineStr">
        <is>
          <r>
            <rPr>
              <rFont val="Calibri"/>
              <i val="1"/>
              <color rgb="002B2B2B"/>
              <sz val="10"/>
            </rPr>
            <t>l</t>
          </r>
          <r>
            <rPr>
              <rFont val="Calibri"/>
              <i val="1"/>
              <color rgb="002B2B2B"/>
              <sz val="10"/>
              <vertAlign val="subscript"/>
            </rPr>
            <t>b,min</t>
          </r>
        </is>
      </c>
      <c r="E87" s="38">
        <f>MAX(0.3*lb_rqd,10*phi,100)</f>
        <v/>
      </c>
      <c r="F87" s="28" t="inlineStr">
        <is>
          <t>mm</t>
        </is>
      </c>
      <c r="G87" s="23" t="n"/>
    </row>
    <row r="88" ht="17" customHeight="1">
      <c r="B88" s="26" t="inlineStr">
        <is>
          <t>(8.4)</t>
        </is>
      </c>
      <c r="C88" s="24" t="inlineStr">
        <is>
          <t>Design anchorage length, tension</t>
        </is>
      </c>
      <c r="D88" s="27" t="inlineStr">
        <is>
          <r>
            <rPr>
              <rFont val="Calibri"/>
              <i val="1"/>
              <color rgb="002B2B2B"/>
              <sz val="10"/>
            </rPr>
            <t>l</t>
          </r>
          <r>
            <rPr>
              <rFont val="Calibri"/>
              <i val="1"/>
              <color rgb="002B2B2B"/>
              <sz val="10"/>
              <vertAlign val="subscript"/>
            </rPr>
            <t>bd</t>
          </r>
        </is>
      </c>
      <c r="E88" s="43">
        <f>MAX(alpha_2*lb_rqd,lb_min_t)</f>
        <v/>
      </c>
      <c r="F88" s="28" t="inlineStr">
        <is>
          <t>mm</t>
        </is>
      </c>
      <c r="G88" s="23" t="n"/>
    </row>
    <row r="89" ht="17" customHeight="1">
      <c r="B89" s="26" t="inlineStr">
        <is>
          <t>(8.11)</t>
        </is>
      </c>
      <c r="C89" s="24" t="inlineStr">
        <is>
          <t>Minimum lap length</t>
        </is>
      </c>
      <c r="D89" s="27" t="inlineStr">
        <is>
          <r>
            <rPr>
              <rFont val="Calibri"/>
              <i val="1"/>
              <color rgb="002B2B2B"/>
              <sz val="10"/>
            </rPr>
            <t>l</t>
          </r>
          <r>
            <rPr>
              <rFont val="Calibri"/>
              <i val="1"/>
              <color rgb="002B2B2B"/>
              <sz val="10"/>
              <vertAlign val="subscript"/>
            </rPr>
            <t>0,min</t>
          </r>
        </is>
      </c>
      <c r="E89" s="38">
        <f>MAX(0.3*alpha_6*lb_rqd,15*phi,200)</f>
        <v/>
      </c>
      <c r="F89" s="28" t="inlineStr">
        <is>
          <t>mm</t>
        </is>
      </c>
      <c r="G89" s="23" t="n"/>
    </row>
    <row r="90" ht="17" customHeight="1">
      <c r="B90" s="26" t="inlineStr">
        <is>
          <t>(8.10)</t>
        </is>
      </c>
      <c r="C90" s="24" t="inlineStr">
        <is>
          <t>Design lap length, tension</t>
        </is>
      </c>
      <c r="D90" s="27" t="inlineStr">
        <is>
          <r>
            <rPr>
              <rFont val="Calibri"/>
              <i val="1"/>
              <color rgb="002B2B2B"/>
              <sz val="10"/>
            </rPr>
            <t>l</t>
          </r>
          <r>
            <rPr>
              <rFont val="Calibri"/>
              <i val="1"/>
              <color rgb="002B2B2B"/>
              <sz val="10"/>
              <vertAlign val="subscript"/>
            </rPr>
            <t>0</t>
          </r>
        </is>
      </c>
      <c r="E90" s="43">
        <f>MAX(alpha_2*alpha_6*lb_rqd,l0_min)</f>
        <v/>
      </c>
      <c r="F90" s="28" t="inlineStr">
        <is>
          <t>mm</t>
        </is>
      </c>
      <c r="G90" s="23" t="n"/>
    </row>
    <row r="91" ht="17" customHeight="1">
      <c r="B91" s="26" t="inlineStr">
        <is>
          <t>(8.7)</t>
        </is>
      </c>
      <c r="C91" s="24" t="inlineStr">
        <is>
          <t>Minimum anchorage length, compression</t>
        </is>
      </c>
      <c r="D91" s="27" t="inlineStr">
        <is>
          <r>
            <rPr>
              <rFont val="Calibri"/>
              <i val="1"/>
              <color rgb="002B2B2B"/>
              <sz val="10"/>
            </rPr>
            <t>l</t>
          </r>
          <r>
            <rPr>
              <rFont val="Calibri"/>
              <i val="1"/>
              <color rgb="002B2B2B"/>
              <sz val="10"/>
              <vertAlign val="subscript"/>
            </rPr>
            <t>b,min</t>
          </r>
        </is>
      </c>
      <c r="E91" s="38">
        <f>MAX(0.6*lb_rqd,10*phi,100)</f>
        <v/>
      </c>
      <c r="F91" s="28" t="inlineStr">
        <is>
          <t>mm</t>
        </is>
      </c>
      <c r="G91" s="23" t="n"/>
    </row>
    <row r="92" ht="17" customHeight="1">
      <c r="B92" s="26" t="inlineStr">
        <is>
          <t>Table 8.2</t>
        </is>
      </c>
      <c r="C92" s="24" t="inlineStr">
        <is>
          <t>Design anchorage length, compression (α1…α5 = 1)</t>
        </is>
      </c>
      <c r="D92" s="27" t="inlineStr">
        <is>
          <r>
            <rPr>
              <rFont val="Calibri"/>
              <i val="1"/>
              <color rgb="002B2B2B"/>
              <sz val="10"/>
            </rPr>
            <t>l</t>
          </r>
          <r>
            <rPr>
              <rFont val="Calibri"/>
              <i val="1"/>
              <color rgb="002B2B2B"/>
              <sz val="10"/>
              <vertAlign val="subscript"/>
            </rPr>
            <t>bd</t>
          </r>
        </is>
      </c>
      <c r="E92" s="43">
        <f>MAX(lb_rqd,lb_min_c)</f>
        <v/>
      </c>
      <c r="F92" s="28" t="inlineStr">
        <is>
          <t>mm</t>
        </is>
      </c>
      <c r="G92" s="23" t="n"/>
    </row>
    <row r="93" ht="17" customHeight="1">
      <c r="B93" s="26" t="inlineStr">
        <is>
          <t>(8.10)</t>
        </is>
      </c>
      <c r="C93" s="24" t="inlineStr">
        <is>
          <t>Design lap length, compression</t>
        </is>
      </c>
      <c r="D93" s="27" t="inlineStr">
        <is>
          <r>
            <rPr>
              <rFont val="Calibri"/>
              <i val="1"/>
              <color rgb="002B2B2B"/>
              <sz val="10"/>
            </rPr>
            <t>l</t>
          </r>
          <r>
            <rPr>
              <rFont val="Calibri"/>
              <i val="1"/>
              <color rgb="002B2B2B"/>
              <sz val="10"/>
              <vertAlign val="subscript"/>
            </rPr>
            <t>0</t>
          </r>
        </is>
      </c>
      <c r="E93" s="43">
        <f>MAX(alpha_6*lb_rqd,l0_min)</f>
        <v/>
      </c>
      <c r="F93" s="28" t="inlineStr">
        <is>
          <t>mm</t>
        </is>
      </c>
      <c r="G93" s="23" t="n"/>
    </row>
    <row r="95" ht="22" customHeight="1">
      <c r="B95" s="20" t="inlineStr">
        <is>
          <t>All bar sizes</t>
        </is>
      </c>
      <c r="C95" s="21" t="n"/>
      <c r="D95" s="21" t="n"/>
      <c r="E95" s="21" t="n"/>
      <c r="F95" s="21" t="n"/>
      <c r="G95" s="22" t="inlineStr">
        <is>
          <t>Same inputs, mm, rounded up to 5 mm</t>
        </is>
      </c>
    </row>
    <row r="96">
      <c r="B96" s="44" t="inlineStr">
        <is>
          <t>φ (mm)</t>
        </is>
      </c>
      <c r="C96" s="44" t="inlineStr">
        <is>
          <t>lb,rqd</t>
        </is>
      </c>
      <c r="D96" s="44" t="inlineStr">
        <is>
          <t>lbd tension</t>
        </is>
      </c>
      <c r="E96" s="44" t="inlineStr">
        <is>
          <t>l0 tension</t>
        </is>
      </c>
      <c r="F96" s="44" t="inlineStr">
        <is>
          <t>lbd compr.</t>
        </is>
      </c>
      <c r="G96" s="44" t="inlineStr">
        <is>
          <t>l0 compr.</t>
        </is>
      </c>
    </row>
    <row r="97" ht="17" customHeight="1">
      <c r="B97" s="45" t="n">
        <v>8</v>
      </c>
      <c r="C97" s="46">
        <f>CEILING(($B97/4*sigma_sd/(2.25*eta_1*IF($B97&lt;=32,1,(132-$B97)/100)*f_ctd)),5)</f>
        <v/>
      </c>
      <c r="D97" s="46">
        <f>CEILING(MAX(MIN(1,MAX(0.7,1-0.15*(MIN((s_bar-$B97)/2,c_nom)-$B97)/$B97))*($B97/4*sigma_sd/(2.25*eta_1*IF($B97&lt;=32,1,(132-$B97)/100)*f_ctd)),0.3*($B97/4*sigma_sd/(2.25*eta_1*IF($B97&lt;=32,1,(132-$B97)/100)*f_ctd)),10*$B97,100),5)</f>
        <v/>
      </c>
      <c r="E97" s="45">
        <f>CEILING(MAX(MIN(1,MAX(0.7,1-0.15*(MIN((s_bar-$B97)/2,c_nom)-$B97)/$B97))*alpha_6*($B97/4*sigma_sd/(2.25*eta_1*IF($B97&lt;=32,1,(132-$B97)/100)*f_ctd)),MAX(0.3*alpha_6*($B97/4*sigma_sd/(2.25*eta_1*IF($B97&lt;=32,1,(132-$B97)/100)*f_ctd)),15*$B97,200)),5)</f>
        <v/>
      </c>
      <c r="F97" s="46">
        <f>CEILING(MAX(($B97/4*sigma_sd/(2.25*eta_1*IF($B97&lt;=32,1,(132-$B97)/100)*f_ctd)),10*$B97,100),5)</f>
        <v/>
      </c>
      <c r="G97" s="46">
        <f>CEILING(MAX(alpha_6*($B97/4*sigma_sd/(2.25*eta_1*IF($B97&lt;=32,1,(132-$B97)/100)*f_ctd)),MAX(0.3*alpha_6*($B97/4*sigma_sd/(2.25*eta_1*IF($B97&lt;=32,1,(132-$B97)/100)*f_ctd)),15*$B97,200)),5)</f>
        <v/>
      </c>
    </row>
    <row r="98" ht="17" customHeight="1">
      <c r="B98" s="45" t="n">
        <v>10</v>
      </c>
      <c r="C98" s="46">
        <f>CEILING(($B98/4*sigma_sd/(2.25*eta_1*IF($B98&lt;=32,1,(132-$B98)/100)*f_ctd)),5)</f>
        <v/>
      </c>
      <c r="D98" s="46">
        <f>CEILING(MAX(MIN(1,MAX(0.7,1-0.15*(MIN((s_bar-$B98)/2,c_nom)-$B98)/$B98))*($B98/4*sigma_sd/(2.25*eta_1*IF($B98&lt;=32,1,(132-$B98)/100)*f_ctd)),0.3*($B98/4*sigma_sd/(2.25*eta_1*IF($B98&lt;=32,1,(132-$B98)/100)*f_ctd)),10*$B98,100),5)</f>
        <v/>
      </c>
      <c r="E98" s="45">
        <f>CEILING(MAX(MIN(1,MAX(0.7,1-0.15*(MIN((s_bar-$B98)/2,c_nom)-$B98)/$B98))*alpha_6*($B98/4*sigma_sd/(2.25*eta_1*IF($B98&lt;=32,1,(132-$B98)/100)*f_ctd)),MAX(0.3*alpha_6*($B98/4*sigma_sd/(2.25*eta_1*IF($B98&lt;=32,1,(132-$B98)/100)*f_ctd)),15*$B98,200)),5)</f>
        <v/>
      </c>
      <c r="F98" s="46">
        <f>CEILING(MAX(($B98/4*sigma_sd/(2.25*eta_1*IF($B98&lt;=32,1,(132-$B98)/100)*f_ctd)),10*$B98,100),5)</f>
        <v/>
      </c>
      <c r="G98" s="46">
        <f>CEILING(MAX(alpha_6*($B98/4*sigma_sd/(2.25*eta_1*IF($B98&lt;=32,1,(132-$B98)/100)*f_ctd)),MAX(0.3*alpha_6*($B98/4*sigma_sd/(2.25*eta_1*IF($B98&lt;=32,1,(132-$B98)/100)*f_ctd)),15*$B98,200)),5)</f>
        <v/>
      </c>
    </row>
    <row r="99" ht="17" customHeight="1">
      <c r="B99" s="45" t="n">
        <v>12</v>
      </c>
      <c r="C99" s="46">
        <f>CEILING(($B99/4*sigma_sd/(2.25*eta_1*IF($B99&lt;=32,1,(132-$B99)/100)*f_ctd)),5)</f>
        <v/>
      </c>
      <c r="D99" s="46">
        <f>CEILING(MAX(MIN(1,MAX(0.7,1-0.15*(MIN((s_bar-$B99)/2,c_nom)-$B99)/$B99))*($B99/4*sigma_sd/(2.25*eta_1*IF($B99&lt;=32,1,(132-$B99)/100)*f_ctd)),0.3*($B99/4*sigma_sd/(2.25*eta_1*IF($B99&lt;=32,1,(132-$B99)/100)*f_ctd)),10*$B99,100),5)</f>
        <v/>
      </c>
      <c r="E99" s="45">
        <f>CEILING(MAX(MIN(1,MAX(0.7,1-0.15*(MIN((s_bar-$B99)/2,c_nom)-$B99)/$B99))*alpha_6*($B99/4*sigma_sd/(2.25*eta_1*IF($B99&lt;=32,1,(132-$B99)/100)*f_ctd)),MAX(0.3*alpha_6*($B99/4*sigma_sd/(2.25*eta_1*IF($B99&lt;=32,1,(132-$B99)/100)*f_ctd)),15*$B99,200)),5)</f>
        <v/>
      </c>
      <c r="F99" s="46">
        <f>CEILING(MAX(($B99/4*sigma_sd/(2.25*eta_1*IF($B99&lt;=32,1,(132-$B99)/100)*f_ctd)),10*$B99,100),5)</f>
        <v/>
      </c>
      <c r="G99" s="46">
        <f>CEILING(MAX(alpha_6*($B99/4*sigma_sd/(2.25*eta_1*IF($B99&lt;=32,1,(132-$B99)/100)*f_ctd)),MAX(0.3*alpha_6*($B99/4*sigma_sd/(2.25*eta_1*IF($B99&lt;=32,1,(132-$B99)/100)*f_ctd)),15*$B99,200)),5)</f>
        <v/>
      </c>
    </row>
    <row r="100" ht="17" customHeight="1">
      <c r="B100" s="45" t="n">
        <v>16</v>
      </c>
      <c r="C100" s="46">
        <f>CEILING(($B100/4*sigma_sd/(2.25*eta_1*IF($B100&lt;=32,1,(132-$B100)/100)*f_ctd)),5)</f>
        <v/>
      </c>
      <c r="D100" s="46">
        <f>CEILING(MAX(MIN(1,MAX(0.7,1-0.15*(MIN((s_bar-$B100)/2,c_nom)-$B100)/$B100))*($B100/4*sigma_sd/(2.25*eta_1*IF($B100&lt;=32,1,(132-$B100)/100)*f_ctd)),0.3*($B100/4*sigma_sd/(2.25*eta_1*IF($B100&lt;=32,1,(132-$B100)/100)*f_ctd)),10*$B100,100),5)</f>
        <v/>
      </c>
      <c r="E100" s="45">
        <f>CEILING(MAX(MIN(1,MAX(0.7,1-0.15*(MIN((s_bar-$B100)/2,c_nom)-$B100)/$B100))*alpha_6*($B100/4*sigma_sd/(2.25*eta_1*IF($B100&lt;=32,1,(132-$B100)/100)*f_ctd)),MAX(0.3*alpha_6*($B100/4*sigma_sd/(2.25*eta_1*IF($B100&lt;=32,1,(132-$B100)/100)*f_ctd)),15*$B100,200)),5)</f>
        <v/>
      </c>
      <c r="F100" s="46">
        <f>CEILING(MAX(($B100/4*sigma_sd/(2.25*eta_1*IF($B100&lt;=32,1,(132-$B100)/100)*f_ctd)),10*$B100,100),5)</f>
        <v/>
      </c>
      <c r="G100" s="46">
        <f>CEILING(MAX(alpha_6*($B100/4*sigma_sd/(2.25*eta_1*IF($B100&lt;=32,1,(132-$B100)/100)*f_ctd)),MAX(0.3*alpha_6*($B100/4*sigma_sd/(2.25*eta_1*IF($B100&lt;=32,1,(132-$B100)/100)*f_ctd)),15*$B100,200)),5)</f>
        <v/>
      </c>
    </row>
    <row r="101" ht="17" customHeight="1">
      <c r="B101" s="45" t="n">
        <v>20</v>
      </c>
      <c r="C101" s="46">
        <f>CEILING(($B101/4*sigma_sd/(2.25*eta_1*IF($B101&lt;=32,1,(132-$B101)/100)*f_ctd)),5)</f>
        <v/>
      </c>
      <c r="D101" s="46">
        <f>CEILING(MAX(MIN(1,MAX(0.7,1-0.15*(MIN((s_bar-$B101)/2,c_nom)-$B101)/$B101))*($B101/4*sigma_sd/(2.25*eta_1*IF($B101&lt;=32,1,(132-$B101)/100)*f_ctd)),0.3*($B101/4*sigma_sd/(2.25*eta_1*IF($B101&lt;=32,1,(132-$B101)/100)*f_ctd)),10*$B101,100),5)</f>
        <v/>
      </c>
      <c r="E101" s="45">
        <f>CEILING(MAX(MIN(1,MAX(0.7,1-0.15*(MIN((s_bar-$B101)/2,c_nom)-$B101)/$B101))*alpha_6*($B101/4*sigma_sd/(2.25*eta_1*IF($B101&lt;=32,1,(132-$B101)/100)*f_ctd)),MAX(0.3*alpha_6*($B101/4*sigma_sd/(2.25*eta_1*IF($B101&lt;=32,1,(132-$B101)/100)*f_ctd)),15*$B101,200)),5)</f>
        <v/>
      </c>
      <c r="F101" s="46">
        <f>CEILING(MAX(($B101/4*sigma_sd/(2.25*eta_1*IF($B101&lt;=32,1,(132-$B101)/100)*f_ctd)),10*$B101,100),5)</f>
        <v/>
      </c>
      <c r="G101" s="46">
        <f>CEILING(MAX(alpha_6*($B101/4*sigma_sd/(2.25*eta_1*IF($B101&lt;=32,1,(132-$B101)/100)*f_ctd)),MAX(0.3*alpha_6*($B101/4*sigma_sd/(2.25*eta_1*IF($B101&lt;=32,1,(132-$B101)/100)*f_ctd)),15*$B101,200)),5)</f>
        <v/>
      </c>
    </row>
    <row r="102" ht="17" customHeight="1">
      <c r="B102" s="45" t="n">
        <v>25</v>
      </c>
      <c r="C102" s="46">
        <f>CEILING(($B102/4*sigma_sd/(2.25*eta_1*IF($B102&lt;=32,1,(132-$B102)/100)*f_ctd)),5)</f>
        <v/>
      </c>
      <c r="D102" s="46">
        <f>CEILING(MAX(MIN(1,MAX(0.7,1-0.15*(MIN((s_bar-$B102)/2,c_nom)-$B102)/$B102))*($B102/4*sigma_sd/(2.25*eta_1*IF($B102&lt;=32,1,(132-$B102)/100)*f_ctd)),0.3*($B102/4*sigma_sd/(2.25*eta_1*IF($B102&lt;=32,1,(132-$B102)/100)*f_ctd)),10*$B102,100),5)</f>
        <v/>
      </c>
      <c r="E102" s="45">
        <f>CEILING(MAX(MIN(1,MAX(0.7,1-0.15*(MIN((s_bar-$B102)/2,c_nom)-$B102)/$B102))*alpha_6*($B102/4*sigma_sd/(2.25*eta_1*IF($B102&lt;=32,1,(132-$B102)/100)*f_ctd)),MAX(0.3*alpha_6*($B102/4*sigma_sd/(2.25*eta_1*IF($B102&lt;=32,1,(132-$B102)/100)*f_ctd)),15*$B102,200)),5)</f>
        <v/>
      </c>
      <c r="F102" s="46">
        <f>CEILING(MAX(($B102/4*sigma_sd/(2.25*eta_1*IF($B102&lt;=32,1,(132-$B102)/100)*f_ctd)),10*$B102,100),5)</f>
        <v/>
      </c>
      <c r="G102" s="46">
        <f>CEILING(MAX(alpha_6*($B102/4*sigma_sd/(2.25*eta_1*IF($B102&lt;=32,1,(132-$B102)/100)*f_ctd)),MAX(0.3*alpha_6*($B102/4*sigma_sd/(2.25*eta_1*IF($B102&lt;=32,1,(132-$B102)/100)*f_ctd)),15*$B102,200)),5)</f>
        <v/>
      </c>
    </row>
    <row r="103" ht="17" customHeight="1">
      <c r="B103" s="45" t="n">
        <v>32</v>
      </c>
      <c r="C103" s="46">
        <f>CEILING(($B103/4*sigma_sd/(2.25*eta_1*IF($B103&lt;=32,1,(132-$B103)/100)*f_ctd)),5)</f>
        <v/>
      </c>
      <c r="D103" s="46">
        <f>CEILING(MAX(MIN(1,MAX(0.7,1-0.15*(MIN((s_bar-$B103)/2,c_nom)-$B103)/$B103))*($B103/4*sigma_sd/(2.25*eta_1*IF($B103&lt;=32,1,(132-$B103)/100)*f_ctd)),0.3*($B103/4*sigma_sd/(2.25*eta_1*IF($B103&lt;=32,1,(132-$B103)/100)*f_ctd)),10*$B103,100),5)</f>
        <v/>
      </c>
      <c r="E103" s="45">
        <f>CEILING(MAX(MIN(1,MAX(0.7,1-0.15*(MIN((s_bar-$B103)/2,c_nom)-$B103)/$B103))*alpha_6*($B103/4*sigma_sd/(2.25*eta_1*IF($B103&lt;=32,1,(132-$B103)/100)*f_ctd)),MAX(0.3*alpha_6*($B103/4*sigma_sd/(2.25*eta_1*IF($B103&lt;=32,1,(132-$B103)/100)*f_ctd)),15*$B103,200)),5)</f>
        <v/>
      </c>
      <c r="F103" s="46">
        <f>CEILING(MAX(($B103/4*sigma_sd/(2.25*eta_1*IF($B103&lt;=32,1,(132-$B103)/100)*f_ctd)),10*$B103,100),5)</f>
        <v/>
      </c>
      <c r="G103" s="46">
        <f>CEILING(MAX(alpha_6*($B103/4*sigma_sd/(2.25*eta_1*IF($B103&lt;=32,1,(132-$B103)/100)*f_ctd)),MAX(0.3*alpha_6*($B103/4*sigma_sd/(2.25*eta_1*IF($B103&lt;=32,1,(132-$B103)/100)*f_ctd)),15*$B103,200)),5)</f>
        <v/>
      </c>
    </row>
    <row r="104" ht="17" customHeight="1">
      <c r="B104" s="45" t="n">
        <v>40</v>
      </c>
      <c r="C104" s="46">
        <f>CEILING(($B104/4*sigma_sd/(2.25*eta_1*IF($B104&lt;=32,1,(132-$B104)/100)*f_ctd)),5)</f>
        <v/>
      </c>
      <c r="D104" s="46">
        <f>CEILING(MAX(MIN(1,MAX(0.7,1-0.15*(MIN((s_bar-$B104)/2,c_nom)-$B104)/$B104))*($B104/4*sigma_sd/(2.25*eta_1*IF($B104&lt;=32,1,(132-$B104)/100)*f_ctd)),0.3*($B104/4*sigma_sd/(2.25*eta_1*IF($B104&lt;=32,1,(132-$B104)/100)*f_ctd)),10*$B104,100),5)</f>
        <v/>
      </c>
      <c r="E104" s="45">
        <f>CEILING(MAX(MIN(1,MAX(0.7,1-0.15*(MIN((s_bar-$B104)/2,c_nom)-$B104)/$B104))*alpha_6*($B104/4*sigma_sd/(2.25*eta_1*IF($B104&lt;=32,1,(132-$B104)/100)*f_ctd)),MAX(0.3*alpha_6*($B104/4*sigma_sd/(2.25*eta_1*IF($B104&lt;=32,1,(132-$B104)/100)*f_ctd)),15*$B104,200)),5)</f>
        <v/>
      </c>
      <c r="F104" s="46">
        <f>CEILING(MAX(($B104/4*sigma_sd/(2.25*eta_1*IF($B104&lt;=32,1,(132-$B104)/100)*f_ctd)),10*$B104,100),5)</f>
        <v/>
      </c>
      <c r="G104" s="46">
        <f>CEILING(MAX(alpha_6*($B104/4*sigma_sd/(2.25*eta_1*IF($B104&lt;=32,1,(132-$B104)/100)*f_ctd)),MAX(0.3*alpha_6*($B104/4*sigma_sd/(2.25*eta_1*IF($B104&lt;=32,1,(132-$B104)/100)*f_ctd)),15*$B104,200)),5)</f>
        <v/>
      </c>
    </row>
    <row r="105" ht="41.5" customHeight="1">
      <c r="B105" s="42" t="inlineStr">
        <is>
          <t>Table values use the cover, bar centres, bond condition, stress ratio and lapped proportion entered above. Where the clear gap between bars is small, α2 tends to 1.0. Lengths only: transverse reinforcement at laps (8.7.4) and large-bar rules (8.8) apply as for the detailed bar above; shaded sizes exceed φlarge (8.8).</t>
        </is>
      </c>
    </row>
    <row r="107" ht="29" customHeight="1">
      <c r="B107" s="42" t="inlineStr">
        <is>
          <t>Prepared with NA Engineering calculation tools  ·  naengineering.uk  ·  adrian@naengineering.uk. Free for use by competent engineers; see the About sheet for scope and disclaimer.</t>
        </is>
      </c>
    </row>
  </sheetData>
  <sheetProtection selectLockedCells="0" selectUnlockedCells="0" sheet="1" objects="1" insertRows="1" insertHyperlinks="1" autoFilter="1" scenarios="0" formatColumns="0" deleteColumns="1" insertColumns="1" pivotTables="1" deleteRows="1" formatCells="1" formatRows="0" sort="1" password="AA0A"/>
  <mergeCells count="8">
    <mergeCell ref="B107:G107"/>
    <mergeCell ref="E5:G5"/>
    <mergeCell ref="B105:G105"/>
    <mergeCell ref="D2:G2"/>
    <mergeCell ref="B86:G86"/>
    <mergeCell ref="E7:G7"/>
    <mergeCell ref="E6:G6"/>
    <mergeCell ref="C3:G3"/>
  </mergeCells>
  <conditionalFormatting sqref="B97:B104">
    <cfRule type="expression" priority="1" dxfId="0">
      <formula>$B97&gt;phi_large</formula>
    </cfRule>
  </conditionalFormatting>
  <conditionalFormatting sqref="G9:G108">
    <cfRule type="expression" priority="2" dxfId="1">
      <formula>G9="OK"</formula>
    </cfRule>
    <cfRule type="expression" priority="3" dxfId="2">
      <formula>G9="FAIL"</formula>
    </cfRule>
    <cfRule type="expression" priority="4" dxfId="3">
      <formula>LEFT(G9,1)="!"</formula>
    </cfRule>
  </conditionalFormatting>
  <dataValidations count="9">
    <dataValidation sqref="E11" showDropDown="0" showInputMessage="0" showErrorMessage="1" allowBlank="0" errorTitle="NA Engineering" error="Pick a value from the list." type="list" errorStyle="stop">
      <formula1>"UK NA (BS EN),PL NA (PN-EN)"</formula1>
    </dataValidation>
    <dataValidation sqref="E12" showDropDown="0" showInputMessage="0" showErrorMessage="1" allowBlank="0" errorTitle="NA Engineering" error="Pick a value from the list." type="list" errorStyle="stop">
      <formula1>"C20/25,C25/30,C28/35,C30/37,C32/40,C35/45,C40/50,C45/55,C50/60"</formula1>
    </dataValidation>
    <dataValidation sqref="E13" showDropDown="0" showInputMessage="0" showErrorMessage="1" allowBlank="0" errorTitle="NA Engineering" error="Enter a number greater than 0." type="decimal" errorStyle="stop" operator="greaterThan">
      <formula1>0</formula1>
    </dataValidation>
    <dataValidation sqref="E14" showDropDown="0" showInputMessage="0" showErrorMessage="1" allowBlank="0" errorTitle="NA Engineering" error="Pick a value from the list." type="list" errorStyle="stop">
      <formula1>"8,10,12,16,20,25,32,40"</formula1>
    </dataValidation>
    <dataValidation sqref="E15" showDropDown="0" showInputMessage="0" showErrorMessage="1" allowBlank="0" errorTitle="NA Engineering" error="Pick a value from the list." type="list" errorStyle="stop">
      <formula1>"Good,Poor"</formula1>
    </dataValidation>
    <dataValidation sqref="E16" showDropDown="0" showInputMessage="0" showErrorMessage="1" allowBlank="0" errorTitle="NA Engineering" error="Enter a number greater than 0." type="decimal" errorStyle="stop" operator="greaterThan">
      <formula1>0</formula1>
    </dataValidation>
    <dataValidation sqref="E17" showDropDown="0" showInputMessage="0" showErrorMessage="1" allowBlank="0" errorTitle="NA Engineering" error="Enter a number greater than 0." type="decimal" errorStyle="stop" operator="greaterThan">
      <formula1>0</formula1>
    </dataValidation>
    <dataValidation sqref="E18" showDropDown="0" showInputMessage="0" showErrorMessage="1" allowBlank="0" errorTitle="NA Engineering" error="Enter a number greater than 0." type="decimal" errorStyle="stop" operator="greaterThan">
      <formula1>0</formula1>
    </dataValidation>
    <dataValidation sqref="E19" showDropDown="0" showInputMessage="0" showErrorMessage="1" allowBlank="0" errorTitle="NA Engineering" error="Pick a value from the list." type="list" errorStyle="stop">
      <formula1>"25,33,50,100"</formula1>
    </dataValidation>
  </dataValidations>
  <printOptions horizontalCentered="1"/>
  <pageMargins left="0.4" right="0.4" top="0.4" bottom="0.6" header="0.5" footer="0.5"/>
  <pageSetup orientation="portrait" paperSize="9" fitToHeight="0" fitToWidth="1"/>
  <headerFooter>
    <oddHeader/>
    <oddFooter>&amp;L&amp;7 &amp;K8A8A8ANA Engineering sp. z o.o.  ·  naengineering.uk  ·  adrian@naengineering.uk  ·  +48 505 844 422&amp;C&amp;7 &amp;K8A8A8A&amp;P / &amp;N&amp;R&amp;7 &amp;K8A8A8ANAE-RC-001  v1.0</oddFooter>
    <evenHeader/>
    <evenFooter/>
    <firstHeader/>
    <firstFooter/>
  </headerFooter>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DC19"/>
  <sheetViews>
    <sheetView tabSelected="0" workbookViewId="0">
      <selection activeCell="A1" sqref="A1"/>
    </sheetView>
  </sheetViews>
  <sheetFormatPr baseColWidth="8" defaultRowHeight="15"/>
  <sheetData>
    <row r="1">
      <c r="A1" t="inlineStr">
        <is>
          <t>Coordinates for the live drawings (mm). Generated - do not edit.</t>
        </is>
      </c>
    </row>
    <row r="2">
      <c r="A2" t="inlineStr">
        <is>
          <t>face</t>
        </is>
      </c>
      <c r="D2" t="inlineStr">
        <is>
          <t>cut</t>
        </is>
      </c>
      <c r="G2" t="inlineStr">
        <is>
          <t>cut2</t>
        </is>
      </c>
      <c r="J2" t="inlineStr">
        <is>
          <t>bar 0</t>
        </is>
      </c>
      <c r="M2" t="inlineStr">
        <is>
          <t>bar 1</t>
        </is>
      </c>
      <c r="P2" t="inlineStr">
        <is>
          <t>bar 2</t>
        </is>
      </c>
      <c r="S2" t="inlineStr">
        <is>
          <t>bar 3</t>
        </is>
      </c>
      <c r="V2" t="inlineStr">
        <is>
          <t>dim</t>
        </is>
      </c>
      <c r="Y2">
        <f>"c = "&amp;TEXT(c_nom,"0")</f>
        <v/>
      </c>
      <c r="AB2" t="inlineStr">
        <is>
          <t>dim</t>
        </is>
      </c>
      <c r="AE2">
        <f>"s = "&amp;TEXT(s_bar,"0")</f>
        <v/>
      </c>
      <c r="AH2" t="inlineStr">
        <is>
          <t>dim</t>
        </is>
      </c>
      <c r="AK2">
        <f>"a = "&amp;TEXT(s_bar-phi,"0")</f>
        <v/>
      </c>
      <c r="AN2">
        <f>"φ"&amp;phi</f>
        <v/>
      </c>
      <c r="AQ2" t="inlineStr">
        <is>
          <t>frame</t>
        </is>
      </c>
      <c r="AT2" t="inlineStr">
        <is>
          <t>l₀ tension a</t>
        </is>
      </c>
      <c r="AW2" t="inlineStr">
        <is>
          <t>l₀ tension b</t>
        </is>
      </c>
      <c r="AZ2" t="inlineStr">
        <is>
          <t>dim</t>
        </is>
      </c>
      <c r="BC2">
        <f>"l₀ = "&amp;CEILING(l_0_t,5)&amp;"  ("&amp;TEXT(CEILING(l_0_t,5)/phi,"0")&amp;"φ)"</f>
        <v/>
      </c>
      <c r="BF2" t="inlineStr">
        <is>
          <t>tension</t>
        </is>
      </c>
      <c r="BI2" t="inlineStr">
        <is>
          <t>l₀ compression a</t>
        </is>
      </c>
      <c r="BL2" t="inlineStr">
        <is>
          <t>l₀ compression b</t>
        </is>
      </c>
      <c r="BO2" t="inlineStr">
        <is>
          <t>dim</t>
        </is>
      </c>
      <c r="BR2">
        <f>"l₀ = "&amp;CEILING(l_0_c,5)&amp;"  ("&amp;TEXT(CEILING(l_0_c,5)/phi,"0")&amp;"φ)"</f>
        <v/>
      </c>
      <c r="BU2" t="inlineStr">
        <is>
          <t>compression</t>
        </is>
      </c>
      <c r="BX2" t="inlineStr">
        <is>
          <t>lbd tension face</t>
        </is>
      </c>
      <c r="CA2" t="inlineStr">
        <is>
          <t>lbd tension</t>
        </is>
      </c>
      <c r="CD2" t="inlineStr">
        <is>
          <t>dim</t>
        </is>
      </c>
      <c r="CG2">
        <f>"lbd = "&amp;CEILING(l_bd_t,5)&amp;"  ("&amp;TEXT(CEILING(l_bd_t,5)/phi,"0")&amp;"φ)"</f>
        <v/>
      </c>
      <c r="CJ2" t="inlineStr">
        <is>
          <t>tension</t>
        </is>
      </c>
      <c r="CM2" t="inlineStr">
        <is>
          <t>lbd compression face</t>
        </is>
      </c>
      <c r="CP2" t="inlineStr">
        <is>
          <t>lbd compression</t>
        </is>
      </c>
      <c r="CS2" t="inlineStr">
        <is>
          <t>dim</t>
        </is>
      </c>
      <c r="CV2">
        <f>"lbd = "&amp;CEILING(l_bd_c,5)&amp;"  ("&amp;TEXT(CEILING(l_bd_c,5)/phi,"0")&amp;"φ)"</f>
        <v/>
      </c>
      <c r="CY2" t="inlineStr">
        <is>
          <t>compression</t>
        </is>
      </c>
      <c r="DB2" t="inlineStr">
        <is>
          <t>frame</t>
        </is>
      </c>
    </row>
    <row r="3">
      <c r="A3">
        <f>0</f>
        <v/>
      </c>
      <c r="B3">
        <f>0</f>
        <v/>
      </c>
      <c r="D3">
        <f>0</f>
        <v/>
      </c>
      <c r="E3">
        <f>0</f>
        <v/>
      </c>
      <c r="G3">
        <f>4*s_bar</f>
        <v/>
      </c>
      <c r="H3">
        <f>0</f>
        <v/>
      </c>
      <c r="J3">
        <f>(s_bar/2+0*s_bar)+(phi/2)*1.000000</f>
        <v/>
      </c>
      <c r="K3">
        <f>(c_nom+phi/2)+(phi/2)*0.000000</f>
        <v/>
      </c>
      <c r="M3">
        <f>(s_bar/2+1*s_bar)+(phi/2)*1.000000</f>
        <v/>
      </c>
      <c r="N3">
        <f>(c_nom+phi/2)+(phi/2)*0.000000</f>
        <v/>
      </c>
      <c r="P3">
        <f>(s_bar/2+2*s_bar)+(phi/2)*1.000000</f>
        <v/>
      </c>
      <c r="Q3">
        <f>(c_nom+phi/2)+(phi/2)*0.000000</f>
        <v/>
      </c>
      <c r="S3">
        <f>(s_bar/2+3*s_bar)+(phi/2)*1.000000</f>
        <v/>
      </c>
      <c r="T3">
        <f>(c_nom+phi/2)+(phi/2)*0.000000</f>
        <v/>
      </c>
      <c r="V3">
        <f>IF(TRUE,0.5*s_bar,NA())</f>
        <v/>
      </c>
      <c r="W3">
        <f>IF(TRUE,0,NA())</f>
        <v/>
      </c>
      <c r="Y3">
        <f>IF(TRUE,((0.5*s_bar)+(0.5*s_bar))/2,NA())</f>
        <v/>
      </c>
      <c r="Z3">
        <f>IF(TRUE,((0)+(c_nom))/2,NA())</f>
        <v/>
      </c>
      <c r="AB3">
        <f>IF(TRUE,1.5*s_bar,NA())</f>
        <v/>
      </c>
      <c r="AC3">
        <f>IF(TRUE,c_nom+1.6*phi+0.1*s_bar,NA())</f>
        <v/>
      </c>
      <c r="AE3">
        <f>IF(TRUE,((1.5*s_bar)+(2.5*s_bar))/2,NA())</f>
        <v/>
      </c>
      <c r="AF3">
        <f>IF(TRUE,((c_nom+1.6*phi+0.1*s_bar)+(c_nom+1.6*phi+0.1*s_bar))/2,NA())</f>
        <v/>
      </c>
      <c r="AH3">
        <f>IF(TRUE,2.5*s_bar+phi/2,NA())</f>
        <v/>
      </c>
      <c r="AI3">
        <f>IF(TRUE,c_nom+phi/2,NA())</f>
        <v/>
      </c>
      <c r="AK3">
        <f>IF(TRUE,((2.5*s_bar+phi/2)+(3.5*s_bar-phi/2))/2,NA())</f>
        <v/>
      </c>
      <c r="AL3">
        <f>IF(TRUE,((c_nom+phi/2)+(c_nom+phi/2))/2,NA())</f>
        <v/>
      </c>
      <c r="AN3">
        <f>0.5*s_bar</f>
        <v/>
      </c>
      <c r="AO3">
        <f>c_nom+phi</f>
        <v/>
      </c>
      <c r="AQ3">
        <f>((0)+(4*s_bar))/2-MAX((2*c_nom+phi+s_bar/2)-(0),((4*s_bar)-(0))/1.55)*0.58*1.55</f>
        <v/>
      </c>
      <c r="AR3">
        <f>((0)+(2*c_nom+phi+s_bar/2))/2-MAX((2*c_nom+phi+s_bar/2)-(0),((4*s_bar)-(0))/1.55)*0.58</f>
        <v/>
      </c>
      <c r="AT3">
        <f>-0.25*MAX(l_0_t,l_0_c,l_bd_t,l_bd_c)</f>
        <v/>
      </c>
      <c r="AU3">
        <f>3*(0.2*MAX(l_0_t,l_0_c,l_bd_t,l_bd_c))</f>
        <v/>
      </c>
      <c r="AW3">
        <f>0</f>
        <v/>
      </c>
      <c r="AX3">
        <f>3*(0.2*MAX(l_0_t,l_0_c,l_bd_t,l_bd_c))+0.12*(0.2*MAX(l_0_t,l_0_c,l_bd_t,l_bd_c))</f>
        <v/>
      </c>
      <c r="AZ3">
        <f>IF(TRUE,0,NA())</f>
        <v/>
      </c>
      <c r="BA3">
        <f>IF(TRUE,3*(0.2*MAX(l_0_t,l_0_c,l_bd_t,l_bd_c))+0.4*(0.2*MAX(l_0_t,l_0_c,l_bd_t,l_bd_c)),NA())</f>
        <v/>
      </c>
      <c r="BC3">
        <f>IF(TRUE,((0)+(CEILING(l_0_t,5)))/2,NA())</f>
        <v/>
      </c>
      <c r="BD3">
        <f>IF(TRUE,((3*(0.2*MAX(l_0_t,l_0_c,l_bd_t,l_bd_c))+0.4*(0.2*MAX(l_0_t,l_0_c,l_bd_t,l_bd_c)))+(3*(0.2*MAX(l_0_t,l_0_c,l_bd_t,l_bd_c))+0.4*(0.2*MAX(l_0_t,l_0_c,l_bd_t,l_bd_c))))/2,NA())</f>
        <v/>
      </c>
      <c r="BF3">
        <f>-0.27*MAX(l_0_t,l_0_c,l_bd_t,l_bd_c)</f>
        <v/>
      </c>
      <c r="BG3">
        <f>3*(0.2*MAX(l_0_t,l_0_c,l_bd_t,l_bd_c))</f>
        <v/>
      </c>
      <c r="BI3">
        <f>-0.25*MAX(l_0_t,l_0_c,l_bd_t,l_bd_c)</f>
        <v/>
      </c>
      <c r="BJ3">
        <f>2*(0.2*MAX(l_0_t,l_0_c,l_bd_t,l_bd_c))</f>
        <v/>
      </c>
      <c r="BL3">
        <f>0</f>
        <v/>
      </c>
      <c r="BM3">
        <f>2*(0.2*MAX(l_0_t,l_0_c,l_bd_t,l_bd_c))+0.12*(0.2*MAX(l_0_t,l_0_c,l_bd_t,l_bd_c))</f>
        <v/>
      </c>
      <c r="BO3">
        <f>IF(TRUE,0,NA())</f>
        <v/>
      </c>
      <c r="BP3">
        <f>IF(TRUE,2*(0.2*MAX(l_0_t,l_0_c,l_bd_t,l_bd_c))+0.4*(0.2*MAX(l_0_t,l_0_c,l_bd_t,l_bd_c)),NA())</f>
        <v/>
      </c>
      <c r="BR3">
        <f>IF(TRUE,((0)+(CEILING(l_0_c,5)))/2,NA())</f>
        <v/>
      </c>
      <c r="BS3">
        <f>IF(TRUE,((2*(0.2*MAX(l_0_t,l_0_c,l_bd_t,l_bd_c))+0.4*(0.2*MAX(l_0_t,l_0_c,l_bd_t,l_bd_c)))+(2*(0.2*MAX(l_0_t,l_0_c,l_bd_t,l_bd_c))+0.4*(0.2*MAX(l_0_t,l_0_c,l_bd_t,l_bd_c))))/2,NA())</f>
        <v/>
      </c>
      <c r="BU3">
        <f>-0.27*MAX(l_0_t,l_0_c,l_bd_t,l_bd_c)</f>
        <v/>
      </c>
      <c r="BV3">
        <f>2*(0.2*MAX(l_0_t,l_0_c,l_bd_t,l_bd_c))</f>
        <v/>
      </c>
      <c r="BX3">
        <f>0</f>
        <v/>
      </c>
      <c r="BY3">
        <f>1*(0.2*MAX(l_0_t,l_0_c,l_bd_t,l_bd_c))-0.3*(0.2*MAX(l_0_t,l_0_c,l_bd_t,l_bd_c))</f>
        <v/>
      </c>
      <c r="CA3">
        <f>-0.25*MAX(l_0_t,l_0_c,l_bd_t,l_bd_c)</f>
        <v/>
      </c>
      <c r="CB3">
        <f>1*(0.2*MAX(l_0_t,l_0_c,l_bd_t,l_bd_c))</f>
        <v/>
      </c>
      <c r="CD3">
        <f>IF(TRUE,0,NA())</f>
        <v/>
      </c>
      <c r="CE3">
        <f>IF(TRUE,1*(0.2*MAX(l_0_t,l_0_c,l_bd_t,l_bd_c))+0.4*(0.2*MAX(l_0_t,l_0_c,l_bd_t,l_bd_c)),NA())</f>
        <v/>
      </c>
      <c r="CG3">
        <f>IF(TRUE,((0)+(CEILING(l_bd_t,5)))/2,NA())</f>
        <v/>
      </c>
      <c r="CH3">
        <f>IF(TRUE,((1*(0.2*MAX(l_0_t,l_0_c,l_bd_t,l_bd_c))+0.4*(0.2*MAX(l_0_t,l_0_c,l_bd_t,l_bd_c)))+(1*(0.2*MAX(l_0_t,l_0_c,l_bd_t,l_bd_c))+0.4*(0.2*MAX(l_0_t,l_0_c,l_bd_t,l_bd_c))))/2,NA())</f>
        <v/>
      </c>
      <c r="CJ3">
        <f>-0.27*MAX(l_0_t,l_0_c,l_bd_t,l_bd_c)</f>
        <v/>
      </c>
      <c r="CK3">
        <f>1*(0.2*MAX(l_0_t,l_0_c,l_bd_t,l_bd_c))</f>
        <v/>
      </c>
      <c r="CM3">
        <f>0</f>
        <v/>
      </c>
      <c r="CN3">
        <f>0*(0.2*MAX(l_0_t,l_0_c,l_bd_t,l_bd_c))-0.3*(0.2*MAX(l_0_t,l_0_c,l_bd_t,l_bd_c))</f>
        <v/>
      </c>
      <c r="CP3">
        <f>-0.25*MAX(l_0_t,l_0_c,l_bd_t,l_bd_c)</f>
        <v/>
      </c>
      <c r="CQ3">
        <f>0*(0.2*MAX(l_0_t,l_0_c,l_bd_t,l_bd_c))</f>
        <v/>
      </c>
      <c r="CS3">
        <f>IF(TRUE,0,NA())</f>
        <v/>
      </c>
      <c r="CT3">
        <f>IF(TRUE,0*(0.2*MAX(l_0_t,l_0_c,l_bd_t,l_bd_c))+0.4*(0.2*MAX(l_0_t,l_0_c,l_bd_t,l_bd_c)),NA())</f>
        <v/>
      </c>
      <c r="CV3">
        <f>IF(TRUE,((0)+(CEILING(l_bd_c,5)))/2,NA())</f>
        <v/>
      </c>
      <c r="CW3">
        <f>IF(TRUE,((0*(0.2*MAX(l_0_t,l_0_c,l_bd_t,l_bd_c))+0.4*(0.2*MAX(l_0_t,l_0_c,l_bd_t,l_bd_c)))+(0*(0.2*MAX(l_0_t,l_0_c,l_bd_t,l_bd_c))+0.4*(0.2*MAX(l_0_t,l_0_c,l_bd_t,l_bd_c))))/2,NA())</f>
        <v/>
      </c>
      <c r="CY3">
        <f>-0.27*MAX(l_0_t,l_0_c,l_bd_t,l_bd_c)</f>
        <v/>
      </c>
      <c r="CZ3">
        <f>0*(0.2*MAX(l_0_t,l_0_c,l_bd_t,l_bd_c))</f>
        <v/>
      </c>
      <c r="DB3">
        <f>((-0.5*MAX(l_0_t,l_0_c,l_bd_t,l_bd_c))+(1.3*MAX(l_0_t,l_0_c,l_bd_t,l_bd_c)))/2-MAX((3.8*(0.2*MAX(l_0_t,l_0_c,l_bd_t,l_bd_c)))-(-0.4*(0.2*MAX(l_0_t,l_0_c,l_bd_t,l_bd_c))),((1.3*MAX(l_0_t,l_0_c,l_bd_t,l_bd_c))-(-0.5*MAX(l_0_t,l_0_c,l_bd_t,l_bd_c)))/1.55)*0.58*1.55</f>
        <v/>
      </c>
      <c r="DC3">
        <f>((-0.4*(0.2*MAX(l_0_t,l_0_c,l_bd_t,l_bd_c)))+(3.8*(0.2*MAX(l_0_t,l_0_c,l_bd_t,l_bd_c))))/2-MAX((3.8*(0.2*MAX(l_0_t,l_0_c,l_bd_t,l_bd_c)))-(-0.4*(0.2*MAX(l_0_t,l_0_c,l_bd_t,l_bd_c))),((1.3*MAX(l_0_t,l_0_c,l_bd_t,l_bd_c))-(-0.5*MAX(l_0_t,l_0_c,l_bd_t,l_bd_c)))/1.55)*0.58</f>
        <v/>
      </c>
    </row>
    <row r="4">
      <c r="A4">
        <f>4*s_bar</f>
        <v/>
      </c>
      <c r="B4">
        <f>0</f>
        <v/>
      </c>
      <c r="D4">
        <f>0</f>
        <v/>
      </c>
      <c r="E4">
        <f>2*c_nom+phi+s_bar/2</f>
        <v/>
      </c>
      <c r="G4">
        <f>4*s_bar</f>
        <v/>
      </c>
      <c r="H4">
        <f>2*c_nom+phi+s_bar/2</f>
        <v/>
      </c>
      <c r="J4">
        <f>(s_bar/2+0*s_bar)+(phi/2)*0.923880</f>
        <v/>
      </c>
      <c r="K4">
        <f>(c_nom+phi/2)+(phi/2)*0.382683</f>
        <v/>
      </c>
      <c r="M4">
        <f>(s_bar/2+1*s_bar)+(phi/2)*0.923880</f>
        <v/>
      </c>
      <c r="N4">
        <f>(c_nom+phi/2)+(phi/2)*0.382683</f>
        <v/>
      </c>
      <c r="P4">
        <f>(s_bar/2+2*s_bar)+(phi/2)*0.923880</f>
        <v/>
      </c>
      <c r="Q4">
        <f>(c_nom+phi/2)+(phi/2)*0.382683</f>
        <v/>
      </c>
      <c r="S4">
        <f>(s_bar/2+3*s_bar)+(phi/2)*0.923880</f>
        <v/>
      </c>
      <c r="T4">
        <f>(c_nom+phi/2)+(phi/2)*0.382683</f>
        <v/>
      </c>
      <c r="V4">
        <f>IF(TRUE,0.5*s_bar,NA())</f>
        <v/>
      </c>
      <c r="W4">
        <f>IF(TRUE,c_nom,NA())</f>
        <v/>
      </c>
      <c r="AB4">
        <f>IF(TRUE,2.5*s_bar,NA())</f>
        <v/>
      </c>
      <c r="AC4">
        <f>IF(TRUE,c_nom+1.6*phi+0.1*s_bar,NA())</f>
        <v/>
      </c>
      <c r="AH4">
        <f>IF(TRUE,3.5*s_bar-phi/2,NA())</f>
        <v/>
      </c>
      <c r="AI4">
        <f>IF(TRUE,c_nom+phi/2,NA())</f>
        <v/>
      </c>
      <c r="AQ4">
        <f>((0)+(4*s_bar))/2+MAX((2*c_nom+phi+s_bar/2)-(0),((4*s_bar)-(0))/1.55)*0.58*1.55</f>
        <v/>
      </c>
      <c r="AR4">
        <f>((0)+(2*c_nom+phi+s_bar/2))/2+MAX((2*c_nom+phi+s_bar/2)-(0),((4*s_bar)-(0))/1.55)*0.58</f>
        <v/>
      </c>
      <c r="AT4">
        <f>CEILING(l_0_t,5)</f>
        <v/>
      </c>
      <c r="AU4">
        <f>3*(0.2*MAX(l_0_t,l_0_c,l_bd_t,l_bd_c))</f>
        <v/>
      </c>
      <c r="AW4">
        <f>CEILING(l_0_t,5)+0.25*MAX(l_0_t,l_0_c,l_bd_t,l_bd_c)</f>
        <v/>
      </c>
      <c r="AX4">
        <f>3*(0.2*MAX(l_0_t,l_0_c,l_bd_t,l_bd_c))+0.12*(0.2*MAX(l_0_t,l_0_c,l_bd_t,l_bd_c))</f>
        <v/>
      </c>
      <c r="AZ4">
        <f>IF(TRUE,CEILING(l_0_t,5),NA())</f>
        <v/>
      </c>
      <c r="BA4">
        <f>IF(TRUE,3*(0.2*MAX(l_0_t,l_0_c,l_bd_t,l_bd_c))+0.4*(0.2*MAX(l_0_t,l_0_c,l_bd_t,l_bd_c)),NA())</f>
        <v/>
      </c>
      <c r="BI4">
        <f>CEILING(l_0_c,5)</f>
        <v/>
      </c>
      <c r="BJ4">
        <f>2*(0.2*MAX(l_0_t,l_0_c,l_bd_t,l_bd_c))</f>
        <v/>
      </c>
      <c r="BL4">
        <f>CEILING(l_0_c,5)+0.25*MAX(l_0_t,l_0_c,l_bd_t,l_bd_c)</f>
        <v/>
      </c>
      <c r="BM4">
        <f>2*(0.2*MAX(l_0_t,l_0_c,l_bd_t,l_bd_c))+0.12*(0.2*MAX(l_0_t,l_0_c,l_bd_t,l_bd_c))</f>
        <v/>
      </c>
      <c r="BO4">
        <f>IF(TRUE,CEILING(l_0_c,5),NA())</f>
        <v/>
      </c>
      <c r="BP4">
        <f>IF(TRUE,2*(0.2*MAX(l_0_t,l_0_c,l_bd_t,l_bd_c))+0.4*(0.2*MAX(l_0_t,l_0_c,l_bd_t,l_bd_c)),NA())</f>
        <v/>
      </c>
      <c r="BX4">
        <f>0</f>
        <v/>
      </c>
      <c r="BY4">
        <f>1*(0.2*MAX(l_0_t,l_0_c,l_bd_t,l_bd_c))+0.3*(0.2*MAX(l_0_t,l_0_c,l_bd_t,l_bd_c))</f>
        <v/>
      </c>
      <c r="CA4">
        <f>CEILING(l_bd_t,5)</f>
        <v/>
      </c>
      <c r="CB4">
        <f>1*(0.2*MAX(l_0_t,l_0_c,l_bd_t,l_bd_c))</f>
        <v/>
      </c>
      <c r="CD4">
        <f>IF(TRUE,CEILING(l_bd_t,5),NA())</f>
        <v/>
      </c>
      <c r="CE4">
        <f>IF(TRUE,1*(0.2*MAX(l_0_t,l_0_c,l_bd_t,l_bd_c))+0.4*(0.2*MAX(l_0_t,l_0_c,l_bd_t,l_bd_c)),NA())</f>
        <v/>
      </c>
      <c r="CM4">
        <f>0</f>
        <v/>
      </c>
      <c r="CN4">
        <f>0*(0.2*MAX(l_0_t,l_0_c,l_bd_t,l_bd_c))+0.3*(0.2*MAX(l_0_t,l_0_c,l_bd_t,l_bd_c))</f>
        <v/>
      </c>
      <c r="CP4">
        <f>CEILING(l_bd_c,5)</f>
        <v/>
      </c>
      <c r="CQ4">
        <f>0*(0.2*MAX(l_0_t,l_0_c,l_bd_t,l_bd_c))</f>
        <v/>
      </c>
      <c r="CS4">
        <f>IF(TRUE,CEILING(l_bd_c,5),NA())</f>
        <v/>
      </c>
      <c r="CT4">
        <f>IF(TRUE,0*(0.2*MAX(l_0_t,l_0_c,l_bd_t,l_bd_c))+0.4*(0.2*MAX(l_0_t,l_0_c,l_bd_t,l_bd_c)),NA())</f>
        <v/>
      </c>
      <c r="DB4">
        <f>((-0.5*MAX(l_0_t,l_0_c,l_bd_t,l_bd_c))+(1.3*MAX(l_0_t,l_0_c,l_bd_t,l_bd_c)))/2+MAX((3.8*(0.2*MAX(l_0_t,l_0_c,l_bd_t,l_bd_c)))-(-0.4*(0.2*MAX(l_0_t,l_0_c,l_bd_t,l_bd_c))),((1.3*MAX(l_0_t,l_0_c,l_bd_t,l_bd_c))-(-0.5*MAX(l_0_t,l_0_c,l_bd_t,l_bd_c)))/1.55)*0.58*1.55</f>
        <v/>
      </c>
      <c r="DC4">
        <f>((-0.4*(0.2*MAX(l_0_t,l_0_c,l_bd_t,l_bd_c)))+(3.8*(0.2*MAX(l_0_t,l_0_c,l_bd_t,l_bd_c))))/2+MAX((3.8*(0.2*MAX(l_0_t,l_0_c,l_bd_t,l_bd_c)))-(-0.4*(0.2*MAX(l_0_t,l_0_c,l_bd_t,l_bd_c))),((1.3*MAX(l_0_t,l_0_c,l_bd_t,l_bd_c))-(-0.5*MAX(l_0_t,l_0_c,l_bd_t,l_bd_c)))/1.55)*0.58</f>
        <v/>
      </c>
    </row>
    <row r="5">
      <c r="J5">
        <f>(s_bar/2+0*s_bar)+(phi/2)*0.707107</f>
        <v/>
      </c>
      <c r="K5">
        <f>(c_nom+phi/2)+(phi/2)*0.707107</f>
        <v/>
      </c>
      <c r="M5">
        <f>(s_bar/2+1*s_bar)+(phi/2)*0.707107</f>
        <v/>
      </c>
      <c r="N5">
        <f>(c_nom+phi/2)+(phi/2)*0.707107</f>
        <v/>
      </c>
      <c r="P5">
        <f>(s_bar/2+2*s_bar)+(phi/2)*0.707107</f>
        <v/>
      </c>
      <c r="Q5">
        <f>(c_nom+phi/2)+(phi/2)*0.707107</f>
        <v/>
      </c>
      <c r="S5">
        <f>(s_bar/2+3*s_bar)+(phi/2)*0.707107</f>
        <v/>
      </c>
      <c r="T5">
        <f>(c_nom+phi/2)+(phi/2)*0.707107</f>
        <v/>
      </c>
    </row>
    <row r="6">
      <c r="J6">
        <f>(s_bar/2+0*s_bar)+(phi/2)*0.382683</f>
        <v/>
      </c>
      <c r="K6">
        <f>(c_nom+phi/2)+(phi/2)*0.923880</f>
        <v/>
      </c>
      <c r="M6">
        <f>(s_bar/2+1*s_bar)+(phi/2)*0.382683</f>
        <v/>
      </c>
      <c r="N6">
        <f>(c_nom+phi/2)+(phi/2)*0.923880</f>
        <v/>
      </c>
      <c r="P6">
        <f>(s_bar/2+2*s_bar)+(phi/2)*0.382683</f>
        <v/>
      </c>
      <c r="Q6">
        <f>(c_nom+phi/2)+(phi/2)*0.923880</f>
        <v/>
      </c>
      <c r="S6">
        <f>(s_bar/2+3*s_bar)+(phi/2)*0.382683</f>
        <v/>
      </c>
      <c r="T6">
        <f>(c_nom+phi/2)+(phi/2)*0.923880</f>
        <v/>
      </c>
    </row>
    <row r="7">
      <c r="J7">
        <f>(s_bar/2+0*s_bar)+(phi/2)*0.000000</f>
        <v/>
      </c>
      <c r="K7">
        <f>(c_nom+phi/2)+(phi/2)*1.000000</f>
        <v/>
      </c>
      <c r="M7">
        <f>(s_bar/2+1*s_bar)+(phi/2)*0.000000</f>
        <v/>
      </c>
      <c r="N7">
        <f>(c_nom+phi/2)+(phi/2)*1.000000</f>
        <v/>
      </c>
      <c r="P7">
        <f>(s_bar/2+2*s_bar)+(phi/2)*0.000000</f>
        <v/>
      </c>
      <c r="Q7">
        <f>(c_nom+phi/2)+(phi/2)*1.000000</f>
        <v/>
      </c>
      <c r="S7">
        <f>(s_bar/2+3*s_bar)+(phi/2)*0.000000</f>
        <v/>
      </c>
      <c r="T7">
        <f>(c_nom+phi/2)+(phi/2)*1.000000</f>
        <v/>
      </c>
    </row>
    <row r="8">
      <c r="J8">
        <f>(s_bar/2+0*s_bar)+(phi/2)*-0.382683</f>
        <v/>
      </c>
      <c r="K8">
        <f>(c_nom+phi/2)+(phi/2)*0.923880</f>
        <v/>
      </c>
      <c r="M8">
        <f>(s_bar/2+1*s_bar)+(phi/2)*-0.382683</f>
        <v/>
      </c>
      <c r="N8">
        <f>(c_nom+phi/2)+(phi/2)*0.923880</f>
        <v/>
      </c>
      <c r="P8">
        <f>(s_bar/2+2*s_bar)+(phi/2)*-0.382683</f>
        <v/>
      </c>
      <c r="Q8">
        <f>(c_nom+phi/2)+(phi/2)*0.923880</f>
        <v/>
      </c>
      <c r="S8">
        <f>(s_bar/2+3*s_bar)+(phi/2)*-0.382683</f>
        <v/>
      </c>
      <c r="T8">
        <f>(c_nom+phi/2)+(phi/2)*0.923880</f>
        <v/>
      </c>
    </row>
    <row r="9">
      <c r="J9">
        <f>(s_bar/2+0*s_bar)+(phi/2)*-0.707107</f>
        <v/>
      </c>
      <c r="K9">
        <f>(c_nom+phi/2)+(phi/2)*0.707107</f>
        <v/>
      </c>
      <c r="M9">
        <f>(s_bar/2+1*s_bar)+(phi/2)*-0.707107</f>
        <v/>
      </c>
      <c r="N9">
        <f>(c_nom+phi/2)+(phi/2)*0.707107</f>
        <v/>
      </c>
      <c r="P9">
        <f>(s_bar/2+2*s_bar)+(phi/2)*-0.707107</f>
        <v/>
      </c>
      <c r="Q9">
        <f>(c_nom+phi/2)+(phi/2)*0.707107</f>
        <v/>
      </c>
      <c r="S9">
        <f>(s_bar/2+3*s_bar)+(phi/2)*-0.707107</f>
        <v/>
      </c>
      <c r="T9">
        <f>(c_nom+phi/2)+(phi/2)*0.707107</f>
        <v/>
      </c>
    </row>
    <row r="10">
      <c r="J10">
        <f>(s_bar/2+0*s_bar)+(phi/2)*-0.923880</f>
        <v/>
      </c>
      <c r="K10">
        <f>(c_nom+phi/2)+(phi/2)*0.382683</f>
        <v/>
      </c>
      <c r="M10">
        <f>(s_bar/2+1*s_bar)+(phi/2)*-0.923880</f>
        <v/>
      </c>
      <c r="N10">
        <f>(c_nom+phi/2)+(phi/2)*0.382683</f>
        <v/>
      </c>
      <c r="P10">
        <f>(s_bar/2+2*s_bar)+(phi/2)*-0.923880</f>
        <v/>
      </c>
      <c r="Q10">
        <f>(c_nom+phi/2)+(phi/2)*0.382683</f>
        <v/>
      </c>
      <c r="S10">
        <f>(s_bar/2+3*s_bar)+(phi/2)*-0.923880</f>
        <v/>
      </c>
      <c r="T10">
        <f>(c_nom+phi/2)+(phi/2)*0.382683</f>
        <v/>
      </c>
    </row>
    <row r="11">
      <c r="J11">
        <f>(s_bar/2+0*s_bar)+(phi/2)*-1.000000</f>
        <v/>
      </c>
      <c r="K11">
        <f>(c_nom+phi/2)+(phi/2)*0.000000</f>
        <v/>
      </c>
      <c r="M11">
        <f>(s_bar/2+1*s_bar)+(phi/2)*-1.000000</f>
        <v/>
      </c>
      <c r="N11">
        <f>(c_nom+phi/2)+(phi/2)*0.000000</f>
        <v/>
      </c>
      <c r="P11">
        <f>(s_bar/2+2*s_bar)+(phi/2)*-1.000000</f>
        <v/>
      </c>
      <c r="Q11">
        <f>(c_nom+phi/2)+(phi/2)*0.000000</f>
        <v/>
      </c>
      <c r="S11">
        <f>(s_bar/2+3*s_bar)+(phi/2)*-1.000000</f>
        <v/>
      </c>
      <c r="T11">
        <f>(c_nom+phi/2)+(phi/2)*0.000000</f>
        <v/>
      </c>
    </row>
    <row r="12">
      <c r="J12">
        <f>(s_bar/2+0*s_bar)+(phi/2)*-0.923880</f>
        <v/>
      </c>
      <c r="K12">
        <f>(c_nom+phi/2)+(phi/2)*-0.382683</f>
        <v/>
      </c>
      <c r="M12">
        <f>(s_bar/2+1*s_bar)+(phi/2)*-0.923880</f>
        <v/>
      </c>
      <c r="N12">
        <f>(c_nom+phi/2)+(phi/2)*-0.382683</f>
        <v/>
      </c>
      <c r="P12">
        <f>(s_bar/2+2*s_bar)+(phi/2)*-0.923880</f>
        <v/>
      </c>
      <c r="Q12">
        <f>(c_nom+phi/2)+(phi/2)*-0.382683</f>
        <v/>
      </c>
      <c r="S12">
        <f>(s_bar/2+3*s_bar)+(phi/2)*-0.923880</f>
        <v/>
      </c>
      <c r="T12">
        <f>(c_nom+phi/2)+(phi/2)*-0.382683</f>
        <v/>
      </c>
    </row>
    <row r="13">
      <c r="J13">
        <f>(s_bar/2+0*s_bar)+(phi/2)*-0.707107</f>
        <v/>
      </c>
      <c r="K13">
        <f>(c_nom+phi/2)+(phi/2)*-0.707107</f>
        <v/>
      </c>
      <c r="M13">
        <f>(s_bar/2+1*s_bar)+(phi/2)*-0.707107</f>
        <v/>
      </c>
      <c r="N13">
        <f>(c_nom+phi/2)+(phi/2)*-0.707107</f>
        <v/>
      </c>
      <c r="P13">
        <f>(s_bar/2+2*s_bar)+(phi/2)*-0.707107</f>
        <v/>
      </c>
      <c r="Q13">
        <f>(c_nom+phi/2)+(phi/2)*-0.707107</f>
        <v/>
      </c>
      <c r="S13">
        <f>(s_bar/2+3*s_bar)+(phi/2)*-0.707107</f>
        <v/>
      </c>
      <c r="T13">
        <f>(c_nom+phi/2)+(phi/2)*-0.707107</f>
        <v/>
      </c>
    </row>
    <row r="14">
      <c r="J14">
        <f>(s_bar/2+0*s_bar)+(phi/2)*-0.382683</f>
        <v/>
      </c>
      <c r="K14">
        <f>(c_nom+phi/2)+(phi/2)*-0.923880</f>
        <v/>
      </c>
      <c r="M14">
        <f>(s_bar/2+1*s_bar)+(phi/2)*-0.382683</f>
        <v/>
      </c>
      <c r="N14">
        <f>(c_nom+phi/2)+(phi/2)*-0.923880</f>
        <v/>
      </c>
      <c r="P14">
        <f>(s_bar/2+2*s_bar)+(phi/2)*-0.382683</f>
        <v/>
      </c>
      <c r="Q14">
        <f>(c_nom+phi/2)+(phi/2)*-0.923880</f>
        <v/>
      </c>
      <c r="S14">
        <f>(s_bar/2+3*s_bar)+(phi/2)*-0.382683</f>
        <v/>
      </c>
      <c r="T14">
        <f>(c_nom+phi/2)+(phi/2)*-0.923880</f>
        <v/>
      </c>
    </row>
    <row r="15">
      <c r="J15">
        <f>(s_bar/2+0*s_bar)+(phi/2)*-0.000000</f>
        <v/>
      </c>
      <c r="K15">
        <f>(c_nom+phi/2)+(phi/2)*-1.000000</f>
        <v/>
      </c>
      <c r="M15">
        <f>(s_bar/2+1*s_bar)+(phi/2)*-0.000000</f>
        <v/>
      </c>
      <c r="N15">
        <f>(c_nom+phi/2)+(phi/2)*-1.000000</f>
        <v/>
      </c>
      <c r="P15">
        <f>(s_bar/2+2*s_bar)+(phi/2)*-0.000000</f>
        <v/>
      </c>
      <c r="Q15">
        <f>(c_nom+phi/2)+(phi/2)*-1.000000</f>
        <v/>
      </c>
      <c r="S15">
        <f>(s_bar/2+3*s_bar)+(phi/2)*-0.000000</f>
        <v/>
      </c>
      <c r="T15">
        <f>(c_nom+phi/2)+(phi/2)*-1.000000</f>
        <v/>
      </c>
    </row>
    <row r="16">
      <c r="J16">
        <f>(s_bar/2+0*s_bar)+(phi/2)*0.382683</f>
        <v/>
      </c>
      <c r="K16">
        <f>(c_nom+phi/2)+(phi/2)*-0.923880</f>
        <v/>
      </c>
      <c r="M16">
        <f>(s_bar/2+1*s_bar)+(phi/2)*0.382683</f>
        <v/>
      </c>
      <c r="N16">
        <f>(c_nom+phi/2)+(phi/2)*-0.923880</f>
        <v/>
      </c>
      <c r="P16">
        <f>(s_bar/2+2*s_bar)+(phi/2)*0.382683</f>
        <v/>
      </c>
      <c r="Q16">
        <f>(c_nom+phi/2)+(phi/2)*-0.923880</f>
        <v/>
      </c>
      <c r="S16">
        <f>(s_bar/2+3*s_bar)+(phi/2)*0.382683</f>
        <v/>
      </c>
      <c r="T16">
        <f>(c_nom+phi/2)+(phi/2)*-0.923880</f>
        <v/>
      </c>
    </row>
    <row r="17">
      <c r="J17">
        <f>(s_bar/2+0*s_bar)+(phi/2)*0.707107</f>
        <v/>
      </c>
      <c r="K17">
        <f>(c_nom+phi/2)+(phi/2)*-0.707107</f>
        <v/>
      </c>
      <c r="M17">
        <f>(s_bar/2+1*s_bar)+(phi/2)*0.707107</f>
        <v/>
      </c>
      <c r="N17">
        <f>(c_nom+phi/2)+(phi/2)*-0.707107</f>
        <v/>
      </c>
      <c r="P17">
        <f>(s_bar/2+2*s_bar)+(phi/2)*0.707107</f>
        <v/>
      </c>
      <c r="Q17">
        <f>(c_nom+phi/2)+(phi/2)*-0.707107</f>
        <v/>
      </c>
      <c r="S17">
        <f>(s_bar/2+3*s_bar)+(phi/2)*0.707107</f>
        <v/>
      </c>
      <c r="T17">
        <f>(c_nom+phi/2)+(phi/2)*-0.707107</f>
        <v/>
      </c>
    </row>
    <row r="18">
      <c r="J18">
        <f>(s_bar/2+0*s_bar)+(phi/2)*0.923880</f>
        <v/>
      </c>
      <c r="K18">
        <f>(c_nom+phi/2)+(phi/2)*-0.382683</f>
        <v/>
      </c>
      <c r="M18">
        <f>(s_bar/2+1*s_bar)+(phi/2)*0.923880</f>
        <v/>
      </c>
      <c r="N18">
        <f>(c_nom+phi/2)+(phi/2)*-0.382683</f>
        <v/>
      </c>
      <c r="P18">
        <f>(s_bar/2+2*s_bar)+(phi/2)*0.923880</f>
        <v/>
      </c>
      <c r="Q18">
        <f>(c_nom+phi/2)+(phi/2)*-0.382683</f>
        <v/>
      </c>
      <c r="S18">
        <f>(s_bar/2+3*s_bar)+(phi/2)*0.923880</f>
        <v/>
      </c>
      <c r="T18">
        <f>(c_nom+phi/2)+(phi/2)*-0.382683</f>
        <v/>
      </c>
    </row>
    <row r="19">
      <c r="J19">
        <f>(s_bar/2+0*s_bar)+(phi/2)*1.000000</f>
        <v/>
      </c>
      <c r="K19">
        <f>(c_nom+phi/2)+(phi/2)*-0.000000</f>
        <v/>
      </c>
      <c r="M19">
        <f>(s_bar/2+1*s_bar)+(phi/2)*1.000000</f>
        <v/>
      </c>
      <c r="N19">
        <f>(c_nom+phi/2)+(phi/2)*-0.000000</f>
        <v/>
      </c>
      <c r="P19">
        <f>(s_bar/2+2*s_bar)+(phi/2)*1.000000</f>
        <v/>
      </c>
      <c r="Q19">
        <f>(c_nom+phi/2)+(phi/2)*-0.000000</f>
        <v/>
      </c>
      <c r="S19">
        <f>(s_bar/2+3*s_bar)+(phi/2)*1.000000</f>
        <v/>
      </c>
      <c r="T19">
        <f>(c_nom+phi/2)+(phi/2)*-0.000000</f>
        <v/>
      </c>
    </row>
  </sheetData>
  <sheetProtection selectLockedCells="0" selectUnlockedCells="0" sheet="1" objects="1" insertRows="1" insertHyperlinks="1" autoFilter="1" scenarios="0" formatColumns="1" deleteColumns="1" insertColumns="1" pivotTables="1" deleteRows="1" formatCells="1" formatRows="1" sort="1" password="AA0A"/>
  <pageMargins left="0.75" right="0.75" top="1" bottom="1" header="0.5" footer="0.5"/>
</worksheet>
</file>

<file path=xl/worksheets/sheet4.xml><?xml version="1.0" encoding="utf-8"?>
<worksheet xmlns="http://schemas.openxmlformats.org/spreadsheetml/2006/main">
  <sheetPr>
    <outlinePr summaryBelow="1" summaryRight="1"/>
    <pageSetUpPr fitToPage="1"/>
  </sheetPr>
  <dimension ref="B2:F28"/>
  <sheetViews>
    <sheetView showGridLines="0" tabSelected="0" workbookViewId="0">
      <selection activeCell="A1" sqref="A1"/>
    </sheetView>
  </sheetViews>
  <sheetFormatPr baseColWidth="8" defaultRowHeight="15"/>
  <cols>
    <col width="2.5" customWidth="1" min="1" max="1"/>
    <col width="34" customWidth="1" min="2" max="2"/>
    <col width="16" customWidth="1" min="3" max="3"/>
    <col width="12" customWidth="1" min="4" max="4"/>
    <col width="12" customWidth="1" min="5" max="5"/>
    <col width="60" customWidth="1" min="6" max="6"/>
  </cols>
  <sheetData>
    <row r="2">
      <c r="B2" s="47" t="inlineStr">
        <is>
          <t>Nationally Determined Parameters</t>
        </is>
      </c>
    </row>
    <row r="3">
      <c r="B3" s="16" t="inlineStr">
        <is>
          <t>Values used by the Calculation sheet for the selected National Annex. Sources: UK NA to BS EN 1992-1-1:2004, Table NA.1; PN-EN 1992-1-1:2008, Załącznik krajowy NA. Edit only if your project specifies different values.</t>
        </is>
      </c>
    </row>
    <row r="5">
      <c r="B5" s="48" t="inlineStr">
        <is>
          <t>Parameter</t>
        </is>
      </c>
      <c r="C5" s="48" t="inlineStr">
        <is>
          <t>Clause</t>
        </is>
      </c>
      <c r="D5" s="48" t="inlineStr">
        <is>
          <t>UK NA</t>
        </is>
      </c>
      <c r="E5" s="48" t="inlineStr">
        <is>
          <t>PL NA</t>
        </is>
      </c>
      <c r="F5" s="48" t="inlineStr">
        <is>
          <t>Notes</t>
        </is>
      </c>
    </row>
    <row r="6">
      <c r="B6" s="49" t="inlineStr">
        <is>
          <t>Partial factor, concrete  γc</t>
        </is>
      </c>
      <c r="C6" s="50" t="inlineStr">
        <is>
          <t>2.4.2.4(1)</t>
        </is>
      </c>
      <c r="D6" s="51" t="n">
        <v>1.5</v>
      </c>
      <c r="E6" s="51" t="n">
        <v>1.4</v>
      </c>
      <c r="F6" s="50" t="inlineStr">
        <is>
          <t>Persistent &amp; transient. UK NA: recommended; PL: NA.2, Table NA.2</t>
        </is>
      </c>
    </row>
    <row r="7">
      <c r="B7" s="49" t="inlineStr">
        <is>
          <t>Partial factor, reinforcement  γs</t>
        </is>
      </c>
      <c r="C7" s="50" t="inlineStr">
        <is>
          <t>2.4.2.4(1)</t>
        </is>
      </c>
      <c r="D7" s="51" t="n">
        <v>1.15</v>
      </c>
      <c r="E7" s="51" t="n">
        <v>1.15</v>
      </c>
      <c r="F7" s="50" t="inlineStr">
        <is>
          <t>UK NA: recommended; PL: NA.2, Table NA.2</t>
        </is>
      </c>
    </row>
    <row r="8">
      <c r="B8" s="49" t="inlineStr">
        <is>
          <t>αcc  (compression in flexure / axial)</t>
        </is>
      </c>
      <c r="C8" s="50" t="inlineStr">
        <is>
          <t>3.1.6(1)</t>
        </is>
      </c>
      <c r="D8" s="51" t="n">
        <v>0.85</v>
      </c>
      <c r="E8" s="51" t="n">
        <v>1</v>
      </c>
      <c r="F8" s="50" t="inlineStr">
        <is>
          <t>UK NA: 0.85; PL: recommended (NA.9)</t>
        </is>
      </c>
    </row>
    <row r="9">
      <c r="B9" s="49" t="inlineStr">
        <is>
          <t>αcc,pl  (plain concrete, compression)</t>
        </is>
      </c>
      <c r="C9" s="50" t="inlineStr">
        <is>
          <t>12.3.1(1)</t>
        </is>
      </c>
      <c r="D9" s="51" t="n">
        <v>0.6</v>
      </c>
      <c r="E9" s="51" t="n">
        <v>0.8</v>
      </c>
      <c r="F9" s="50" t="inlineStr">
        <is>
          <t>UK NA Table NA.1: 0.6; PL: recommended (NA.9)</t>
        </is>
      </c>
    </row>
    <row r="10">
      <c r="B10" s="49" t="inlineStr">
        <is>
          <t>αcc  (shear and punching)</t>
        </is>
      </c>
      <c r="C10" s="50" t="inlineStr">
        <is>
          <t>3.1.6(1)</t>
        </is>
      </c>
      <c r="D10" s="51" t="n">
        <v>1</v>
      </c>
      <c r="E10" s="51" t="n">
        <v>1</v>
      </c>
      <c r="F10" s="50" t="inlineStr">
        <is>
          <t>UK NA: 1.0 for other phenomena; PL: recommended (NA.9)</t>
        </is>
      </c>
    </row>
    <row r="11">
      <c r="B11" s="49" t="inlineStr">
        <is>
          <t>αct  (design tensile strength)</t>
        </is>
      </c>
      <c r="C11" s="50" t="inlineStr">
        <is>
          <t>3.1.6(2)</t>
        </is>
      </c>
      <c r="D11" s="51" t="n">
        <v>1</v>
      </c>
      <c r="E11" s="51" t="n">
        <v>1</v>
      </c>
      <c r="F11" s="50" t="inlineStr">
        <is>
          <t>Recommended value in both annexes</t>
        </is>
      </c>
    </row>
    <row r="12">
      <c r="B12" s="49" t="inlineStr">
        <is>
          <t>CRd,c numerator  (CRd,c = value / γc)</t>
        </is>
      </c>
      <c r="C12" s="50" t="inlineStr">
        <is>
          <t>6.2.2(1), 6.4.4(1)</t>
        </is>
      </c>
      <c r="D12" s="51" t="n">
        <v>0.18</v>
      </c>
      <c r="E12" s="51" t="n">
        <v>0.18</v>
      </c>
      <c r="F12" s="50" t="inlineStr">
        <is>
          <t>Recommended value in both annexes</t>
        </is>
      </c>
    </row>
    <row r="13">
      <c r="B13" s="49" t="inlineStr">
        <is>
          <t>k1  (axial stress term, punching)</t>
        </is>
      </c>
      <c r="C13" s="50" t="inlineStr">
        <is>
          <t>6.4.4(1)</t>
        </is>
      </c>
      <c r="D13" s="51" t="n">
        <v>0.1</v>
      </c>
      <c r="E13" s="51" t="n">
        <v>0.1</v>
      </c>
      <c r="F13" s="50" t="inlineStr">
        <is>
          <t>Recommended value in both annexes</t>
        </is>
      </c>
    </row>
    <row r="14">
      <c r="B14" s="49" t="inlineStr">
        <is>
          <t>vRd,max factor  (vRd,max = factor · ν · fcd)</t>
        </is>
      </c>
      <c r="C14" s="50" t="inlineStr">
        <is>
          <t>6.4.5(3)</t>
        </is>
      </c>
      <c r="D14" s="51" t="n">
        <v>0.5</v>
      </c>
      <c r="E14" s="51" t="n">
        <v>0.4</v>
      </c>
      <c r="F14" s="50" t="inlineStr">
        <is>
          <t>UK NA: 0.5 ν fcd; PL: recommended value (NA.9), 0.4 ν fcd since EN 1992-1-1 AC:2010 (PN-EN 1992-1-1:2008/AC:2011)</t>
        </is>
      </c>
    </row>
    <row r="15">
      <c r="B15" s="49" t="inlineStr">
        <is>
          <t>kmax  (vEd ≤ kmax · vRd,c at u1)</t>
        </is>
      </c>
      <c r="C15" s="50" t="inlineStr">
        <is>
          <t>6.4.5</t>
        </is>
      </c>
      <c r="D15" s="51" t="n">
        <v>2</v>
      </c>
      <c r="E15" s="51" t="n">
        <v>1.5</v>
      </c>
      <c r="F15" s="50" t="inlineStr">
        <is>
          <t>UK NA 6.4.5(3): 2 vRd,c. PL: no limit in PN-EN 1992-1-1:2008; 1.5 (A1:2014 recommendation) applied conservatively</t>
        </is>
      </c>
    </row>
    <row r="16">
      <c r="B16" s="49" t="inlineStr">
        <is>
          <t>φlarge  (large bar threshold, mm)</t>
        </is>
      </c>
      <c r="C16" s="50" t="inlineStr">
        <is>
          <t>8.8(1)</t>
        </is>
      </c>
      <c r="D16" s="51" t="n">
        <v>40</v>
      </c>
      <c r="E16" s="51" t="n">
        <v>32</v>
      </c>
      <c r="F16" s="50" t="inlineStr">
        <is>
          <t>UK NA: 40 mm; PL: 32 mm recommended (NA.9)</t>
        </is>
      </c>
    </row>
    <row r="17">
      <c r="B17" s="49" t="inlineStr">
        <is>
          <t>cot θ upper limit  (variable strut)</t>
        </is>
      </c>
      <c r="C17" s="50" t="inlineStr">
        <is>
          <t>6.2.3(2)</t>
        </is>
      </c>
      <c r="D17" s="51" t="n">
        <v>2.5</v>
      </c>
      <c r="E17" s="51" t="n">
        <v>2</v>
      </c>
      <c r="F17" s="50" t="inlineStr">
        <is>
          <t>UK NA: 2.5 (1.25 with axial tension); PL: NA.4, 1 ≤ cot θ ≤ 2.0</t>
        </is>
      </c>
    </row>
    <row r="18">
      <c r="B18" s="49" t="inlineStr">
        <is>
          <t>k1  (x/d limit, δ ≥ k1 + k2 xu/d)</t>
        </is>
      </c>
      <c r="C18" s="50" t="inlineStr">
        <is>
          <t>5.5(4)</t>
        </is>
      </c>
      <c r="D18" s="51" t="n">
        <v>0.4</v>
      </c>
      <c r="E18" s="51" t="n">
        <v>0.44</v>
      </c>
      <c r="F18" s="50" t="inlineStr">
        <is>
          <t>UK NA for fyk ≤ 500 MPa; PL: recommended (NA.9)</t>
        </is>
      </c>
    </row>
    <row r="19">
      <c r="B19" s="49" t="inlineStr">
        <is>
          <t>k2  (x/d limit, εcu2 = 0.0035)</t>
        </is>
      </c>
      <c r="C19" s="50" t="inlineStr">
        <is>
          <t>5.5(4)</t>
        </is>
      </c>
      <c r="D19" s="51" t="n">
        <v>1</v>
      </c>
      <c r="E19" s="51" t="n">
        <v>1.25</v>
      </c>
      <c r="F19" s="50" t="inlineStr">
        <is>
          <t>UK NA: 0.6 + 0.0014/εcu2; PL: 1.25(0.6 + 0.0014/εcu2)</t>
        </is>
      </c>
    </row>
    <row r="20">
      <c r="B20" s="49" t="inlineStr">
        <is>
          <t>Upper limit on the (310/σs) factor  (0 = none)</t>
        </is>
      </c>
      <c r="C20" s="50" t="inlineStr">
        <is>
          <t>7.4.2(2)</t>
        </is>
      </c>
      <c r="D20" s="51" t="n">
        <v>1.5</v>
      </c>
      <c r="E20" s="51" t="n">
        <v>0</v>
      </c>
      <c r="F20" s="50" t="inlineStr">
        <is>
          <t>UK NA Table NA.5 Note 5: (310/σs) or (500/fyk)(As,prov/As,req) ≤ 1.5; PL: none</t>
        </is>
      </c>
    </row>
    <row r="21">
      <c r="B21" s="49" t="inlineStr">
        <is>
          <t>L/d not to exceed 40 K  (1 = applies)</t>
        </is>
      </c>
      <c r="C21" s="50" t="inlineStr">
        <is>
          <t>7.4.2(2)</t>
        </is>
      </c>
      <c r="D21" s="51" t="n">
        <v>1</v>
      </c>
      <c r="E21" s="51" t="n">
        <v>0</v>
      </c>
      <c r="F21" s="50" t="inlineStr">
        <is>
          <t>UK NA Table NA.5 Note 6; not in EN text</t>
        </is>
      </c>
    </row>
    <row r="22">
      <c r="B22" s="49" t="inlineStr">
        <is>
          <t>φmin  (longitudinal bars in columns, mm)</t>
        </is>
      </c>
      <c r="C22" s="50" t="inlineStr">
        <is>
          <t>9.5.2(1)</t>
        </is>
      </c>
      <c r="D22" s="51" t="n">
        <v>12</v>
      </c>
      <c r="E22" s="51" t="n">
        <v>6</v>
      </c>
      <c r="F22" s="50" t="inlineStr">
        <is>
          <t>UK NA: 12 mm; PL: NA.6, 6 mm</t>
        </is>
      </c>
    </row>
    <row r="23">
      <c r="B23" s="49" t="inlineStr">
        <is>
          <t>k3  (crack spacing)</t>
        </is>
      </c>
      <c r="C23" s="50" t="inlineStr">
        <is>
          <t>7.3.4(3)</t>
        </is>
      </c>
      <c r="D23" s="51" t="n">
        <v>3.4</v>
      </c>
      <c r="E23" s="51" t="n">
        <v>3.4</v>
      </c>
      <c r="F23" s="50" t="inlineStr">
        <is>
          <t>Recommended value in both annexes</t>
        </is>
      </c>
    </row>
    <row r="24">
      <c r="B24" s="49" t="inlineStr">
        <is>
          <t>k4  (crack spacing)</t>
        </is>
      </c>
      <c r="C24" s="50" t="inlineStr">
        <is>
          <t>7.3.4(3)</t>
        </is>
      </c>
      <c r="D24" s="51" t="n">
        <v>0.425</v>
      </c>
      <c r="E24" s="51" t="n">
        <v>0.425</v>
      </c>
      <c r="F24" s="50" t="inlineStr">
        <is>
          <t>Recommended value in both annexes</t>
        </is>
      </c>
    </row>
    <row r="25">
      <c r="B25" s="49" t="inlineStr">
        <is>
          <t>k1  (concrete stress, characteristic; XD, XF, XS)</t>
        </is>
      </c>
      <c r="C25" s="50" t="inlineStr">
        <is>
          <t>7.2(2)</t>
        </is>
      </c>
      <c r="D25" s="51" t="n">
        <v>0.6</v>
      </c>
      <c r="E25" s="51" t="n">
        <v>1</v>
      </c>
      <c r="F25" s="50" t="inlineStr">
        <is>
          <t>UK NA: recommended; PL: NA.5, k1 = 1.0</t>
        </is>
      </c>
    </row>
    <row r="26">
      <c r="B26" s="49" t="inlineStr">
        <is>
          <t>k2  (concrete stress, quasi-permanent; linear creep)</t>
        </is>
      </c>
      <c r="C26" s="50" t="inlineStr">
        <is>
          <t>7.2(3)</t>
        </is>
      </c>
      <c r="D26" s="51" t="n">
        <v>0.45</v>
      </c>
      <c r="E26" s="51" t="n">
        <v>0.45</v>
      </c>
      <c r="F26" s="50" t="inlineStr">
        <is>
          <t>Recommended value in both annexes (UK NA; PL NA.9)</t>
        </is>
      </c>
    </row>
    <row r="27">
      <c r="B27" s="49" t="inlineStr">
        <is>
          <t>k3  (steel stress, characteristic)</t>
        </is>
      </c>
      <c r="C27" s="50" t="inlineStr">
        <is>
          <t>7.2(5)</t>
        </is>
      </c>
      <c r="D27" s="51" t="n">
        <v>0.8</v>
      </c>
      <c r="E27" s="51" t="n">
        <v>0.8</v>
      </c>
      <c r="F27" s="50" t="inlineStr">
        <is>
          <t>Recommended value in both annexes (UK NA; PL NA.9)</t>
        </is>
      </c>
    </row>
    <row r="28">
      <c r="B28" s="49" t="inlineStr">
        <is>
          <t>k4  (steel stress, imposed deformation)</t>
        </is>
      </c>
      <c r="C28" s="50" t="inlineStr">
        <is>
          <t>7.2(5)</t>
        </is>
      </c>
      <c r="D28" s="51" t="n">
        <v>1</v>
      </c>
      <c r="E28" s="51" t="n">
        <v>1</v>
      </c>
      <c r="F28" s="50" t="inlineStr">
        <is>
          <t>Recommended value in both annexes (UK NA; PL NA.9)</t>
        </is>
      </c>
    </row>
  </sheetData>
  <sheetProtection selectLockedCells="0" selectUnlockedCells="0" sheet="1" objects="1" insertRows="1" insertHyperlinks="1" autoFilter="1" scenarios="0" formatColumns="1" deleteColumns="1" insertColumns="1" pivotTables="1" deleteRows="1" formatCells="1" formatRows="1" sort="1" password="AA0A"/>
  <printOptions horizontalCentered="1"/>
  <pageMargins left="0.4" right="0.4" top="0.4" bottom="0.6" header="0.5" footer="0.5"/>
  <pageSetup orientation="landscape" paperSize="9" fitToHeight="0" fitToWidth="1"/>
  <headerFooter>
    <oddHeader/>
    <oddFooter>&amp;L&amp;7 &amp;K8A8A8ANA Engineering sp. z o.o.  ·  naengineering.uk  ·  adrian@naengineering.uk  ·  +48 505 844 422&amp;C&amp;7 &amp;K8A8A8A&amp;P / &amp;N&amp;R&amp;7 &amp;K8A8A8ANAE-RC-001  v1.0</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NA Engineering sp. z o.o.</dc:creator>
  <dc:title xmlns:dc="http://purl.org/dc/elements/1.1/">NAE-RC-001 Anchorage &amp; lap lengths</dc:title>
  <dc:subject xmlns:dc="http://purl.org/dc/elements/1.1/">Reinforced concrete  ·  EN 1992-1-1 §8.4 and §8.7  ·  UK NA / PN-EN</dc:subject>
  <dcterms:created xmlns:dcterms="http://purl.org/dc/terms/" xmlns:xsi="http://www.w3.org/2001/XMLSchema-instance" xsi:type="dcterms:W3CDTF">2026-10-30T10:58:35Z</dcterms:created>
  <dcterms:modified xmlns:dcterms="http://purl.org/dc/terms/" xmlns:xsi="http://www.w3.org/2001/XMLSchema-instance" xsi:type="dcterms:W3CDTF">2026-10-30T10:58:35Z</dcterms:modified>
  <cp:lastModifiedBy>NA Engineering sp. z o.o.</cp:lastModifiedBy>
  <cp:keywords>NA Engineering; Eurocode 2; EN 1992-1-1</cp:keywords>
</cp:coreProperties>
</file>