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drawings/drawing3.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Schedule" sheetId="2" state="visible" r:id="rId2"/>
    <sheet xmlns:r="http://schemas.openxmlformats.org/officeDocument/2006/relationships" name="Geometry" sheetId="3" state="hidden" r:id="rId3"/>
    <sheet xmlns:r="http://schemas.openxmlformats.org/officeDocument/2006/relationships" name="Shape codes" sheetId="4" state="visible" r:id="rId4"/>
  </sheets>
  <definedNames>
    <definedName name="bbs_sizes">'Schedule'!$AA$16:$AF$25</definedName>
    <definedName name="bbs_total">'Schedule'!$N$11</definedName>
    <definedName name="bbs_mark">'Schedule'!$D$60</definedName>
    <definedName name="pv_row">MATCH(bbs_mark,'Schedule'!$C$16:$C$55,0)</definedName>
    <definedName name="pv_A">IFERROR(N(INDEX('Schedule'!$K$16:$K$55,pv_row)),0)</definedName>
    <definedName name="pv_B">IFERROR(N(INDEX('Schedule'!$L$16:$L$55,pv_row)),0)</definedName>
    <definedName name="pv_C">IFERROR(N(INDEX('Schedule'!$M$16:$M$55,pv_row)),0)</definedName>
    <definedName name="pv_D">IFERROR(N(INDEX('Schedule'!$N$16:$N$55,pv_row)),0)</definedName>
    <definedName name="pv_E">IFERROR(N(INDEX('Schedule'!$O$16:$O$55,pv_row)),0)</definedName>
    <definedName name="pv_code">IFERROR(INDEX('Schedule'!$X$16:$X$55,pv_row),"")</definedName>
    <definedName name="pv_type">IFERROR(INDEX('Schedule'!$D$16:$D$55,pv_row),"")</definedName>
    <definedName name="pv_size">IFERROR(INDEX('Schedule'!$E$16:$E$55,pv_row),0)</definedName>
    <definedName name="pv_len">IFERROR(INDEX('Schedule'!$I$16:$I$55,pv_row),"")</definedName>
    <definedName name="pv_ext">MAX(pv_A,pv_B,pv_C,pv_D,pv_E,100)</definedName>
    <definedName name="pv_drawn">OR(pv_code="00",pv_code="01",pv_code="11",pv_code="12",pv_code="21",pv_code="13",pv_code="51")</definedName>
    <definedName name="_xlnm.Print_Area" localSheetId="0">'About'!$A$1:$D$39</definedName>
    <definedName name="_xlnm.Print_Titles" localSheetId="1">'Schedule'!$15:$15</definedName>
    <definedName name="_xlnm.Print_Area" localSheetId="1">'Schedule'!$A$1:$R$78</definedName>
    <definedName name="_xlnm.Print_Area" localSheetId="3">'Shape codes'!$A$1:$R$89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quot; kg&quot;"/>
  </numFmts>
  <fonts count="20">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color rgb="009A9A9A"/>
      <sz val="9"/>
    </font>
    <font>
      <name val="Calibri"/>
      <b val="1"/>
      <color rgb="005B7F8A"/>
      <sz val="12"/>
    </font>
    <font>
      <name val="Calibri"/>
      <b val="1"/>
      <color rgb="002B2B2B"/>
      <sz val="10"/>
    </font>
    <font>
      <name val="Calibri"/>
      <b val="1"/>
      <color rgb="002B2B2B"/>
      <sz val="18"/>
    </font>
    <font>
      <name val="Calibri"/>
      <b val="1"/>
      <color rgb="00FFFFFF"/>
      <sz val="8.5"/>
    </font>
    <font>
      <name val="Calibri"/>
      <b val="1"/>
      <color rgb="002B2B2B"/>
      <sz val="8.5"/>
    </font>
    <font>
      <name val="Calibri"/>
      <i val="1"/>
      <color rgb="009A9A9A"/>
      <sz val="8.5"/>
    </font>
    <font>
      <name val="Calibri"/>
      <b val="1"/>
      <color rgb="005B7F8A"/>
      <sz val="10"/>
    </font>
    <font>
      <name val="Calibri"/>
      <family val="2"/>
      <i val="1"/>
      <color rgb="008A8A8A"/>
      <sz val="9"/>
      <scheme val="minor"/>
    </font>
    <font>
      <name val="Calibri"/>
      <i val="1"/>
      <color rgb="009A9A9A"/>
      <sz val="9"/>
    </font>
  </fonts>
  <fills count="6">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
      <patternFill patternType="solid">
        <fgColor rgb="003A3A3A"/>
        <bgColor rgb="003A3A3A"/>
      </patternFill>
    </fill>
  </fills>
  <borders count="4">
    <border>
      <left/>
      <right/>
      <top/>
      <bottom/>
      <diagonal/>
    </border>
    <border>
      <bottom style="thin">
        <color rgb="00E3E3E3"/>
      </bottom>
    </border>
    <border>
      <bottom style="thin">
        <color rgb="005B7F8A"/>
      </bottom>
    </border>
    <border>
      <right style="thin">
        <color rgb="00E3E3E3"/>
      </right>
      <bottom style="thin">
        <color rgb="00E3E3E3"/>
      </bottom>
    </border>
  </borders>
  <cellStyleXfs count="1">
    <xf numFmtId="0" fontId="0" fillId="0" borderId="0"/>
  </cellStyleXfs>
  <cellXfs count="38">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10" fillId="0" borderId="0" pivotButton="0" quotePrefix="0" xfId="0"/>
    <xf numFmtId="0" fontId="5" fillId="3" borderId="0" applyProtection="1" pivotButton="0" quotePrefix="0" xfId="0">
      <protection locked="0" hidden="0"/>
    </xf>
    <xf numFmtId="164" fontId="5" fillId="3" borderId="0" applyProtection="1" pivotButton="0" quotePrefix="0" xfId="0">
      <protection locked="0" hidden="0"/>
    </xf>
    <xf numFmtId="0" fontId="11" fillId="0" borderId="2" pivotButton="0" quotePrefix="0" xfId="0"/>
    <xf numFmtId="0" fontId="0" fillId="0" borderId="2" pivotButton="0" quotePrefix="0" xfId="0"/>
    <xf numFmtId="0" fontId="12" fillId="0" borderId="1" applyAlignment="1" pivotButton="0" quotePrefix="0" xfId="0">
      <alignment horizontal="center"/>
    </xf>
    <xf numFmtId="165" fontId="0" fillId="0" borderId="1" applyAlignment="1" pivotButton="0" quotePrefix="0" xfId="0">
      <alignment horizontal="center"/>
    </xf>
    <xf numFmtId="166" fontId="13" fillId="4" borderId="0" applyAlignment="1" pivotButton="0" quotePrefix="0" xfId="0">
      <alignment horizontal="center" vertical="center"/>
    </xf>
    <xf numFmtId="0" fontId="14" fillId="5" borderId="0" applyAlignment="1" pivotButton="0" quotePrefix="0" xfId="0">
      <alignment horizontal="center" vertical="center" wrapText="1"/>
    </xf>
    <xf numFmtId="0" fontId="5" fillId="3" borderId="3" applyAlignment="1" applyProtection="1" pivotButton="0" quotePrefix="0" xfId="0">
      <alignment horizontal="left"/>
      <protection locked="0" hidden="0"/>
    </xf>
    <xf numFmtId="0" fontId="5" fillId="3" borderId="3" applyAlignment="1" applyProtection="1" pivotButton="0" quotePrefix="0" xfId="0">
      <alignment horizontal="center"/>
      <protection locked="0" hidden="0"/>
    </xf>
    <xf numFmtId="0" fontId="5" fillId="0" borderId="3" applyAlignment="1" pivotButton="0" quotePrefix="0" xfId="0">
      <alignment horizontal="center"/>
    </xf>
    <xf numFmtId="0" fontId="12" fillId="0" borderId="3" applyAlignment="1" pivotButton="0" quotePrefix="0" xfId="0">
      <alignment horizontal="center"/>
    </xf>
    <xf numFmtId="49" fontId="5" fillId="3" borderId="3" applyAlignment="1" applyProtection="1" pivotButton="0" quotePrefix="0" xfId="0">
      <alignment horizontal="center"/>
      <protection locked="0" hidden="0"/>
    </xf>
    <xf numFmtId="165" fontId="12" fillId="0" borderId="3" applyAlignment="1" pivotButton="0" quotePrefix="0" xfId="0">
      <alignment horizontal="center"/>
    </xf>
    <xf numFmtId="0" fontId="15" fillId="0" borderId="3" applyAlignment="1" pivotButton="0" quotePrefix="0" xfId="0">
      <alignment horizontal="center"/>
    </xf>
    <xf numFmtId="0" fontId="5" fillId="0" borderId="0" applyAlignment="1" pivotButton="0" quotePrefix="0" xfId="0">
      <alignment horizontal="center"/>
    </xf>
    <xf numFmtId="0" fontId="16" fillId="0" borderId="0" pivotButton="0" quotePrefix="0" xfId="0"/>
    <xf numFmtId="49" fontId="12" fillId="3" borderId="0" applyAlignment="1" applyProtection="1" pivotButton="0" quotePrefix="0" xfId="0">
      <alignment horizontal="center"/>
      <protection locked="0" hidden="0"/>
    </xf>
    <xf numFmtId="0" fontId="17" fillId="0" borderId="0" pivotButton="0" quotePrefix="0" xfId="0"/>
    <xf numFmtId="0" fontId="18" fillId="0" borderId="0" pivotButton="0" quotePrefix="0" xfId="0"/>
    <xf numFmtId="0" fontId="19" fillId="0" borderId="0" applyAlignment="1" pivotButton="0" quotePrefix="0" xfId="0">
      <alignment vertical="top" wrapText="1"/>
    </xf>
  </cellXfs>
  <cellStyles count="1">
    <cellStyle name="Normal" xfId="0" builtinId="0" hidden="0"/>
  </cellStyles>
  <dxfs count="3">
    <dxf>
      <font>
        <name val="Calibri"/>
        <b val="1"/>
        <color rgb="001E7F4F"/>
      </font>
    </dxf>
    <dxf>
      <font>
        <name val="Calibri"/>
        <b val="1"/>
        <color rgb="008A5A00"/>
      </font>
      <fill>
        <patternFill patternType="solid">
          <fgColor rgb="00FFF1D6"/>
          <bgColor rgb="00FFF1D6"/>
        </patternFill>
      </fill>
    </dxf>
    <dxf>
      <numFmt numFmtId="170"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straight</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'Geometry'!$A$3:$A$4</f>
            </numRef>
          </xVal>
          <yVal>
            <numRef>
              <f>'Geometry'!$B$3:$B$4</f>
            </numRef>
          </yVal>
          <smooth val="0"/>
        </ser>
        <ser>
          <idx val="1"/>
          <order val="1"/>
          <tx>
            <v>L</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'Geometry'!$D$3:$D$5</f>
            </numRef>
          </xVal>
          <yVal>
            <numRef>
              <f>'Geometry'!$E$3:$E$5</f>
            </numRef>
          </yVal>
          <smooth val="0"/>
        </ser>
        <ser>
          <idx val="2"/>
          <order val="2"/>
          <tx>
            <v>U</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'Geometry'!$G$3:$G$6</f>
            </numRef>
          </xVal>
          <yVal>
            <numRef>
              <f>'Geometry'!$H$3:$H$6</f>
            </numRef>
          </yVal>
          <smooth val="0"/>
        </ser>
        <ser>
          <idx val="3"/>
          <order val="3"/>
          <tx>
            <v>hook</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'Geometry'!$J$3:$J$14</f>
            </numRef>
          </xVal>
          <yVal>
            <numRef>
              <f>'Geometry'!$K$3:$K$14</f>
            </numRef>
          </yVal>
          <smooth val="0"/>
        </ser>
        <ser>
          <idx val="4"/>
          <order val="4"/>
          <tx>
            <v>link</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'Geometry'!$M$3:$M$9</f>
            </numRef>
          </xVal>
          <yVal>
            <numRef>
              <f>'Geometry'!$N$3:$N$9</f>
            </numRef>
          </yVal>
          <smooth val="0"/>
        </ser>
        <ser>
          <idx val="5"/>
          <order val="5"/>
          <tx>
            <strRef>
              <f>'Geometry'!$P$2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b"/>
            <showLegendKey val="0"/>
            <showVal val="0"/>
            <showCatName val="0"/>
            <showSerName val="1"/>
            <showPercent val="0"/>
          </dLbls>
          <xVal>
            <numRef>
              <f>'Geometry'!$P$3</f>
            </numRef>
          </xVal>
          <yVal>
            <numRef>
              <f>'Geometry'!$Q$3</f>
            </numRef>
          </yVal>
          <smooth val="0"/>
        </ser>
        <ser>
          <idx val="6"/>
          <order val="6"/>
          <tx>
            <strRef>
              <f>'Geometry'!$S$2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'Geometry'!$S$3</f>
            </numRef>
          </xVal>
          <yVal>
            <numRef>
              <f>'Geometry'!$T$3</f>
            </numRef>
          </yVal>
          <smooth val="0"/>
        </ser>
        <ser>
          <idx val="7"/>
          <order val="7"/>
          <tx>
            <strRef>
              <f>'Geometry'!$V$2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'Geometry'!$V$3</f>
            </numRef>
          </xVal>
          <yVal>
            <numRef>
              <f>'Geometry'!$W$3</f>
            </numRef>
          </yVal>
          <smooth val="0"/>
        </ser>
        <ser>
          <idx val="8"/>
          <order val="8"/>
          <tx>
            <strRef>
              <f>'Geometry'!$Y$2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'Geometry'!$Y$3</f>
            </numRef>
          </xVal>
          <yVal>
            <numRef>
              <f>'Geometry'!$Z$3</f>
            </numRef>
          </yVal>
          <smooth val="0"/>
        </ser>
        <ser>
          <idx val="9"/>
          <order val="9"/>
          <tx>
            <strRef>
              <f>'Geometry'!$AB$2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'Geometry'!$AB$3</f>
            </numRef>
          </xVal>
          <yVal>
            <numRef>
              <f>'Geometry'!$AC$3</f>
            </numRef>
          </yVal>
          <smooth val="0"/>
        </ser>
        <ser>
          <idx val="10"/>
          <order val="10"/>
          <tx>
            <strRef>
              <f>'Geometry'!$AE$2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'Geometry'!$AE$3</f>
            </numRef>
          </xVal>
          <yVal>
            <numRef>
              <f>'Geometry'!$AF$3</f>
            </numRef>
          </yVal>
          <smooth val="0"/>
        </ser>
        <ser>
          <idx val="11"/>
          <order val="11"/>
          <tx>
            <strRef>
              <f>'Geometry'!$AH$2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'Geometry'!$AH$3</f>
            </numRef>
          </xVal>
          <yVal>
            <numRef>
              <f>'Geometry'!$AI$3</f>
            </numRef>
          </yVal>
          <smooth val="0"/>
        </ser>
        <ser>
          <idx val="12"/>
          <order val="12"/>
          <tx>
            <strRef>
              <f>'Geometry'!$AK$2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b"/>
            <showLegendKey val="0"/>
            <showVal val="0"/>
            <showCatName val="0"/>
            <showSerName val="1"/>
            <showPercent val="0"/>
          </dLbls>
          <xVal>
            <numRef>
              <f>'Geometry'!$AK$3</f>
            </numRef>
          </xVal>
          <yVal>
            <numRef>
              <f>'Geometry'!$AL$3</f>
            </numRef>
          </yVal>
          <smooth val="0"/>
        </ser>
        <ser>
          <idx val="13"/>
          <order val="13"/>
          <tx>
            <strRef>
              <f>'Geometry'!$AN$2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'Geometry'!$AN$3</f>
            </numRef>
          </xVal>
          <yVal>
            <numRef>
              <f>'Geometry'!$AO$3</f>
            </numRef>
          </yVal>
          <smooth val="0"/>
        </ser>
        <ser>
          <idx val="14"/>
          <order val="14"/>
          <tx>
            <v>frame</v>
          </tx>
          <spPr>
            <a:ln xmlns:a="http://schemas.openxmlformats.org/drawingml/2006/main">
              <a:noFill/>
              <a:prstDash val="solid"/>
            </a:ln>
          </spPr>
          <marker>
            <symbol val="none"/>
            <spPr>
              <a:ln xmlns:a="http://schemas.openxmlformats.org/drawingml/2006/main">
                <a:prstDash val="solid"/>
              </a:ln>
            </spPr>
          </marker>
          <xVal>
            <numRef>
              <f>'Geometry'!$AQ$3:$AQ$4</f>
            </numRef>
          </xVal>
          <yVal>
            <numRef>
              <f>'Geometry'!$AR$3:$AR$4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_rels/drawing3.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png" Id="rId2"/><Relationship Type="http://schemas.openxmlformats.org/officeDocument/2006/relationships/image" Target="/xl/media/image5.png" Id="rId3"/><Relationship Type="http://schemas.openxmlformats.org/officeDocument/2006/relationships/image" Target="/xl/media/image6.png" Id="rId4"/></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61</row>
      <rowOff>0</rowOff>
    </from>
    <ext cx="3906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1</row>
      <rowOff>0</rowOff>
    </from>
    <ext cx="1514475"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col>
      <colOff>0</colOff>
      <row>7</row>
      <rowOff>0</rowOff>
    </from>
    <ext cx="9334500" cy="549592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1</col>
      <colOff>0</colOff>
      <row>37</row>
      <rowOff>0</rowOff>
    </from>
    <ext cx="9334500" cy="5495925"/>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1</col>
      <colOff>0</colOff>
      <row>67</row>
      <rowOff>0</rowOff>
    </from>
    <ext cx="9334500" cy="367665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4.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Bar bending schedule</t>
        </is>
      </c>
    </row>
    <row r="8" ht="20" customHeight="1">
      <c r="B8" s="4" t="inlineStr">
        <is>
          <t>Reinforcement schedule to BS 8666:2020  ·  lengths from shape codes  ·  masses by size</t>
        </is>
      </c>
    </row>
    <row r="10">
      <c r="B10" s="5" t="inlineStr">
        <is>
          <t>Reference</t>
        </is>
      </c>
      <c r="C10" s="6" t="inlineStr">
        <is>
          <t>NAE-BBS-001  ·  version 1.0</t>
        </is>
      </c>
    </row>
    <row r="11" ht="31" customHeight="1">
      <c r="B11" s="5" t="inlineStr">
        <is>
          <t>Standards</t>
        </is>
      </c>
      <c r="C11" s="7" t="inlineStr">
        <is>
          <t>BS 8666:2020 Scheduling, dimensioning, cutting and bending of steel reinforcement for concrete  ·  BS 4449 bar sizes</t>
        </is>
      </c>
    </row>
    <row r="12">
      <c r="B12" s="5" t="inlineStr">
        <is>
          <t>National Annex</t>
        </is>
      </c>
      <c r="C12" s="6" t="inlineStr">
        <is>
          <t>Not applicable</t>
        </is>
      </c>
    </row>
    <row r="13">
      <c r="B13" s="5" t="inlineStr">
        <is>
          <t>Issued</t>
        </is>
      </c>
      <c r="C13" s="6" t="inlineStr">
        <is>
          <t>30 October 2026</t>
        </is>
      </c>
    </row>
    <row r="15" ht="20" customHeight="1">
      <c r="B15" s="8" t="inlineStr">
        <is>
          <t>What it does</t>
        </is>
      </c>
      <c r="C15" s="9" t="n"/>
    </row>
    <row r="16" ht="47.5" customHeight="1">
      <c r="B16" s="7" t="inlineStr">
        <is>
          <t>A clean bar bending schedule in the BS 8666:2020 format with the NA Engineering header: the cutting length of each bar is calculated from its shape code with the standard scheduling radius, rounded up to 25 mm, and the masses are totalled by bar size.</t>
        </is>
      </c>
    </row>
    <row r="18" ht="20" customHeight="1">
      <c r="B18" s="8" t="inlineStr">
        <is>
          <t>How to use</t>
        </is>
      </c>
      <c r="C18" s="9" t="n"/>
    </row>
    <row r="19" ht="76.5" customHeight="1">
      <c r="B19" s="7" t="inlineStr">
        <is>
          <t>1.  Open the Schedule sheet and fill in the project fields.
2.  One line per bar mark: member, mark, type, size, numbers, shape code and the dimensions A to E (E / R column holds R for shape codes 12 and the like).
3.  Length, total number and mass are calculated; the Check column flags anything to look at. Type a bar mark above the drawing to see its shape.</t>
        </is>
      </c>
    </row>
    <row r="21" ht="20" customHeight="1">
      <c r="B21" s="8" t="inlineStr">
        <is>
          <t>Scope and limitations</t>
        </is>
      </c>
      <c r="C21" s="9" t="n"/>
    </row>
    <row r="22" ht="134.5" customHeight="1">
      <c r="B22" s="7" t="inlineStr">
        <is>
          <t>Shape codes of BS 8666:2020 Table 5 defined by dimensions A to E; shapes 47 and 64 are not included. The standard scheduling radius r of Table 2 is used; enter a non-standard radius as R (shape 12). Shape 77 uses the pitch formula when the pitch B exceeds A/5. Shape 99 needs a dimensioned sketch and its own length: the row is flagged and left out of the totals. Every dimension a shape needs must be given; dimensions should be to 5 mm (flagged otherwise). Shapes 48, 51, 52 and 63 take D = C. Shapes 14, 15 and 25 (inclined legs) are not included: use shape 99. Mark free dimensions in parentheses on the issued schedule (clause 8.1.3). Minimum leg lengths, end projections, bend angles and tolerances of BS 8666 are the scheduler's responsibility. Masses use the nominal mass per metre of BS 4449 Table 7. Lengths over 12 m are flagged as beyond standard stock length. The sketch shows shapes 00, 01, 11, 12, 13, 21 and 51; other shapes are listed only.</t>
        </is>
      </c>
    </row>
    <row r="24" ht="20" customHeight="1">
      <c r="B24" s="8" t="inlineStr">
        <is>
          <t>Further reading and independent cross-check</t>
        </is>
      </c>
      <c r="C24" s="9" t="n"/>
    </row>
    <row r="25" ht="62" customHeight="1">
      <c r="B25" s="10" t="inlineStr">
        <is>
          <t>•  BS 8666:2020, Tables 2 and 5.
•  The Concrete Centre / IStructE, Standard method of detailing structural concrete (2006, with later amendments).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&amp;K8A8A8ANAE-BBS-001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AF78"/>
  <sheetViews>
    <sheetView showGridLines="0" tabSelected="1" workbookViewId="0">
      <selection activeCell="A1" sqref="A1"/>
    </sheetView>
  </sheetViews>
  <sheetFormatPr baseColWidth="8" defaultRowHeight="15"/>
  <cols>
    <col width="2" customWidth="1" min="1" max="1"/>
    <col width="13" customWidth="1" min="2" max="2"/>
    <col width="7" customWidth="1" min="3" max="3"/>
    <col width="5" customWidth="1" min="4" max="4"/>
    <col width="6" customWidth="1" min="5" max="5"/>
    <col width="8" customWidth="1" min="6" max="6"/>
    <col width="8" customWidth="1" min="7" max="7"/>
    <col width="7" customWidth="1" min="8" max="8"/>
    <col width="9" customWidth="1" min="9" max="9"/>
    <col width="7" customWidth="1" min="10" max="10"/>
    <col width="7" customWidth="1" min="11" max="11"/>
    <col width="7" customWidth="1" min="12" max="12"/>
    <col width="7" customWidth="1" min="13" max="13"/>
    <col width="7" customWidth="1" min="14" max="14"/>
    <col width="7" customWidth="1" min="15" max="15"/>
    <col width="9" customWidth="1" min="16" max="16"/>
    <col width="17" customWidth="1" min="17" max="17"/>
    <col width="2"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s>
  <sheetData>
    <row r="1" ht="8" customHeight="1">
      <c r="A1" s="1" t="n"/>
      <c r="B1" s="1" t="n"/>
      <c r="C1" s="1" t="n"/>
      <c r="D1" s="1" t="n"/>
      <c r="E1" s="1" t="n"/>
      <c r="F1" s="1" t="n"/>
      <c r="G1" s="1" t="n"/>
      <c r="H1" s="1" t="n"/>
      <c r="I1" s="1" t="n"/>
      <c r="J1" s="1" t="n"/>
      <c r="K1" s="1" t="n"/>
      <c r="L1" s="1" t="n"/>
      <c r="M1" s="1" t="n"/>
      <c r="N1" s="1" t="n"/>
      <c r="O1" s="1" t="n"/>
      <c r="P1" s="1" t="n"/>
      <c r="Q1" s="1" t="n"/>
      <c r="R1" s="1" t="n"/>
    </row>
    <row r="2" ht="30" customHeight="1">
      <c r="A2" s="1" t="n"/>
      <c r="B2" s="1" t="n"/>
      <c r="C2" s="1" t="n"/>
      <c r="D2" s="1" t="n"/>
      <c r="E2" s="1" t="n"/>
      <c r="F2" s="1" t="n"/>
      <c r="G2" s="1" t="n"/>
      <c r="H2" s="1" t="n"/>
      <c r="I2" s="1" t="n"/>
      <c r="J2" s="14" t="inlineStr">
        <is>
          <t>Bar bending schedule  ·  BS 8666:2020</t>
        </is>
      </c>
      <c r="R2" s="1" t="n"/>
    </row>
    <row r="3" ht="16" customHeight="1">
      <c r="A3" s="1" t="n"/>
      <c r="B3" s="1" t="n"/>
      <c r="C3" s="1" t="n"/>
      <c r="D3" s="1" t="n"/>
      <c r="E3" s="1" t="n"/>
      <c r="F3" s="1" t="n"/>
      <c r="G3" s="1" t="n"/>
      <c r="H3" s="1" t="n"/>
      <c r="I3" s="1" t="n"/>
      <c r="J3" s="15" t="inlineStr">
        <is>
          <t>NAE-BBS-001 v1.0  ·  naengineering.uk  ·  adrian@naengineering.uk  ·  +48 505 844 422</t>
        </is>
      </c>
      <c r="R3" s="1" t="n"/>
    </row>
    <row r="5">
      <c r="B5" s="16" t="inlineStr">
        <is>
          <t>Project</t>
        </is>
      </c>
      <c r="C5" s="17" t="n"/>
      <c r="H5" s="16" t="inlineStr">
        <is>
          <t>Drawing no.</t>
        </is>
      </c>
      <c r="J5" s="17" t="n"/>
      <c r="M5" s="16" t="inlineStr">
        <is>
          <t>Revision</t>
        </is>
      </c>
      <c r="O5" s="17" t="n"/>
    </row>
    <row r="6">
      <c r="B6" s="16" t="inlineStr">
        <is>
          <t>Site / address</t>
        </is>
      </c>
      <c r="C6" s="17" t="n"/>
      <c r="H6" s="16" t="inlineStr">
        <is>
          <t>Prepared by</t>
        </is>
      </c>
      <c r="J6" s="17" t="n"/>
      <c r="M6" s="16" t="inlineStr">
        <is>
          <t>Date</t>
        </is>
      </c>
      <c r="O6" s="18" t="n"/>
    </row>
    <row r="7">
      <c r="B7" s="16" t="inlineStr">
        <is>
          <t>Contract no.</t>
        </is>
      </c>
      <c r="C7" s="17" t="n"/>
      <c r="H7" s="16" t="inlineStr">
        <is>
          <t>Checked by</t>
        </is>
      </c>
      <c r="J7" s="17" t="n"/>
      <c r="M7" s="16" t="inlineStr">
        <is>
          <t>Sheet</t>
        </is>
      </c>
      <c r="O7" s="17" t="n"/>
    </row>
    <row r="9">
      <c r="B9" s="19" t="inlineStr">
        <is>
          <t>Summary by bar size</t>
        </is>
      </c>
      <c r="C9" s="20" t="n"/>
      <c r="D9" s="20" t="n"/>
      <c r="E9" s="20" t="n"/>
      <c r="F9" s="20" t="n"/>
      <c r="G9" s="20" t="n"/>
      <c r="H9" s="20" t="n"/>
      <c r="I9" s="20" t="n"/>
      <c r="J9" s="20" t="n"/>
      <c r="K9" s="20" t="n"/>
      <c r="L9" s="20" t="n"/>
      <c r="M9" s="20" t="n"/>
      <c r="N9" s="20" t="n"/>
      <c r="O9" s="20" t="n"/>
      <c r="P9" s="20" t="n"/>
      <c r="Q9" s="20" t="n"/>
    </row>
    <row r="10">
      <c r="B10" s="16" t="inlineStr">
        <is>
          <t>Size (mm)</t>
        </is>
      </c>
      <c r="C10" s="21" t="n">
        <v>6</v>
      </c>
      <c r="D10" s="21" t="n">
        <v>8</v>
      </c>
      <c r="E10" s="21" t="n">
        <v>10</v>
      </c>
      <c r="F10" s="21" t="n">
        <v>12</v>
      </c>
      <c r="G10" s="21" t="n">
        <v>16</v>
      </c>
      <c r="H10" s="21" t="n">
        <v>20</v>
      </c>
      <c r="I10" s="21" t="n">
        <v>25</v>
      </c>
      <c r="J10" s="21" t="n">
        <v>32</v>
      </c>
      <c r="K10" s="21" t="n">
        <v>40</v>
      </c>
      <c r="L10" s="21" t="n">
        <v>50</v>
      </c>
      <c r="N10" s="16" t="inlineStr">
        <is>
          <t>Total mass</t>
        </is>
      </c>
    </row>
    <row r="11">
      <c r="B11" s="16" t="inlineStr">
        <is>
          <t>Total length (m)</t>
        </is>
      </c>
      <c r="C11" s="22">
        <f>SUMPRODUCT(--($E$16:$E$55=6),$H$16:$H$55,$I$16:$I$55)/1000</f>
        <v/>
      </c>
      <c r="D11" s="22">
        <f>SUMPRODUCT(--($E$16:$E$55=8),$H$16:$H$55,$I$16:$I$55)/1000</f>
        <v/>
      </c>
      <c r="E11" s="22">
        <f>SUMPRODUCT(--($E$16:$E$55=10),$H$16:$H$55,$I$16:$I$55)/1000</f>
        <v/>
      </c>
      <c r="F11" s="22">
        <f>SUMPRODUCT(--($E$16:$E$55=12),$H$16:$H$55,$I$16:$I$55)/1000</f>
        <v/>
      </c>
      <c r="G11" s="22">
        <f>SUMPRODUCT(--($E$16:$E$55=16),$H$16:$H$55,$I$16:$I$55)/1000</f>
        <v/>
      </c>
      <c r="H11" s="22">
        <f>SUMPRODUCT(--($E$16:$E$55=20),$H$16:$H$55,$I$16:$I$55)/1000</f>
        <v/>
      </c>
      <c r="I11" s="22">
        <f>SUMPRODUCT(--($E$16:$E$55=25),$H$16:$H$55,$I$16:$I$55)/1000</f>
        <v/>
      </c>
      <c r="J11" s="22">
        <f>SUMPRODUCT(--($E$16:$E$55=32),$H$16:$H$55,$I$16:$I$55)/1000</f>
        <v/>
      </c>
      <c r="K11" s="22">
        <f>SUMPRODUCT(--($E$16:$E$55=40),$H$16:$H$55,$I$16:$I$55)/1000</f>
        <v/>
      </c>
      <c r="L11" s="22">
        <f>SUMPRODUCT(--($E$16:$E$55=50),$H$16:$H$55,$I$16:$I$55)/1000</f>
        <v/>
      </c>
      <c r="N11" s="23">
        <f>SUM($P$16:$P$55)</f>
        <v/>
      </c>
    </row>
    <row r="12">
      <c r="B12" s="16" t="inlineStr">
        <is>
          <t>Mass (kg)</t>
        </is>
      </c>
      <c r="C12" s="22">
        <f>SUMIF($E$16:$E$55,6,$P$16:$P$55)</f>
        <v/>
      </c>
      <c r="D12" s="22">
        <f>SUMIF($E$16:$E$55,8,$P$16:$P$55)</f>
        <v/>
      </c>
      <c r="E12" s="22">
        <f>SUMIF($E$16:$E$55,10,$P$16:$P$55)</f>
        <v/>
      </c>
      <c r="F12" s="22">
        <f>SUMIF($E$16:$E$55,12,$P$16:$P$55)</f>
        <v/>
      </c>
      <c r="G12" s="22">
        <f>SUMIF($E$16:$E$55,16,$P$16:$P$55)</f>
        <v/>
      </c>
      <c r="H12" s="22">
        <f>SUMIF($E$16:$E$55,20,$P$16:$P$55)</f>
        <v/>
      </c>
      <c r="I12" s="22">
        <f>SUMIF($E$16:$E$55,25,$P$16:$P$55)</f>
        <v/>
      </c>
      <c r="J12" s="22">
        <f>SUMIF($E$16:$E$55,32,$P$16:$P$55)</f>
        <v/>
      </c>
      <c r="K12" s="22">
        <f>SUMIF($E$16:$E$55,40,$P$16:$P$55)</f>
        <v/>
      </c>
      <c r="L12" s="22">
        <f>SUMIF($E$16:$E$55,50,$P$16:$P$55)</f>
        <v/>
      </c>
    </row>
    <row r="15" ht="30" customHeight="1">
      <c r="B15" s="24" t="inlineStr">
        <is>
          <t>Member</t>
        </is>
      </c>
      <c r="C15" s="24" t="inlineStr">
        <is>
          <t>Bar mark</t>
        </is>
      </c>
      <c r="D15" s="24" t="inlineStr">
        <is>
          <t>Type</t>
        </is>
      </c>
      <c r="E15" s="24" t="inlineStr">
        <is>
          <t>Size</t>
        </is>
      </c>
      <c r="F15" s="24" t="inlineStr">
        <is>
          <t>No. of mbrs</t>
        </is>
      </c>
      <c r="G15" s="24" t="inlineStr">
        <is>
          <t>No. in each</t>
        </is>
      </c>
      <c r="H15" s="24" t="inlineStr">
        <is>
          <t>Total no.</t>
        </is>
      </c>
      <c r="I15" s="24" t="inlineStr">
        <is>
          <t>Length (mm)</t>
        </is>
      </c>
      <c r="J15" s="24" t="inlineStr">
        <is>
          <t>Shape code</t>
        </is>
      </c>
      <c r="K15" s="24" t="inlineStr">
        <is>
          <t>A</t>
        </is>
      </c>
      <c r="L15" s="24" t="inlineStr">
        <is>
          <t>B</t>
        </is>
      </c>
      <c r="M15" s="24" t="inlineStr">
        <is>
          <t>C</t>
        </is>
      </c>
      <c r="N15" s="24" t="inlineStr">
        <is>
          <t>D</t>
        </is>
      </c>
      <c r="O15" s="24" t="inlineStr">
        <is>
          <t>E / R</t>
        </is>
      </c>
      <c r="P15" s="24" t="inlineStr">
        <is>
          <t>Mass (kg)</t>
        </is>
      </c>
      <c r="Q15" s="24" t="inlineStr">
        <is>
          <t>Check</t>
        </is>
      </c>
    </row>
    <row r="16" ht="15" customHeight="1">
      <c r="B16" s="25" t="inlineStr">
        <is>
          <t>Base B1</t>
        </is>
      </c>
      <c r="C16" s="26" t="inlineStr">
        <is>
          <t>01</t>
        </is>
      </c>
      <c r="D16" s="26" t="inlineStr">
        <is>
          <t>H</t>
        </is>
      </c>
      <c r="E16" s="26" t="n">
        <v>16</v>
      </c>
      <c r="F16" s="26" t="n">
        <v>1</v>
      </c>
      <c r="G16" s="26" t="n">
        <v>14</v>
      </c>
      <c r="H16" s="27">
        <f>IF(IF(AND(ISNUMBER($F16),ISNUMBER($G16)),AND($F16&gt;0,$G16&gt;0,INT($F16)=$F16,INT($G16)=$G16),FALSE),$F16*$G16,"")</f>
        <v/>
      </c>
      <c r="I16" s="28">
        <f>IF(AND(AND($C16&lt;&gt;"",OR($D16="H",$D16="B",$D16="C"),ISNUMBER($E16),$J16&lt;&gt;""),IF(AND(ISNUMBER($F16),ISNUMBER($G16)),AND($F16&gt;0,$G16&gt;0,INT($F16)=$F16,INT($G16)=$G16),FALSE),$T16&gt;0,$S16&gt;0,$Y16,IF(ISNA(MATCH($X16,{"48","51","52","63"},0)),TRUE,IF(ISBLANK($N16),TRUE,IF(ISNUMBER($N16),$N16=$M16,FALSE))),$X16&lt;&gt;"99",$V16&gt;0,AND(IF(ISBLANK($K16),TRUE,IF(ISNUMBER($K16),MOD($K16,5)=0,FALSE)),IF(ISBLANK($L16),TRUE,IF(ISNUMBER($L16),MOD($L16,5)=0,FALSE)),IF(ISBLANK($M16),TRUE,IF($X16="77",TRUE,IF(ISNUMBER($M16),MOD($M16,5)=0,FALSE))),IF(ISBLANK($N16),TRUE,IF(ISNUMBER($N16),MOD($N16,5)=0,FALSE)),IF(ISBLANK($O16),TRUE,IF(ISNUMBER($O16),MOD($O16,5)=0,FALSE))),$Z16),CEILING($V16,25),"")</f>
        <v/>
      </c>
      <c r="J16" s="29" t="inlineStr">
        <is>
          <t>00</t>
        </is>
      </c>
      <c r="K16" s="26" t="n">
        <v>2950</v>
      </c>
      <c r="L16" s="26" t="n"/>
      <c r="M16" s="26" t="n"/>
      <c r="N16" s="26" t="n"/>
      <c r="O16" s="26" t="n"/>
      <c r="P16" s="30">
        <f>IF(ISNUMBER($I16),$H16*$I16/1000*$U16,"")</f>
        <v/>
      </c>
      <c r="Q16" s="31">
        <f>IF(COUNTA($B16:$G16,$J16:$O16)=0,"",IF(NOT(AND($C16&lt;&gt;"",OR($D16="H",$D16="B",$D16="C"),ISNUMBER($E16),$J16&lt;&gt;"")),"! Incomplete",IF(NOT(IF(AND(ISNUMBER($F16),ISNUMBER($G16)),AND($F16&gt;0,$G16&gt;0,INT($F16)=$F16,INT($G16)=$G16),FALSE)),"! Quantities: whole numbers &gt; 0",IF($T16=0,"! Size not in Table 2",IF($S16=0,"! Unknown shape code",IF($X16="99","! Shape 99: length from the sketch",IF(NOT($Y16),"! Missing dimension",IF(NOT(IF(ISNA(MATCH($X16,{"48","51","52","63"},0)),TRUE,IF(ISBLANK($N16),TRUE,IF(ISNUMBER($N16),$N16=$M16,FALSE)))),"! D must equal C",IF($V16&lt;=0,"! Check dimensions",IF(NOT(AND(IF(ISBLANK($K16),TRUE,IF(ISNUMBER($K16),MOD($K16,5)=0,FALSE)),IF(ISBLANK($L16),TRUE,IF(ISNUMBER($L16),MOD($L16,5)=0,FALSE)),IF(ISBLANK($M16),TRUE,IF($X16="77",TRUE,IF(ISNUMBER($M16),MOD($M16,5)=0,FALSE))),IF(ISBLANK($N16),TRUE,IF(ISNUMBER($N16),MOD($N16,5)=0,FALSE)),IF(ISBLANK($O16),TRUE,IF(ISNUMBER($O16),MOD($O16,5)=0,FALSE)))),"! Dimensions to 5 mm",IF(NOT($Z16),"! Below Table 2 / 5 limits",IF($I16&gt;12000,"! Over 12 m stock","OK"))))))))))))</f>
        <v/>
      </c>
      <c r="S16" s="32">
        <f>IFERROR(MATCH($X16,{"00","01","11","12","13","21","22","23","24","26","27","28","29","31","32","33","41","44","48","51","52","56","63","67","75","77","98","99"},0),0)</f>
        <v/>
      </c>
      <c r="T16" s="32">
        <f>IFERROR(VLOOKUP($E16,bbs_sizes,2,FALSE),0)</f>
        <v/>
      </c>
      <c r="U16" s="32">
        <f>IFERROR(VLOOKUP($E16,bbs_sizes,3,FALSE),0)</f>
        <v/>
      </c>
      <c r="V16" s="32">
        <f>IFERROR(IF(AND($S16&gt;0,$Y16,$T16&gt;0),CHOOSE($S16,N($K16),N($K16),N($K16)+N($L16)-0.5*$T16-$E16,N($K16)+N($L16)-0.43*N($O16)-1.2*$E16,N($K16)+0.57*N($L16)+N($M16)-1.6*$E16,N($K16)+N($L16)+N($M16)-$T16-2*$E16,N($K16)+N($L16)+0.57*N($M16)+N($N16)-0.5*$T16-2.6*$E16,N($K16)+N($L16)+N($M16)-$T16-2*$E16,N($K16)+N($L16)+N($M16),N($K16)+N($L16)+N($M16),N($K16)+N($L16)+N($M16)-0.5*$T16-$E16,N($K16)+N($L16)+N($M16)-0.5*$T16-$E16,N($K16)+N($L16)+N($M16),N($K16)+N($L16)+N($M16)+N($N16)-1.5*$T16-3*$E16,N($K16)+N($L16)+N($M16)+N($N16)-1.5*$T16-3*$E16,2*N($K16)+1.7*N($L16)+2*N($M16)-4*$E16,N($K16)+N($L16)+N($M16)+N($N16)+N($O16)-2*$T16-4*$E16,N($K16)+N($L16)+N($M16)+N($N16)+N($O16)-2*$T16-4*$E16,2*N($K16)+N($L16)+2*N($M16)-$T16-2*$E16,2*(N($K16)+N($L16)+N($M16))-2.5*$T16-5*$E16,2*(N($K16)+N($L16)+N($M16))-1.5*$T16-3*$E16,N($K16)+N($L16)+N($M16)+N($N16)+2*N($O16)-1.5*$T16-3*$E16,2*N($K16)+3*N($L16)+2*N($M16)-3*$T16-6*$E16,N($K16),PI()*(N($K16)-$E16)+N($L16)+25,IF(N($L16)&lt;=N($K16)/5,N($M16)*PI()*(N($K16)-$E16),N($M16)*SQRT((PI()*(N($K16)-$E16))^2+N($L16)^2)),N($K16)+2*N($L16)+N($M16)+N($N16)-2*$T16-4*$E16,0),0),0)</f>
        <v/>
      </c>
      <c r="W16" s="32">
        <f>IF($S16&gt;0,CHOOSE($S16,"A","A","AB","ABE","ABC","ABC","ABCD","ABC","ABCDE","ABCDE","ABCDE","ABCDE","ABCDE","ABCD","ABCD","ABC","ABCDE","ABCDE","ABC","ABC","ABC","ABCDE","ABC","AE","AB","ABC","ABCD",""),"")</f>
        <v/>
      </c>
      <c r="X16" s="32">
        <f>IF(ISNUMBER($J16),IF(INT($J16)=$J16,TEXT($J16,"00"),"x"),IF(AND(LEN(TRIM($J16))=2,ISNUMBER(MID(TRIM($J16),1,1)*1),ISNUMBER(MID(TRIM($J16),2,1)*1),ISERROR(FIND(".",$J16))),TRIM($J16),"x"))</f>
        <v/>
      </c>
      <c r="Y16" s="32">
        <f>AND(IF(ISERROR(FIND("A",$W16)),TRUE,IF(ISNUMBER($K16),$K16&gt;0,FALSE)),IF(ISERROR(FIND("B",$W16)),TRUE,IF(ISNUMBER($L16),$L16&gt;0,FALSE)),IF(ISERROR(FIND("C",$W16)),TRUE,IF(ISNUMBER($M16),$M16&gt;0,FALSE)),IF(ISERROR(FIND("D",$W16)),TRUE,IF(ISNUMBER($N16),$N16&gt;0,FALSE)),IF(ISERROR(FIND("E",$W16)),TRUE,IF(ISNUMBER($O16),$O16&gt;0,FALSE)))</f>
        <v/>
      </c>
      <c r="Z16" s="32">
        <f>IFERROR(IF($S16&gt;0,CHOOSE($S16,TRUE,TRUE,AND(N($K16)&gt;=IFERROR(VLOOKUP($E16,bbs_sizes,4,FALSE),0),N($L16)&gt;=IFERROR(VLOOKUP($E16,bbs_sizes,4,FALSE),0)),AND(N($O16)&gt;=$T16,N($K16)&gt;=N($O16)+$E16+MAX(5*$E16,90),N($L16)&gt;=N($O16)+$E16+MAX(5*$E16,90)),AND(N($L16)&gt;=IFERROR(VLOOKUP($E16,bbs_sizes,6,FALSE),0),N($L16)&lt;=400+2*$E16,N($K16)&gt;=N($L16)/2+MAX(5*$E16,90),N($M16)&gt;=N($L16)/2+MAX(5*$E16,90)),AND(N($K16)&gt;=IFERROR(VLOOKUP($E16,bbs_sizes,4,FALSE),0),N($M16)&gt;=IFERROR(VLOOKUP($E16,bbs_sizes,4,FALSE),0)),AND(N($K16)&gt;=IFERROR(VLOOKUP($E16,bbs_sizes,4,FALSE),0),N($N16)&gt;=IFERROR(VLOOKUP($E16,bbs_sizes,4,FALSE),0),N($M16)&gt;=IFERROR(VLOOKUP($E16,bbs_sizes,6,FALSE),0),N($M16)&lt;=400+2*$E16,N($N16)&gt;=N($M16)/2+MAX(5*$E16,90)),AND(N($K16)&gt;=IFERROR(VLOOKUP($E16,bbs_sizes,4,FALSE),0),N($M16)&gt;=IFERROR(VLOOKUP($E16,bbs_sizes,4,FALSE),0)),AND(N($K16)&gt;=IFERROR(VLOOKUP($E16,bbs_sizes,4,FALSE),0),N($M16)&gt;=IFERROR(VLOOKUP($E16,bbs_sizes,4,FALSE),0),N($L16)&gt;=MAX(N($N16),N($O16)),N($L16)&lt;=N($N16)+N($O16)),AND(N($K16)&gt;=IFERROR(VLOOKUP($E16,bbs_sizes,4,FALSE),0),N($M16)&gt;=IFERROR(VLOOKUP($E16,bbs_sizes,4,FALSE),0),N($L16)&gt;=MAX(N($N16),N($O16)),N($L16)&lt;=N($N16)+N($O16)),AND(N($K16)&gt;=IFERROR(VLOOKUP($E16,bbs_sizes,4,FALSE),0),N($M16)&gt;=IFERROR(VLOOKUP($E16,bbs_sizes,4,FALSE),0),N($K16)&gt;=N($O16)),AND(N($K16)&gt;=IFERROR(VLOOKUP($E16,bbs_sizes,4,FALSE),0),N($M16)&gt;=IFERROR(VLOOKUP($E16,bbs_sizes,4,FALSE),0),N($K16)&gt;=N($O16)),AND(N($K16)&gt;=IFERROR(VLOOKUP($E16,bbs_sizes,4,FALSE),0),N($M16)&gt;=IFERROR(VLOOKUP($E16,bbs_sizes,4,FALSE),0),N($L16)&gt;=MAX(N($N16),N($O16)),N($L16)&lt;=N($N16)+N($O16)),AND(N($K16)&gt;=IFERROR(VLOOKUP($E16,bbs_sizes,4,FALSE),0),N($N16)&gt;=IFERROR(VLOOKUP($E16,bbs_sizes,4,FALSE),0)),AND(N($K16)&gt;=IFERROR(VLOOKUP($E16,bbs_sizes,4,FALSE),0),N($N16)&gt;=IFERROR(VLOOKUP($E16,bbs_sizes,4,FALSE),0)),AND(N($L16)&gt;=IFERROR(VLOOKUP($E16,bbs_sizes,6,FALSE),0),N($L16)&lt;=400+2*$E16,N($M16)&gt;=N($L16)/2+MAX(5*$E16,90),N($K16)&gt;=N($L16)/2+N($M16)),AND(N($K16)&gt;=IFERROR(VLOOKUP($E16,bbs_sizes,4,FALSE),0),N($O16)&gt;=IFERROR(VLOOKUP($E16,bbs_sizes,4,FALSE),0)),AND(N($K16)&gt;=IFERROR(VLOOKUP($E16,bbs_sizes,4,FALSE),0),N($O16)&gt;=IFERROR(VLOOKUP($E16,bbs_sizes,4,FALSE),0)),AND(N($M16)&lt;=N($K16),N($M16)&gt;=IFERROR(VLOOKUP($E16,bbs_sizes,5,FALSE),0)),AND(N($M16)&lt;=N($K16),N($M16)&lt;=N($L16),N($M16)&gt;=IFERROR(VLOOKUP($E16,bbs_sizes,5,FALSE),0)),AND(N($M16)&lt;=N($L16),N($M16)&gt;=IFERROR(VLOOKUP($E16,bbs_sizes,5,FALSE),0)),AND(N($O16)&lt;=N($K16),N($O16)&lt;=N($L16),N($O16)&gt;=IFERROR(VLOOKUP($E16,bbs_sizes,5,FALSE),0)),AND(N($M16)&lt;=N($K16),N($M16)&gt;=IFERROR(VLOOKUP($E16,bbs_sizes,4,FALSE),0)),TRUE,TRUE,TRUE,AND(N($M16)&gt;=IFERROR(VLOOKUP($E16,bbs_sizes,4,FALSE),0),N($N16)&gt;=IFERROR(VLOOKUP($E16,bbs_sizes,4,FALSE),0)),TRUE),FALSE),FALSE)</f>
        <v/>
      </c>
      <c r="AA16" t="n">
        <v>6</v>
      </c>
      <c r="AB16" t="n">
        <v>12</v>
      </c>
      <c r="AC16" t="n">
        <v>0.222</v>
      </c>
      <c r="AD16" t="n">
        <v>110</v>
      </c>
      <c r="AE16" t="n">
        <v>110</v>
      </c>
      <c r="AF16" t="n">
        <v>45</v>
      </c>
    </row>
    <row r="17" ht="15" customHeight="1">
      <c r="B17" s="25" t="inlineStr">
        <is>
          <t>Base B1</t>
        </is>
      </c>
      <c r="C17" s="26" t="inlineStr">
        <is>
          <t>02</t>
        </is>
      </c>
      <c r="D17" s="26" t="inlineStr">
        <is>
          <t>H</t>
        </is>
      </c>
      <c r="E17" s="26" t="n">
        <v>16</v>
      </c>
      <c r="F17" s="26" t="n">
        <v>1</v>
      </c>
      <c r="G17" s="26" t="n">
        <v>14</v>
      </c>
      <c r="H17" s="27">
        <f>IF(IF(AND(ISNUMBER($F17),ISNUMBER($G17)),AND($F17&gt;0,$G17&gt;0,INT($F17)=$F17,INT($G17)=$G17),FALSE),$F17*$G17,"")</f>
        <v/>
      </c>
      <c r="I17" s="28">
        <f>IF(AND(AND($C17&lt;&gt;"",OR($D17="H",$D17="B",$D17="C"),ISNUMBER($E17),$J17&lt;&gt;""),IF(AND(ISNUMBER($F17),ISNUMBER($G17)),AND($F17&gt;0,$G17&gt;0,INT($F17)=$F17,INT($G17)=$G17),FALSE),$T17&gt;0,$S17&gt;0,$Y17,IF(ISNA(MATCH($X17,{"48","51","52","63"},0)),TRUE,IF(ISBLANK($N17),TRUE,IF(ISNUMBER($N17),$N17=$M17,FALSE))),$X17&lt;&gt;"99",$V17&gt;0,AND(IF(ISBLANK($K17),TRUE,IF(ISNUMBER($K17),MOD($K17,5)=0,FALSE)),IF(ISBLANK($L17),TRUE,IF(ISNUMBER($L17),MOD($L17,5)=0,FALSE)),IF(ISBLANK($M17),TRUE,IF($X17="77",TRUE,IF(ISNUMBER($M17),MOD($M17,5)=0,FALSE))),IF(ISBLANK($N17),TRUE,IF(ISNUMBER($N17),MOD($N17,5)=0,FALSE)),IF(ISBLANK($O17),TRUE,IF(ISNUMBER($O17),MOD($O17,5)=0,FALSE))),$Z17),CEILING($V17,25),"")</f>
        <v/>
      </c>
      <c r="J17" s="29" t="inlineStr">
        <is>
          <t>00</t>
        </is>
      </c>
      <c r="K17" s="26" t="n">
        <v>2750</v>
      </c>
      <c r="L17" s="26" t="n"/>
      <c r="M17" s="26" t="n"/>
      <c r="N17" s="26" t="n"/>
      <c r="O17" s="26" t="n"/>
      <c r="P17" s="30">
        <f>IF(ISNUMBER($I17),$H17*$I17/1000*$U17,"")</f>
        <v/>
      </c>
      <c r="Q17" s="31">
        <f>IF(COUNTA($B17:$G17,$J17:$O17)=0,"",IF(NOT(AND($C17&lt;&gt;"",OR($D17="H",$D17="B",$D17="C"),ISNUMBER($E17),$J17&lt;&gt;"")),"! Incomplete",IF(NOT(IF(AND(ISNUMBER($F17),ISNUMBER($G17)),AND($F17&gt;0,$G17&gt;0,INT($F17)=$F17,INT($G17)=$G17),FALSE)),"! Quantities: whole numbers &gt; 0",IF($T17=0,"! Size not in Table 2",IF($S17=0,"! Unknown shape code",IF($X17="99","! Shape 99: length from the sketch",IF(NOT($Y17),"! Missing dimension",IF(NOT(IF(ISNA(MATCH($X17,{"48","51","52","63"},0)),TRUE,IF(ISBLANK($N17),TRUE,IF(ISNUMBER($N17),$N17=$M17,FALSE)))),"! D must equal C",IF($V17&lt;=0,"! Check dimensions",IF(NOT(AND(IF(ISBLANK($K17),TRUE,IF(ISNUMBER($K17),MOD($K17,5)=0,FALSE)),IF(ISBLANK($L17),TRUE,IF(ISNUMBER($L17),MOD($L17,5)=0,FALSE)),IF(ISBLANK($M17),TRUE,IF($X17="77",TRUE,IF(ISNUMBER($M17),MOD($M17,5)=0,FALSE))),IF(ISBLANK($N17),TRUE,IF(ISNUMBER($N17),MOD($N17,5)=0,FALSE)),IF(ISBLANK($O17),TRUE,IF(ISNUMBER($O17),MOD($O17,5)=0,FALSE)))),"! Dimensions to 5 mm",IF(NOT($Z17),"! Below Table 2 / 5 limits",IF($I17&gt;12000,"! Over 12 m stock","OK"))))))))))))</f>
        <v/>
      </c>
      <c r="S17" s="32">
        <f>IFERROR(MATCH($X17,{"00","01","11","12","13","21","22","23","24","26","27","28","29","31","32","33","41","44","48","51","52","56","63","67","75","77","98","99"},0),0)</f>
        <v/>
      </c>
      <c r="T17" s="32">
        <f>IFERROR(VLOOKUP($E17,bbs_sizes,2,FALSE),0)</f>
        <v/>
      </c>
      <c r="U17" s="32">
        <f>IFERROR(VLOOKUP($E17,bbs_sizes,3,FALSE),0)</f>
        <v/>
      </c>
      <c r="V17" s="32">
        <f>IFERROR(IF(AND($S17&gt;0,$Y17,$T17&gt;0),CHOOSE($S17,N($K17),N($K17),N($K17)+N($L17)-0.5*$T17-$E17,N($K17)+N($L17)-0.43*N($O17)-1.2*$E17,N($K17)+0.57*N($L17)+N($M17)-1.6*$E17,N($K17)+N($L17)+N($M17)-$T17-2*$E17,N($K17)+N($L17)+0.57*N($M17)+N($N17)-0.5*$T17-2.6*$E17,N($K17)+N($L17)+N($M17)-$T17-2*$E17,N($K17)+N($L17)+N($M17),N($K17)+N($L17)+N($M17),N($K17)+N($L17)+N($M17)-0.5*$T17-$E17,N($K17)+N($L17)+N($M17)-0.5*$T17-$E17,N($K17)+N($L17)+N($M17),N($K17)+N($L17)+N($M17)+N($N17)-1.5*$T17-3*$E17,N($K17)+N($L17)+N($M17)+N($N17)-1.5*$T17-3*$E17,2*N($K17)+1.7*N($L17)+2*N($M17)-4*$E17,N($K17)+N($L17)+N($M17)+N($N17)+N($O17)-2*$T17-4*$E17,N($K17)+N($L17)+N($M17)+N($N17)+N($O17)-2*$T17-4*$E17,2*N($K17)+N($L17)+2*N($M17)-$T17-2*$E17,2*(N($K17)+N($L17)+N($M17))-2.5*$T17-5*$E17,2*(N($K17)+N($L17)+N($M17))-1.5*$T17-3*$E17,N($K17)+N($L17)+N($M17)+N($N17)+2*N($O17)-1.5*$T17-3*$E17,2*N($K17)+3*N($L17)+2*N($M17)-3*$T17-6*$E17,N($K17),PI()*(N($K17)-$E17)+N($L17)+25,IF(N($L17)&lt;=N($K17)/5,N($M17)*PI()*(N($K17)-$E17),N($M17)*SQRT((PI()*(N($K17)-$E17))^2+N($L17)^2)),N($K17)+2*N($L17)+N($M17)+N($N17)-2*$T17-4*$E17,0),0),0)</f>
        <v/>
      </c>
      <c r="W17" s="32">
        <f>IF($S17&gt;0,CHOOSE($S17,"A","A","AB","ABE","ABC","ABC","ABCD","ABC","ABCDE","ABCDE","ABCDE","ABCDE","ABCDE","ABCD","ABCD","ABC","ABCDE","ABCDE","ABC","ABC","ABC","ABCDE","ABC","AE","AB","ABC","ABCD",""),"")</f>
        <v/>
      </c>
      <c r="X17" s="32">
        <f>IF(ISNUMBER($J17),IF(INT($J17)=$J17,TEXT($J17,"00"),"x"),IF(AND(LEN(TRIM($J17))=2,ISNUMBER(MID(TRIM($J17),1,1)*1),ISNUMBER(MID(TRIM($J17),2,1)*1),ISERROR(FIND(".",$J17))),TRIM($J17),"x"))</f>
        <v/>
      </c>
      <c r="Y17" s="32">
        <f>AND(IF(ISERROR(FIND("A",$W17)),TRUE,IF(ISNUMBER($K17),$K17&gt;0,FALSE)),IF(ISERROR(FIND("B",$W17)),TRUE,IF(ISNUMBER($L17),$L17&gt;0,FALSE)),IF(ISERROR(FIND("C",$W17)),TRUE,IF(ISNUMBER($M17),$M17&gt;0,FALSE)),IF(ISERROR(FIND("D",$W17)),TRUE,IF(ISNUMBER($N17),$N17&gt;0,FALSE)),IF(ISERROR(FIND("E",$W17)),TRUE,IF(ISNUMBER($O17),$O17&gt;0,FALSE)))</f>
        <v/>
      </c>
      <c r="Z17" s="32">
        <f>IFERROR(IF($S17&gt;0,CHOOSE($S17,TRUE,TRUE,AND(N($K17)&gt;=IFERROR(VLOOKUP($E17,bbs_sizes,4,FALSE),0),N($L17)&gt;=IFERROR(VLOOKUP($E17,bbs_sizes,4,FALSE),0)),AND(N($O17)&gt;=$T17,N($K17)&gt;=N($O17)+$E17+MAX(5*$E17,90),N($L17)&gt;=N($O17)+$E17+MAX(5*$E17,90)),AND(N($L17)&gt;=IFERROR(VLOOKUP($E17,bbs_sizes,6,FALSE),0),N($L17)&lt;=400+2*$E17,N($K17)&gt;=N($L17)/2+MAX(5*$E17,90),N($M17)&gt;=N($L17)/2+MAX(5*$E17,90)),AND(N($K17)&gt;=IFERROR(VLOOKUP($E17,bbs_sizes,4,FALSE),0),N($M17)&gt;=IFERROR(VLOOKUP($E17,bbs_sizes,4,FALSE),0)),AND(N($K17)&gt;=IFERROR(VLOOKUP($E17,bbs_sizes,4,FALSE),0),N($N17)&gt;=IFERROR(VLOOKUP($E17,bbs_sizes,4,FALSE),0),N($M17)&gt;=IFERROR(VLOOKUP($E17,bbs_sizes,6,FALSE),0),N($M17)&lt;=400+2*$E17,N($N17)&gt;=N($M17)/2+MAX(5*$E17,90)),AND(N($K17)&gt;=IFERROR(VLOOKUP($E17,bbs_sizes,4,FALSE),0),N($M17)&gt;=IFERROR(VLOOKUP($E17,bbs_sizes,4,FALSE),0)),AND(N($K17)&gt;=IFERROR(VLOOKUP($E17,bbs_sizes,4,FALSE),0),N($M17)&gt;=IFERROR(VLOOKUP($E17,bbs_sizes,4,FALSE),0),N($L17)&gt;=MAX(N($N17),N($O17)),N($L17)&lt;=N($N17)+N($O17)),AND(N($K17)&gt;=IFERROR(VLOOKUP($E17,bbs_sizes,4,FALSE),0),N($M17)&gt;=IFERROR(VLOOKUP($E17,bbs_sizes,4,FALSE),0),N($L17)&gt;=MAX(N($N17),N($O17)),N($L17)&lt;=N($N17)+N($O17)),AND(N($K17)&gt;=IFERROR(VLOOKUP($E17,bbs_sizes,4,FALSE),0),N($M17)&gt;=IFERROR(VLOOKUP($E17,bbs_sizes,4,FALSE),0),N($K17)&gt;=N($O17)),AND(N($K17)&gt;=IFERROR(VLOOKUP($E17,bbs_sizes,4,FALSE),0),N($M17)&gt;=IFERROR(VLOOKUP($E17,bbs_sizes,4,FALSE),0),N($K17)&gt;=N($O17)),AND(N($K17)&gt;=IFERROR(VLOOKUP($E17,bbs_sizes,4,FALSE),0),N($M17)&gt;=IFERROR(VLOOKUP($E17,bbs_sizes,4,FALSE),0),N($L17)&gt;=MAX(N($N17),N($O17)),N($L17)&lt;=N($N17)+N($O17)),AND(N($K17)&gt;=IFERROR(VLOOKUP($E17,bbs_sizes,4,FALSE),0),N($N17)&gt;=IFERROR(VLOOKUP($E17,bbs_sizes,4,FALSE),0)),AND(N($K17)&gt;=IFERROR(VLOOKUP($E17,bbs_sizes,4,FALSE),0),N($N17)&gt;=IFERROR(VLOOKUP($E17,bbs_sizes,4,FALSE),0)),AND(N($L17)&gt;=IFERROR(VLOOKUP($E17,bbs_sizes,6,FALSE),0),N($L17)&lt;=400+2*$E17,N($M17)&gt;=N($L17)/2+MAX(5*$E17,90),N($K17)&gt;=N($L17)/2+N($M17)),AND(N($K17)&gt;=IFERROR(VLOOKUP($E17,bbs_sizes,4,FALSE),0),N($O17)&gt;=IFERROR(VLOOKUP($E17,bbs_sizes,4,FALSE),0)),AND(N($K17)&gt;=IFERROR(VLOOKUP($E17,bbs_sizes,4,FALSE),0),N($O17)&gt;=IFERROR(VLOOKUP($E17,bbs_sizes,4,FALSE),0)),AND(N($M17)&lt;=N($K17),N($M17)&gt;=IFERROR(VLOOKUP($E17,bbs_sizes,5,FALSE),0)),AND(N($M17)&lt;=N($K17),N($M17)&lt;=N($L17),N($M17)&gt;=IFERROR(VLOOKUP($E17,bbs_sizes,5,FALSE),0)),AND(N($M17)&lt;=N($L17),N($M17)&gt;=IFERROR(VLOOKUP($E17,bbs_sizes,5,FALSE),0)),AND(N($O17)&lt;=N($K17),N($O17)&lt;=N($L17),N($O17)&gt;=IFERROR(VLOOKUP($E17,bbs_sizes,5,FALSE),0)),AND(N($M17)&lt;=N($K17),N($M17)&gt;=IFERROR(VLOOKUP($E17,bbs_sizes,4,FALSE),0)),TRUE,TRUE,TRUE,AND(N($M17)&gt;=IFERROR(VLOOKUP($E17,bbs_sizes,4,FALSE),0),N($N17)&gt;=IFERROR(VLOOKUP($E17,bbs_sizes,4,FALSE),0)),TRUE),FALSE),FALSE)</f>
        <v/>
      </c>
      <c r="AA17" t="n">
        <v>8</v>
      </c>
      <c r="AB17" t="n">
        <v>16</v>
      </c>
      <c r="AC17" t="n">
        <v>0.395</v>
      </c>
      <c r="AD17" t="n">
        <v>115</v>
      </c>
      <c r="AE17" t="n">
        <v>115</v>
      </c>
      <c r="AF17" t="n">
        <v>60</v>
      </c>
    </row>
    <row r="18" ht="15" customHeight="1">
      <c r="B18" s="25" t="inlineStr">
        <is>
          <t>Column C1</t>
        </is>
      </c>
      <c r="C18" s="26" t="inlineStr">
        <is>
          <t>03</t>
        </is>
      </c>
      <c r="D18" s="26" t="inlineStr">
        <is>
          <t>H</t>
        </is>
      </c>
      <c r="E18" s="26" t="n">
        <v>20</v>
      </c>
      <c r="F18" s="26" t="n">
        <v>1</v>
      </c>
      <c r="G18" s="26" t="n">
        <v>8</v>
      </c>
      <c r="H18" s="27">
        <f>IF(IF(AND(ISNUMBER($F18),ISNUMBER($G18)),AND($F18&gt;0,$G18&gt;0,INT($F18)=$F18,INT($G18)=$G18),FALSE),$F18*$G18,"")</f>
        <v/>
      </c>
      <c r="I18" s="28">
        <f>IF(AND(AND($C18&lt;&gt;"",OR($D18="H",$D18="B",$D18="C"),ISNUMBER($E18),$J18&lt;&gt;""),IF(AND(ISNUMBER($F18),ISNUMBER($G18)),AND($F18&gt;0,$G18&gt;0,INT($F18)=$F18,INT($G18)=$G18),FALSE),$T18&gt;0,$S18&gt;0,$Y18,IF(ISNA(MATCH($X18,{"48","51","52","63"},0)),TRUE,IF(ISBLANK($N18),TRUE,IF(ISNUMBER($N18),$N18=$M18,FALSE))),$X18&lt;&gt;"99",$V18&gt;0,AND(IF(ISBLANK($K18),TRUE,IF(ISNUMBER($K18),MOD($K18,5)=0,FALSE)),IF(ISBLANK($L18),TRUE,IF(ISNUMBER($L18),MOD($L18,5)=0,FALSE)),IF(ISBLANK($M18),TRUE,IF($X18="77",TRUE,IF(ISNUMBER($M18),MOD($M18,5)=0,FALSE))),IF(ISBLANK($N18),TRUE,IF(ISNUMBER($N18),MOD($N18,5)=0,FALSE)),IF(ISBLANK($O18),TRUE,IF(ISNUMBER($O18),MOD($O18,5)=0,FALSE))),$Z18),CEILING($V18,25),"")</f>
        <v/>
      </c>
      <c r="J18" s="29" t="inlineStr">
        <is>
          <t>11</t>
        </is>
      </c>
      <c r="K18" s="26" t="n">
        <v>2400</v>
      </c>
      <c r="L18" s="26" t="n">
        <v>600</v>
      </c>
      <c r="M18" s="26" t="n"/>
      <c r="N18" s="26" t="n"/>
      <c r="O18" s="26" t="n"/>
      <c r="P18" s="30">
        <f>IF(ISNUMBER($I18),$H18*$I18/1000*$U18,"")</f>
        <v/>
      </c>
      <c r="Q18" s="31">
        <f>IF(COUNTA($B18:$G18,$J18:$O18)=0,"",IF(NOT(AND($C18&lt;&gt;"",OR($D18="H",$D18="B",$D18="C"),ISNUMBER($E18),$J18&lt;&gt;"")),"! Incomplete",IF(NOT(IF(AND(ISNUMBER($F18),ISNUMBER($G18)),AND($F18&gt;0,$G18&gt;0,INT($F18)=$F18,INT($G18)=$G18),FALSE)),"! Quantities: whole numbers &gt; 0",IF($T18=0,"! Size not in Table 2",IF($S18=0,"! Unknown shape code",IF($X18="99","! Shape 99: length from the sketch",IF(NOT($Y18),"! Missing dimension",IF(NOT(IF(ISNA(MATCH($X18,{"48","51","52","63"},0)),TRUE,IF(ISBLANK($N18),TRUE,IF(ISNUMBER($N18),$N18=$M18,FALSE)))),"! D must equal C",IF($V18&lt;=0,"! Check dimensions",IF(NOT(AND(IF(ISBLANK($K18),TRUE,IF(ISNUMBER($K18),MOD($K18,5)=0,FALSE)),IF(ISBLANK($L18),TRUE,IF(ISNUMBER($L18),MOD($L18,5)=0,FALSE)),IF(ISBLANK($M18),TRUE,IF($X18="77",TRUE,IF(ISNUMBER($M18),MOD($M18,5)=0,FALSE))),IF(ISBLANK($N18),TRUE,IF(ISNUMBER($N18),MOD($N18,5)=0,FALSE)),IF(ISBLANK($O18),TRUE,IF(ISNUMBER($O18),MOD($O18,5)=0,FALSE)))),"! Dimensions to 5 mm",IF(NOT($Z18),"! Below Table 2 / 5 limits",IF($I18&gt;12000,"! Over 12 m stock","OK"))))))))))))</f>
        <v/>
      </c>
      <c r="S18" s="32">
        <f>IFERROR(MATCH($X18,{"00","01","11","12","13","21","22","23","24","26","27","28","29","31","32","33","41","44","48","51","52","56","63","67","75","77","98","99"},0),0)</f>
        <v/>
      </c>
      <c r="T18" s="32">
        <f>IFERROR(VLOOKUP($E18,bbs_sizes,2,FALSE),0)</f>
        <v/>
      </c>
      <c r="U18" s="32">
        <f>IFERROR(VLOOKUP($E18,bbs_sizes,3,FALSE),0)</f>
        <v/>
      </c>
      <c r="V18" s="32">
        <f>IFERROR(IF(AND($S18&gt;0,$Y18,$T18&gt;0),CHOOSE($S18,N($K18),N($K18),N($K18)+N($L18)-0.5*$T18-$E18,N($K18)+N($L18)-0.43*N($O18)-1.2*$E18,N($K18)+0.57*N($L18)+N($M18)-1.6*$E18,N($K18)+N($L18)+N($M18)-$T18-2*$E18,N($K18)+N($L18)+0.57*N($M18)+N($N18)-0.5*$T18-2.6*$E18,N($K18)+N($L18)+N($M18)-$T18-2*$E18,N($K18)+N($L18)+N($M18),N($K18)+N($L18)+N($M18),N($K18)+N($L18)+N($M18)-0.5*$T18-$E18,N($K18)+N($L18)+N($M18)-0.5*$T18-$E18,N($K18)+N($L18)+N($M18),N($K18)+N($L18)+N($M18)+N($N18)-1.5*$T18-3*$E18,N($K18)+N($L18)+N($M18)+N($N18)-1.5*$T18-3*$E18,2*N($K18)+1.7*N($L18)+2*N($M18)-4*$E18,N($K18)+N($L18)+N($M18)+N($N18)+N($O18)-2*$T18-4*$E18,N($K18)+N($L18)+N($M18)+N($N18)+N($O18)-2*$T18-4*$E18,2*N($K18)+N($L18)+2*N($M18)-$T18-2*$E18,2*(N($K18)+N($L18)+N($M18))-2.5*$T18-5*$E18,2*(N($K18)+N($L18)+N($M18))-1.5*$T18-3*$E18,N($K18)+N($L18)+N($M18)+N($N18)+2*N($O18)-1.5*$T18-3*$E18,2*N($K18)+3*N($L18)+2*N($M18)-3*$T18-6*$E18,N($K18),PI()*(N($K18)-$E18)+N($L18)+25,IF(N($L18)&lt;=N($K18)/5,N($M18)*PI()*(N($K18)-$E18),N($M18)*SQRT((PI()*(N($K18)-$E18))^2+N($L18)^2)),N($K18)+2*N($L18)+N($M18)+N($N18)-2*$T18-4*$E18,0),0),0)</f>
        <v/>
      </c>
      <c r="W18" s="32">
        <f>IF($S18&gt;0,CHOOSE($S18,"A","A","AB","ABE","ABC","ABC","ABCD","ABC","ABCDE","ABCDE","ABCDE","ABCDE","ABCDE","ABCD","ABCD","ABC","ABCDE","ABCDE","ABC","ABC","ABC","ABCDE","ABC","AE","AB","ABC","ABCD",""),"")</f>
        <v/>
      </c>
      <c r="X18" s="32">
        <f>IF(ISNUMBER($J18),IF(INT($J18)=$J18,TEXT($J18,"00"),"x"),IF(AND(LEN(TRIM($J18))=2,ISNUMBER(MID(TRIM($J18),1,1)*1),ISNUMBER(MID(TRIM($J18),2,1)*1),ISERROR(FIND(".",$J18))),TRIM($J18),"x"))</f>
        <v/>
      </c>
      <c r="Y18" s="32">
        <f>AND(IF(ISERROR(FIND("A",$W18)),TRUE,IF(ISNUMBER($K18),$K18&gt;0,FALSE)),IF(ISERROR(FIND("B",$W18)),TRUE,IF(ISNUMBER($L18),$L18&gt;0,FALSE)),IF(ISERROR(FIND("C",$W18)),TRUE,IF(ISNUMBER($M18),$M18&gt;0,FALSE)),IF(ISERROR(FIND("D",$W18)),TRUE,IF(ISNUMBER($N18),$N18&gt;0,FALSE)),IF(ISERROR(FIND("E",$W18)),TRUE,IF(ISNUMBER($O18),$O18&gt;0,FALSE)))</f>
        <v/>
      </c>
      <c r="Z18" s="32">
        <f>IFERROR(IF($S18&gt;0,CHOOSE($S18,TRUE,TRUE,AND(N($K18)&gt;=IFERROR(VLOOKUP($E18,bbs_sizes,4,FALSE),0),N($L18)&gt;=IFERROR(VLOOKUP($E18,bbs_sizes,4,FALSE),0)),AND(N($O18)&gt;=$T18,N($K18)&gt;=N($O18)+$E18+MAX(5*$E18,90),N($L18)&gt;=N($O18)+$E18+MAX(5*$E18,90)),AND(N($L18)&gt;=IFERROR(VLOOKUP($E18,bbs_sizes,6,FALSE),0),N($L18)&lt;=400+2*$E18,N($K18)&gt;=N($L18)/2+MAX(5*$E18,90),N($M18)&gt;=N($L18)/2+MAX(5*$E18,90)),AND(N($K18)&gt;=IFERROR(VLOOKUP($E18,bbs_sizes,4,FALSE),0),N($M18)&gt;=IFERROR(VLOOKUP($E18,bbs_sizes,4,FALSE),0)),AND(N($K18)&gt;=IFERROR(VLOOKUP($E18,bbs_sizes,4,FALSE),0),N($N18)&gt;=IFERROR(VLOOKUP($E18,bbs_sizes,4,FALSE),0),N($M18)&gt;=IFERROR(VLOOKUP($E18,bbs_sizes,6,FALSE),0),N($M18)&lt;=400+2*$E18,N($N18)&gt;=N($M18)/2+MAX(5*$E18,90)),AND(N($K18)&gt;=IFERROR(VLOOKUP($E18,bbs_sizes,4,FALSE),0),N($M18)&gt;=IFERROR(VLOOKUP($E18,bbs_sizes,4,FALSE),0)),AND(N($K18)&gt;=IFERROR(VLOOKUP($E18,bbs_sizes,4,FALSE),0),N($M18)&gt;=IFERROR(VLOOKUP($E18,bbs_sizes,4,FALSE),0),N($L18)&gt;=MAX(N($N18),N($O18)),N($L18)&lt;=N($N18)+N($O18)),AND(N($K18)&gt;=IFERROR(VLOOKUP($E18,bbs_sizes,4,FALSE),0),N($M18)&gt;=IFERROR(VLOOKUP($E18,bbs_sizes,4,FALSE),0),N($L18)&gt;=MAX(N($N18),N($O18)),N($L18)&lt;=N($N18)+N($O18)),AND(N($K18)&gt;=IFERROR(VLOOKUP($E18,bbs_sizes,4,FALSE),0),N($M18)&gt;=IFERROR(VLOOKUP($E18,bbs_sizes,4,FALSE),0),N($K18)&gt;=N($O18)),AND(N($K18)&gt;=IFERROR(VLOOKUP($E18,bbs_sizes,4,FALSE),0),N($M18)&gt;=IFERROR(VLOOKUP($E18,bbs_sizes,4,FALSE),0),N($K18)&gt;=N($O18)),AND(N($K18)&gt;=IFERROR(VLOOKUP($E18,bbs_sizes,4,FALSE),0),N($M18)&gt;=IFERROR(VLOOKUP($E18,bbs_sizes,4,FALSE),0),N($L18)&gt;=MAX(N($N18),N($O18)),N($L18)&lt;=N($N18)+N($O18)),AND(N($K18)&gt;=IFERROR(VLOOKUP($E18,bbs_sizes,4,FALSE),0),N($N18)&gt;=IFERROR(VLOOKUP($E18,bbs_sizes,4,FALSE),0)),AND(N($K18)&gt;=IFERROR(VLOOKUP($E18,bbs_sizes,4,FALSE),0),N($N18)&gt;=IFERROR(VLOOKUP($E18,bbs_sizes,4,FALSE),0)),AND(N($L18)&gt;=IFERROR(VLOOKUP($E18,bbs_sizes,6,FALSE),0),N($L18)&lt;=400+2*$E18,N($M18)&gt;=N($L18)/2+MAX(5*$E18,90),N($K18)&gt;=N($L18)/2+N($M18)),AND(N($K18)&gt;=IFERROR(VLOOKUP($E18,bbs_sizes,4,FALSE),0),N($O18)&gt;=IFERROR(VLOOKUP($E18,bbs_sizes,4,FALSE),0)),AND(N($K18)&gt;=IFERROR(VLOOKUP($E18,bbs_sizes,4,FALSE),0),N($O18)&gt;=IFERROR(VLOOKUP($E18,bbs_sizes,4,FALSE),0)),AND(N($M18)&lt;=N($K18),N($M18)&gt;=IFERROR(VLOOKUP($E18,bbs_sizes,5,FALSE),0)),AND(N($M18)&lt;=N($K18),N($M18)&lt;=N($L18),N($M18)&gt;=IFERROR(VLOOKUP($E18,bbs_sizes,5,FALSE),0)),AND(N($M18)&lt;=N($L18),N($M18)&gt;=IFERROR(VLOOKUP($E18,bbs_sizes,5,FALSE),0)),AND(N($O18)&lt;=N($K18),N($O18)&lt;=N($L18),N($O18)&gt;=IFERROR(VLOOKUP($E18,bbs_sizes,5,FALSE),0)),AND(N($M18)&lt;=N($K18),N($M18)&gt;=IFERROR(VLOOKUP($E18,bbs_sizes,4,FALSE),0)),TRUE,TRUE,TRUE,AND(N($M18)&gt;=IFERROR(VLOOKUP($E18,bbs_sizes,4,FALSE),0),N($N18)&gt;=IFERROR(VLOOKUP($E18,bbs_sizes,4,FALSE),0)),TRUE),FALSE),FALSE)</f>
        <v/>
      </c>
      <c r="AA18" t="n">
        <v>10</v>
      </c>
      <c r="AB18" t="n">
        <v>20</v>
      </c>
      <c r="AC18" t="n">
        <v>0.617</v>
      </c>
      <c r="AD18" t="n">
        <v>120</v>
      </c>
      <c r="AE18" t="n">
        <v>130</v>
      </c>
      <c r="AF18" t="n">
        <v>70</v>
      </c>
    </row>
    <row r="19" ht="15" customHeight="1">
      <c r="B19" s="25" t="inlineStr">
        <is>
          <t>Column C1</t>
        </is>
      </c>
      <c r="C19" s="26" t="inlineStr">
        <is>
          <t>04</t>
        </is>
      </c>
      <c r="D19" s="26" t="inlineStr">
        <is>
          <t>H</t>
        </is>
      </c>
      <c r="E19" s="26" t="n">
        <v>10</v>
      </c>
      <c r="F19" s="26" t="n">
        <v>1</v>
      </c>
      <c r="G19" s="26" t="n">
        <v>12</v>
      </c>
      <c r="H19" s="27">
        <f>IF(IF(AND(ISNUMBER($F19),ISNUMBER($G19)),AND($F19&gt;0,$G19&gt;0,INT($F19)=$F19,INT($G19)=$G19),FALSE),$F19*$G19,"")</f>
        <v/>
      </c>
      <c r="I19" s="28">
        <f>IF(AND(AND($C19&lt;&gt;"",OR($D19="H",$D19="B",$D19="C"),ISNUMBER($E19),$J19&lt;&gt;""),IF(AND(ISNUMBER($F19),ISNUMBER($G19)),AND($F19&gt;0,$G19&gt;0,INT($F19)=$F19,INT($G19)=$G19),FALSE),$T19&gt;0,$S19&gt;0,$Y19,IF(ISNA(MATCH($X19,{"48","51","52","63"},0)),TRUE,IF(ISBLANK($N19),TRUE,IF(ISNUMBER($N19),$N19=$M19,FALSE))),$X19&lt;&gt;"99",$V19&gt;0,AND(IF(ISBLANK($K19),TRUE,IF(ISNUMBER($K19),MOD($K19,5)=0,FALSE)),IF(ISBLANK($L19),TRUE,IF(ISNUMBER($L19),MOD($L19,5)=0,FALSE)),IF(ISBLANK($M19),TRUE,IF($X19="77",TRUE,IF(ISNUMBER($M19),MOD($M19,5)=0,FALSE))),IF(ISBLANK($N19),TRUE,IF(ISNUMBER($N19),MOD($N19,5)=0,FALSE)),IF(ISBLANK($O19),TRUE,IF(ISNUMBER($O19),MOD($O19,5)=0,FALSE))),$Z19),CEILING($V19,25),"")</f>
        <v/>
      </c>
      <c r="J19" s="29" t="inlineStr">
        <is>
          <t>51</t>
        </is>
      </c>
      <c r="K19" s="26" t="n">
        <v>340</v>
      </c>
      <c r="L19" s="26" t="n">
        <v>340</v>
      </c>
      <c r="M19" s="26" t="n">
        <v>130</v>
      </c>
      <c r="N19" s="26" t="n">
        <v>130</v>
      </c>
      <c r="O19" s="26" t="n"/>
      <c r="P19" s="30">
        <f>IF(ISNUMBER($I19),$H19*$I19/1000*$U19,"")</f>
        <v/>
      </c>
      <c r="Q19" s="31">
        <f>IF(COUNTA($B19:$G19,$J19:$O19)=0,"",IF(NOT(AND($C19&lt;&gt;"",OR($D19="H",$D19="B",$D19="C"),ISNUMBER($E19),$J19&lt;&gt;"")),"! Incomplete",IF(NOT(IF(AND(ISNUMBER($F19),ISNUMBER($G19)),AND($F19&gt;0,$G19&gt;0,INT($F19)=$F19,INT($G19)=$G19),FALSE)),"! Quantities: whole numbers &gt; 0",IF($T19=0,"! Size not in Table 2",IF($S19=0,"! Unknown shape code",IF($X19="99","! Shape 99: length from the sketch",IF(NOT($Y19),"! Missing dimension",IF(NOT(IF(ISNA(MATCH($X19,{"48","51","52","63"},0)),TRUE,IF(ISBLANK($N19),TRUE,IF(ISNUMBER($N19),$N19=$M19,FALSE)))),"! D must equal C",IF($V19&lt;=0,"! Check dimensions",IF(NOT(AND(IF(ISBLANK($K19),TRUE,IF(ISNUMBER($K19),MOD($K19,5)=0,FALSE)),IF(ISBLANK($L19),TRUE,IF(ISNUMBER($L19),MOD($L19,5)=0,FALSE)),IF(ISBLANK($M19),TRUE,IF($X19="77",TRUE,IF(ISNUMBER($M19),MOD($M19,5)=0,FALSE))),IF(ISBLANK($N19),TRUE,IF(ISNUMBER($N19),MOD($N19,5)=0,FALSE)),IF(ISBLANK($O19),TRUE,IF(ISNUMBER($O19),MOD($O19,5)=0,FALSE)))),"! Dimensions to 5 mm",IF(NOT($Z19),"! Below Table 2 / 5 limits",IF($I19&gt;12000,"! Over 12 m stock","OK"))))))))))))</f>
        <v/>
      </c>
      <c r="S19" s="32">
        <f>IFERROR(MATCH($X19,{"00","01","11","12","13","21","22","23","24","26","27","28","29","31","32","33","41","44","48","51","52","56","63","67","75","77","98","99"},0),0)</f>
        <v/>
      </c>
      <c r="T19" s="32">
        <f>IFERROR(VLOOKUP($E19,bbs_sizes,2,FALSE),0)</f>
        <v/>
      </c>
      <c r="U19" s="32">
        <f>IFERROR(VLOOKUP($E19,bbs_sizes,3,FALSE),0)</f>
        <v/>
      </c>
      <c r="V19" s="32">
        <f>IFERROR(IF(AND($S19&gt;0,$Y19,$T19&gt;0),CHOOSE($S19,N($K19),N($K19),N($K19)+N($L19)-0.5*$T19-$E19,N($K19)+N($L19)-0.43*N($O19)-1.2*$E19,N($K19)+0.57*N($L19)+N($M19)-1.6*$E19,N($K19)+N($L19)+N($M19)-$T19-2*$E19,N($K19)+N($L19)+0.57*N($M19)+N($N19)-0.5*$T19-2.6*$E19,N($K19)+N($L19)+N($M19)-$T19-2*$E19,N($K19)+N($L19)+N($M19),N($K19)+N($L19)+N($M19),N($K19)+N($L19)+N($M19)-0.5*$T19-$E19,N($K19)+N($L19)+N($M19)-0.5*$T19-$E19,N($K19)+N($L19)+N($M19),N($K19)+N($L19)+N($M19)+N($N19)-1.5*$T19-3*$E19,N($K19)+N($L19)+N($M19)+N($N19)-1.5*$T19-3*$E19,2*N($K19)+1.7*N($L19)+2*N($M19)-4*$E19,N($K19)+N($L19)+N($M19)+N($N19)+N($O19)-2*$T19-4*$E19,N($K19)+N($L19)+N($M19)+N($N19)+N($O19)-2*$T19-4*$E19,2*N($K19)+N($L19)+2*N($M19)-$T19-2*$E19,2*(N($K19)+N($L19)+N($M19))-2.5*$T19-5*$E19,2*(N($K19)+N($L19)+N($M19))-1.5*$T19-3*$E19,N($K19)+N($L19)+N($M19)+N($N19)+2*N($O19)-1.5*$T19-3*$E19,2*N($K19)+3*N($L19)+2*N($M19)-3*$T19-6*$E19,N($K19),PI()*(N($K19)-$E19)+N($L19)+25,IF(N($L19)&lt;=N($K19)/5,N($M19)*PI()*(N($K19)-$E19),N($M19)*SQRT((PI()*(N($K19)-$E19))^2+N($L19)^2)),N($K19)+2*N($L19)+N($M19)+N($N19)-2*$T19-4*$E19,0),0),0)</f>
        <v/>
      </c>
      <c r="W19" s="32">
        <f>IF($S19&gt;0,CHOOSE($S19,"A","A","AB","ABE","ABC","ABC","ABCD","ABC","ABCDE","ABCDE","ABCDE","ABCDE","ABCDE","ABCD","ABCD","ABC","ABCDE","ABCDE","ABC","ABC","ABC","ABCDE","ABC","AE","AB","ABC","ABCD",""),"")</f>
        <v/>
      </c>
      <c r="X19" s="32">
        <f>IF(ISNUMBER($J19),IF(INT($J19)=$J19,TEXT($J19,"00"),"x"),IF(AND(LEN(TRIM($J19))=2,ISNUMBER(MID(TRIM($J19),1,1)*1),ISNUMBER(MID(TRIM($J19),2,1)*1),ISERROR(FIND(".",$J19))),TRIM($J19),"x"))</f>
        <v/>
      </c>
      <c r="Y19" s="32">
        <f>AND(IF(ISERROR(FIND("A",$W19)),TRUE,IF(ISNUMBER($K19),$K19&gt;0,FALSE)),IF(ISERROR(FIND("B",$W19)),TRUE,IF(ISNUMBER($L19),$L19&gt;0,FALSE)),IF(ISERROR(FIND("C",$W19)),TRUE,IF(ISNUMBER($M19),$M19&gt;0,FALSE)),IF(ISERROR(FIND("D",$W19)),TRUE,IF(ISNUMBER($N19),$N19&gt;0,FALSE)),IF(ISERROR(FIND("E",$W19)),TRUE,IF(ISNUMBER($O19),$O19&gt;0,FALSE)))</f>
        <v/>
      </c>
      <c r="Z19" s="32">
        <f>IFERROR(IF($S19&gt;0,CHOOSE($S19,TRUE,TRUE,AND(N($K19)&gt;=IFERROR(VLOOKUP($E19,bbs_sizes,4,FALSE),0),N($L19)&gt;=IFERROR(VLOOKUP($E19,bbs_sizes,4,FALSE),0)),AND(N($O19)&gt;=$T19,N($K19)&gt;=N($O19)+$E19+MAX(5*$E19,90),N($L19)&gt;=N($O19)+$E19+MAX(5*$E19,90)),AND(N($L19)&gt;=IFERROR(VLOOKUP($E19,bbs_sizes,6,FALSE),0),N($L19)&lt;=400+2*$E19,N($K19)&gt;=N($L19)/2+MAX(5*$E19,90),N($M19)&gt;=N($L19)/2+MAX(5*$E19,90)),AND(N($K19)&gt;=IFERROR(VLOOKUP($E19,bbs_sizes,4,FALSE),0),N($M19)&gt;=IFERROR(VLOOKUP($E19,bbs_sizes,4,FALSE),0)),AND(N($K19)&gt;=IFERROR(VLOOKUP($E19,bbs_sizes,4,FALSE),0),N($N19)&gt;=IFERROR(VLOOKUP($E19,bbs_sizes,4,FALSE),0),N($M19)&gt;=IFERROR(VLOOKUP($E19,bbs_sizes,6,FALSE),0),N($M19)&lt;=400+2*$E19,N($N19)&gt;=N($M19)/2+MAX(5*$E19,90)),AND(N($K19)&gt;=IFERROR(VLOOKUP($E19,bbs_sizes,4,FALSE),0),N($M19)&gt;=IFERROR(VLOOKUP($E19,bbs_sizes,4,FALSE),0)),AND(N($K19)&gt;=IFERROR(VLOOKUP($E19,bbs_sizes,4,FALSE),0),N($M19)&gt;=IFERROR(VLOOKUP($E19,bbs_sizes,4,FALSE),0),N($L19)&gt;=MAX(N($N19),N($O19)),N($L19)&lt;=N($N19)+N($O19)),AND(N($K19)&gt;=IFERROR(VLOOKUP($E19,bbs_sizes,4,FALSE),0),N($M19)&gt;=IFERROR(VLOOKUP($E19,bbs_sizes,4,FALSE),0),N($L19)&gt;=MAX(N($N19),N($O19)),N($L19)&lt;=N($N19)+N($O19)),AND(N($K19)&gt;=IFERROR(VLOOKUP($E19,bbs_sizes,4,FALSE),0),N($M19)&gt;=IFERROR(VLOOKUP($E19,bbs_sizes,4,FALSE),0),N($K19)&gt;=N($O19)),AND(N($K19)&gt;=IFERROR(VLOOKUP($E19,bbs_sizes,4,FALSE),0),N($M19)&gt;=IFERROR(VLOOKUP($E19,bbs_sizes,4,FALSE),0),N($K19)&gt;=N($O19)),AND(N($K19)&gt;=IFERROR(VLOOKUP($E19,bbs_sizes,4,FALSE),0),N($M19)&gt;=IFERROR(VLOOKUP($E19,bbs_sizes,4,FALSE),0),N($L19)&gt;=MAX(N($N19),N($O19)),N($L19)&lt;=N($N19)+N($O19)),AND(N($K19)&gt;=IFERROR(VLOOKUP($E19,bbs_sizes,4,FALSE),0),N($N19)&gt;=IFERROR(VLOOKUP($E19,bbs_sizes,4,FALSE),0)),AND(N($K19)&gt;=IFERROR(VLOOKUP($E19,bbs_sizes,4,FALSE),0),N($N19)&gt;=IFERROR(VLOOKUP($E19,bbs_sizes,4,FALSE),0)),AND(N($L19)&gt;=IFERROR(VLOOKUP($E19,bbs_sizes,6,FALSE),0),N($L19)&lt;=400+2*$E19,N($M19)&gt;=N($L19)/2+MAX(5*$E19,90),N($K19)&gt;=N($L19)/2+N($M19)),AND(N($K19)&gt;=IFERROR(VLOOKUP($E19,bbs_sizes,4,FALSE),0),N($O19)&gt;=IFERROR(VLOOKUP($E19,bbs_sizes,4,FALSE),0)),AND(N($K19)&gt;=IFERROR(VLOOKUP($E19,bbs_sizes,4,FALSE),0),N($O19)&gt;=IFERROR(VLOOKUP($E19,bbs_sizes,4,FALSE),0)),AND(N($M19)&lt;=N($K19),N($M19)&gt;=IFERROR(VLOOKUP($E19,bbs_sizes,5,FALSE),0)),AND(N($M19)&lt;=N($K19),N($M19)&lt;=N($L19),N($M19)&gt;=IFERROR(VLOOKUP($E19,bbs_sizes,5,FALSE),0)),AND(N($M19)&lt;=N($L19),N($M19)&gt;=IFERROR(VLOOKUP($E19,bbs_sizes,5,FALSE),0)),AND(N($O19)&lt;=N($K19),N($O19)&lt;=N($L19),N($O19)&gt;=IFERROR(VLOOKUP($E19,bbs_sizes,5,FALSE),0)),AND(N($M19)&lt;=N($K19),N($M19)&gt;=IFERROR(VLOOKUP($E19,bbs_sizes,4,FALSE),0)),TRUE,TRUE,TRUE,AND(N($M19)&gt;=IFERROR(VLOOKUP($E19,bbs_sizes,4,FALSE),0),N($N19)&gt;=IFERROR(VLOOKUP($E19,bbs_sizes,4,FALSE),0)),TRUE),FALSE),FALSE)</f>
        <v/>
      </c>
      <c r="AA19" t="n">
        <v>12</v>
      </c>
      <c r="AB19" t="n">
        <v>24</v>
      </c>
      <c r="AC19" t="n">
        <v>0.888</v>
      </c>
      <c r="AD19" t="n">
        <v>125</v>
      </c>
      <c r="AE19" t="n">
        <v>155</v>
      </c>
      <c r="AF19" t="n">
        <v>85</v>
      </c>
    </row>
    <row r="20" ht="15" customHeight="1">
      <c r="B20" s="25" t="inlineStr">
        <is>
          <t>Beam BM1</t>
        </is>
      </c>
      <c r="C20" s="26" t="inlineStr">
        <is>
          <t>05</t>
        </is>
      </c>
      <c r="D20" s="26" t="inlineStr">
        <is>
          <t>H</t>
        </is>
      </c>
      <c r="E20" s="26" t="n">
        <v>12</v>
      </c>
      <c r="F20" s="26" t="n">
        <v>2</v>
      </c>
      <c r="G20" s="26" t="n">
        <v>20</v>
      </c>
      <c r="H20" s="27">
        <f>IF(IF(AND(ISNUMBER($F20),ISNUMBER($G20)),AND($F20&gt;0,$G20&gt;0,INT($F20)=$F20,INT($G20)=$G20),FALSE),$F20*$G20,"")</f>
        <v/>
      </c>
      <c r="I20" s="28">
        <f>IF(AND(AND($C20&lt;&gt;"",OR($D20="H",$D20="B",$D20="C"),ISNUMBER($E20),$J20&lt;&gt;""),IF(AND(ISNUMBER($F20),ISNUMBER($G20)),AND($F20&gt;0,$G20&gt;0,INT($F20)=$F20,INT($G20)=$G20),FALSE),$T20&gt;0,$S20&gt;0,$Y20,IF(ISNA(MATCH($X20,{"48","51","52","63"},0)),TRUE,IF(ISBLANK($N20),TRUE,IF(ISNUMBER($N20),$N20=$M20,FALSE))),$X20&lt;&gt;"99",$V20&gt;0,AND(IF(ISBLANK($K20),TRUE,IF(ISNUMBER($K20),MOD($K20,5)=0,FALSE)),IF(ISBLANK($L20),TRUE,IF(ISNUMBER($L20),MOD($L20,5)=0,FALSE)),IF(ISBLANK($M20),TRUE,IF($X20="77",TRUE,IF(ISNUMBER($M20),MOD($M20,5)=0,FALSE))),IF(ISBLANK($N20),TRUE,IF(ISNUMBER($N20),MOD($N20,5)=0,FALSE)),IF(ISBLANK($O20),TRUE,IF(ISNUMBER($O20),MOD($O20,5)=0,FALSE))),$Z20),CEILING($V20,25),"")</f>
        <v/>
      </c>
      <c r="J20" s="29" t="inlineStr">
        <is>
          <t>21</t>
        </is>
      </c>
      <c r="K20" s="26" t="n">
        <v>250</v>
      </c>
      <c r="L20" s="26" t="n">
        <v>300</v>
      </c>
      <c r="M20" s="26" t="n">
        <v>250</v>
      </c>
      <c r="N20" s="26" t="n"/>
      <c r="O20" s="26" t="n"/>
      <c r="P20" s="30">
        <f>IF(ISNUMBER($I20),$H20*$I20/1000*$U20,"")</f>
        <v/>
      </c>
      <c r="Q20" s="31">
        <f>IF(COUNTA($B20:$G20,$J20:$O20)=0,"",IF(NOT(AND($C20&lt;&gt;"",OR($D20="H",$D20="B",$D20="C"),ISNUMBER($E20),$J20&lt;&gt;"")),"! Incomplete",IF(NOT(IF(AND(ISNUMBER($F20),ISNUMBER($G20)),AND($F20&gt;0,$G20&gt;0,INT($F20)=$F20,INT($G20)=$G20),FALSE)),"! Quantities: whole numbers &gt; 0",IF($T20=0,"! Size not in Table 2",IF($S20=0,"! Unknown shape code",IF($X20="99","! Shape 99: length from the sketch",IF(NOT($Y20),"! Missing dimension",IF(NOT(IF(ISNA(MATCH($X20,{"48","51","52","63"},0)),TRUE,IF(ISBLANK($N20),TRUE,IF(ISNUMBER($N20),$N20=$M20,FALSE)))),"! D must equal C",IF($V20&lt;=0,"! Check dimensions",IF(NOT(AND(IF(ISBLANK($K20),TRUE,IF(ISNUMBER($K20),MOD($K20,5)=0,FALSE)),IF(ISBLANK($L20),TRUE,IF(ISNUMBER($L20),MOD($L20,5)=0,FALSE)),IF(ISBLANK($M20),TRUE,IF($X20="77",TRUE,IF(ISNUMBER($M20),MOD($M20,5)=0,FALSE))),IF(ISBLANK($N20),TRUE,IF(ISNUMBER($N20),MOD($N20,5)=0,FALSE)),IF(ISBLANK($O20),TRUE,IF(ISNUMBER($O20),MOD($O20,5)=0,FALSE)))),"! Dimensions to 5 mm",IF(NOT($Z20),"! Below Table 2 / 5 limits",IF($I20&gt;12000,"! Over 12 m stock","OK"))))))))))))</f>
        <v/>
      </c>
      <c r="S20" s="32">
        <f>IFERROR(MATCH($X20,{"00","01","11","12","13","21","22","23","24","26","27","28","29","31","32","33","41","44","48","51","52","56","63","67","75","77","98","99"},0),0)</f>
        <v/>
      </c>
      <c r="T20" s="32">
        <f>IFERROR(VLOOKUP($E20,bbs_sizes,2,FALSE),0)</f>
        <v/>
      </c>
      <c r="U20" s="32">
        <f>IFERROR(VLOOKUP($E20,bbs_sizes,3,FALSE),0)</f>
        <v/>
      </c>
      <c r="V20" s="32">
        <f>IFERROR(IF(AND($S20&gt;0,$Y20,$T20&gt;0),CHOOSE($S20,N($K20),N($K20),N($K20)+N($L20)-0.5*$T20-$E20,N($K20)+N($L20)-0.43*N($O20)-1.2*$E20,N($K20)+0.57*N($L20)+N($M20)-1.6*$E20,N($K20)+N($L20)+N($M20)-$T20-2*$E20,N($K20)+N($L20)+0.57*N($M20)+N($N20)-0.5*$T20-2.6*$E20,N($K20)+N($L20)+N($M20)-$T20-2*$E20,N($K20)+N($L20)+N($M20),N($K20)+N($L20)+N($M20),N($K20)+N($L20)+N($M20)-0.5*$T20-$E20,N($K20)+N($L20)+N($M20)-0.5*$T20-$E20,N($K20)+N($L20)+N($M20),N($K20)+N($L20)+N($M20)+N($N20)-1.5*$T20-3*$E20,N($K20)+N($L20)+N($M20)+N($N20)-1.5*$T20-3*$E20,2*N($K20)+1.7*N($L20)+2*N($M20)-4*$E20,N($K20)+N($L20)+N($M20)+N($N20)+N($O20)-2*$T20-4*$E20,N($K20)+N($L20)+N($M20)+N($N20)+N($O20)-2*$T20-4*$E20,2*N($K20)+N($L20)+2*N($M20)-$T20-2*$E20,2*(N($K20)+N($L20)+N($M20))-2.5*$T20-5*$E20,2*(N($K20)+N($L20)+N($M20))-1.5*$T20-3*$E20,N($K20)+N($L20)+N($M20)+N($N20)+2*N($O20)-1.5*$T20-3*$E20,2*N($K20)+3*N($L20)+2*N($M20)-3*$T20-6*$E20,N($K20),PI()*(N($K20)-$E20)+N($L20)+25,IF(N($L20)&lt;=N($K20)/5,N($M20)*PI()*(N($K20)-$E20),N($M20)*SQRT((PI()*(N($K20)-$E20))^2+N($L20)^2)),N($K20)+2*N($L20)+N($M20)+N($N20)-2*$T20-4*$E20,0),0),0)</f>
        <v/>
      </c>
      <c r="W20" s="32">
        <f>IF($S20&gt;0,CHOOSE($S20,"A","A","AB","ABE","ABC","ABC","ABCD","ABC","ABCDE","ABCDE","ABCDE","ABCDE","ABCDE","ABCD","ABCD","ABC","ABCDE","ABCDE","ABC","ABC","ABC","ABCDE","ABC","AE","AB","ABC","ABCD",""),"")</f>
        <v/>
      </c>
      <c r="X20" s="32">
        <f>IF(ISNUMBER($J20),IF(INT($J20)=$J20,TEXT($J20,"00"),"x"),IF(AND(LEN(TRIM($J20))=2,ISNUMBER(MID(TRIM($J20),1,1)*1),ISNUMBER(MID(TRIM($J20),2,1)*1),ISERROR(FIND(".",$J20))),TRIM($J20),"x"))</f>
        <v/>
      </c>
      <c r="Y20" s="32">
        <f>AND(IF(ISERROR(FIND("A",$W20)),TRUE,IF(ISNUMBER($K20),$K20&gt;0,FALSE)),IF(ISERROR(FIND("B",$W20)),TRUE,IF(ISNUMBER($L20),$L20&gt;0,FALSE)),IF(ISERROR(FIND("C",$W20)),TRUE,IF(ISNUMBER($M20),$M20&gt;0,FALSE)),IF(ISERROR(FIND("D",$W20)),TRUE,IF(ISNUMBER($N20),$N20&gt;0,FALSE)),IF(ISERROR(FIND("E",$W20)),TRUE,IF(ISNUMBER($O20),$O20&gt;0,FALSE)))</f>
        <v/>
      </c>
      <c r="Z20" s="32">
        <f>IFERROR(IF($S20&gt;0,CHOOSE($S20,TRUE,TRUE,AND(N($K20)&gt;=IFERROR(VLOOKUP($E20,bbs_sizes,4,FALSE),0),N($L20)&gt;=IFERROR(VLOOKUP($E20,bbs_sizes,4,FALSE),0)),AND(N($O20)&gt;=$T20,N($K20)&gt;=N($O20)+$E20+MAX(5*$E20,90),N($L20)&gt;=N($O20)+$E20+MAX(5*$E20,90)),AND(N($L20)&gt;=IFERROR(VLOOKUP($E20,bbs_sizes,6,FALSE),0),N($L20)&lt;=400+2*$E20,N($K20)&gt;=N($L20)/2+MAX(5*$E20,90),N($M20)&gt;=N($L20)/2+MAX(5*$E20,90)),AND(N($K20)&gt;=IFERROR(VLOOKUP($E20,bbs_sizes,4,FALSE),0),N($M20)&gt;=IFERROR(VLOOKUP($E20,bbs_sizes,4,FALSE),0)),AND(N($K20)&gt;=IFERROR(VLOOKUP($E20,bbs_sizes,4,FALSE),0),N($N20)&gt;=IFERROR(VLOOKUP($E20,bbs_sizes,4,FALSE),0),N($M20)&gt;=IFERROR(VLOOKUP($E20,bbs_sizes,6,FALSE),0),N($M20)&lt;=400+2*$E20,N($N20)&gt;=N($M20)/2+MAX(5*$E20,90)),AND(N($K20)&gt;=IFERROR(VLOOKUP($E20,bbs_sizes,4,FALSE),0),N($M20)&gt;=IFERROR(VLOOKUP($E20,bbs_sizes,4,FALSE),0)),AND(N($K20)&gt;=IFERROR(VLOOKUP($E20,bbs_sizes,4,FALSE),0),N($M20)&gt;=IFERROR(VLOOKUP($E20,bbs_sizes,4,FALSE),0),N($L20)&gt;=MAX(N($N20),N($O20)),N($L20)&lt;=N($N20)+N($O20)),AND(N($K20)&gt;=IFERROR(VLOOKUP($E20,bbs_sizes,4,FALSE),0),N($M20)&gt;=IFERROR(VLOOKUP($E20,bbs_sizes,4,FALSE),0),N($L20)&gt;=MAX(N($N20),N($O20)),N($L20)&lt;=N($N20)+N($O20)),AND(N($K20)&gt;=IFERROR(VLOOKUP($E20,bbs_sizes,4,FALSE),0),N($M20)&gt;=IFERROR(VLOOKUP($E20,bbs_sizes,4,FALSE),0),N($K20)&gt;=N($O20)),AND(N($K20)&gt;=IFERROR(VLOOKUP($E20,bbs_sizes,4,FALSE),0),N($M20)&gt;=IFERROR(VLOOKUP($E20,bbs_sizes,4,FALSE),0),N($K20)&gt;=N($O20)),AND(N($K20)&gt;=IFERROR(VLOOKUP($E20,bbs_sizes,4,FALSE),0),N($M20)&gt;=IFERROR(VLOOKUP($E20,bbs_sizes,4,FALSE),0),N($L20)&gt;=MAX(N($N20),N($O20)),N($L20)&lt;=N($N20)+N($O20)),AND(N($K20)&gt;=IFERROR(VLOOKUP($E20,bbs_sizes,4,FALSE),0),N($N20)&gt;=IFERROR(VLOOKUP($E20,bbs_sizes,4,FALSE),0)),AND(N($K20)&gt;=IFERROR(VLOOKUP($E20,bbs_sizes,4,FALSE),0),N($N20)&gt;=IFERROR(VLOOKUP($E20,bbs_sizes,4,FALSE),0)),AND(N($L20)&gt;=IFERROR(VLOOKUP($E20,bbs_sizes,6,FALSE),0),N($L20)&lt;=400+2*$E20,N($M20)&gt;=N($L20)/2+MAX(5*$E20,90),N($K20)&gt;=N($L20)/2+N($M20)),AND(N($K20)&gt;=IFERROR(VLOOKUP($E20,bbs_sizes,4,FALSE),0),N($O20)&gt;=IFERROR(VLOOKUP($E20,bbs_sizes,4,FALSE),0)),AND(N($K20)&gt;=IFERROR(VLOOKUP($E20,bbs_sizes,4,FALSE),0),N($O20)&gt;=IFERROR(VLOOKUP($E20,bbs_sizes,4,FALSE),0)),AND(N($M20)&lt;=N($K20),N($M20)&gt;=IFERROR(VLOOKUP($E20,bbs_sizes,5,FALSE),0)),AND(N($M20)&lt;=N($K20),N($M20)&lt;=N($L20),N($M20)&gt;=IFERROR(VLOOKUP($E20,bbs_sizes,5,FALSE),0)),AND(N($M20)&lt;=N($L20),N($M20)&gt;=IFERROR(VLOOKUP($E20,bbs_sizes,5,FALSE),0)),AND(N($O20)&lt;=N($K20),N($O20)&lt;=N($L20),N($O20)&gt;=IFERROR(VLOOKUP($E20,bbs_sizes,5,FALSE),0)),AND(N($M20)&lt;=N($K20),N($M20)&gt;=IFERROR(VLOOKUP($E20,bbs_sizes,4,FALSE),0)),TRUE,TRUE,TRUE,AND(N($M20)&gt;=IFERROR(VLOOKUP($E20,bbs_sizes,4,FALSE),0),N($N20)&gt;=IFERROR(VLOOKUP($E20,bbs_sizes,4,FALSE),0)),TRUE),FALSE),FALSE)</f>
        <v/>
      </c>
      <c r="AA20" t="n">
        <v>16</v>
      </c>
      <c r="AB20" t="n">
        <v>32</v>
      </c>
      <c r="AC20" t="n">
        <v>1.58</v>
      </c>
      <c r="AD20" t="n">
        <v>140</v>
      </c>
      <c r="AE20" t="n">
        <v>210</v>
      </c>
      <c r="AF20" t="n">
        <v>115</v>
      </c>
    </row>
    <row r="21" ht="15" customHeight="1">
      <c r="B21" s="25" t="inlineStr">
        <is>
          <t>Beam BM1</t>
        </is>
      </c>
      <c r="C21" s="26" t="inlineStr">
        <is>
          <t>06</t>
        </is>
      </c>
      <c r="D21" s="26" t="inlineStr">
        <is>
          <t>H</t>
        </is>
      </c>
      <c r="E21" s="26" t="n">
        <v>25</v>
      </c>
      <c r="F21" s="26" t="n">
        <v>2</v>
      </c>
      <c r="G21" s="26" t="n">
        <v>4</v>
      </c>
      <c r="H21" s="27">
        <f>IF(IF(AND(ISNUMBER($F21),ISNUMBER($G21)),AND($F21&gt;0,$G21&gt;0,INT($F21)=$F21,INT($G21)=$G21),FALSE),$F21*$G21,"")</f>
        <v/>
      </c>
      <c r="I21" s="28">
        <f>IF(AND(AND($C21&lt;&gt;"",OR($D21="H",$D21="B",$D21="C"),ISNUMBER($E21),$J21&lt;&gt;""),IF(AND(ISNUMBER($F21),ISNUMBER($G21)),AND($F21&gt;0,$G21&gt;0,INT($F21)=$F21,INT($G21)=$G21),FALSE),$T21&gt;0,$S21&gt;0,$Y21,IF(ISNA(MATCH($X21,{"48","51","52","63"},0)),TRUE,IF(ISBLANK($N21),TRUE,IF(ISNUMBER($N21),$N21=$M21,FALSE))),$X21&lt;&gt;"99",$V21&gt;0,AND(IF(ISBLANK($K21),TRUE,IF(ISNUMBER($K21),MOD($K21,5)=0,FALSE)),IF(ISBLANK($L21),TRUE,IF(ISNUMBER($L21),MOD($L21,5)=0,FALSE)),IF(ISBLANK($M21),TRUE,IF($X21="77",TRUE,IF(ISNUMBER($M21),MOD($M21,5)=0,FALSE))),IF(ISBLANK($N21),TRUE,IF(ISNUMBER($N21),MOD($N21,5)=0,FALSE)),IF(ISBLANK($O21),TRUE,IF(ISNUMBER($O21),MOD($O21,5)=0,FALSE))),$Z21),CEILING($V21,25),"")</f>
        <v/>
      </c>
      <c r="J21" s="29" t="inlineStr">
        <is>
          <t>13</t>
        </is>
      </c>
      <c r="K21" s="26" t="n">
        <v>3000</v>
      </c>
      <c r="L21" s="26" t="n">
        <v>300</v>
      </c>
      <c r="M21" s="26" t="n">
        <v>600</v>
      </c>
      <c r="N21" s="26" t="n"/>
      <c r="O21" s="26" t="n"/>
      <c r="P21" s="30">
        <f>IF(ISNUMBER($I21),$H21*$I21/1000*$U21,"")</f>
        <v/>
      </c>
      <c r="Q21" s="31">
        <f>IF(COUNTA($B21:$G21,$J21:$O21)=0,"",IF(NOT(AND($C21&lt;&gt;"",OR($D21="H",$D21="B",$D21="C"),ISNUMBER($E21),$J21&lt;&gt;"")),"! Incomplete",IF(NOT(IF(AND(ISNUMBER($F21),ISNUMBER($G21)),AND($F21&gt;0,$G21&gt;0,INT($F21)=$F21,INT($G21)=$G21),FALSE)),"! Quantities: whole numbers &gt; 0",IF($T21=0,"! Size not in Table 2",IF($S21=0,"! Unknown shape code",IF($X21="99","! Shape 99: length from the sketch",IF(NOT($Y21),"! Missing dimension",IF(NOT(IF(ISNA(MATCH($X21,{"48","51","52","63"},0)),TRUE,IF(ISBLANK($N21),TRUE,IF(ISNUMBER($N21),$N21=$M21,FALSE)))),"! D must equal C",IF($V21&lt;=0,"! Check dimensions",IF(NOT(AND(IF(ISBLANK($K21),TRUE,IF(ISNUMBER($K21),MOD($K21,5)=0,FALSE)),IF(ISBLANK($L21),TRUE,IF(ISNUMBER($L21),MOD($L21,5)=0,FALSE)),IF(ISBLANK($M21),TRUE,IF($X21="77",TRUE,IF(ISNUMBER($M21),MOD($M21,5)=0,FALSE))),IF(ISBLANK($N21),TRUE,IF(ISNUMBER($N21),MOD($N21,5)=0,FALSE)),IF(ISBLANK($O21),TRUE,IF(ISNUMBER($O21),MOD($O21,5)=0,FALSE)))),"! Dimensions to 5 mm",IF(NOT($Z21),"! Below Table 2 / 5 limits",IF($I21&gt;12000,"! Over 12 m stock","OK"))))))))))))</f>
        <v/>
      </c>
      <c r="S21" s="32">
        <f>IFERROR(MATCH($X21,{"00","01","11","12","13","21","22","23","24","26","27","28","29","31","32","33","41","44","48","51","52","56","63","67","75","77","98","99"},0),0)</f>
        <v/>
      </c>
      <c r="T21" s="32">
        <f>IFERROR(VLOOKUP($E21,bbs_sizes,2,FALSE),0)</f>
        <v/>
      </c>
      <c r="U21" s="32">
        <f>IFERROR(VLOOKUP($E21,bbs_sizes,3,FALSE),0)</f>
        <v/>
      </c>
      <c r="V21" s="32">
        <f>IFERROR(IF(AND($S21&gt;0,$Y21,$T21&gt;0),CHOOSE($S21,N($K21),N($K21),N($K21)+N($L21)-0.5*$T21-$E21,N($K21)+N($L21)-0.43*N($O21)-1.2*$E21,N($K21)+0.57*N($L21)+N($M21)-1.6*$E21,N($K21)+N($L21)+N($M21)-$T21-2*$E21,N($K21)+N($L21)+0.57*N($M21)+N($N21)-0.5*$T21-2.6*$E21,N($K21)+N($L21)+N($M21)-$T21-2*$E21,N($K21)+N($L21)+N($M21),N($K21)+N($L21)+N($M21),N($K21)+N($L21)+N($M21)-0.5*$T21-$E21,N($K21)+N($L21)+N($M21)-0.5*$T21-$E21,N($K21)+N($L21)+N($M21),N($K21)+N($L21)+N($M21)+N($N21)-1.5*$T21-3*$E21,N($K21)+N($L21)+N($M21)+N($N21)-1.5*$T21-3*$E21,2*N($K21)+1.7*N($L21)+2*N($M21)-4*$E21,N($K21)+N($L21)+N($M21)+N($N21)+N($O21)-2*$T21-4*$E21,N($K21)+N($L21)+N($M21)+N($N21)+N($O21)-2*$T21-4*$E21,2*N($K21)+N($L21)+2*N($M21)-$T21-2*$E21,2*(N($K21)+N($L21)+N($M21))-2.5*$T21-5*$E21,2*(N($K21)+N($L21)+N($M21))-1.5*$T21-3*$E21,N($K21)+N($L21)+N($M21)+N($N21)+2*N($O21)-1.5*$T21-3*$E21,2*N($K21)+3*N($L21)+2*N($M21)-3*$T21-6*$E21,N($K21),PI()*(N($K21)-$E21)+N($L21)+25,IF(N($L21)&lt;=N($K21)/5,N($M21)*PI()*(N($K21)-$E21),N($M21)*SQRT((PI()*(N($K21)-$E21))^2+N($L21)^2)),N($K21)+2*N($L21)+N($M21)+N($N21)-2*$T21-4*$E21,0),0),0)</f>
        <v/>
      </c>
      <c r="W21" s="32">
        <f>IF($S21&gt;0,CHOOSE($S21,"A","A","AB","ABE","ABC","ABC","ABCD","ABC","ABCDE","ABCDE","ABCDE","ABCDE","ABCDE","ABCD","ABCD","ABC","ABCDE","ABCDE","ABC","ABC","ABC","ABCDE","ABC","AE","AB","ABC","ABCD",""),"")</f>
        <v/>
      </c>
      <c r="X21" s="32">
        <f>IF(ISNUMBER($J21),IF(INT($J21)=$J21,TEXT($J21,"00"),"x"),IF(AND(LEN(TRIM($J21))=2,ISNUMBER(MID(TRIM($J21),1,1)*1),ISNUMBER(MID(TRIM($J21),2,1)*1),ISERROR(FIND(".",$J21))),TRIM($J21),"x"))</f>
        <v/>
      </c>
      <c r="Y21" s="32">
        <f>AND(IF(ISERROR(FIND("A",$W21)),TRUE,IF(ISNUMBER($K21),$K21&gt;0,FALSE)),IF(ISERROR(FIND("B",$W21)),TRUE,IF(ISNUMBER($L21),$L21&gt;0,FALSE)),IF(ISERROR(FIND("C",$W21)),TRUE,IF(ISNUMBER($M21),$M21&gt;0,FALSE)),IF(ISERROR(FIND("D",$W21)),TRUE,IF(ISNUMBER($N21),$N21&gt;0,FALSE)),IF(ISERROR(FIND("E",$W21)),TRUE,IF(ISNUMBER($O21),$O21&gt;0,FALSE)))</f>
        <v/>
      </c>
      <c r="Z21" s="32">
        <f>IFERROR(IF($S21&gt;0,CHOOSE($S21,TRUE,TRUE,AND(N($K21)&gt;=IFERROR(VLOOKUP($E21,bbs_sizes,4,FALSE),0),N($L21)&gt;=IFERROR(VLOOKUP($E21,bbs_sizes,4,FALSE),0)),AND(N($O21)&gt;=$T21,N($K21)&gt;=N($O21)+$E21+MAX(5*$E21,90),N($L21)&gt;=N($O21)+$E21+MAX(5*$E21,90)),AND(N($L21)&gt;=IFERROR(VLOOKUP($E21,bbs_sizes,6,FALSE),0),N($L21)&lt;=400+2*$E21,N($K21)&gt;=N($L21)/2+MAX(5*$E21,90),N($M21)&gt;=N($L21)/2+MAX(5*$E21,90)),AND(N($K21)&gt;=IFERROR(VLOOKUP($E21,bbs_sizes,4,FALSE),0),N($M21)&gt;=IFERROR(VLOOKUP($E21,bbs_sizes,4,FALSE),0)),AND(N($K21)&gt;=IFERROR(VLOOKUP($E21,bbs_sizes,4,FALSE),0),N($N21)&gt;=IFERROR(VLOOKUP($E21,bbs_sizes,4,FALSE),0),N($M21)&gt;=IFERROR(VLOOKUP($E21,bbs_sizes,6,FALSE),0),N($M21)&lt;=400+2*$E21,N($N21)&gt;=N($M21)/2+MAX(5*$E21,90)),AND(N($K21)&gt;=IFERROR(VLOOKUP($E21,bbs_sizes,4,FALSE),0),N($M21)&gt;=IFERROR(VLOOKUP($E21,bbs_sizes,4,FALSE),0)),AND(N($K21)&gt;=IFERROR(VLOOKUP($E21,bbs_sizes,4,FALSE),0),N($M21)&gt;=IFERROR(VLOOKUP($E21,bbs_sizes,4,FALSE),0),N($L21)&gt;=MAX(N($N21),N($O21)),N($L21)&lt;=N($N21)+N($O21)),AND(N($K21)&gt;=IFERROR(VLOOKUP($E21,bbs_sizes,4,FALSE),0),N($M21)&gt;=IFERROR(VLOOKUP($E21,bbs_sizes,4,FALSE),0),N($L21)&gt;=MAX(N($N21),N($O21)),N($L21)&lt;=N($N21)+N($O21)),AND(N($K21)&gt;=IFERROR(VLOOKUP($E21,bbs_sizes,4,FALSE),0),N($M21)&gt;=IFERROR(VLOOKUP($E21,bbs_sizes,4,FALSE),0),N($K21)&gt;=N($O21)),AND(N($K21)&gt;=IFERROR(VLOOKUP($E21,bbs_sizes,4,FALSE),0),N($M21)&gt;=IFERROR(VLOOKUP($E21,bbs_sizes,4,FALSE),0),N($K21)&gt;=N($O21)),AND(N($K21)&gt;=IFERROR(VLOOKUP($E21,bbs_sizes,4,FALSE),0),N($M21)&gt;=IFERROR(VLOOKUP($E21,bbs_sizes,4,FALSE),0),N($L21)&gt;=MAX(N($N21),N($O21)),N($L21)&lt;=N($N21)+N($O21)),AND(N($K21)&gt;=IFERROR(VLOOKUP($E21,bbs_sizes,4,FALSE),0),N($N21)&gt;=IFERROR(VLOOKUP($E21,bbs_sizes,4,FALSE),0)),AND(N($K21)&gt;=IFERROR(VLOOKUP($E21,bbs_sizes,4,FALSE),0),N($N21)&gt;=IFERROR(VLOOKUP($E21,bbs_sizes,4,FALSE),0)),AND(N($L21)&gt;=IFERROR(VLOOKUP($E21,bbs_sizes,6,FALSE),0),N($L21)&lt;=400+2*$E21,N($M21)&gt;=N($L21)/2+MAX(5*$E21,90),N($K21)&gt;=N($L21)/2+N($M21)),AND(N($K21)&gt;=IFERROR(VLOOKUP($E21,bbs_sizes,4,FALSE),0),N($O21)&gt;=IFERROR(VLOOKUP($E21,bbs_sizes,4,FALSE),0)),AND(N($K21)&gt;=IFERROR(VLOOKUP($E21,bbs_sizes,4,FALSE),0),N($O21)&gt;=IFERROR(VLOOKUP($E21,bbs_sizes,4,FALSE),0)),AND(N($M21)&lt;=N($K21),N($M21)&gt;=IFERROR(VLOOKUP($E21,bbs_sizes,5,FALSE),0)),AND(N($M21)&lt;=N($K21),N($M21)&lt;=N($L21),N($M21)&gt;=IFERROR(VLOOKUP($E21,bbs_sizes,5,FALSE),0)),AND(N($M21)&lt;=N($L21),N($M21)&gt;=IFERROR(VLOOKUP($E21,bbs_sizes,5,FALSE),0)),AND(N($O21)&lt;=N($K21),N($O21)&lt;=N($L21),N($O21)&gt;=IFERROR(VLOOKUP($E21,bbs_sizes,5,FALSE),0)),AND(N($M21)&lt;=N($K21),N($M21)&gt;=IFERROR(VLOOKUP($E21,bbs_sizes,4,FALSE),0)),TRUE,TRUE,TRUE,AND(N($M21)&gt;=IFERROR(VLOOKUP($E21,bbs_sizes,4,FALSE),0),N($N21)&gt;=IFERROR(VLOOKUP($E21,bbs_sizes,4,FALSE),0)),TRUE),FALSE),FALSE)</f>
        <v/>
      </c>
      <c r="AA21" t="n">
        <v>20</v>
      </c>
      <c r="AB21" t="n">
        <v>70</v>
      </c>
      <c r="AC21" t="n">
        <v>2.47</v>
      </c>
      <c r="AD21" t="n">
        <v>190</v>
      </c>
      <c r="AE21" t="n">
        <v>290</v>
      </c>
      <c r="AF21" t="n">
        <v>200</v>
      </c>
    </row>
    <row r="22" ht="15" customHeight="1">
      <c r="B22" s="25" t="n"/>
      <c r="C22" s="26" t="n"/>
      <c r="D22" s="26" t="n"/>
      <c r="E22" s="26" t="n"/>
      <c r="F22" s="26" t="n"/>
      <c r="G22" s="26" t="n"/>
      <c r="H22" s="27">
        <f>IF(IF(AND(ISNUMBER($F22),ISNUMBER($G22)),AND($F22&gt;0,$G22&gt;0,INT($F22)=$F22,INT($G22)=$G22),FALSE),$F22*$G22,"")</f>
        <v/>
      </c>
      <c r="I22" s="28">
        <f>IF(AND(AND($C22&lt;&gt;"",OR($D22="H",$D22="B",$D22="C"),ISNUMBER($E22),$J22&lt;&gt;""),IF(AND(ISNUMBER($F22),ISNUMBER($G22)),AND($F22&gt;0,$G22&gt;0,INT($F22)=$F22,INT($G22)=$G22),FALSE),$T22&gt;0,$S22&gt;0,$Y22,IF(ISNA(MATCH($X22,{"48","51","52","63"},0)),TRUE,IF(ISBLANK($N22),TRUE,IF(ISNUMBER($N22),$N22=$M22,FALSE))),$X22&lt;&gt;"99",$V22&gt;0,AND(IF(ISBLANK($K22),TRUE,IF(ISNUMBER($K22),MOD($K22,5)=0,FALSE)),IF(ISBLANK($L22),TRUE,IF(ISNUMBER($L22),MOD($L22,5)=0,FALSE)),IF(ISBLANK($M22),TRUE,IF($X22="77",TRUE,IF(ISNUMBER($M22),MOD($M22,5)=0,FALSE))),IF(ISBLANK($N22),TRUE,IF(ISNUMBER($N22),MOD($N22,5)=0,FALSE)),IF(ISBLANK($O22),TRUE,IF(ISNUMBER($O22),MOD($O22,5)=0,FALSE))),$Z22),CEILING($V22,25),"")</f>
        <v/>
      </c>
      <c r="J22" s="29" t="n"/>
      <c r="K22" s="26" t="n"/>
      <c r="L22" s="26" t="n"/>
      <c r="M22" s="26" t="n"/>
      <c r="N22" s="26" t="n"/>
      <c r="O22" s="26" t="n"/>
      <c r="P22" s="30">
        <f>IF(ISNUMBER($I22),$H22*$I22/1000*$U22,"")</f>
        <v/>
      </c>
      <c r="Q22" s="31">
        <f>IF(COUNTA($B22:$G22,$J22:$O22)=0,"",IF(NOT(AND($C22&lt;&gt;"",OR($D22="H",$D22="B",$D22="C"),ISNUMBER($E22),$J22&lt;&gt;"")),"! Incomplete",IF(NOT(IF(AND(ISNUMBER($F22),ISNUMBER($G22)),AND($F22&gt;0,$G22&gt;0,INT($F22)=$F22,INT($G22)=$G22),FALSE)),"! Quantities: whole numbers &gt; 0",IF($T22=0,"! Size not in Table 2",IF($S22=0,"! Unknown shape code",IF($X22="99","! Shape 99: length from the sketch",IF(NOT($Y22),"! Missing dimension",IF(NOT(IF(ISNA(MATCH($X22,{"48","51","52","63"},0)),TRUE,IF(ISBLANK($N22),TRUE,IF(ISNUMBER($N22),$N22=$M22,FALSE)))),"! D must equal C",IF($V22&lt;=0,"! Check dimensions",IF(NOT(AND(IF(ISBLANK($K22),TRUE,IF(ISNUMBER($K22),MOD($K22,5)=0,FALSE)),IF(ISBLANK($L22),TRUE,IF(ISNUMBER($L22),MOD($L22,5)=0,FALSE)),IF(ISBLANK($M22),TRUE,IF($X22="77",TRUE,IF(ISNUMBER($M22),MOD($M22,5)=0,FALSE))),IF(ISBLANK($N22),TRUE,IF(ISNUMBER($N22),MOD($N22,5)=0,FALSE)),IF(ISBLANK($O22),TRUE,IF(ISNUMBER($O22),MOD($O22,5)=0,FALSE)))),"! Dimensions to 5 mm",IF(NOT($Z22),"! Below Table 2 / 5 limits",IF($I22&gt;12000,"! Over 12 m stock","OK"))))))))))))</f>
        <v/>
      </c>
      <c r="S22" s="32">
        <f>IFERROR(MATCH($X22,{"00","01","11","12","13","21","22","23","24","26","27","28","29","31","32","33","41","44","48","51","52","56","63","67","75","77","98","99"},0),0)</f>
        <v/>
      </c>
      <c r="T22" s="32">
        <f>IFERROR(VLOOKUP($E22,bbs_sizes,2,FALSE),0)</f>
        <v/>
      </c>
      <c r="U22" s="32">
        <f>IFERROR(VLOOKUP($E22,bbs_sizes,3,FALSE),0)</f>
        <v/>
      </c>
      <c r="V22" s="32">
        <f>IFERROR(IF(AND($S22&gt;0,$Y22,$T22&gt;0),CHOOSE($S22,N($K22),N($K22),N($K22)+N($L22)-0.5*$T22-$E22,N($K22)+N($L22)-0.43*N($O22)-1.2*$E22,N($K22)+0.57*N($L22)+N($M22)-1.6*$E22,N($K22)+N($L22)+N($M22)-$T22-2*$E22,N($K22)+N($L22)+0.57*N($M22)+N($N22)-0.5*$T22-2.6*$E22,N($K22)+N($L22)+N($M22)-$T22-2*$E22,N($K22)+N($L22)+N($M22),N($K22)+N($L22)+N($M22),N($K22)+N($L22)+N($M22)-0.5*$T22-$E22,N($K22)+N($L22)+N($M22)-0.5*$T22-$E22,N($K22)+N($L22)+N($M22),N($K22)+N($L22)+N($M22)+N($N22)-1.5*$T22-3*$E22,N($K22)+N($L22)+N($M22)+N($N22)-1.5*$T22-3*$E22,2*N($K22)+1.7*N($L22)+2*N($M22)-4*$E22,N($K22)+N($L22)+N($M22)+N($N22)+N($O22)-2*$T22-4*$E22,N($K22)+N($L22)+N($M22)+N($N22)+N($O22)-2*$T22-4*$E22,2*N($K22)+N($L22)+2*N($M22)-$T22-2*$E22,2*(N($K22)+N($L22)+N($M22))-2.5*$T22-5*$E22,2*(N($K22)+N($L22)+N($M22))-1.5*$T22-3*$E22,N($K22)+N($L22)+N($M22)+N($N22)+2*N($O22)-1.5*$T22-3*$E22,2*N($K22)+3*N($L22)+2*N($M22)-3*$T22-6*$E22,N($K22),PI()*(N($K22)-$E22)+N($L22)+25,IF(N($L22)&lt;=N($K22)/5,N($M22)*PI()*(N($K22)-$E22),N($M22)*SQRT((PI()*(N($K22)-$E22))^2+N($L22)^2)),N($K22)+2*N($L22)+N($M22)+N($N22)-2*$T22-4*$E22,0),0),0)</f>
        <v/>
      </c>
      <c r="W22" s="32">
        <f>IF($S22&gt;0,CHOOSE($S22,"A","A","AB","ABE","ABC","ABC","ABCD","ABC","ABCDE","ABCDE","ABCDE","ABCDE","ABCDE","ABCD","ABCD","ABC","ABCDE","ABCDE","ABC","ABC","ABC","ABCDE","ABC","AE","AB","ABC","ABCD",""),"")</f>
        <v/>
      </c>
      <c r="X22" s="32">
        <f>IF(ISNUMBER($J22),IF(INT($J22)=$J22,TEXT($J22,"00"),"x"),IF(AND(LEN(TRIM($J22))=2,ISNUMBER(MID(TRIM($J22),1,1)*1),ISNUMBER(MID(TRIM($J22),2,1)*1),ISERROR(FIND(".",$J22))),TRIM($J22),"x"))</f>
        <v/>
      </c>
      <c r="Y22" s="32">
        <f>AND(IF(ISERROR(FIND("A",$W22)),TRUE,IF(ISNUMBER($K22),$K22&gt;0,FALSE)),IF(ISERROR(FIND("B",$W22)),TRUE,IF(ISNUMBER($L22),$L22&gt;0,FALSE)),IF(ISERROR(FIND("C",$W22)),TRUE,IF(ISNUMBER($M22),$M22&gt;0,FALSE)),IF(ISERROR(FIND("D",$W22)),TRUE,IF(ISNUMBER($N22),$N22&gt;0,FALSE)),IF(ISERROR(FIND("E",$W22)),TRUE,IF(ISNUMBER($O22),$O22&gt;0,FALSE)))</f>
        <v/>
      </c>
      <c r="Z22" s="32">
        <f>IFERROR(IF($S22&gt;0,CHOOSE($S22,TRUE,TRUE,AND(N($K22)&gt;=IFERROR(VLOOKUP($E22,bbs_sizes,4,FALSE),0),N($L22)&gt;=IFERROR(VLOOKUP($E22,bbs_sizes,4,FALSE),0)),AND(N($O22)&gt;=$T22,N($K22)&gt;=N($O22)+$E22+MAX(5*$E22,90),N($L22)&gt;=N($O22)+$E22+MAX(5*$E22,90)),AND(N($L22)&gt;=IFERROR(VLOOKUP($E22,bbs_sizes,6,FALSE),0),N($L22)&lt;=400+2*$E22,N($K22)&gt;=N($L22)/2+MAX(5*$E22,90),N($M22)&gt;=N($L22)/2+MAX(5*$E22,90)),AND(N($K22)&gt;=IFERROR(VLOOKUP($E22,bbs_sizes,4,FALSE),0),N($M22)&gt;=IFERROR(VLOOKUP($E22,bbs_sizes,4,FALSE),0)),AND(N($K22)&gt;=IFERROR(VLOOKUP($E22,bbs_sizes,4,FALSE),0),N($N22)&gt;=IFERROR(VLOOKUP($E22,bbs_sizes,4,FALSE),0),N($M22)&gt;=IFERROR(VLOOKUP($E22,bbs_sizes,6,FALSE),0),N($M22)&lt;=400+2*$E22,N($N22)&gt;=N($M22)/2+MAX(5*$E22,90)),AND(N($K22)&gt;=IFERROR(VLOOKUP($E22,bbs_sizes,4,FALSE),0),N($M22)&gt;=IFERROR(VLOOKUP($E22,bbs_sizes,4,FALSE),0)),AND(N($K22)&gt;=IFERROR(VLOOKUP($E22,bbs_sizes,4,FALSE),0),N($M22)&gt;=IFERROR(VLOOKUP($E22,bbs_sizes,4,FALSE),0),N($L22)&gt;=MAX(N($N22),N($O22)),N($L22)&lt;=N($N22)+N($O22)),AND(N($K22)&gt;=IFERROR(VLOOKUP($E22,bbs_sizes,4,FALSE),0),N($M22)&gt;=IFERROR(VLOOKUP($E22,bbs_sizes,4,FALSE),0),N($L22)&gt;=MAX(N($N22),N($O22)),N($L22)&lt;=N($N22)+N($O22)),AND(N($K22)&gt;=IFERROR(VLOOKUP($E22,bbs_sizes,4,FALSE),0),N($M22)&gt;=IFERROR(VLOOKUP($E22,bbs_sizes,4,FALSE),0),N($K22)&gt;=N($O22)),AND(N($K22)&gt;=IFERROR(VLOOKUP($E22,bbs_sizes,4,FALSE),0),N($M22)&gt;=IFERROR(VLOOKUP($E22,bbs_sizes,4,FALSE),0),N($K22)&gt;=N($O22)),AND(N($K22)&gt;=IFERROR(VLOOKUP($E22,bbs_sizes,4,FALSE),0),N($M22)&gt;=IFERROR(VLOOKUP($E22,bbs_sizes,4,FALSE),0),N($L22)&gt;=MAX(N($N22),N($O22)),N($L22)&lt;=N($N22)+N($O22)),AND(N($K22)&gt;=IFERROR(VLOOKUP($E22,bbs_sizes,4,FALSE),0),N($N22)&gt;=IFERROR(VLOOKUP($E22,bbs_sizes,4,FALSE),0)),AND(N($K22)&gt;=IFERROR(VLOOKUP($E22,bbs_sizes,4,FALSE),0),N($N22)&gt;=IFERROR(VLOOKUP($E22,bbs_sizes,4,FALSE),0)),AND(N($L22)&gt;=IFERROR(VLOOKUP($E22,bbs_sizes,6,FALSE),0),N($L22)&lt;=400+2*$E22,N($M22)&gt;=N($L22)/2+MAX(5*$E22,90),N($K22)&gt;=N($L22)/2+N($M22)),AND(N($K22)&gt;=IFERROR(VLOOKUP($E22,bbs_sizes,4,FALSE),0),N($O22)&gt;=IFERROR(VLOOKUP($E22,bbs_sizes,4,FALSE),0)),AND(N($K22)&gt;=IFERROR(VLOOKUP($E22,bbs_sizes,4,FALSE),0),N($O22)&gt;=IFERROR(VLOOKUP($E22,bbs_sizes,4,FALSE),0)),AND(N($M22)&lt;=N($K22),N($M22)&gt;=IFERROR(VLOOKUP($E22,bbs_sizes,5,FALSE),0)),AND(N($M22)&lt;=N($K22),N($M22)&lt;=N($L22),N($M22)&gt;=IFERROR(VLOOKUP($E22,bbs_sizes,5,FALSE),0)),AND(N($M22)&lt;=N($L22),N($M22)&gt;=IFERROR(VLOOKUP($E22,bbs_sizes,5,FALSE),0)),AND(N($O22)&lt;=N($K22),N($O22)&lt;=N($L22),N($O22)&gt;=IFERROR(VLOOKUP($E22,bbs_sizes,5,FALSE),0)),AND(N($M22)&lt;=N($K22),N($M22)&gt;=IFERROR(VLOOKUP($E22,bbs_sizes,4,FALSE),0)),TRUE,TRUE,TRUE,AND(N($M22)&gt;=IFERROR(VLOOKUP($E22,bbs_sizes,4,FALSE),0),N($N22)&gt;=IFERROR(VLOOKUP($E22,bbs_sizes,4,FALSE),0)),TRUE),FALSE),FALSE)</f>
        <v/>
      </c>
      <c r="AA22" t="n">
        <v>25</v>
      </c>
      <c r="AB22" t="n">
        <v>87</v>
      </c>
      <c r="AC22" t="n">
        <v>3.85</v>
      </c>
      <c r="AD22" t="n">
        <v>235</v>
      </c>
      <c r="AE22" t="n">
        <v>365</v>
      </c>
      <c r="AF22" t="n">
        <v>250</v>
      </c>
    </row>
    <row r="23" ht="15" customHeight="1">
      <c r="B23" s="25" t="n"/>
      <c r="C23" s="26" t="n"/>
      <c r="D23" s="26" t="n"/>
      <c r="E23" s="26" t="n"/>
      <c r="F23" s="26" t="n"/>
      <c r="G23" s="26" t="n"/>
      <c r="H23" s="27">
        <f>IF(IF(AND(ISNUMBER($F23),ISNUMBER($G23)),AND($F23&gt;0,$G23&gt;0,INT($F23)=$F23,INT($G23)=$G23),FALSE),$F23*$G23,"")</f>
        <v/>
      </c>
      <c r="I23" s="28">
        <f>IF(AND(AND($C23&lt;&gt;"",OR($D23="H",$D23="B",$D23="C"),ISNUMBER($E23),$J23&lt;&gt;""),IF(AND(ISNUMBER($F23),ISNUMBER($G23)),AND($F23&gt;0,$G23&gt;0,INT($F23)=$F23,INT($G23)=$G23),FALSE),$T23&gt;0,$S23&gt;0,$Y23,IF(ISNA(MATCH($X23,{"48","51","52","63"},0)),TRUE,IF(ISBLANK($N23),TRUE,IF(ISNUMBER($N23),$N23=$M23,FALSE))),$X23&lt;&gt;"99",$V23&gt;0,AND(IF(ISBLANK($K23),TRUE,IF(ISNUMBER($K23),MOD($K23,5)=0,FALSE)),IF(ISBLANK($L23),TRUE,IF(ISNUMBER($L23),MOD($L23,5)=0,FALSE)),IF(ISBLANK($M23),TRUE,IF($X23="77",TRUE,IF(ISNUMBER($M23),MOD($M23,5)=0,FALSE))),IF(ISBLANK($N23),TRUE,IF(ISNUMBER($N23),MOD($N23,5)=0,FALSE)),IF(ISBLANK($O23),TRUE,IF(ISNUMBER($O23),MOD($O23,5)=0,FALSE))),$Z23),CEILING($V23,25),"")</f>
        <v/>
      </c>
      <c r="J23" s="29" t="n"/>
      <c r="K23" s="26" t="n"/>
      <c r="L23" s="26" t="n"/>
      <c r="M23" s="26" t="n"/>
      <c r="N23" s="26" t="n"/>
      <c r="O23" s="26" t="n"/>
      <c r="P23" s="30">
        <f>IF(ISNUMBER($I23),$H23*$I23/1000*$U23,"")</f>
        <v/>
      </c>
      <c r="Q23" s="31">
        <f>IF(COUNTA($B23:$G23,$J23:$O23)=0,"",IF(NOT(AND($C23&lt;&gt;"",OR($D23="H",$D23="B",$D23="C"),ISNUMBER($E23),$J23&lt;&gt;"")),"! Incomplete",IF(NOT(IF(AND(ISNUMBER($F23),ISNUMBER($G23)),AND($F23&gt;0,$G23&gt;0,INT($F23)=$F23,INT($G23)=$G23),FALSE)),"! Quantities: whole numbers &gt; 0",IF($T23=0,"! Size not in Table 2",IF($S23=0,"! Unknown shape code",IF($X23="99","! Shape 99: length from the sketch",IF(NOT($Y23),"! Missing dimension",IF(NOT(IF(ISNA(MATCH($X23,{"48","51","52","63"},0)),TRUE,IF(ISBLANK($N23),TRUE,IF(ISNUMBER($N23),$N23=$M23,FALSE)))),"! D must equal C",IF($V23&lt;=0,"! Check dimensions",IF(NOT(AND(IF(ISBLANK($K23),TRUE,IF(ISNUMBER($K23),MOD($K23,5)=0,FALSE)),IF(ISBLANK($L23),TRUE,IF(ISNUMBER($L23),MOD($L23,5)=0,FALSE)),IF(ISBLANK($M23),TRUE,IF($X23="77",TRUE,IF(ISNUMBER($M23),MOD($M23,5)=0,FALSE))),IF(ISBLANK($N23),TRUE,IF(ISNUMBER($N23),MOD($N23,5)=0,FALSE)),IF(ISBLANK($O23),TRUE,IF(ISNUMBER($O23),MOD($O23,5)=0,FALSE)))),"! Dimensions to 5 mm",IF(NOT($Z23),"! Below Table 2 / 5 limits",IF($I23&gt;12000,"! Over 12 m stock","OK"))))))))))))</f>
        <v/>
      </c>
      <c r="S23" s="32">
        <f>IFERROR(MATCH($X23,{"00","01","11","12","13","21","22","23","24","26","27","28","29","31","32","33","41","44","48","51","52","56","63","67","75","77","98","99"},0),0)</f>
        <v/>
      </c>
      <c r="T23" s="32">
        <f>IFERROR(VLOOKUP($E23,bbs_sizes,2,FALSE),0)</f>
        <v/>
      </c>
      <c r="U23" s="32">
        <f>IFERROR(VLOOKUP($E23,bbs_sizes,3,FALSE),0)</f>
        <v/>
      </c>
      <c r="V23" s="32">
        <f>IFERROR(IF(AND($S23&gt;0,$Y23,$T23&gt;0),CHOOSE($S23,N($K23),N($K23),N($K23)+N($L23)-0.5*$T23-$E23,N($K23)+N($L23)-0.43*N($O23)-1.2*$E23,N($K23)+0.57*N($L23)+N($M23)-1.6*$E23,N($K23)+N($L23)+N($M23)-$T23-2*$E23,N($K23)+N($L23)+0.57*N($M23)+N($N23)-0.5*$T23-2.6*$E23,N($K23)+N($L23)+N($M23)-$T23-2*$E23,N($K23)+N($L23)+N($M23),N($K23)+N($L23)+N($M23),N($K23)+N($L23)+N($M23)-0.5*$T23-$E23,N($K23)+N($L23)+N($M23)-0.5*$T23-$E23,N($K23)+N($L23)+N($M23),N($K23)+N($L23)+N($M23)+N($N23)-1.5*$T23-3*$E23,N($K23)+N($L23)+N($M23)+N($N23)-1.5*$T23-3*$E23,2*N($K23)+1.7*N($L23)+2*N($M23)-4*$E23,N($K23)+N($L23)+N($M23)+N($N23)+N($O23)-2*$T23-4*$E23,N($K23)+N($L23)+N($M23)+N($N23)+N($O23)-2*$T23-4*$E23,2*N($K23)+N($L23)+2*N($M23)-$T23-2*$E23,2*(N($K23)+N($L23)+N($M23))-2.5*$T23-5*$E23,2*(N($K23)+N($L23)+N($M23))-1.5*$T23-3*$E23,N($K23)+N($L23)+N($M23)+N($N23)+2*N($O23)-1.5*$T23-3*$E23,2*N($K23)+3*N($L23)+2*N($M23)-3*$T23-6*$E23,N($K23),PI()*(N($K23)-$E23)+N($L23)+25,IF(N($L23)&lt;=N($K23)/5,N($M23)*PI()*(N($K23)-$E23),N($M23)*SQRT((PI()*(N($K23)-$E23))^2+N($L23)^2)),N($K23)+2*N($L23)+N($M23)+N($N23)-2*$T23-4*$E23,0),0),0)</f>
        <v/>
      </c>
      <c r="W23" s="32">
        <f>IF($S23&gt;0,CHOOSE($S23,"A","A","AB","ABE","ABC","ABC","ABCD","ABC","ABCDE","ABCDE","ABCDE","ABCDE","ABCDE","ABCD","ABCD","ABC","ABCDE","ABCDE","ABC","ABC","ABC","ABCDE","ABC","AE","AB","ABC","ABCD",""),"")</f>
        <v/>
      </c>
      <c r="X23" s="32">
        <f>IF(ISNUMBER($J23),IF(INT($J23)=$J23,TEXT($J23,"00"),"x"),IF(AND(LEN(TRIM($J23))=2,ISNUMBER(MID(TRIM($J23),1,1)*1),ISNUMBER(MID(TRIM($J23),2,1)*1),ISERROR(FIND(".",$J23))),TRIM($J23),"x"))</f>
        <v/>
      </c>
      <c r="Y23" s="32">
        <f>AND(IF(ISERROR(FIND("A",$W23)),TRUE,IF(ISNUMBER($K23),$K23&gt;0,FALSE)),IF(ISERROR(FIND("B",$W23)),TRUE,IF(ISNUMBER($L23),$L23&gt;0,FALSE)),IF(ISERROR(FIND("C",$W23)),TRUE,IF(ISNUMBER($M23),$M23&gt;0,FALSE)),IF(ISERROR(FIND("D",$W23)),TRUE,IF(ISNUMBER($N23),$N23&gt;0,FALSE)),IF(ISERROR(FIND("E",$W23)),TRUE,IF(ISNUMBER($O23),$O23&gt;0,FALSE)))</f>
        <v/>
      </c>
      <c r="Z23" s="32">
        <f>IFERROR(IF($S23&gt;0,CHOOSE($S23,TRUE,TRUE,AND(N($K23)&gt;=IFERROR(VLOOKUP($E23,bbs_sizes,4,FALSE),0),N($L23)&gt;=IFERROR(VLOOKUP($E23,bbs_sizes,4,FALSE),0)),AND(N($O23)&gt;=$T23,N($K23)&gt;=N($O23)+$E23+MAX(5*$E23,90),N($L23)&gt;=N($O23)+$E23+MAX(5*$E23,90)),AND(N($L23)&gt;=IFERROR(VLOOKUP($E23,bbs_sizes,6,FALSE),0),N($L23)&lt;=400+2*$E23,N($K23)&gt;=N($L23)/2+MAX(5*$E23,90),N($M23)&gt;=N($L23)/2+MAX(5*$E23,90)),AND(N($K23)&gt;=IFERROR(VLOOKUP($E23,bbs_sizes,4,FALSE),0),N($M23)&gt;=IFERROR(VLOOKUP($E23,bbs_sizes,4,FALSE),0)),AND(N($K23)&gt;=IFERROR(VLOOKUP($E23,bbs_sizes,4,FALSE),0),N($N23)&gt;=IFERROR(VLOOKUP($E23,bbs_sizes,4,FALSE),0),N($M23)&gt;=IFERROR(VLOOKUP($E23,bbs_sizes,6,FALSE),0),N($M23)&lt;=400+2*$E23,N($N23)&gt;=N($M23)/2+MAX(5*$E23,90)),AND(N($K23)&gt;=IFERROR(VLOOKUP($E23,bbs_sizes,4,FALSE),0),N($M23)&gt;=IFERROR(VLOOKUP($E23,bbs_sizes,4,FALSE),0)),AND(N($K23)&gt;=IFERROR(VLOOKUP($E23,bbs_sizes,4,FALSE),0),N($M23)&gt;=IFERROR(VLOOKUP($E23,bbs_sizes,4,FALSE),0),N($L23)&gt;=MAX(N($N23),N($O23)),N($L23)&lt;=N($N23)+N($O23)),AND(N($K23)&gt;=IFERROR(VLOOKUP($E23,bbs_sizes,4,FALSE),0),N($M23)&gt;=IFERROR(VLOOKUP($E23,bbs_sizes,4,FALSE),0),N($L23)&gt;=MAX(N($N23),N($O23)),N($L23)&lt;=N($N23)+N($O23)),AND(N($K23)&gt;=IFERROR(VLOOKUP($E23,bbs_sizes,4,FALSE),0),N($M23)&gt;=IFERROR(VLOOKUP($E23,bbs_sizes,4,FALSE),0),N($K23)&gt;=N($O23)),AND(N($K23)&gt;=IFERROR(VLOOKUP($E23,bbs_sizes,4,FALSE),0),N($M23)&gt;=IFERROR(VLOOKUP($E23,bbs_sizes,4,FALSE),0),N($K23)&gt;=N($O23)),AND(N($K23)&gt;=IFERROR(VLOOKUP($E23,bbs_sizes,4,FALSE),0),N($M23)&gt;=IFERROR(VLOOKUP($E23,bbs_sizes,4,FALSE),0),N($L23)&gt;=MAX(N($N23),N($O23)),N($L23)&lt;=N($N23)+N($O23)),AND(N($K23)&gt;=IFERROR(VLOOKUP($E23,bbs_sizes,4,FALSE),0),N($N23)&gt;=IFERROR(VLOOKUP($E23,bbs_sizes,4,FALSE),0)),AND(N($K23)&gt;=IFERROR(VLOOKUP($E23,bbs_sizes,4,FALSE),0),N($N23)&gt;=IFERROR(VLOOKUP($E23,bbs_sizes,4,FALSE),0)),AND(N($L23)&gt;=IFERROR(VLOOKUP($E23,bbs_sizes,6,FALSE),0),N($L23)&lt;=400+2*$E23,N($M23)&gt;=N($L23)/2+MAX(5*$E23,90),N($K23)&gt;=N($L23)/2+N($M23)),AND(N($K23)&gt;=IFERROR(VLOOKUP($E23,bbs_sizes,4,FALSE),0),N($O23)&gt;=IFERROR(VLOOKUP($E23,bbs_sizes,4,FALSE),0)),AND(N($K23)&gt;=IFERROR(VLOOKUP($E23,bbs_sizes,4,FALSE),0),N($O23)&gt;=IFERROR(VLOOKUP($E23,bbs_sizes,4,FALSE),0)),AND(N($M23)&lt;=N($K23),N($M23)&gt;=IFERROR(VLOOKUP($E23,bbs_sizes,5,FALSE),0)),AND(N($M23)&lt;=N($K23),N($M23)&lt;=N($L23),N($M23)&gt;=IFERROR(VLOOKUP($E23,bbs_sizes,5,FALSE),0)),AND(N($M23)&lt;=N($L23),N($M23)&gt;=IFERROR(VLOOKUP($E23,bbs_sizes,5,FALSE),0)),AND(N($O23)&lt;=N($K23),N($O23)&lt;=N($L23),N($O23)&gt;=IFERROR(VLOOKUP($E23,bbs_sizes,5,FALSE),0)),AND(N($M23)&lt;=N($K23),N($M23)&gt;=IFERROR(VLOOKUP($E23,bbs_sizes,4,FALSE),0)),TRUE,TRUE,TRUE,AND(N($M23)&gt;=IFERROR(VLOOKUP($E23,bbs_sizes,4,FALSE),0),N($N23)&gt;=IFERROR(VLOOKUP($E23,bbs_sizes,4,FALSE),0)),TRUE),FALSE),FALSE)</f>
        <v/>
      </c>
      <c r="AA23" t="n">
        <v>32</v>
      </c>
      <c r="AB23" t="n">
        <v>112</v>
      </c>
      <c r="AC23" t="n">
        <v>6.31</v>
      </c>
      <c r="AD23" t="n">
        <v>305</v>
      </c>
      <c r="AE23" t="n">
        <v>465</v>
      </c>
      <c r="AF23" t="n">
        <v>320</v>
      </c>
    </row>
    <row r="24" ht="15" customHeight="1">
      <c r="B24" s="25" t="n"/>
      <c r="C24" s="26" t="n"/>
      <c r="D24" s="26" t="n"/>
      <c r="E24" s="26" t="n"/>
      <c r="F24" s="26" t="n"/>
      <c r="G24" s="26" t="n"/>
      <c r="H24" s="27">
        <f>IF(IF(AND(ISNUMBER($F24),ISNUMBER($G24)),AND($F24&gt;0,$G24&gt;0,INT($F24)=$F24,INT($G24)=$G24),FALSE),$F24*$G24,"")</f>
        <v/>
      </c>
      <c r="I24" s="28">
        <f>IF(AND(AND($C24&lt;&gt;"",OR($D24="H",$D24="B",$D24="C"),ISNUMBER($E24),$J24&lt;&gt;""),IF(AND(ISNUMBER($F24),ISNUMBER($G24)),AND($F24&gt;0,$G24&gt;0,INT($F24)=$F24,INT($G24)=$G24),FALSE),$T24&gt;0,$S24&gt;0,$Y24,IF(ISNA(MATCH($X24,{"48","51","52","63"},0)),TRUE,IF(ISBLANK($N24),TRUE,IF(ISNUMBER($N24),$N24=$M24,FALSE))),$X24&lt;&gt;"99",$V24&gt;0,AND(IF(ISBLANK($K24),TRUE,IF(ISNUMBER($K24),MOD($K24,5)=0,FALSE)),IF(ISBLANK($L24),TRUE,IF(ISNUMBER($L24),MOD($L24,5)=0,FALSE)),IF(ISBLANK($M24),TRUE,IF($X24="77",TRUE,IF(ISNUMBER($M24),MOD($M24,5)=0,FALSE))),IF(ISBLANK($N24),TRUE,IF(ISNUMBER($N24),MOD($N24,5)=0,FALSE)),IF(ISBLANK($O24),TRUE,IF(ISNUMBER($O24),MOD($O24,5)=0,FALSE))),$Z24),CEILING($V24,25),"")</f>
        <v/>
      </c>
      <c r="J24" s="29" t="n"/>
      <c r="K24" s="26" t="n"/>
      <c r="L24" s="26" t="n"/>
      <c r="M24" s="26" t="n"/>
      <c r="N24" s="26" t="n"/>
      <c r="O24" s="26" t="n"/>
      <c r="P24" s="30">
        <f>IF(ISNUMBER($I24),$H24*$I24/1000*$U24,"")</f>
        <v/>
      </c>
      <c r="Q24" s="31">
        <f>IF(COUNTA($B24:$G24,$J24:$O24)=0,"",IF(NOT(AND($C24&lt;&gt;"",OR($D24="H",$D24="B",$D24="C"),ISNUMBER($E24),$J24&lt;&gt;"")),"! Incomplete",IF(NOT(IF(AND(ISNUMBER($F24),ISNUMBER($G24)),AND($F24&gt;0,$G24&gt;0,INT($F24)=$F24,INT($G24)=$G24),FALSE)),"! Quantities: whole numbers &gt; 0",IF($T24=0,"! Size not in Table 2",IF($S24=0,"! Unknown shape code",IF($X24="99","! Shape 99: length from the sketch",IF(NOT($Y24),"! Missing dimension",IF(NOT(IF(ISNA(MATCH($X24,{"48","51","52","63"},0)),TRUE,IF(ISBLANK($N24),TRUE,IF(ISNUMBER($N24),$N24=$M24,FALSE)))),"! D must equal C",IF($V24&lt;=0,"! Check dimensions",IF(NOT(AND(IF(ISBLANK($K24),TRUE,IF(ISNUMBER($K24),MOD($K24,5)=0,FALSE)),IF(ISBLANK($L24),TRUE,IF(ISNUMBER($L24),MOD($L24,5)=0,FALSE)),IF(ISBLANK($M24),TRUE,IF($X24="77",TRUE,IF(ISNUMBER($M24),MOD($M24,5)=0,FALSE))),IF(ISBLANK($N24),TRUE,IF(ISNUMBER($N24),MOD($N24,5)=0,FALSE)),IF(ISBLANK($O24),TRUE,IF(ISNUMBER($O24),MOD($O24,5)=0,FALSE)))),"! Dimensions to 5 mm",IF(NOT($Z24),"! Below Table 2 / 5 limits",IF($I24&gt;12000,"! Over 12 m stock","OK"))))))))))))</f>
        <v/>
      </c>
      <c r="S24" s="32">
        <f>IFERROR(MATCH($X24,{"00","01","11","12","13","21","22","23","24","26","27","28","29","31","32","33","41","44","48","51","52","56","63","67","75","77","98","99"},0),0)</f>
        <v/>
      </c>
      <c r="T24" s="32">
        <f>IFERROR(VLOOKUP($E24,bbs_sizes,2,FALSE),0)</f>
        <v/>
      </c>
      <c r="U24" s="32">
        <f>IFERROR(VLOOKUP($E24,bbs_sizes,3,FALSE),0)</f>
        <v/>
      </c>
      <c r="V24" s="32">
        <f>IFERROR(IF(AND($S24&gt;0,$Y24,$T24&gt;0),CHOOSE($S24,N($K24),N($K24),N($K24)+N($L24)-0.5*$T24-$E24,N($K24)+N($L24)-0.43*N($O24)-1.2*$E24,N($K24)+0.57*N($L24)+N($M24)-1.6*$E24,N($K24)+N($L24)+N($M24)-$T24-2*$E24,N($K24)+N($L24)+0.57*N($M24)+N($N24)-0.5*$T24-2.6*$E24,N($K24)+N($L24)+N($M24)-$T24-2*$E24,N($K24)+N($L24)+N($M24),N($K24)+N($L24)+N($M24),N($K24)+N($L24)+N($M24)-0.5*$T24-$E24,N($K24)+N($L24)+N($M24)-0.5*$T24-$E24,N($K24)+N($L24)+N($M24),N($K24)+N($L24)+N($M24)+N($N24)-1.5*$T24-3*$E24,N($K24)+N($L24)+N($M24)+N($N24)-1.5*$T24-3*$E24,2*N($K24)+1.7*N($L24)+2*N($M24)-4*$E24,N($K24)+N($L24)+N($M24)+N($N24)+N($O24)-2*$T24-4*$E24,N($K24)+N($L24)+N($M24)+N($N24)+N($O24)-2*$T24-4*$E24,2*N($K24)+N($L24)+2*N($M24)-$T24-2*$E24,2*(N($K24)+N($L24)+N($M24))-2.5*$T24-5*$E24,2*(N($K24)+N($L24)+N($M24))-1.5*$T24-3*$E24,N($K24)+N($L24)+N($M24)+N($N24)+2*N($O24)-1.5*$T24-3*$E24,2*N($K24)+3*N($L24)+2*N($M24)-3*$T24-6*$E24,N($K24),PI()*(N($K24)-$E24)+N($L24)+25,IF(N($L24)&lt;=N($K24)/5,N($M24)*PI()*(N($K24)-$E24),N($M24)*SQRT((PI()*(N($K24)-$E24))^2+N($L24)^2)),N($K24)+2*N($L24)+N($M24)+N($N24)-2*$T24-4*$E24,0),0),0)</f>
        <v/>
      </c>
      <c r="W24" s="32">
        <f>IF($S24&gt;0,CHOOSE($S24,"A","A","AB","ABE","ABC","ABC","ABCD","ABC","ABCDE","ABCDE","ABCDE","ABCDE","ABCDE","ABCD","ABCD","ABC","ABCDE","ABCDE","ABC","ABC","ABC","ABCDE","ABC","AE","AB","ABC","ABCD",""),"")</f>
        <v/>
      </c>
      <c r="X24" s="32">
        <f>IF(ISNUMBER($J24),IF(INT($J24)=$J24,TEXT($J24,"00"),"x"),IF(AND(LEN(TRIM($J24))=2,ISNUMBER(MID(TRIM($J24),1,1)*1),ISNUMBER(MID(TRIM($J24),2,1)*1),ISERROR(FIND(".",$J24))),TRIM($J24),"x"))</f>
        <v/>
      </c>
      <c r="Y24" s="32">
        <f>AND(IF(ISERROR(FIND("A",$W24)),TRUE,IF(ISNUMBER($K24),$K24&gt;0,FALSE)),IF(ISERROR(FIND("B",$W24)),TRUE,IF(ISNUMBER($L24),$L24&gt;0,FALSE)),IF(ISERROR(FIND("C",$W24)),TRUE,IF(ISNUMBER($M24),$M24&gt;0,FALSE)),IF(ISERROR(FIND("D",$W24)),TRUE,IF(ISNUMBER($N24),$N24&gt;0,FALSE)),IF(ISERROR(FIND("E",$W24)),TRUE,IF(ISNUMBER($O24),$O24&gt;0,FALSE)))</f>
        <v/>
      </c>
      <c r="Z24" s="32">
        <f>IFERROR(IF($S24&gt;0,CHOOSE($S24,TRUE,TRUE,AND(N($K24)&gt;=IFERROR(VLOOKUP($E24,bbs_sizes,4,FALSE),0),N($L24)&gt;=IFERROR(VLOOKUP($E24,bbs_sizes,4,FALSE),0)),AND(N($O24)&gt;=$T24,N($K24)&gt;=N($O24)+$E24+MAX(5*$E24,90),N($L24)&gt;=N($O24)+$E24+MAX(5*$E24,90)),AND(N($L24)&gt;=IFERROR(VLOOKUP($E24,bbs_sizes,6,FALSE),0),N($L24)&lt;=400+2*$E24,N($K24)&gt;=N($L24)/2+MAX(5*$E24,90),N($M24)&gt;=N($L24)/2+MAX(5*$E24,90)),AND(N($K24)&gt;=IFERROR(VLOOKUP($E24,bbs_sizes,4,FALSE),0),N($M24)&gt;=IFERROR(VLOOKUP($E24,bbs_sizes,4,FALSE),0)),AND(N($K24)&gt;=IFERROR(VLOOKUP($E24,bbs_sizes,4,FALSE),0),N($N24)&gt;=IFERROR(VLOOKUP($E24,bbs_sizes,4,FALSE),0),N($M24)&gt;=IFERROR(VLOOKUP($E24,bbs_sizes,6,FALSE),0),N($M24)&lt;=400+2*$E24,N($N24)&gt;=N($M24)/2+MAX(5*$E24,90)),AND(N($K24)&gt;=IFERROR(VLOOKUP($E24,bbs_sizes,4,FALSE),0),N($M24)&gt;=IFERROR(VLOOKUP($E24,bbs_sizes,4,FALSE),0)),AND(N($K24)&gt;=IFERROR(VLOOKUP($E24,bbs_sizes,4,FALSE),0),N($M24)&gt;=IFERROR(VLOOKUP($E24,bbs_sizes,4,FALSE),0),N($L24)&gt;=MAX(N($N24),N($O24)),N($L24)&lt;=N($N24)+N($O24)),AND(N($K24)&gt;=IFERROR(VLOOKUP($E24,bbs_sizes,4,FALSE),0),N($M24)&gt;=IFERROR(VLOOKUP($E24,bbs_sizes,4,FALSE),0),N($L24)&gt;=MAX(N($N24),N($O24)),N($L24)&lt;=N($N24)+N($O24)),AND(N($K24)&gt;=IFERROR(VLOOKUP($E24,bbs_sizes,4,FALSE),0),N($M24)&gt;=IFERROR(VLOOKUP($E24,bbs_sizes,4,FALSE),0),N($K24)&gt;=N($O24)),AND(N($K24)&gt;=IFERROR(VLOOKUP($E24,bbs_sizes,4,FALSE),0),N($M24)&gt;=IFERROR(VLOOKUP($E24,bbs_sizes,4,FALSE),0),N($K24)&gt;=N($O24)),AND(N($K24)&gt;=IFERROR(VLOOKUP($E24,bbs_sizes,4,FALSE),0),N($M24)&gt;=IFERROR(VLOOKUP($E24,bbs_sizes,4,FALSE),0),N($L24)&gt;=MAX(N($N24),N($O24)),N($L24)&lt;=N($N24)+N($O24)),AND(N($K24)&gt;=IFERROR(VLOOKUP($E24,bbs_sizes,4,FALSE),0),N($N24)&gt;=IFERROR(VLOOKUP($E24,bbs_sizes,4,FALSE),0)),AND(N($K24)&gt;=IFERROR(VLOOKUP($E24,bbs_sizes,4,FALSE),0),N($N24)&gt;=IFERROR(VLOOKUP($E24,bbs_sizes,4,FALSE),0)),AND(N($L24)&gt;=IFERROR(VLOOKUP($E24,bbs_sizes,6,FALSE),0),N($L24)&lt;=400+2*$E24,N($M24)&gt;=N($L24)/2+MAX(5*$E24,90),N($K24)&gt;=N($L24)/2+N($M24)),AND(N($K24)&gt;=IFERROR(VLOOKUP($E24,bbs_sizes,4,FALSE),0),N($O24)&gt;=IFERROR(VLOOKUP($E24,bbs_sizes,4,FALSE),0)),AND(N($K24)&gt;=IFERROR(VLOOKUP($E24,bbs_sizes,4,FALSE),0),N($O24)&gt;=IFERROR(VLOOKUP($E24,bbs_sizes,4,FALSE),0)),AND(N($M24)&lt;=N($K24),N($M24)&gt;=IFERROR(VLOOKUP($E24,bbs_sizes,5,FALSE),0)),AND(N($M24)&lt;=N($K24),N($M24)&lt;=N($L24),N($M24)&gt;=IFERROR(VLOOKUP($E24,bbs_sizes,5,FALSE),0)),AND(N($M24)&lt;=N($L24),N($M24)&gt;=IFERROR(VLOOKUP($E24,bbs_sizes,5,FALSE),0)),AND(N($O24)&lt;=N($K24),N($O24)&lt;=N($L24),N($O24)&gt;=IFERROR(VLOOKUP($E24,bbs_sizes,5,FALSE),0)),AND(N($M24)&lt;=N($K24),N($M24)&gt;=IFERROR(VLOOKUP($E24,bbs_sizes,4,FALSE),0)),TRUE,TRUE,TRUE,AND(N($M24)&gt;=IFERROR(VLOOKUP($E24,bbs_sizes,4,FALSE),0),N($N24)&gt;=IFERROR(VLOOKUP($E24,bbs_sizes,4,FALSE),0)),TRUE),FALSE),FALSE)</f>
        <v/>
      </c>
      <c r="AA24" t="n">
        <v>40</v>
      </c>
      <c r="AB24" t="n">
        <v>140</v>
      </c>
      <c r="AC24" t="n">
        <v>9.859999999999999</v>
      </c>
      <c r="AD24" t="n">
        <v>380</v>
      </c>
      <c r="AE24" t="n">
        <v>580</v>
      </c>
      <c r="AF24" t="n">
        <v>400</v>
      </c>
    </row>
    <row r="25" ht="15" customHeight="1">
      <c r="B25" s="25" t="n"/>
      <c r="C25" s="26" t="n"/>
      <c r="D25" s="26" t="n"/>
      <c r="E25" s="26" t="n"/>
      <c r="F25" s="26" t="n"/>
      <c r="G25" s="26" t="n"/>
      <c r="H25" s="27">
        <f>IF(IF(AND(ISNUMBER($F25),ISNUMBER($G25)),AND($F25&gt;0,$G25&gt;0,INT($F25)=$F25,INT($G25)=$G25),FALSE),$F25*$G25,"")</f>
        <v/>
      </c>
      <c r="I25" s="28">
        <f>IF(AND(AND($C25&lt;&gt;"",OR($D25="H",$D25="B",$D25="C"),ISNUMBER($E25),$J25&lt;&gt;""),IF(AND(ISNUMBER($F25),ISNUMBER($G25)),AND($F25&gt;0,$G25&gt;0,INT($F25)=$F25,INT($G25)=$G25),FALSE),$T25&gt;0,$S25&gt;0,$Y25,IF(ISNA(MATCH($X25,{"48","51","52","63"},0)),TRUE,IF(ISBLANK($N25),TRUE,IF(ISNUMBER($N25),$N25=$M25,FALSE))),$X25&lt;&gt;"99",$V25&gt;0,AND(IF(ISBLANK($K25),TRUE,IF(ISNUMBER($K25),MOD($K25,5)=0,FALSE)),IF(ISBLANK($L25),TRUE,IF(ISNUMBER($L25),MOD($L25,5)=0,FALSE)),IF(ISBLANK($M25),TRUE,IF($X25="77",TRUE,IF(ISNUMBER($M25),MOD($M25,5)=0,FALSE))),IF(ISBLANK($N25),TRUE,IF(ISNUMBER($N25),MOD($N25,5)=0,FALSE)),IF(ISBLANK($O25),TRUE,IF(ISNUMBER($O25),MOD($O25,5)=0,FALSE))),$Z25),CEILING($V25,25),"")</f>
        <v/>
      </c>
      <c r="J25" s="29" t="n"/>
      <c r="K25" s="26" t="n"/>
      <c r="L25" s="26" t="n"/>
      <c r="M25" s="26" t="n"/>
      <c r="N25" s="26" t="n"/>
      <c r="O25" s="26" t="n"/>
      <c r="P25" s="30">
        <f>IF(ISNUMBER($I25),$H25*$I25/1000*$U25,"")</f>
        <v/>
      </c>
      <c r="Q25" s="31">
        <f>IF(COUNTA($B25:$G25,$J25:$O25)=0,"",IF(NOT(AND($C25&lt;&gt;"",OR($D25="H",$D25="B",$D25="C"),ISNUMBER($E25),$J25&lt;&gt;"")),"! Incomplete",IF(NOT(IF(AND(ISNUMBER($F25),ISNUMBER($G25)),AND($F25&gt;0,$G25&gt;0,INT($F25)=$F25,INT($G25)=$G25),FALSE)),"! Quantities: whole numbers &gt; 0",IF($T25=0,"! Size not in Table 2",IF($S25=0,"! Unknown shape code",IF($X25="99","! Shape 99: length from the sketch",IF(NOT($Y25),"! Missing dimension",IF(NOT(IF(ISNA(MATCH($X25,{"48","51","52","63"},0)),TRUE,IF(ISBLANK($N25),TRUE,IF(ISNUMBER($N25),$N25=$M25,FALSE)))),"! D must equal C",IF($V25&lt;=0,"! Check dimensions",IF(NOT(AND(IF(ISBLANK($K25),TRUE,IF(ISNUMBER($K25),MOD($K25,5)=0,FALSE)),IF(ISBLANK($L25),TRUE,IF(ISNUMBER($L25),MOD($L25,5)=0,FALSE)),IF(ISBLANK($M25),TRUE,IF($X25="77",TRUE,IF(ISNUMBER($M25),MOD($M25,5)=0,FALSE))),IF(ISBLANK($N25),TRUE,IF(ISNUMBER($N25),MOD($N25,5)=0,FALSE)),IF(ISBLANK($O25),TRUE,IF(ISNUMBER($O25),MOD($O25,5)=0,FALSE)))),"! Dimensions to 5 mm",IF(NOT($Z25),"! Below Table 2 / 5 limits",IF($I25&gt;12000,"! Over 12 m stock","OK"))))))))))))</f>
        <v/>
      </c>
      <c r="S25" s="32">
        <f>IFERROR(MATCH($X25,{"00","01","11","12","13","21","22","23","24","26","27","28","29","31","32","33","41","44","48","51","52","56","63","67","75","77","98","99"},0),0)</f>
        <v/>
      </c>
      <c r="T25" s="32">
        <f>IFERROR(VLOOKUP($E25,bbs_sizes,2,FALSE),0)</f>
        <v/>
      </c>
      <c r="U25" s="32">
        <f>IFERROR(VLOOKUP($E25,bbs_sizes,3,FALSE),0)</f>
        <v/>
      </c>
      <c r="V25" s="32">
        <f>IFERROR(IF(AND($S25&gt;0,$Y25,$T25&gt;0),CHOOSE($S25,N($K25),N($K25),N($K25)+N($L25)-0.5*$T25-$E25,N($K25)+N($L25)-0.43*N($O25)-1.2*$E25,N($K25)+0.57*N($L25)+N($M25)-1.6*$E25,N($K25)+N($L25)+N($M25)-$T25-2*$E25,N($K25)+N($L25)+0.57*N($M25)+N($N25)-0.5*$T25-2.6*$E25,N($K25)+N($L25)+N($M25)-$T25-2*$E25,N($K25)+N($L25)+N($M25),N($K25)+N($L25)+N($M25),N($K25)+N($L25)+N($M25)-0.5*$T25-$E25,N($K25)+N($L25)+N($M25)-0.5*$T25-$E25,N($K25)+N($L25)+N($M25),N($K25)+N($L25)+N($M25)+N($N25)-1.5*$T25-3*$E25,N($K25)+N($L25)+N($M25)+N($N25)-1.5*$T25-3*$E25,2*N($K25)+1.7*N($L25)+2*N($M25)-4*$E25,N($K25)+N($L25)+N($M25)+N($N25)+N($O25)-2*$T25-4*$E25,N($K25)+N($L25)+N($M25)+N($N25)+N($O25)-2*$T25-4*$E25,2*N($K25)+N($L25)+2*N($M25)-$T25-2*$E25,2*(N($K25)+N($L25)+N($M25))-2.5*$T25-5*$E25,2*(N($K25)+N($L25)+N($M25))-1.5*$T25-3*$E25,N($K25)+N($L25)+N($M25)+N($N25)+2*N($O25)-1.5*$T25-3*$E25,2*N($K25)+3*N($L25)+2*N($M25)-3*$T25-6*$E25,N($K25),PI()*(N($K25)-$E25)+N($L25)+25,IF(N($L25)&lt;=N($K25)/5,N($M25)*PI()*(N($K25)-$E25),N($M25)*SQRT((PI()*(N($K25)-$E25))^2+N($L25)^2)),N($K25)+2*N($L25)+N($M25)+N($N25)-2*$T25-4*$E25,0),0),0)</f>
        <v/>
      </c>
      <c r="W25" s="32">
        <f>IF($S25&gt;0,CHOOSE($S25,"A","A","AB","ABE","ABC","ABC","ABCD","ABC","ABCDE","ABCDE","ABCDE","ABCDE","ABCDE","ABCD","ABCD","ABC","ABCDE","ABCDE","ABC","ABC","ABC","ABCDE","ABC","AE","AB","ABC","ABCD",""),"")</f>
        <v/>
      </c>
      <c r="X25" s="32">
        <f>IF(ISNUMBER($J25),IF(INT($J25)=$J25,TEXT($J25,"00"),"x"),IF(AND(LEN(TRIM($J25))=2,ISNUMBER(MID(TRIM($J25),1,1)*1),ISNUMBER(MID(TRIM($J25),2,1)*1),ISERROR(FIND(".",$J25))),TRIM($J25),"x"))</f>
        <v/>
      </c>
      <c r="Y25" s="32">
        <f>AND(IF(ISERROR(FIND("A",$W25)),TRUE,IF(ISNUMBER($K25),$K25&gt;0,FALSE)),IF(ISERROR(FIND("B",$W25)),TRUE,IF(ISNUMBER($L25),$L25&gt;0,FALSE)),IF(ISERROR(FIND("C",$W25)),TRUE,IF(ISNUMBER($M25),$M25&gt;0,FALSE)),IF(ISERROR(FIND("D",$W25)),TRUE,IF(ISNUMBER($N25),$N25&gt;0,FALSE)),IF(ISERROR(FIND("E",$W25)),TRUE,IF(ISNUMBER($O25),$O25&gt;0,FALSE)))</f>
        <v/>
      </c>
      <c r="Z25" s="32">
        <f>IFERROR(IF($S25&gt;0,CHOOSE($S25,TRUE,TRUE,AND(N($K25)&gt;=IFERROR(VLOOKUP($E25,bbs_sizes,4,FALSE),0),N($L25)&gt;=IFERROR(VLOOKUP($E25,bbs_sizes,4,FALSE),0)),AND(N($O25)&gt;=$T25,N($K25)&gt;=N($O25)+$E25+MAX(5*$E25,90),N($L25)&gt;=N($O25)+$E25+MAX(5*$E25,90)),AND(N($L25)&gt;=IFERROR(VLOOKUP($E25,bbs_sizes,6,FALSE),0),N($L25)&lt;=400+2*$E25,N($K25)&gt;=N($L25)/2+MAX(5*$E25,90),N($M25)&gt;=N($L25)/2+MAX(5*$E25,90)),AND(N($K25)&gt;=IFERROR(VLOOKUP($E25,bbs_sizes,4,FALSE),0),N($M25)&gt;=IFERROR(VLOOKUP($E25,bbs_sizes,4,FALSE),0)),AND(N($K25)&gt;=IFERROR(VLOOKUP($E25,bbs_sizes,4,FALSE),0),N($N25)&gt;=IFERROR(VLOOKUP($E25,bbs_sizes,4,FALSE),0),N($M25)&gt;=IFERROR(VLOOKUP($E25,bbs_sizes,6,FALSE),0),N($M25)&lt;=400+2*$E25,N($N25)&gt;=N($M25)/2+MAX(5*$E25,90)),AND(N($K25)&gt;=IFERROR(VLOOKUP($E25,bbs_sizes,4,FALSE),0),N($M25)&gt;=IFERROR(VLOOKUP($E25,bbs_sizes,4,FALSE),0)),AND(N($K25)&gt;=IFERROR(VLOOKUP($E25,bbs_sizes,4,FALSE),0),N($M25)&gt;=IFERROR(VLOOKUP($E25,bbs_sizes,4,FALSE),0),N($L25)&gt;=MAX(N($N25),N($O25)),N($L25)&lt;=N($N25)+N($O25)),AND(N($K25)&gt;=IFERROR(VLOOKUP($E25,bbs_sizes,4,FALSE),0),N($M25)&gt;=IFERROR(VLOOKUP($E25,bbs_sizes,4,FALSE),0),N($L25)&gt;=MAX(N($N25),N($O25)),N($L25)&lt;=N($N25)+N($O25)),AND(N($K25)&gt;=IFERROR(VLOOKUP($E25,bbs_sizes,4,FALSE),0),N($M25)&gt;=IFERROR(VLOOKUP($E25,bbs_sizes,4,FALSE),0),N($K25)&gt;=N($O25)),AND(N($K25)&gt;=IFERROR(VLOOKUP($E25,bbs_sizes,4,FALSE),0),N($M25)&gt;=IFERROR(VLOOKUP($E25,bbs_sizes,4,FALSE),0),N($K25)&gt;=N($O25)),AND(N($K25)&gt;=IFERROR(VLOOKUP($E25,bbs_sizes,4,FALSE),0),N($M25)&gt;=IFERROR(VLOOKUP($E25,bbs_sizes,4,FALSE),0),N($L25)&gt;=MAX(N($N25),N($O25)),N($L25)&lt;=N($N25)+N($O25)),AND(N($K25)&gt;=IFERROR(VLOOKUP($E25,bbs_sizes,4,FALSE),0),N($N25)&gt;=IFERROR(VLOOKUP($E25,bbs_sizes,4,FALSE),0)),AND(N($K25)&gt;=IFERROR(VLOOKUP($E25,bbs_sizes,4,FALSE),0),N($N25)&gt;=IFERROR(VLOOKUP($E25,bbs_sizes,4,FALSE),0)),AND(N($L25)&gt;=IFERROR(VLOOKUP($E25,bbs_sizes,6,FALSE),0),N($L25)&lt;=400+2*$E25,N($M25)&gt;=N($L25)/2+MAX(5*$E25,90),N($K25)&gt;=N($L25)/2+N($M25)),AND(N($K25)&gt;=IFERROR(VLOOKUP($E25,bbs_sizes,4,FALSE),0),N($O25)&gt;=IFERROR(VLOOKUP($E25,bbs_sizes,4,FALSE),0)),AND(N($K25)&gt;=IFERROR(VLOOKUP($E25,bbs_sizes,4,FALSE),0),N($O25)&gt;=IFERROR(VLOOKUP($E25,bbs_sizes,4,FALSE),0)),AND(N($M25)&lt;=N($K25),N($M25)&gt;=IFERROR(VLOOKUP($E25,bbs_sizes,5,FALSE),0)),AND(N($M25)&lt;=N($K25),N($M25)&lt;=N($L25),N($M25)&gt;=IFERROR(VLOOKUP($E25,bbs_sizes,5,FALSE),0)),AND(N($M25)&lt;=N($L25),N($M25)&gt;=IFERROR(VLOOKUP($E25,bbs_sizes,5,FALSE),0)),AND(N($O25)&lt;=N($K25),N($O25)&lt;=N($L25),N($O25)&gt;=IFERROR(VLOOKUP($E25,bbs_sizes,5,FALSE),0)),AND(N($M25)&lt;=N($K25),N($M25)&gt;=IFERROR(VLOOKUP($E25,bbs_sizes,4,FALSE),0)),TRUE,TRUE,TRUE,AND(N($M25)&gt;=IFERROR(VLOOKUP($E25,bbs_sizes,4,FALSE),0),N($N25)&gt;=IFERROR(VLOOKUP($E25,bbs_sizes,4,FALSE),0)),TRUE),FALSE),FALSE)</f>
        <v/>
      </c>
      <c r="AA25" t="n">
        <v>50</v>
      </c>
      <c r="AB25" t="n">
        <v>175</v>
      </c>
      <c r="AC25" t="n">
        <v>15.4</v>
      </c>
      <c r="AD25" t="n">
        <v>475</v>
      </c>
      <c r="AE25" t="n">
        <v>725</v>
      </c>
      <c r="AF25" t="n">
        <v>1000000000</v>
      </c>
    </row>
    <row r="26" ht="15" customHeight="1">
      <c r="B26" s="25" t="n"/>
      <c r="C26" s="26" t="n"/>
      <c r="D26" s="26" t="n"/>
      <c r="E26" s="26" t="n"/>
      <c r="F26" s="26" t="n"/>
      <c r="G26" s="26" t="n"/>
      <c r="H26" s="27">
        <f>IF(IF(AND(ISNUMBER($F26),ISNUMBER($G26)),AND($F26&gt;0,$G26&gt;0,INT($F26)=$F26,INT($G26)=$G26),FALSE),$F26*$G26,"")</f>
        <v/>
      </c>
      <c r="I26" s="28">
        <f>IF(AND(AND($C26&lt;&gt;"",OR($D26="H",$D26="B",$D26="C"),ISNUMBER($E26),$J26&lt;&gt;""),IF(AND(ISNUMBER($F26),ISNUMBER($G26)),AND($F26&gt;0,$G26&gt;0,INT($F26)=$F26,INT($G26)=$G26),FALSE),$T26&gt;0,$S26&gt;0,$Y26,IF(ISNA(MATCH($X26,{"48","51","52","63"},0)),TRUE,IF(ISBLANK($N26),TRUE,IF(ISNUMBER($N26),$N26=$M26,FALSE))),$X26&lt;&gt;"99",$V26&gt;0,AND(IF(ISBLANK($K26),TRUE,IF(ISNUMBER($K26),MOD($K26,5)=0,FALSE)),IF(ISBLANK($L26),TRUE,IF(ISNUMBER($L26),MOD($L26,5)=0,FALSE)),IF(ISBLANK($M26),TRUE,IF($X26="77",TRUE,IF(ISNUMBER($M26),MOD($M26,5)=0,FALSE))),IF(ISBLANK($N26),TRUE,IF(ISNUMBER($N26),MOD($N26,5)=0,FALSE)),IF(ISBLANK($O26),TRUE,IF(ISNUMBER($O26),MOD($O26,5)=0,FALSE))),$Z26),CEILING($V26,25),"")</f>
        <v/>
      </c>
      <c r="J26" s="29" t="n"/>
      <c r="K26" s="26" t="n"/>
      <c r="L26" s="26" t="n"/>
      <c r="M26" s="26" t="n"/>
      <c r="N26" s="26" t="n"/>
      <c r="O26" s="26" t="n"/>
      <c r="P26" s="30">
        <f>IF(ISNUMBER($I26),$H26*$I26/1000*$U26,"")</f>
        <v/>
      </c>
      <c r="Q26" s="31">
        <f>IF(COUNTA($B26:$G26,$J26:$O26)=0,"",IF(NOT(AND($C26&lt;&gt;"",OR($D26="H",$D26="B",$D26="C"),ISNUMBER($E26),$J26&lt;&gt;"")),"! Incomplete",IF(NOT(IF(AND(ISNUMBER($F26),ISNUMBER($G26)),AND($F26&gt;0,$G26&gt;0,INT($F26)=$F26,INT($G26)=$G26),FALSE)),"! Quantities: whole numbers &gt; 0",IF($T26=0,"! Size not in Table 2",IF($S26=0,"! Unknown shape code",IF($X26="99","! Shape 99: length from the sketch",IF(NOT($Y26),"! Missing dimension",IF(NOT(IF(ISNA(MATCH($X26,{"48","51","52","63"},0)),TRUE,IF(ISBLANK($N26),TRUE,IF(ISNUMBER($N26),$N26=$M26,FALSE)))),"! D must equal C",IF($V26&lt;=0,"! Check dimensions",IF(NOT(AND(IF(ISBLANK($K26),TRUE,IF(ISNUMBER($K26),MOD($K26,5)=0,FALSE)),IF(ISBLANK($L26),TRUE,IF(ISNUMBER($L26),MOD($L26,5)=0,FALSE)),IF(ISBLANK($M26),TRUE,IF($X26="77",TRUE,IF(ISNUMBER($M26),MOD($M26,5)=0,FALSE))),IF(ISBLANK($N26),TRUE,IF(ISNUMBER($N26),MOD($N26,5)=0,FALSE)),IF(ISBLANK($O26),TRUE,IF(ISNUMBER($O26),MOD($O26,5)=0,FALSE)))),"! Dimensions to 5 mm",IF(NOT($Z26),"! Below Table 2 / 5 limits",IF($I26&gt;12000,"! Over 12 m stock","OK"))))))))))))</f>
        <v/>
      </c>
      <c r="S26" s="32">
        <f>IFERROR(MATCH($X26,{"00","01","11","12","13","21","22","23","24","26","27","28","29","31","32","33","41","44","48","51","52","56","63","67","75","77","98","99"},0),0)</f>
        <v/>
      </c>
      <c r="T26" s="32">
        <f>IFERROR(VLOOKUP($E26,bbs_sizes,2,FALSE),0)</f>
        <v/>
      </c>
      <c r="U26" s="32">
        <f>IFERROR(VLOOKUP($E26,bbs_sizes,3,FALSE),0)</f>
        <v/>
      </c>
      <c r="V26" s="32">
        <f>IFERROR(IF(AND($S26&gt;0,$Y26,$T26&gt;0),CHOOSE($S26,N($K26),N($K26),N($K26)+N($L26)-0.5*$T26-$E26,N($K26)+N($L26)-0.43*N($O26)-1.2*$E26,N($K26)+0.57*N($L26)+N($M26)-1.6*$E26,N($K26)+N($L26)+N($M26)-$T26-2*$E26,N($K26)+N($L26)+0.57*N($M26)+N($N26)-0.5*$T26-2.6*$E26,N($K26)+N($L26)+N($M26)-$T26-2*$E26,N($K26)+N($L26)+N($M26),N($K26)+N($L26)+N($M26),N($K26)+N($L26)+N($M26)-0.5*$T26-$E26,N($K26)+N($L26)+N($M26)-0.5*$T26-$E26,N($K26)+N($L26)+N($M26),N($K26)+N($L26)+N($M26)+N($N26)-1.5*$T26-3*$E26,N($K26)+N($L26)+N($M26)+N($N26)-1.5*$T26-3*$E26,2*N($K26)+1.7*N($L26)+2*N($M26)-4*$E26,N($K26)+N($L26)+N($M26)+N($N26)+N($O26)-2*$T26-4*$E26,N($K26)+N($L26)+N($M26)+N($N26)+N($O26)-2*$T26-4*$E26,2*N($K26)+N($L26)+2*N($M26)-$T26-2*$E26,2*(N($K26)+N($L26)+N($M26))-2.5*$T26-5*$E26,2*(N($K26)+N($L26)+N($M26))-1.5*$T26-3*$E26,N($K26)+N($L26)+N($M26)+N($N26)+2*N($O26)-1.5*$T26-3*$E26,2*N($K26)+3*N($L26)+2*N($M26)-3*$T26-6*$E26,N($K26),PI()*(N($K26)-$E26)+N($L26)+25,IF(N($L26)&lt;=N($K26)/5,N($M26)*PI()*(N($K26)-$E26),N($M26)*SQRT((PI()*(N($K26)-$E26))^2+N($L26)^2)),N($K26)+2*N($L26)+N($M26)+N($N26)-2*$T26-4*$E26,0),0),0)</f>
        <v/>
      </c>
      <c r="W26" s="32">
        <f>IF($S26&gt;0,CHOOSE($S26,"A","A","AB","ABE","ABC","ABC","ABCD","ABC","ABCDE","ABCDE","ABCDE","ABCDE","ABCDE","ABCD","ABCD","ABC","ABCDE","ABCDE","ABC","ABC","ABC","ABCDE","ABC","AE","AB","ABC","ABCD",""),"")</f>
        <v/>
      </c>
      <c r="X26" s="32">
        <f>IF(ISNUMBER($J26),IF(INT($J26)=$J26,TEXT($J26,"00"),"x"),IF(AND(LEN(TRIM($J26))=2,ISNUMBER(MID(TRIM($J26),1,1)*1),ISNUMBER(MID(TRIM($J26),2,1)*1),ISERROR(FIND(".",$J26))),TRIM($J26),"x"))</f>
        <v/>
      </c>
      <c r="Y26" s="32">
        <f>AND(IF(ISERROR(FIND("A",$W26)),TRUE,IF(ISNUMBER($K26),$K26&gt;0,FALSE)),IF(ISERROR(FIND("B",$W26)),TRUE,IF(ISNUMBER($L26),$L26&gt;0,FALSE)),IF(ISERROR(FIND("C",$W26)),TRUE,IF(ISNUMBER($M26),$M26&gt;0,FALSE)),IF(ISERROR(FIND("D",$W26)),TRUE,IF(ISNUMBER($N26),$N26&gt;0,FALSE)),IF(ISERROR(FIND("E",$W26)),TRUE,IF(ISNUMBER($O26),$O26&gt;0,FALSE)))</f>
        <v/>
      </c>
      <c r="Z26" s="32">
        <f>IFERROR(IF($S26&gt;0,CHOOSE($S26,TRUE,TRUE,AND(N($K26)&gt;=IFERROR(VLOOKUP($E26,bbs_sizes,4,FALSE),0),N($L26)&gt;=IFERROR(VLOOKUP($E26,bbs_sizes,4,FALSE),0)),AND(N($O26)&gt;=$T26,N($K26)&gt;=N($O26)+$E26+MAX(5*$E26,90),N($L26)&gt;=N($O26)+$E26+MAX(5*$E26,90)),AND(N($L26)&gt;=IFERROR(VLOOKUP($E26,bbs_sizes,6,FALSE),0),N($L26)&lt;=400+2*$E26,N($K26)&gt;=N($L26)/2+MAX(5*$E26,90),N($M26)&gt;=N($L26)/2+MAX(5*$E26,90)),AND(N($K26)&gt;=IFERROR(VLOOKUP($E26,bbs_sizes,4,FALSE),0),N($M26)&gt;=IFERROR(VLOOKUP($E26,bbs_sizes,4,FALSE),0)),AND(N($K26)&gt;=IFERROR(VLOOKUP($E26,bbs_sizes,4,FALSE),0),N($N26)&gt;=IFERROR(VLOOKUP($E26,bbs_sizes,4,FALSE),0),N($M26)&gt;=IFERROR(VLOOKUP($E26,bbs_sizes,6,FALSE),0),N($M26)&lt;=400+2*$E26,N($N26)&gt;=N($M26)/2+MAX(5*$E26,90)),AND(N($K26)&gt;=IFERROR(VLOOKUP($E26,bbs_sizes,4,FALSE),0),N($M26)&gt;=IFERROR(VLOOKUP($E26,bbs_sizes,4,FALSE),0)),AND(N($K26)&gt;=IFERROR(VLOOKUP($E26,bbs_sizes,4,FALSE),0),N($M26)&gt;=IFERROR(VLOOKUP($E26,bbs_sizes,4,FALSE),0),N($L26)&gt;=MAX(N($N26),N($O26)),N($L26)&lt;=N($N26)+N($O26)),AND(N($K26)&gt;=IFERROR(VLOOKUP($E26,bbs_sizes,4,FALSE),0),N($M26)&gt;=IFERROR(VLOOKUP($E26,bbs_sizes,4,FALSE),0),N($L26)&gt;=MAX(N($N26),N($O26)),N($L26)&lt;=N($N26)+N($O26)),AND(N($K26)&gt;=IFERROR(VLOOKUP($E26,bbs_sizes,4,FALSE),0),N($M26)&gt;=IFERROR(VLOOKUP($E26,bbs_sizes,4,FALSE),0),N($K26)&gt;=N($O26)),AND(N($K26)&gt;=IFERROR(VLOOKUP($E26,bbs_sizes,4,FALSE),0),N($M26)&gt;=IFERROR(VLOOKUP($E26,bbs_sizes,4,FALSE),0),N($K26)&gt;=N($O26)),AND(N($K26)&gt;=IFERROR(VLOOKUP($E26,bbs_sizes,4,FALSE),0),N($M26)&gt;=IFERROR(VLOOKUP($E26,bbs_sizes,4,FALSE),0),N($L26)&gt;=MAX(N($N26),N($O26)),N($L26)&lt;=N($N26)+N($O26)),AND(N($K26)&gt;=IFERROR(VLOOKUP($E26,bbs_sizes,4,FALSE),0),N($N26)&gt;=IFERROR(VLOOKUP($E26,bbs_sizes,4,FALSE),0)),AND(N($K26)&gt;=IFERROR(VLOOKUP($E26,bbs_sizes,4,FALSE),0),N($N26)&gt;=IFERROR(VLOOKUP($E26,bbs_sizes,4,FALSE),0)),AND(N($L26)&gt;=IFERROR(VLOOKUP($E26,bbs_sizes,6,FALSE),0),N($L26)&lt;=400+2*$E26,N($M26)&gt;=N($L26)/2+MAX(5*$E26,90),N($K26)&gt;=N($L26)/2+N($M26)),AND(N($K26)&gt;=IFERROR(VLOOKUP($E26,bbs_sizes,4,FALSE),0),N($O26)&gt;=IFERROR(VLOOKUP($E26,bbs_sizes,4,FALSE),0)),AND(N($K26)&gt;=IFERROR(VLOOKUP($E26,bbs_sizes,4,FALSE),0),N($O26)&gt;=IFERROR(VLOOKUP($E26,bbs_sizes,4,FALSE),0)),AND(N($M26)&lt;=N($K26),N($M26)&gt;=IFERROR(VLOOKUP($E26,bbs_sizes,5,FALSE),0)),AND(N($M26)&lt;=N($K26),N($M26)&lt;=N($L26),N($M26)&gt;=IFERROR(VLOOKUP($E26,bbs_sizes,5,FALSE),0)),AND(N($M26)&lt;=N($L26),N($M26)&gt;=IFERROR(VLOOKUP($E26,bbs_sizes,5,FALSE),0)),AND(N($O26)&lt;=N($K26),N($O26)&lt;=N($L26),N($O26)&gt;=IFERROR(VLOOKUP($E26,bbs_sizes,5,FALSE),0)),AND(N($M26)&lt;=N($K26),N($M26)&gt;=IFERROR(VLOOKUP($E26,bbs_sizes,4,FALSE),0)),TRUE,TRUE,TRUE,AND(N($M26)&gt;=IFERROR(VLOOKUP($E26,bbs_sizes,4,FALSE),0),N($N26)&gt;=IFERROR(VLOOKUP($E26,bbs_sizes,4,FALSE),0)),TRUE),FALSE),FALSE)</f>
        <v/>
      </c>
    </row>
    <row r="27" ht="15" customHeight="1">
      <c r="B27" s="25" t="n"/>
      <c r="C27" s="26" t="n"/>
      <c r="D27" s="26" t="n"/>
      <c r="E27" s="26" t="n"/>
      <c r="F27" s="26" t="n"/>
      <c r="G27" s="26" t="n"/>
      <c r="H27" s="27">
        <f>IF(IF(AND(ISNUMBER($F27),ISNUMBER($G27)),AND($F27&gt;0,$G27&gt;0,INT($F27)=$F27,INT($G27)=$G27),FALSE),$F27*$G27,"")</f>
        <v/>
      </c>
      <c r="I27" s="28">
        <f>IF(AND(AND($C27&lt;&gt;"",OR($D27="H",$D27="B",$D27="C"),ISNUMBER($E27),$J27&lt;&gt;""),IF(AND(ISNUMBER($F27),ISNUMBER($G27)),AND($F27&gt;0,$G27&gt;0,INT($F27)=$F27,INT($G27)=$G27),FALSE),$T27&gt;0,$S27&gt;0,$Y27,IF(ISNA(MATCH($X27,{"48","51","52","63"},0)),TRUE,IF(ISBLANK($N27),TRUE,IF(ISNUMBER($N27),$N27=$M27,FALSE))),$X27&lt;&gt;"99",$V27&gt;0,AND(IF(ISBLANK($K27),TRUE,IF(ISNUMBER($K27),MOD($K27,5)=0,FALSE)),IF(ISBLANK($L27),TRUE,IF(ISNUMBER($L27),MOD($L27,5)=0,FALSE)),IF(ISBLANK($M27),TRUE,IF($X27="77",TRUE,IF(ISNUMBER($M27),MOD($M27,5)=0,FALSE))),IF(ISBLANK($N27),TRUE,IF(ISNUMBER($N27),MOD($N27,5)=0,FALSE)),IF(ISBLANK($O27),TRUE,IF(ISNUMBER($O27),MOD($O27,5)=0,FALSE))),$Z27),CEILING($V27,25),"")</f>
        <v/>
      </c>
      <c r="J27" s="29" t="n"/>
      <c r="K27" s="26" t="n"/>
      <c r="L27" s="26" t="n"/>
      <c r="M27" s="26" t="n"/>
      <c r="N27" s="26" t="n"/>
      <c r="O27" s="26" t="n"/>
      <c r="P27" s="30">
        <f>IF(ISNUMBER($I27),$H27*$I27/1000*$U27,"")</f>
        <v/>
      </c>
      <c r="Q27" s="31">
        <f>IF(COUNTA($B27:$G27,$J27:$O27)=0,"",IF(NOT(AND($C27&lt;&gt;"",OR($D27="H",$D27="B",$D27="C"),ISNUMBER($E27),$J27&lt;&gt;"")),"! Incomplete",IF(NOT(IF(AND(ISNUMBER($F27),ISNUMBER($G27)),AND($F27&gt;0,$G27&gt;0,INT($F27)=$F27,INT($G27)=$G27),FALSE)),"! Quantities: whole numbers &gt; 0",IF($T27=0,"! Size not in Table 2",IF($S27=0,"! Unknown shape code",IF($X27="99","! Shape 99: length from the sketch",IF(NOT($Y27),"! Missing dimension",IF(NOT(IF(ISNA(MATCH($X27,{"48","51","52","63"},0)),TRUE,IF(ISBLANK($N27),TRUE,IF(ISNUMBER($N27),$N27=$M27,FALSE)))),"! D must equal C",IF($V27&lt;=0,"! Check dimensions",IF(NOT(AND(IF(ISBLANK($K27),TRUE,IF(ISNUMBER($K27),MOD($K27,5)=0,FALSE)),IF(ISBLANK($L27),TRUE,IF(ISNUMBER($L27),MOD($L27,5)=0,FALSE)),IF(ISBLANK($M27),TRUE,IF($X27="77",TRUE,IF(ISNUMBER($M27),MOD($M27,5)=0,FALSE))),IF(ISBLANK($N27),TRUE,IF(ISNUMBER($N27),MOD($N27,5)=0,FALSE)),IF(ISBLANK($O27),TRUE,IF(ISNUMBER($O27),MOD($O27,5)=0,FALSE)))),"! Dimensions to 5 mm",IF(NOT($Z27),"! Below Table 2 / 5 limits",IF($I27&gt;12000,"! Over 12 m stock","OK"))))))))))))</f>
        <v/>
      </c>
      <c r="S27" s="32">
        <f>IFERROR(MATCH($X27,{"00","01","11","12","13","21","22","23","24","26","27","28","29","31","32","33","41","44","48","51","52","56","63","67","75","77","98","99"},0),0)</f>
        <v/>
      </c>
      <c r="T27" s="32">
        <f>IFERROR(VLOOKUP($E27,bbs_sizes,2,FALSE),0)</f>
        <v/>
      </c>
      <c r="U27" s="32">
        <f>IFERROR(VLOOKUP($E27,bbs_sizes,3,FALSE),0)</f>
        <v/>
      </c>
      <c r="V27" s="32">
        <f>IFERROR(IF(AND($S27&gt;0,$Y27,$T27&gt;0),CHOOSE($S27,N($K27),N($K27),N($K27)+N($L27)-0.5*$T27-$E27,N($K27)+N($L27)-0.43*N($O27)-1.2*$E27,N($K27)+0.57*N($L27)+N($M27)-1.6*$E27,N($K27)+N($L27)+N($M27)-$T27-2*$E27,N($K27)+N($L27)+0.57*N($M27)+N($N27)-0.5*$T27-2.6*$E27,N($K27)+N($L27)+N($M27)-$T27-2*$E27,N($K27)+N($L27)+N($M27),N($K27)+N($L27)+N($M27),N($K27)+N($L27)+N($M27)-0.5*$T27-$E27,N($K27)+N($L27)+N($M27)-0.5*$T27-$E27,N($K27)+N($L27)+N($M27),N($K27)+N($L27)+N($M27)+N($N27)-1.5*$T27-3*$E27,N($K27)+N($L27)+N($M27)+N($N27)-1.5*$T27-3*$E27,2*N($K27)+1.7*N($L27)+2*N($M27)-4*$E27,N($K27)+N($L27)+N($M27)+N($N27)+N($O27)-2*$T27-4*$E27,N($K27)+N($L27)+N($M27)+N($N27)+N($O27)-2*$T27-4*$E27,2*N($K27)+N($L27)+2*N($M27)-$T27-2*$E27,2*(N($K27)+N($L27)+N($M27))-2.5*$T27-5*$E27,2*(N($K27)+N($L27)+N($M27))-1.5*$T27-3*$E27,N($K27)+N($L27)+N($M27)+N($N27)+2*N($O27)-1.5*$T27-3*$E27,2*N($K27)+3*N($L27)+2*N($M27)-3*$T27-6*$E27,N($K27),PI()*(N($K27)-$E27)+N($L27)+25,IF(N($L27)&lt;=N($K27)/5,N($M27)*PI()*(N($K27)-$E27),N($M27)*SQRT((PI()*(N($K27)-$E27))^2+N($L27)^2)),N($K27)+2*N($L27)+N($M27)+N($N27)-2*$T27-4*$E27,0),0),0)</f>
        <v/>
      </c>
      <c r="W27" s="32">
        <f>IF($S27&gt;0,CHOOSE($S27,"A","A","AB","ABE","ABC","ABC","ABCD","ABC","ABCDE","ABCDE","ABCDE","ABCDE","ABCDE","ABCD","ABCD","ABC","ABCDE","ABCDE","ABC","ABC","ABC","ABCDE","ABC","AE","AB","ABC","ABCD",""),"")</f>
        <v/>
      </c>
      <c r="X27" s="32">
        <f>IF(ISNUMBER($J27),IF(INT($J27)=$J27,TEXT($J27,"00"),"x"),IF(AND(LEN(TRIM($J27))=2,ISNUMBER(MID(TRIM($J27),1,1)*1),ISNUMBER(MID(TRIM($J27),2,1)*1),ISERROR(FIND(".",$J27))),TRIM($J27),"x"))</f>
        <v/>
      </c>
      <c r="Y27" s="32">
        <f>AND(IF(ISERROR(FIND("A",$W27)),TRUE,IF(ISNUMBER($K27),$K27&gt;0,FALSE)),IF(ISERROR(FIND("B",$W27)),TRUE,IF(ISNUMBER($L27),$L27&gt;0,FALSE)),IF(ISERROR(FIND("C",$W27)),TRUE,IF(ISNUMBER($M27),$M27&gt;0,FALSE)),IF(ISERROR(FIND("D",$W27)),TRUE,IF(ISNUMBER($N27),$N27&gt;0,FALSE)),IF(ISERROR(FIND("E",$W27)),TRUE,IF(ISNUMBER($O27),$O27&gt;0,FALSE)))</f>
        <v/>
      </c>
      <c r="Z27" s="32">
        <f>IFERROR(IF($S27&gt;0,CHOOSE($S27,TRUE,TRUE,AND(N($K27)&gt;=IFERROR(VLOOKUP($E27,bbs_sizes,4,FALSE),0),N($L27)&gt;=IFERROR(VLOOKUP($E27,bbs_sizes,4,FALSE),0)),AND(N($O27)&gt;=$T27,N($K27)&gt;=N($O27)+$E27+MAX(5*$E27,90),N($L27)&gt;=N($O27)+$E27+MAX(5*$E27,90)),AND(N($L27)&gt;=IFERROR(VLOOKUP($E27,bbs_sizes,6,FALSE),0),N($L27)&lt;=400+2*$E27,N($K27)&gt;=N($L27)/2+MAX(5*$E27,90),N($M27)&gt;=N($L27)/2+MAX(5*$E27,90)),AND(N($K27)&gt;=IFERROR(VLOOKUP($E27,bbs_sizes,4,FALSE),0),N($M27)&gt;=IFERROR(VLOOKUP($E27,bbs_sizes,4,FALSE),0)),AND(N($K27)&gt;=IFERROR(VLOOKUP($E27,bbs_sizes,4,FALSE),0),N($N27)&gt;=IFERROR(VLOOKUP($E27,bbs_sizes,4,FALSE),0),N($M27)&gt;=IFERROR(VLOOKUP($E27,bbs_sizes,6,FALSE),0),N($M27)&lt;=400+2*$E27,N($N27)&gt;=N($M27)/2+MAX(5*$E27,90)),AND(N($K27)&gt;=IFERROR(VLOOKUP($E27,bbs_sizes,4,FALSE),0),N($M27)&gt;=IFERROR(VLOOKUP($E27,bbs_sizes,4,FALSE),0)),AND(N($K27)&gt;=IFERROR(VLOOKUP($E27,bbs_sizes,4,FALSE),0),N($M27)&gt;=IFERROR(VLOOKUP($E27,bbs_sizes,4,FALSE),0),N($L27)&gt;=MAX(N($N27),N($O27)),N($L27)&lt;=N($N27)+N($O27)),AND(N($K27)&gt;=IFERROR(VLOOKUP($E27,bbs_sizes,4,FALSE),0),N($M27)&gt;=IFERROR(VLOOKUP($E27,bbs_sizes,4,FALSE),0),N($L27)&gt;=MAX(N($N27),N($O27)),N($L27)&lt;=N($N27)+N($O27)),AND(N($K27)&gt;=IFERROR(VLOOKUP($E27,bbs_sizes,4,FALSE),0),N($M27)&gt;=IFERROR(VLOOKUP($E27,bbs_sizes,4,FALSE),0),N($K27)&gt;=N($O27)),AND(N($K27)&gt;=IFERROR(VLOOKUP($E27,bbs_sizes,4,FALSE),0),N($M27)&gt;=IFERROR(VLOOKUP($E27,bbs_sizes,4,FALSE),0),N($K27)&gt;=N($O27)),AND(N($K27)&gt;=IFERROR(VLOOKUP($E27,bbs_sizes,4,FALSE),0),N($M27)&gt;=IFERROR(VLOOKUP($E27,bbs_sizes,4,FALSE),0),N($L27)&gt;=MAX(N($N27),N($O27)),N($L27)&lt;=N($N27)+N($O27)),AND(N($K27)&gt;=IFERROR(VLOOKUP($E27,bbs_sizes,4,FALSE),0),N($N27)&gt;=IFERROR(VLOOKUP($E27,bbs_sizes,4,FALSE),0)),AND(N($K27)&gt;=IFERROR(VLOOKUP($E27,bbs_sizes,4,FALSE),0),N($N27)&gt;=IFERROR(VLOOKUP($E27,bbs_sizes,4,FALSE),0)),AND(N($L27)&gt;=IFERROR(VLOOKUP($E27,bbs_sizes,6,FALSE),0),N($L27)&lt;=400+2*$E27,N($M27)&gt;=N($L27)/2+MAX(5*$E27,90),N($K27)&gt;=N($L27)/2+N($M27)),AND(N($K27)&gt;=IFERROR(VLOOKUP($E27,bbs_sizes,4,FALSE),0),N($O27)&gt;=IFERROR(VLOOKUP($E27,bbs_sizes,4,FALSE),0)),AND(N($K27)&gt;=IFERROR(VLOOKUP($E27,bbs_sizes,4,FALSE),0),N($O27)&gt;=IFERROR(VLOOKUP($E27,bbs_sizes,4,FALSE),0)),AND(N($M27)&lt;=N($K27),N($M27)&gt;=IFERROR(VLOOKUP($E27,bbs_sizes,5,FALSE),0)),AND(N($M27)&lt;=N($K27),N($M27)&lt;=N($L27),N($M27)&gt;=IFERROR(VLOOKUP($E27,bbs_sizes,5,FALSE),0)),AND(N($M27)&lt;=N($L27),N($M27)&gt;=IFERROR(VLOOKUP($E27,bbs_sizes,5,FALSE),0)),AND(N($O27)&lt;=N($K27),N($O27)&lt;=N($L27),N($O27)&gt;=IFERROR(VLOOKUP($E27,bbs_sizes,5,FALSE),0)),AND(N($M27)&lt;=N($K27),N($M27)&gt;=IFERROR(VLOOKUP($E27,bbs_sizes,4,FALSE),0)),TRUE,TRUE,TRUE,AND(N($M27)&gt;=IFERROR(VLOOKUP($E27,bbs_sizes,4,FALSE),0),N($N27)&gt;=IFERROR(VLOOKUP($E27,bbs_sizes,4,FALSE),0)),TRUE),FALSE),FALSE)</f>
        <v/>
      </c>
    </row>
    <row r="28" ht="15" customHeight="1">
      <c r="B28" s="25" t="n"/>
      <c r="C28" s="26" t="n"/>
      <c r="D28" s="26" t="n"/>
      <c r="E28" s="26" t="n"/>
      <c r="F28" s="26" t="n"/>
      <c r="G28" s="26" t="n"/>
      <c r="H28" s="27">
        <f>IF(IF(AND(ISNUMBER($F28),ISNUMBER($G28)),AND($F28&gt;0,$G28&gt;0,INT($F28)=$F28,INT($G28)=$G28),FALSE),$F28*$G28,"")</f>
        <v/>
      </c>
      <c r="I28" s="28">
        <f>IF(AND(AND($C28&lt;&gt;"",OR($D28="H",$D28="B",$D28="C"),ISNUMBER($E28),$J28&lt;&gt;""),IF(AND(ISNUMBER($F28),ISNUMBER($G28)),AND($F28&gt;0,$G28&gt;0,INT($F28)=$F28,INT($G28)=$G28),FALSE),$T28&gt;0,$S28&gt;0,$Y28,IF(ISNA(MATCH($X28,{"48","51","52","63"},0)),TRUE,IF(ISBLANK($N28),TRUE,IF(ISNUMBER($N28),$N28=$M28,FALSE))),$X28&lt;&gt;"99",$V28&gt;0,AND(IF(ISBLANK($K28),TRUE,IF(ISNUMBER($K28),MOD($K28,5)=0,FALSE)),IF(ISBLANK($L28),TRUE,IF(ISNUMBER($L28),MOD($L28,5)=0,FALSE)),IF(ISBLANK($M28),TRUE,IF($X28="77",TRUE,IF(ISNUMBER($M28),MOD($M28,5)=0,FALSE))),IF(ISBLANK($N28),TRUE,IF(ISNUMBER($N28),MOD($N28,5)=0,FALSE)),IF(ISBLANK($O28),TRUE,IF(ISNUMBER($O28),MOD($O28,5)=0,FALSE))),$Z28),CEILING($V28,25),"")</f>
        <v/>
      </c>
      <c r="J28" s="29" t="n"/>
      <c r="K28" s="26" t="n"/>
      <c r="L28" s="26" t="n"/>
      <c r="M28" s="26" t="n"/>
      <c r="N28" s="26" t="n"/>
      <c r="O28" s="26" t="n"/>
      <c r="P28" s="30">
        <f>IF(ISNUMBER($I28),$H28*$I28/1000*$U28,"")</f>
        <v/>
      </c>
      <c r="Q28" s="31">
        <f>IF(COUNTA($B28:$G28,$J28:$O28)=0,"",IF(NOT(AND($C28&lt;&gt;"",OR($D28="H",$D28="B",$D28="C"),ISNUMBER($E28),$J28&lt;&gt;"")),"! Incomplete",IF(NOT(IF(AND(ISNUMBER($F28),ISNUMBER($G28)),AND($F28&gt;0,$G28&gt;0,INT($F28)=$F28,INT($G28)=$G28),FALSE)),"! Quantities: whole numbers &gt; 0",IF($T28=0,"! Size not in Table 2",IF($S28=0,"! Unknown shape code",IF($X28="99","! Shape 99: length from the sketch",IF(NOT($Y28),"! Missing dimension",IF(NOT(IF(ISNA(MATCH($X28,{"48","51","52","63"},0)),TRUE,IF(ISBLANK($N28),TRUE,IF(ISNUMBER($N28),$N28=$M28,FALSE)))),"! D must equal C",IF($V28&lt;=0,"! Check dimensions",IF(NOT(AND(IF(ISBLANK($K28),TRUE,IF(ISNUMBER($K28),MOD($K28,5)=0,FALSE)),IF(ISBLANK($L28),TRUE,IF(ISNUMBER($L28),MOD($L28,5)=0,FALSE)),IF(ISBLANK($M28),TRUE,IF($X28="77",TRUE,IF(ISNUMBER($M28),MOD($M28,5)=0,FALSE))),IF(ISBLANK($N28),TRUE,IF(ISNUMBER($N28),MOD($N28,5)=0,FALSE)),IF(ISBLANK($O28),TRUE,IF(ISNUMBER($O28),MOD($O28,5)=0,FALSE)))),"! Dimensions to 5 mm",IF(NOT($Z28),"! Below Table 2 / 5 limits",IF($I28&gt;12000,"! Over 12 m stock","OK"))))))))))))</f>
        <v/>
      </c>
      <c r="S28" s="32">
        <f>IFERROR(MATCH($X28,{"00","01","11","12","13","21","22","23","24","26","27","28","29","31","32","33","41","44","48","51","52","56","63","67","75","77","98","99"},0),0)</f>
        <v/>
      </c>
      <c r="T28" s="32">
        <f>IFERROR(VLOOKUP($E28,bbs_sizes,2,FALSE),0)</f>
        <v/>
      </c>
      <c r="U28" s="32">
        <f>IFERROR(VLOOKUP($E28,bbs_sizes,3,FALSE),0)</f>
        <v/>
      </c>
      <c r="V28" s="32">
        <f>IFERROR(IF(AND($S28&gt;0,$Y28,$T28&gt;0),CHOOSE($S28,N($K28),N($K28),N($K28)+N($L28)-0.5*$T28-$E28,N($K28)+N($L28)-0.43*N($O28)-1.2*$E28,N($K28)+0.57*N($L28)+N($M28)-1.6*$E28,N($K28)+N($L28)+N($M28)-$T28-2*$E28,N($K28)+N($L28)+0.57*N($M28)+N($N28)-0.5*$T28-2.6*$E28,N($K28)+N($L28)+N($M28)-$T28-2*$E28,N($K28)+N($L28)+N($M28),N($K28)+N($L28)+N($M28),N($K28)+N($L28)+N($M28)-0.5*$T28-$E28,N($K28)+N($L28)+N($M28)-0.5*$T28-$E28,N($K28)+N($L28)+N($M28),N($K28)+N($L28)+N($M28)+N($N28)-1.5*$T28-3*$E28,N($K28)+N($L28)+N($M28)+N($N28)-1.5*$T28-3*$E28,2*N($K28)+1.7*N($L28)+2*N($M28)-4*$E28,N($K28)+N($L28)+N($M28)+N($N28)+N($O28)-2*$T28-4*$E28,N($K28)+N($L28)+N($M28)+N($N28)+N($O28)-2*$T28-4*$E28,2*N($K28)+N($L28)+2*N($M28)-$T28-2*$E28,2*(N($K28)+N($L28)+N($M28))-2.5*$T28-5*$E28,2*(N($K28)+N($L28)+N($M28))-1.5*$T28-3*$E28,N($K28)+N($L28)+N($M28)+N($N28)+2*N($O28)-1.5*$T28-3*$E28,2*N($K28)+3*N($L28)+2*N($M28)-3*$T28-6*$E28,N($K28),PI()*(N($K28)-$E28)+N($L28)+25,IF(N($L28)&lt;=N($K28)/5,N($M28)*PI()*(N($K28)-$E28),N($M28)*SQRT((PI()*(N($K28)-$E28))^2+N($L28)^2)),N($K28)+2*N($L28)+N($M28)+N($N28)-2*$T28-4*$E28,0),0),0)</f>
        <v/>
      </c>
      <c r="W28" s="32">
        <f>IF($S28&gt;0,CHOOSE($S28,"A","A","AB","ABE","ABC","ABC","ABCD","ABC","ABCDE","ABCDE","ABCDE","ABCDE","ABCDE","ABCD","ABCD","ABC","ABCDE","ABCDE","ABC","ABC","ABC","ABCDE","ABC","AE","AB","ABC","ABCD",""),"")</f>
        <v/>
      </c>
      <c r="X28" s="32">
        <f>IF(ISNUMBER($J28),IF(INT($J28)=$J28,TEXT($J28,"00"),"x"),IF(AND(LEN(TRIM($J28))=2,ISNUMBER(MID(TRIM($J28),1,1)*1),ISNUMBER(MID(TRIM($J28),2,1)*1),ISERROR(FIND(".",$J28))),TRIM($J28),"x"))</f>
        <v/>
      </c>
      <c r="Y28" s="32">
        <f>AND(IF(ISERROR(FIND("A",$W28)),TRUE,IF(ISNUMBER($K28),$K28&gt;0,FALSE)),IF(ISERROR(FIND("B",$W28)),TRUE,IF(ISNUMBER($L28),$L28&gt;0,FALSE)),IF(ISERROR(FIND("C",$W28)),TRUE,IF(ISNUMBER($M28),$M28&gt;0,FALSE)),IF(ISERROR(FIND("D",$W28)),TRUE,IF(ISNUMBER($N28),$N28&gt;0,FALSE)),IF(ISERROR(FIND("E",$W28)),TRUE,IF(ISNUMBER($O28),$O28&gt;0,FALSE)))</f>
        <v/>
      </c>
      <c r="Z28" s="32">
        <f>IFERROR(IF($S28&gt;0,CHOOSE($S28,TRUE,TRUE,AND(N($K28)&gt;=IFERROR(VLOOKUP($E28,bbs_sizes,4,FALSE),0),N($L28)&gt;=IFERROR(VLOOKUP($E28,bbs_sizes,4,FALSE),0)),AND(N($O28)&gt;=$T28,N($K28)&gt;=N($O28)+$E28+MAX(5*$E28,90),N($L28)&gt;=N($O28)+$E28+MAX(5*$E28,90)),AND(N($L28)&gt;=IFERROR(VLOOKUP($E28,bbs_sizes,6,FALSE),0),N($L28)&lt;=400+2*$E28,N($K28)&gt;=N($L28)/2+MAX(5*$E28,90),N($M28)&gt;=N($L28)/2+MAX(5*$E28,90)),AND(N($K28)&gt;=IFERROR(VLOOKUP($E28,bbs_sizes,4,FALSE),0),N($M28)&gt;=IFERROR(VLOOKUP($E28,bbs_sizes,4,FALSE),0)),AND(N($K28)&gt;=IFERROR(VLOOKUP($E28,bbs_sizes,4,FALSE),0),N($N28)&gt;=IFERROR(VLOOKUP($E28,bbs_sizes,4,FALSE),0),N($M28)&gt;=IFERROR(VLOOKUP($E28,bbs_sizes,6,FALSE),0),N($M28)&lt;=400+2*$E28,N($N28)&gt;=N($M28)/2+MAX(5*$E28,90)),AND(N($K28)&gt;=IFERROR(VLOOKUP($E28,bbs_sizes,4,FALSE),0),N($M28)&gt;=IFERROR(VLOOKUP($E28,bbs_sizes,4,FALSE),0)),AND(N($K28)&gt;=IFERROR(VLOOKUP($E28,bbs_sizes,4,FALSE),0),N($M28)&gt;=IFERROR(VLOOKUP($E28,bbs_sizes,4,FALSE),0),N($L28)&gt;=MAX(N($N28),N($O28)),N($L28)&lt;=N($N28)+N($O28)),AND(N($K28)&gt;=IFERROR(VLOOKUP($E28,bbs_sizes,4,FALSE),0),N($M28)&gt;=IFERROR(VLOOKUP($E28,bbs_sizes,4,FALSE),0),N($L28)&gt;=MAX(N($N28),N($O28)),N($L28)&lt;=N($N28)+N($O28)),AND(N($K28)&gt;=IFERROR(VLOOKUP($E28,bbs_sizes,4,FALSE),0),N($M28)&gt;=IFERROR(VLOOKUP($E28,bbs_sizes,4,FALSE),0),N($K28)&gt;=N($O28)),AND(N($K28)&gt;=IFERROR(VLOOKUP($E28,bbs_sizes,4,FALSE),0),N($M28)&gt;=IFERROR(VLOOKUP($E28,bbs_sizes,4,FALSE),0),N($K28)&gt;=N($O28)),AND(N($K28)&gt;=IFERROR(VLOOKUP($E28,bbs_sizes,4,FALSE),0),N($M28)&gt;=IFERROR(VLOOKUP($E28,bbs_sizes,4,FALSE),0),N($L28)&gt;=MAX(N($N28),N($O28)),N($L28)&lt;=N($N28)+N($O28)),AND(N($K28)&gt;=IFERROR(VLOOKUP($E28,bbs_sizes,4,FALSE),0),N($N28)&gt;=IFERROR(VLOOKUP($E28,bbs_sizes,4,FALSE),0)),AND(N($K28)&gt;=IFERROR(VLOOKUP($E28,bbs_sizes,4,FALSE),0),N($N28)&gt;=IFERROR(VLOOKUP($E28,bbs_sizes,4,FALSE),0)),AND(N($L28)&gt;=IFERROR(VLOOKUP($E28,bbs_sizes,6,FALSE),0),N($L28)&lt;=400+2*$E28,N($M28)&gt;=N($L28)/2+MAX(5*$E28,90),N($K28)&gt;=N($L28)/2+N($M28)),AND(N($K28)&gt;=IFERROR(VLOOKUP($E28,bbs_sizes,4,FALSE),0),N($O28)&gt;=IFERROR(VLOOKUP($E28,bbs_sizes,4,FALSE),0)),AND(N($K28)&gt;=IFERROR(VLOOKUP($E28,bbs_sizes,4,FALSE),0),N($O28)&gt;=IFERROR(VLOOKUP($E28,bbs_sizes,4,FALSE),0)),AND(N($M28)&lt;=N($K28),N($M28)&gt;=IFERROR(VLOOKUP($E28,bbs_sizes,5,FALSE),0)),AND(N($M28)&lt;=N($K28),N($M28)&lt;=N($L28),N($M28)&gt;=IFERROR(VLOOKUP($E28,bbs_sizes,5,FALSE),0)),AND(N($M28)&lt;=N($L28),N($M28)&gt;=IFERROR(VLOOKUP($E28,bbs_sizes,5,FALSE),0)),AND(N($O28)&lt;=N($K28),N($O28)&lt;=N($L28),N($O28)&gt;=IFERROR(VLOOKUP($E28,bbs_sizes,5,FALSE),0)),AND(N($M28)&lt;=N($K28),N($M28)&gt;=IFERROR(VLOOKUP($E28,bbs_sizes,4,FALSE),0)),TRUE,TRUE,TRUE,AND(N($M28)&gt;=IFERROR(VLOOKUP($E28,bbs_sizes,4,FALSE),0),N($N28)&gt;=IFERROR(VLOOKUP($E28,bbs_sizes,4,FALSE),0)),TRUE),FALSE),FALSE)</f>
        <v/>
      </c>
    </row>
    <row r="29" ht="15" customHeight="1">
      <c r="B29" s="25" t="n"/>
      <c r="C29" s="26" t="n"/>
      <c r="D29" s="26" t="n"/>
      <c r="E29" s="26" t="n"/>
      <c r="F29" s="26" t="n"/>
      <c r="G29" s="26" t="n"/>
      <c r="H29" s="27">
        <f>IF(IF(AND(ISNUMBER($F29),ISNUMBER($G29)),AND($F29&gt;0,$G29&gt;0,INT($F29)=$F29,INT($G29)=$G29),FALSE),$F29*$G29,"")</f>
        <v/>
      </c>
      <c r="I29" s="28">
        <f>IF(AND(AND($C29&lt;&gt;"",OR($D29="H",$D29="B",$D29="C"),ISNUMBER($E29),$J29&lt;&gt;""),IF(AND(ISNUMBER($F29),ISNUMBER($G29)),AND($F29&gt;0,$G29&gt;0,INT($F29)=$F29,INT($G29)=$G29),FALSE),$T29&gt;0,$S29&gt;0,$Y29,IF(ISNA(MATCH($X29,{"48","51","52","63"},0)),TRUE,IF(ISBLANK($N29),TRUE,IF(ISNUMBER($N29),$N29=$M29,FALSE))),$X29&lt;&gt;"99",$V29&gt;0,AND(IF(ISBLANK($K29),TRUE,IF(ISNUMBER($K29),MOD($K29,5)=0,FALSE)),IF(ISBLANK($L29),TRUE,IF(ISNUMBER($L29),MOD($L29,5)=0,FALSE)),IF(ISBLANK($M29),TRUE,IF($X29="77",TRUE,IF(ISNUMBER($M29),MOD($M29,5)=0,FALSE))),IF(ISBLANK($N29),TRUE,IF(ISNUMBER($N29),MOD($N29,5)=0,FALSE)),IF(ISBLANK($O29),TRUE,IF(ISNUMBER($O29),MOD($O29,5)=0,FALSE))),$Z29),CEILING($V29,25),"")</f>
        <v/>
      </c>
      <c r="J29" s="29" t="n"/>
      <c r="K29" s="26" t="n"/>
      <c r="L29" s="26" t="n"/>
      <c r="M29" s="26" t="n"/>
      <c r="N29" s="26" t="n"/>
      <c r="O29" s="26" t="n"/>
      <c r="P29" s="30">
        <f>IF(ISNUMBER($I29),$H29*$I29/1000*$U29,"")</f>
        <v/>
      </c>
      <c r="Q29" s="31">
        <f>IF(COUNTA($B29:$G29,$J29:$O29)=0,"",IF(NOT(AND($C29&lt;&gt;"",OR($D29="H",$D29="B",$D29="C"),ISNUMBER($E29),$J29&lt;&gt;"")),"! Incomplete",IF(NOT(IF(AND(ISNUMBER($F29),ISNUMBER($G29)),AND($F29&gt;0,$G29&gt;0,INT($F29)=$F29,INT($G29)=$G29),FALSE)),"! Quantities: whole numbers &gt; 0",IF($T29=0,"! Size not in Table 2",IF($S29=0,"! Unknown shape code",IF($X29="99","! Shape 99: length from the sketch",IF(NOT($Y29),"! Missing dimension",IF(NOT(IF(ISNA(MATCH($X29,{"48","51","52","63"},0)),TRUE,IF(ISBLANK($N29),TRUE,IF(ISNUMBER($N29),$N29=$M29,FALSE)))),"! D must equal C",IF($V29&lt;=0,"! Check dimensions",IF(NOT(AND(IF(ISBLANK($K29),TRUE,IF(ISNUMBER($K29),MOD($K29,5)=0,FALSE)),IF(ISBLANK($L29),TRUE,IF(ISNUMBER($L29),MOD($L29,5)=0,FALSE)),IF(ISBLANK($M29),TRUE,IF($X29="77",TRUE,IF(ISNUMBER($M29),MOD($M29,5)=0,FALSE))),IF(ISBLANK($N29),TRUE,IF(ISNUMBER($N29),MOD($N29,5)=0,FALSE)),IF(ISBLANK($O29),TRUE,IF(ISNUMBER($O29),MOD($O29,5)=0,FALSE)))),"! Dimensions to 5 mm",IF(NOT($Z29),"! Below Table 2 / 5 limits",IF($I29&gt;12000,"! Over 12 m stock","OK"))))))))))))</f>
        <v/>
      </c>
      <c r="S29" s="32">
        <f>IFERROR(MATCH($X29,{"00","01","11","12","13","21","22","23","24","26","27","28","29","31","32","33","41","44","48","51","52","56","63","67","75","77","98","99"},0),0)</f>
        <v/>
      </c>
      <c r="T29" s="32">
        <f>IFERROR(VLOOKUP($E29,bbs_sizes,2,FALSE),0)</f>
        <v/>
      </c>
      <c r="U29" s="32">
        <f>IFERROR(VLOOKUP($E29,bbs_sizes,3,FALSE),0)</f>
        <v/>
      </c>
      <c r="V29" s="32">
        <f>IFERROR(IF(AND($S29&gt;0,$Y29,$T29&gt;0),CHOOSE($S29,N($K29),N($K29),N($K29)+N($L29)-0.5*$T29-$E29,N($K29)+N($L29)-0.43*N($O29)-1.2*$E29,N($K29)+0.57*N($L29)+N($M29)-1.6*$E29,N($K29)+N($L29)+N($M29)-$T29-2*$E29,N($K29)+N($L29)+0.57*N($M29)+N($N29)-0.5*$T29-2.6*$E29,N($K29)+N($L29)+N($M29)-$T29-2*$E29,N($K29)+N($L29)+N($M29),N($K29)+N($L29)+N($M29),N($K29)+N($L29)+N($M29)-0.5*$T29-$E29,N($K29)+N($L29)+N($M29)-0.5*$T29-$E29,N($K29)+N($L29)+N($M29),N($K29)+N($L29)+N($M29)+N($N29)-1.5*$T29-3*$E29,N($K29)+N($L29)+N($M29)+N($N29)-1.5*$T29-3*$E29,2*N($K29)+1.7*N($L29)+2*N($M29)-4*$E29,N($K29)+N($L29)+N($M29)+N($N29)+N($O29)-2*$T29-4*$E29,N($K29)+N($L29)+N($M29)+N($N29)+N($O29)-2*$T29-4*$E29,2*N($K29)+N($L29)+2*N($M29)-$T29-2*$E29,2*(N($K29)+N($L29)+N($M29))-2.5*$T29-5*$E29,2*(N($K29)+N($L29)+N($M29))-1.5*$T29-3*$E29,N($K29)+N($L29)+N($M29)+N($N29)+2*N($O29)-1.5*$T29-3*$E29,2*N($K29)+3*N($L29)+2*N($M29)-3*$T29-6*$E29,N($K29),PI()*(N($K29)-$E29)+N($L29)+25,IF(N($L29)&lt;=N($K29)/5,N($M29)*PI()*(N($K29)-$E29),N($M29)*SQRT((PI()*(N($K29)-$E29))^2+N($L29)^2)),N($K29)+2*N($L29)+N($M29)+N($N29)-2*$T29-4*$E29,0),0),0)</f>
        <v/>
      </c>
      <c r="W29" s="32">
        <f>IF($S29&gt;0,CHOOSE($S29,"A","A","AB","ABE","ABC","ABC","ABCD","ABC","ABCDE","ABCDE","ABCDE","ABCDE","ABCDE","ABCD","ABCD","ABC","ABCDE","ABCDE","ABC","ABC","ABC","ABCDE","ABC","AE","AB","ABC","ABCD",""),"")</f>
        <v/>
      </c>
      <c r="X29" s="32">
        <f>IF(ISNUMBER($J29),IF(INT($J29)=$J29,TEXT($J29,"00"),"x"),IF(AND(LEN(TRIM($J29))=2,ISNUMBER(MID(TRIM($J29),1,1)*1),ISNUMBER(MID(TRIM($J29),2,1)*1),ISERROR(FIND(".",$J29))),TRIM($J29),"x"))</f>
        <v/>
      </c>
      <c r="Y29" s="32">
        <f>AND(IF(ISERROR(FIND("A",$W29)),TRUE,IF(ISNUMBER($K29),$K29&gt;0,FALSE)),IF(ISERROR(FIND("B",$W29)),TRUE,IF(ISNUMBER($L29),$L29&gt;0,FALSE)),IF(ISERROR(FIND("C",$W29)),TRUE,IF(ISNUMBER($M29),$M29&gt;0,FALSE)),IF(ISERROR(FIND("D",$W29)),TRUE,IF(ISNUMBER($N29),$N29&gt;0,FALSE)),IF(ISERROR(FIND("E",$W29)),TRUE,IF(ISNUMBER($O29),$O29&gt;0,FALSE)))</f>
        <v/>
      </c>
      <c r="Z29" s="32">
        <f>IFERROR(IF($S29&gt;0,CHOOSE($S29,TRUE,TRUE,AND(N($K29)&gt;=IFERROR(VLOOKUP($E29,bbs_sizes,4,FALSE),0),N($L29)&gt;=IFERROR(VLOOKUP($E29,bbs_sizes,4,FALSE),0)),AND(N($O29)&gt;=$T29,N($K29)&gt;=N($O29)+$E29+MAX(5*$E29,90),N($L29)&gt;=N($O29)+$E29+MAX(5*$E29,90)),AND(N($L29)&gt;=IFERROR(VLOOKUP($E29,bbs_sizes,6,FALSE),0),N($L29)&lt;=400+2*$E29,N($K29)&gt;=N($L29)/2+MAX(5*$E29,90),N($M29)&gt;=N($L29)/2+MAX(5*$E29,90)),AND(N($K29)&gt;=IFERROR(VLOOKUP($E29,bbs_sizes,4,FALSE),0),N($M29)&gt;=IFERROR(VLOOKUP($E29,bbs_sizes,4,FALSE),0)),AND(N($K29)&gt;=IFERROR(VLOOKUP($E29,bbs_sizes,4,FALSE),0),N($N29)&gt;=IFERROR(VLOOKUP($E29,bbs_sizes,4,FALSE),0),N($M29)&gt;=IFERROR(VLOOKUP($E29,bbs_sizes,6,FALSE),0),N($M29)&lt;=400+2*$E29,N($N29)&gt;=N($M29)/2+MAX(5*$E29,90)),AND(N($K29)&gt;=IFERROR(VLOOKUP($E29,bbs_sizes,4,FALSE),0),N($M29)&gt;=IFERROR(VLOOKUP($E29,bbs_sizes,4,FALSE),0)),AND(N($K29)&gt;=IFERROR(VLOOKUP($E29,bbs_sizes,4,FALSE),0),N($M29)&gt;=IFERROR(VLOOKUP($E29,bbs_sizes,4,FALSE),0),N($L29)&gt;=MAX(N($N29),N($O29)),N($L29)&lt;=N($N29)+N($O29)),AND(N($K29)&gt;=IFERROR(VLOOKUP($E29,bbs_sizes,4,FALSE),0),N($M29)&gt;=IFERROR(VLOOKUP($E29,bbs_sizes,4,FALSE),0),N($L29)&gt;=MAX(N($N29),N($O29)),N($L29)&lt;=N($N29)+N($O29)),AND(N($K29)&gt;=IFERROR(VLOOKUP($E29,bbs_sizes,4,FALSE),0),N($M29)&gt;=IFERROR(VLOOKUP($E29,bbs_sizes,4,FALSE),0),N($K29)&gt;=N($O29)),AND(N($K29)&gt;=IFERROR(VLOOKUP($E29,bbs_sizes,4,FALSE),0),N($M29)&gt;=IFERROR(VLOOKUP($E29,bbs_sizes,4,FALSE),0),N($K29)&gt;=N($O29)),AND(N($K29)&gt;=IFERROR(VLOOKUP($E29,bbs_sizes,4,FALSE),0),N($M29)&gt;=IFERROR(VLOOKUP($E29,bbs_sizes,4,FALSE),0),N($L29)&gt;=MAX(N($N29),N($O29)),N($L29)&lt;=N($N29)+N($O29)),AND(N($K29)&gt;=IFERROR(VLOOKUP($E29,bbs_sizes,4,FALSE),0),N($N29)&gt;=IFERROR(VLOOKUP($E29,bbs_sizes,4,FALSE),0)),AND(N($K29)&gt;=IFERROR(VLOOKUP($E29,bbs_sizes,4,FALSE),0),N($N29)&gt;=IFERROR(VLOOKUP($E29,bbs_sizes,4,FALSE),0)),AND(N($L29)&gt;=IFERROR(VLOOKUP($E29,bbs_sizes,6,FALSE),0),N($L29)&lt;=400+2*$E29,N($M29)&gt;=N($L29)/2+MAX(5*$E29,90),N($K29)&gt;=N($L29)/2+N($M29)),AND(N($K29)&gt;=IFERROR(VLOOKUP($E29,bbs_sizes,4,FALSE),0),N($O29)&gt;=IFERROR(VLOOKUP($E29,bbs_sizes,4,FALSE),0)),AND(N($K29)&gt;=IFERROR(VLOOKUP($E29,bbs_sizes,4,FALSE),0),N($O29)&gt;=IFERROR(VLOOKUP($E29,bbs_sizes,4,FALSE),0)),AND(N($M29)&lt;=N($K29),N($M29)&gt;=IFERROR(VLOOKUP($E29,bbs_sizes,5,FALSE),0)),AND(N($M29)&lt;=N($K29),N($M29)&lt;=N($L29),N($M29)&gt;=IFERROR(VLOOKUP($E29,bbs_sizes,5,FALSE),0)),AND(N($M29)&lt;=N($L29),N($M29)&gt;=IFERROR(VLOOKUP($E29,bbs_sizes,5,FALSE),0)),AND(N($O29)&lt;=N($K29),N($O29)&lt;=N($L29),N($O29)&gt;=IFERROR(VLOOKUP($E29,bbs_sizes,5,FALSE),0)),AND(N($M29)&lt;=N($K29),N($M29)&gt;=IFERROR(VLOOKUP($E29,bbs_sizes,4,FALSE),0)),TRUE,TRUE,TRUE,AND(N($M29)&gt;=IFERROR(VLOOKUP($E29,bbs_sizes,4,FALSE),0),N($N29)&gt;=IFERROR(VLOOKUP($E29,bbs_sizes,4,FALSE),0)),TRUE),FALSE),FALSE)</f>
        <v/>
      </c>
    </row>
    <row r="30" ht="15" customHeight="1">
      <c r="B30" s="25" t="n"/>
      <c r="C30" s="26" t="n"/>
      <c r="D30" s="26" t="n"/>
      <c r="E30" s="26" t="n"/>
      <c r="F30" s="26" t="n"/>
      <c r="G30" s="26" t="n"/>
      <c r="H30" s="27">
        <f>IF(IF(AND(ISNUMBER($F30),ISNUMBER($G30)),AND($F30&gt;0,$G30&gt;0,INT($F30)=$F30,INT($G30)=$G30),FALSE),$F30*$G30,"")</f>
        <v/>
      </c>
      <c r="I30" s="28">
        <f>IF(AND(AND($C30&lt;&gt;"",OR($D30="H",$D30="B",$D30="C"),ISNUMBER($E30),$J30&lt;&gt;""),IF(AND(ISNUMBER($F30),ISNUMBER($G30)),AND($F30&gt;0,$G30&gt;0,INT($F30)=$F30,INT($G30)=$G30),FALSE),$T30&gt;0,$S30&gt;0,$Y30,IF(ISNA(MATCH($X30,{"48","51","52","63"},0)),TRUE,IF(ISBLANK($N30),TRUE,IF(ISNUMBER($N30),$N30=$M30,FALSE))),$X30&lt;&gt;"99",$V30&gt;0,AND(IF(ISBLANK($K30),TRUE,IF(ISNUMBER($K30),MOD($K30,5)=0,FALSE)),IF(ISBLANK($L30),TRUE,IF(ISNUMBER($L30),MOD($L30,5)=0,FALSE)),IF(ISBLANK($M30),TRUE,IF($X30="77",TRUE,IF(ISNUMBER($M30),MOD($M30,5)=0,FALSE))),IF(ISBLANK($N30),TRUE,IF(ISNUMBER($N30),MOD($N30,5)=0,FALSE)),IF(ISBLANK($O30),TRUE,IF(ISNUMBER($O30),MOD($O30,5)=0,FALSE))),$Z30),CEILING($V30,25),"")</f>
        <v/>
      </c>
      <c r="J30" s="29" t="n"/>
      <c r="K30" s="26" t="n"/>
      <c r="L30" s="26" t="n"/>
      <c r="M30" s="26" t="n"/>
      <c r="N30" s="26" t="n"/>
      <c r="O30" s="26" t="n"/>
      <c r="P30" s="30">
        <f>IF(ISNUMBER($I30),$H30*$I30/1000*$U30,"")</f>
        <v/>
      </c>
      <c r="Q30" s="31">
        <f>IF(COUNTA($B30:$G30,$J30:$O30)=0,"",IF(NOT(AND($C30&lt;&gt;"",OR($D30="H",$D30="B",$D30="C"),ISNUMBER($E30),$J30&lt;&gt;"")),"! Incomplete",IF(NOT(IF(AND(ISNUMBER($F30),ISNUMBER($G30)),AND($F30&gt;0,$G30&gt;0,INT($F30)=$F30,INT($G30)=$G30),FALSE)),"! Quantities: whole numbers &gt; 0",IF($T30=0,"! Size not in Table 2",IF($S30=0,"! Unknown shape code",IF($X30="99","! Shape 99: length from the sketch",IF(NOT($Y30),"! Missing dimension",IF(NOT(IF(ISNA(MATCH($X30,{"48","51","52","63"},0)),TRUE,IF(ISBLANK($N30),TRUE,IF(ISNUMBER($N30),$N30=$M30,FALSE)))),"! D must equal C",IF($V30&lt;=0,"! Check dimensions",IF(NOT(AND(IF(ISBLANK($K30),TRUE,IF(ISNUMBER($K30),MOD($K30,5)=0,FALSE)),IF(ISBLANK($L30),TRUE,IF(ISNUMBER($L30),MOD($L30,5)=0,FALSE)),IF(ISBLANK($M30),TRUE,IF($X30="77",TRUE,IF(ISNUMBER($M30),MOD($M30,5)=0,FALSE))),IF(ISBLANK($N30),TRUE,IF(ISNUMBER($N30),MOD($N30,5)=0,FALSE)),IF(ISBLANK($O30),TRUE,IF(ISNUMBER($O30),MOD($O30,5)=0,FALSE)))),"! Dimensions to 5 mm",IF(NOT($Z30),"! Below Table 2 / 5 limits",IF($I30&gt;12000,"! Over 12 m stock","OK"))))))))))))</f>
        <v/>
      </c>
      <c r="S30" s="32">
        <f>IFERROR(MATCH($X30,{"00","01","11","12","13","21","22","23","24","26","27","28","29","31","32","33","41","44","48","51","52","56","63","67","75","77","98","99"},0),0)</f>
        <v/>
      </c>
      <c r="T30" s="32">
        <f>IFERROR(VLOOKUP($E30,bbs_sizes,2,FALSE),0)</f>
        <v/>
      </c>
      <c r="U30" s="32">
        <f>IFERROR(VLOOKUP($E30,bbs_sizes,3,FALSE),0)</f>
        <v/>
      </c>
      <c r="V30" s="32">
        <f>IFERROR(IF(AND($S30&gt;0,$Y30,$T30&gt;0),CHOOSE($S30,N($K30),N($K30),N($K30)+N($L30)-0.5*$T30-$E30,N($K30)+N($L30)-0.43*N($O30)-1.2*$E30,N($K30)+0.57*N($L30)+N($M30)-1.6*$E30,N($K30)+N($L30)+N($M30)-$T30-2*$E30,N($K30)+N($L30)+0.57*N($M30)+N($N30)-0.5*$T30-2.6*$E30,N($K30)+N($L30)+N($M30)-$T30-2*$E30,N($K30)+N($L30)+N($M30),N($K30)+N($L30)+N($M30),N($K30)+N($L30)+N($M30)-0.5*$T30-$E30,N($K30)+N($L30)+N($M30)-0.5*$T30-$E30,N($K30)+N($L30)+N($M30),N($K30)+N($L30)+N($M30)+N($N30)-1.5*$T30-3*$E30,N($K30)+N($L30)+N($M30)+N($N30)-1.5*$T30-3*$E30,2*N($K30)+1.7*N($L30)+2*N($M30)-4*$E30,N($K30)+N($L30)+N($M30)+N($N30)+N($O30)-2*$T30-4*$E30,N($K30)+N($L30)+N($M30)+N($N30)+N($O30)-2*$T30-4*$E30,2*N($K30)+N($L30)+2*N($M30)-$T30-2*$E30,2*(N($K30)+N($L30)+N($M30))-2.5*$T30-5*$E30,2*(N($K30)+N($L30)+N($M30))-1.5*$T30-3*$E30,N($K30)+N($L30)+N($M30)+N($N30)+2*N($O30)-1.5*$T30-3*$E30,2*N($K30)+3*N($L30)+2*N($M30)-3*$T30-6*$E30,N($K30),PI()*(N($K30)-$E30)+N($L30)+25,IF(N($L30)&lt;=N($K30)/5,N($M30)*PI()*(N($K30)-$E30),N($M30)*SQRT((PI()*(N($K30)-$E30))^2+N($L30)^2)),N($K30)+2*N($L30)+N($M30)+N($N30)-2*$T30-4*$E30,0),0),0)</f>
        <v/>
      </c>
      <c r="W30" s="32">
        <f>IF($S30&gt;0,CHOOSE($S30,"A","A","AB","ABE","ABC","ABC","ABCD","ABC","ABCDE","ABCDE","ABCDE","ABCDE","ABCDE","ABCD","ABCD","ABC","ABCDE","ABCDE","ABC","ABC","ABC","ABCDE","ABC","AE","AB","ABC","ABCD",""),"")</f>
        <v/>
      </c>
      <c r="X30" s="32">
        <f>IF(ISNUMBER($J30),IF(INT($J30)=$J30,TEXT($J30,"00"),"x"),IF(AND(LEN(TRIM($J30))=2,ISNUMBER(MID(TRIM($J30),1,1)*1),ISNUMBER(MID(TRIM($J30),2,1)*1),ISERROR(FIND(".",$J30))),TRIM($J30),"x"))</f>
        <v/>
      </c>
      <c r="Y30" s="32">
        <f>AND(IF(ISERROR(FIND("A",$W30)),TRUE,IF(ISNUMBER($K30),$K30&gt;0,FALSE)),IF(ISERROR(FIND("B",$W30)),TRUE,IF(ISNUMBER($L30),$L30&gt;0,FALSE)),IF(ISERROR(FIND("C",$W30)),TRUE,IF(ISNUMBER($M30),$M30&gt;0,FALSE)),IF(ISERROR(FIND("D",$W30)),TRUE,IF(ISNUMBER($N30),$N30&gt;0,FALSE)),IF(ISERROR(FIND("E",$W30)),TRUE,IF(ISNUMBER($O30),$O30&gt;0,FALSE)))</f>
        <v/>
      </c>
      <c r="Z30" s="32">
        <f>IFERROR(IF($S30&gt;0,CHOOSE($S30,TRUE,TRUE,AND(N($K30)&gt;=IFERROR(VLOOKUP($E30,bbs_sizes,4,FALSE),0),N($L30)&gt;=IFERROR(VLOOKUP($E30,bbs_sizes,4,FALSE),0)),AND(N($O30)&gt;=$T30,N($K30)&gt;=N($O30)+$E30+MAX(5*$E30,90),N($L30)&gt;=N($O30)+$E30+MAX(5*$E30,90)),AND(N($L30)&gt;=IFERROR(VLOOKUP($E30,bbs_sizes,6,FALSE),0),N($L30)&lt;=400+2*$E30,N($K30)&gt;=N($L30)/2+MAX(5*$E30,90),N($M30)&gt;=N($L30)/2+MAX(5*$E30,90)),AND(N($K30)&gt;=IFERROR(VLOOKUP($E30,bbs_sizes,4,FALSE),0),N($M30)&gt;=IFERROR(VLOOKUP($E30,bbs_sizes,4,FALSE),0)),AND(N($K30)&gt;=IFERROR(VLOOKUP($E30,bbs_sizes,4,FALSE),0),N($N30)&gt;=IFERROR(VLOOKUP($E30,bbs_sizes,4,FALSE),0),N($M30)&gt;=IFERROR(VLOOKUP($E30,bbs_sizes,6,FALSE),0),N($M30)&lt;=400+2*$E30,N($N30)&gt;=N($M30)/2+MAX(5*$E30,90)),AND(N($K30)&gt;=IFERROR(VLOOKUP($E30,bbs_sizes,4,FALSE),0),N($M30)&gt;=IFERROR(VLOOKUP($E30,bbs_sizes,4,FALSE),0)),AND(N($K30)&gt;=IFERROR(VLOOKUP($E30,bbs_sizes,4,FALSE),0),N($M30)&gt;=IFERROR(VLOOKUP($E30,bbs_sizes,4,FALSE),0),N($L30)&gt;=MAX(N($N30),N($O30)),N($L30)&lt;=N($N30)+N($O30)),AND(N($K30)&gt;=IFERROR(VLOOKUP($E30,bbs_sizes,4,FALSE),0),N($M30)&gt;=IFERROR(VLOOKUP($E30,bbs_sizes,4,FALSE),0),N($L30)&gt;=MAX(N($N30),N($O30)),N($L30)&lt;=N($N30)+N($O30)),AND(N($K30)&gt;=IFERROR(VLOOKUP($E30,bbs_sizes,4,FALSE),0),N($M30)&gt;=IFERROR(VLOOKUP($E30,bbs_sizes,4,FALSE),0),N($K30)&gt;=N($O30)),AND(N($K30)&gt;=IFERROR(VLOOKUP($E30,bbs_sizes,4,FALSE),0),N($M30)&gt;=IFERROR(VLOOKUP($E30,bbs_sizes,4,FALSE),0),N($K30)&gt;=N($O30)),AND(N($K30)&gt;=IFERROR(VLOOKUP($E30,bbs_sizes,4,FALSE),0),N($M30)&gt;=IFERROR(VLOOKUP($E30,bbs_sizes,4,FALSE),0),N($L30)&gt;=MAX(N($N30),N($O30)),N($L30)&lt;=N($N30)+N($O30)),AND(N($K30)&gt;=IFERROR(VLOOKUP($E30,bbs_sizes,4,FALSE),0),N($N30)&gt;=IFERROR(VLOOKUP($E30,bbs_sizes,4,FALSE),0)),AND(N($K30)&gt;=IFERROR(VLOOKUP($E30,bbs_sizes,4,FALSE),0),N($N30)&gt;=IFERROR(VLOOKUP($E30,bbs_sizes,4,FALSE),0)),AND(N($L30)&gt;=IFERROR(VLOOKUP($E30,bbs_sizes,6,FALSE),0),N($L30)&lt;=400+2*$E30,N($M30)&gt;=N($L30)/2+MAX(5*$E30,90),N($K30)&gt;=N($L30)/2+N($M30)),AND(N($K30)&gt;=IFERROR(VLOOKUP($E30,bbs_sizes,4,FALSE),0),N($O30)&gt;=IFERROR(VLOOKUP($E30,bbs_sizes,4,FALSE),0)),AND(N($K30)&gt;=IFERROR(VLOOKUP($E30,bbs_sizes,4,FALSE),0),N($O30)&gt;=IFERROR(VLOOKUP($E30,bbs_sizes,4,FALSE),0)),AND(N($M30)&lt;=N($K30),N($M30)&gt;=IFERROR(VLOOKUP($E30,bbs_sizes,5,FALSE),0)),AND(N($M30)&lt;=N($K30),N($M30)&lt;=N($L30),N($M30)&gt;=IFERROR(VLOOKUP($E30,bbs_sizes,5,FALSE),0)),AND(N($M30)&lt;=N($L30),N($M30)&gt;=IFERROR(VLOOKUP($E30,bbs_sizes,5,FALSE),0)),AND(N($O30)&lt;=N($K30),N($O30)&lt;=N($L30),N($O30)&gt;=IFERROR(VLOOKUP($E30,bbs_sizes,5,FALSE),0)),AND(N($M30)&lt;=N($K30),N($M30)&gt;=IFERROR(VLOOKUP($E30,bbs_sizes,4,FALSE),0)),TRUE,TRUE,TRUE,AND(N($M30)&gt;=IFERROR(VLOOKUP($E30,bbs_sizes,4,FALSE),0),N($N30)&gt;=IFERROR(VLOOKUP($E30,bbs_sizes,4,FALSE),0)),TRUE),FALSE),FALSE)</f>
        <v/>
      </c>
    </row>
    <row r="31" ht="15" customHeight="1">
      <c r="B31" s="25" t="n"/>
      <c r="C31" s="26" t="n"/>
      <c r="D31" s="26" t="n"/>
      <c r="E31" s="26" t="n"/>
      <c r="F31" s="26" t="n"/>
      <c r="G31" s="26" t="n"/>
      <c r="H31" s="27">
        <f>IF(IF(AND(ISNUMBER($F31),ISNUMBER($G31)),AND($F31&gt;0,$G31&gt;0,INT($F31)=$F31,INT($G31)=$G31),FALSE),$F31*$G31,"")</f>
        <v/>
      </c>
      <c r="I31" s="28">
        <f>IF(AND(AND($C31&lt;&gt;"",OR($D31="H",$D31="B",$D31="C"),ISNUMBER($E31),$J31&lt;&gt;""),IF(AND(ISNUMBER($F31),ISNUMBER($G31)),AND($F31&gt;0,$G31&gt;0,INT($F31)=$F31,INT($G31)=$G31),FALSE),$T31&gt;0,$S31&gt;0,$Y31,IF(ISNA(MATCH($X31,{"48","51","52","63"},0)),TRUE,IF(ISBLANK($N31),TRUE,IF(ISNUMBER($N31),$N31=$M31,FALSE))),$X31&lt;&gt;"99",$V31&gt;0,AND(IF(ISBLANK($K31),TRUE,IF(ISNUMBER($K31),MOD($K31,5)=0,FALSE)),IF(ISBLANK($L31),TRUE,IF(ISNUMBER($L31),MOD($L31,5)=0,FALSE)),IF(ISBLANK($M31),TRUE,IF($X31="77",TRUE,IF(ISNUMBER($M31),MOD($M31,5)=0,FALSE))),IF(ISBLANK($N31),TRUE,IF(ISNUMBER($N31),MOD($N31,5)=0,FALSE)),IF(ISBLANK($O31),TRUE,IF(ISNUMBER($O31),MOD($O31,5)=0,FALSE))),$Z31),CEILING($V31,25),"")</f>
        <v/>
      </c>
      <c r="J31" s="29" t="n"/>
      <c r="K31" s="26" t="n"/>
      <c r="L31" s="26" t="n"/>
      <c r="M31" s="26" t="n"/>
      <c r="N31" s="26" t="n"/>
      <c r="O31" s="26" t="n"/>
      <c r="P31" s="30">
        <f>IF(ISNUMBER($I31),$H31*$I31/1000*$U31,"")</f>
        <v/>
      </c>
      <c r="Q31" s="31">
        <f>IF(COUNTA($B31:$G31,$J31:$O31)=0,"",IF(NOT(AND($C31&lt;&gt;"",OR($D31="H",$D31="B",$D31="C"),ISNUMBER($E31),$J31&lt;&gt;"")),"! Incomplete",IF(NOT(IF(AND(ISNUMBER($F31),ISNUMBER($G31)),AND($F31&gt;0,$G31&gt;0,INT($F31)=$F31,INT($G31)=$G31),FALSE)),"! Quantities: whole numbers &gt; 0",IF($T31=0,"! Size not in Table 2",IF($S31=0,"! Unknown shape code",IF($X31="99","! Shape 99: length from the sketch",IF(NOT($Y31),"! Missing dimension",IF(NOT(IF(ISNA(MATCH($X31,{"48","51","52","63"},0)),TRUE,IF(ISBLANK($N31),TRUE,IF(ISNUMBER($N31),$N31=$M31,FALSE)))),"! D must equal C",IF($V31&lt;=0,"! Check dimensions",IF(NOT(AND(IF(ISBLANK($K31),TRUE,IF(ISNUMBER($K31),MOD($K31,5)=0,FALSE)),IF(ISBLANK($L31),TRUE,IF(ISNUMBER($L31),MOD($L31,5)=0,FALSE)),IF(ISBLANK($M31),TRUE,IF($X31="77",TRUE,IF(ISNUMBER($M31),MOD($M31,5)=0,FALSE))),IF(ISBLANK($N31),TRUE,IF(ISNUMBER($N31),MOD($N31,5)=0,FALSE)),IF(ISBLANK($O31),TRUE,IF(ISNUMBER($O31),MOD($O31,5)=0,FALSE)))),"! Dimensions to 5 mm",IF(NOT($Z31),"! Below Table 2 / 5 limits",IF($I31&gt;12000,"! Over 12 m stock","OK"))))))))))))</f>
        <v/>
      </c>
      <c r="S31" s="32">
        <f>IFERROR(MATCH($X31,{"00","01","11","12","13","21","22","23","24","26","27","28","29","31","32","33","41","44","48","51","52","56","63","67","75","77","98","99"},0),0)</f>
        <v/>
      </c>
      <c r="T31" s="32">
        <f>IFERROR(VLOOKUP($E31,bbs_sizes,2,FALSE),0)</f>
        <v/>
      </c>
      <c r="U31" s="32">
        <f>IFERROR(VLOOKUP($E31,bbs_sizes,3,FALSE),0)</f>
        <v/>
      </c>
      <c r="V31" s="32">
        <f>IFERROR(IF(AND($S31&gt;0,$Y31,$T31&gt;0),CHOOSE($S31,N($K31),N($K31),N($K31)+N($L31)-0.5*$T31-$E31,N($K31)+N($L31)-0.43*N($O31)-1.2*$E31,N($K31)+0.57*N($L31)+N($M31)-1.6*$E31,N($K31)+N($L31)+N($M31)-$T31-2*$E31,N($K31)+N($L31)+0.57*N($M31)+N($N31)-0.5*$T31-2.6*$E31,N($K31)+N($L31)+N($M31)-$T31-2*$E31,N($K31)+N($L31)+N($M31),N($K31)+N($L31)+N($M31),N($K31)+N($L31)+N($M31)-0.5*$T31-$E31,N($K31)+N($L31)+N($M31)-0.5*$T31-$E31,N($K31)+N($L31)+N($M31),N($K31)+N($L31)+N($M31)+N($N31)-1.5*$T31-3*$E31,N($K31)+N($L31)+N($M31)+N($N31)-1.5*$T31-3*$E31,2*N($K31)+1.7*N($L31)+2*N($M31)-4*$E31,N($K31)+N($L31)+N($M31)+N($N31)+N($O31)-2*$T31-4*$E31,N($K31)+N($L31)+N($M31)+N($N31)+N($O31)-2*$T31-4*$E31,2*N($K31)+N($L31)+2*N($M31)-$T31-2*$E31,2*(N($K31)+N($L31)+N($M31))-2.5*$T31-5*$E31,2*(N($K31)+N($L31)+N($M31))-1.5*$T31-3*$E31,N($K31)+N($L31)+N($M31)+N($N31)+2*N($O31)-1.5*$T31-3*$E31,2*N($K31)+3*N($L31)+2*N($M31)-3*$T31-6*$E31,N($K31),PI()*(N($K31)-$E31)+N($L31)+25,IF(N($L31)&lt;=N($K31)/5,N($M31)*PI()*(N($K31)-$E31),N($M31)*SQRT((PI()*(N($K31)-$E31))^2+N($L31)^2)),N($K31)+2*N($L31)+N($M31)+N($N31)-2*$T31-4*$E31,0),0),0)</f>
        <v/>
      </c>
      <c r="W31" s="32">
        <f>IF($S31&gt;0,CHOOSE($S31,"A","A","AB","ABE","ABC","ABC","ABCD","ABC","ABCDE","ABCDE","ABCDE","ABCDE","ABCDE","ABCD","ABCD","ABC","ABCDE","ABCDE","ABC","ABC","ABC","ABCDE","ABC","AE","AB","ABC","ABCD",""),"")</f>
        <v/>
      </c>
      <c r="X31" s="32">
        <f>IF(ISNUMBER($J31),IF(INT($J31)=$J31,TEXT($J31,"00"),"x"),IF(AND(LEN(TRIM($J31))=2,ISNUMBER(MID(TRIM($J31),1,1)*1),ISNUMBER(MID(TRIM($J31),2,1)*1),ISERROR(FIND(".",$J31))),TRIM($J31),"x"))</f>
        <v/>
      </c>
      <c r="Y31" s="32">
        <f>AND(IF(ISERROR(FIND("A",$W31)),TRUE,IF(ISNUMBER($K31),$K31&gt;0,FALSE)),IF(ISERROR(FIND("B",$W31)),TRUE,IF(ISNUMBER($L31),$L31&gt;0,FALSE)),IF(ISERROR(FIND("C",$W31)),TRUE,IF(ISNUMBER($M31),$M31&gt;0,FALSE)),IF(ISERROR(FIND("D",$W31)),TRUE,IF(ISNUMBER($N31),$N31&gt;0,FALSE)),IF(ISERROR(FIND("E",$W31)),TRUE,IF(ISNUMBER($O31),$O31&gt;0,FALSE)))</f>
        <v/>
      </c>
      <c r="Z31" s="32">
        <f>IFERROR(IF($S31&gt;0,CHOOSE($S31,TRUE,TRUE,AND(N($K31)&gt;=IFERROR(VLOOKUP($E31,bbs_sizes,4,FALSE),0),N($L31)&gt;=IFERROR(VLOOKUP($E31,bbs_sizes,4,FALSE),0)),AND(N($O31)&gt;=$T31,N($K31)&gt;=N($O31)+$E31+MAX(5*$E31,90),N($L31)&gt;=N($O31)+$E31+MAX(5*$E31,90)),AND(N($L31)&gt;=IFERROR(VLOOKUP($E31,bbs_sizes,6,FALSE),0),N($L31)&lt;=400+2*$E31,N($K31)&gt;=N($L31)/2+MAX(5*$E31,90),N($M31)&gt;=N($L31)/2+MAX(5*$E31,90)),AND(N($K31)&gt;=IFERROR(VLOOKUP($E31,bbs_sizes,4,FALSE),0),N($M31)&gt;=IFERROR(VLOOKUP($E31,bbs_sizes,4,FALSE),0)),AND(N($K31)&gt;=IFERROR(VLOOKUP($E31,bbs_sizes,4,FALSE),0),N($N31)&gt;=IFERROR(VLOOKUP($E31,bbs_sizes,4,FALSE),0),N($M31)&gt;=IFERROR(VLOOKUP($E31,bbs_sizes,6,FALSE),0),N($M31)&lt;=400+2*$E31,N($N31)&gt;=N($M31)/2+MAX(5*$E31,90)),AND(N($K31)&gt;=IFERROR(VLOOKUP($E31,bbs_sizes,4,FALSE),0),N($M31)&gt;=IFERROR(VLOOKUP($E31,bbs_sizes,4,FALSE),0)),AND(N($K31)&gt;=IFERROR(VLOOKUP($E31,bbs_sizes,4,FALSE),0),N($M31)&gt;=IFERROR(VLOOKUP($E31,bbs_sizes,4,FALSE),0),N($L31)&gt;=MAX(N($N31),N($O31)),N($L31)&lt;=N($N31)+N($O31)),AND(N($K31)&gt;=IFERROR(VLOOKUP($E31,bbs_sizes,4,FALSE),0),N($M31)&gt;=IFERROR(VLOOKUP($E31,bbs_sizes,4,FALSE),0),N($L31)&gt;=MAX(N($N31),N($O31)),N($L31)&lt;=N($N31)+N($O31)),AND(N($K31)&gt;=IFERROR(VLOOKUP($E31,bbs_sizes,4,FALSE),0),N($M31)&gt;=IFERROR(VLOOKUP($E31,bbs_sizes,4,FALSE),0),N($K31)&gt;=N($O31)),AND(N($K31)&gt;=IFERROR(VLOOKUP($E31,bbs_sizes,4,FALSE),0),N($M31)&gt;=IFERROR(VLOOKUP($E31,bbs_sizes,4,FALSE),0),N($K31)&gt;=N($O31)),AND(N($K31)&gt;=IFERROR(VLOOKUP($E31,bbs_sizes,4,FALSE),0),N($M31)&gt;=IFERROR(VLOOKUP($E31,bbs_sizes,4,FALSE),0),N($L31)&gt;=MAX(N($N31),N($O31)),N($L31)&lt;=N($N31)+N($O31)),AND(N($K31)&gt;=IFERROR(VLOOKUP($E31,bbs_sizes,4,FALSE),0),N($N31)&gt;=IFERROR(VLOOKUP($E31,bbs_sizes,4,FALSE),0)),AND(N($K31)&gt;=IFERROR(VLOOKUP($E31,bbs_sizes,4,FALSE),0),N($N31)&gt;=IFERROR(VLOOKUP($E31,bbs_sizes,4,FALSE),0)),AND(N($L31)&gt;=IFERROR(VLOOKUP($E31,bbs_sizes,6,FALSE),0),N($L31)&lt;=400+2*$E31,N($M31)&gt;=N($L31)/2+MAX(5*$E31,90),N($K31)&gt;=N($L31)/2+N($M31)),AND(N($K31)&gt;=IFERROR(VLOOKUP($E31,bbs_sizes,4,FALSE),0),N($O31)&gt;=IFERROR(VLOOKUP($E31,bbs_sizes,4,FALSE),0)),AND(N($K31)&gt;=IFERROR(VLOOKUP($E31,bbs_sizes,4,FALSE),0),N($O31)&gt;=IFERROR(VLOOKUP($E31,bbs_sizes,4,FALSE),0)),AND(N($M31)&lt;=N($K31),N($M31)&gt;=IFERROR(VLOOKUP($E31,bbs_sizes,5,FALSE),0)),AND(N($M31)&lt;=N($K31),N($M31)&lt;=N($L31),N($M31)&gt;=IFERROR(VLOOKUP($E31,bbs_sizes,5,FALSE),0)),AND(N($M31)&lt;=N($L31),N($M31)&gt;=IFERROR(VLOOKUP($E31,bbs_sizes,5,FALSE),0)),AND(N($O31)&lt;=N($K31),N($O31)&lt;=N($L31),N($O31)&gt;=IFERROR(VLOOKUP($E31,bbs_sizes,5,FALSE),0)),AND(N($M31)&lt;=N($K31),N($M31)&gt;=IFERROR(VLOOKUP($E31,bbs_sizes,4,FALSE),0)),TRUE,TRUE,TRUE,AND(N($M31)&gt;=IFERROR(VLOOKUP($E31,bbs_sizes,4,FALSE),0),N($N31)&gt;=IFERROR(VLOOKUP($E31,bbs_sizes,4,FALSE),0)),TRUE),FALSE),FALSE)</f>
        <v/>
      </c>
    </row>
    <row r="32" ht="15" customHeight="1">
      <c r="B32" s="25" t="n"/>
      <c r="C32" s="26" t="n"/>
      <c r="D32" s="26" t="n"/>
      <c r="E32" s="26" t="n"/>
      <c r="F32" s="26" t="n"/>
      <c r="G32" s="26" t="n"/>
      <c r="H32" s="27">
        <f>IF(IF(AND(ISNUMBER($F32),ISNUMBER($G32)),AND($F32&gt;0,$G32&gt;0,INT($F32)=$F32,INT($G32)=$G32),FALSE),$F32*$G32,"")</f>
        <v/>
      </c>
      <c r="I32" s="28">
        <f>IF(AND(AND($C32&lt;&gt;"",OR($D32="H",$D32="B",$D32="C"),ISNUMBER($E32),$J32&lt;&gt;""),IF(AND(ISNUMBER($F32),ISNUMBER($G32)),AND($F32&gt;0,$G32&gt;0,INT($F32)=$F32,INT($G32)=$G32),FALSE),$T32&gt;0,$S32&gt;0,$Y32,IF(ISNA(MATCH($X32,{"48","51","52","63"},0)),TRUE,IF(ISBLANK($N32),TRUE,IF(ISNUMBER($N32),$N32=$M32,FALSE))),$X32&lt;&gt;"99",$V32&gt;0,AND(IF(ISBLANK($K32),TRUE,IF(ISNUMBER($K32),MOD($K32,5)=0,FALSE)),IF(ISBLANK($L32),TRUE,IF(ISNUMBER($L32),MOD($L32,5)=0,FALSE)),IF(ISBLANK($M32),TRUE,IF($X32="77",TRUE,IF(ISNUMBER($M32),MOD($M32,5)=0,FALSE))),IF(ISBLANK($N32),TRUE,IF(ISNUMBER($N32),MOD($N32,5)=0,FALSE)),IF(ISBLANK($O32),TRUE,IF(ISNUMBER($O32),MOD($O32,5)=0,FALSE))),$Z32),CEILING($V32,25),"")</f>
        <v/>
      </c>
      <c r="J32" s="29" t="n"/>
      <c r="K32" s="26" t="n"/>
      <c r="L32" s="26" t="n"/>
      <c r="M32" s="26" t="n"/>
      <c r="N32" s="26" t="n"/>
      <c r="O32" s="26" t="n"/>
      <c r="P32" s="30">
        <f>IF(ISNUMBER($I32),$H32*$I32/1000*$U32,"")</f>
        <v/>
      </c>
      <c r="Q32" s="31">
        <f>IF(COUNTA($B32:$G32,$J32:$O32)=0,"",IF(NOT(AND($C32&lt;&gt;"",OR($D32="H",$D32="B",$D32="C"),ISNUMBER($E32),$J32&lt;&gt;"")),"! Incomplete",IF(NOT(IF(AND(ISNUMBER($F32),ISNUMBER($G32)),AND($F32&gt;0,$G32&gt;0,INT($F32)=$F32,INT($G32)=$G32),FALSE)),"! Quantities: whole numbers &gt; 0",IF($T32=0,"! Size not in Table 2",IF($S32=0,"! Unknown shape code",IF($X32="99","! Shape 99: length from the sketch",IF(NOT($Y32),"! Missing dimension",IF(NOT(IF(ISNA(MATCH($X32,{"48","51","52","63"},0)),TRUE,IF(ISBLANK($N32),TRUE,IF(ISNUMBER($N32),$N32=$M32,FALSE)))),"! D must equal C",IF($V32&lt;=0,"! Check dimensions",IF(NOT(AND(IF(ISBLANK($K32),TRUE,IF(ISNUMBER($K32),MOD($K32,5)=0,FALSE)),IF(ISBLANK($L32),TRUE,IF(ISNUMBER($L32),MOD($L32,5)=0,FALSE)),IF(ISBLANK($M32),TRUE,IF($X32="77",TRUE,IF(ISNUMBER($M32),MOD($M32,5)=0,FALSE))),IF(ISBLANK($N32),TRUE,IF(ISNUMBER($N32),MOD($N32,5)=0,FALSE)),IF(ISBLANK($O32),TRUE,IF(ISNUMBER($O32),MOD($O32,5)=0,FALSE)))),"! Dimensions to 5 mm",IF(NOT($Z32),"! Below Table 2 / 5 limits",IF($I32&gt;12000,"! Over 12 m stock","OK"))))))))))))</f>
        <v/>
      </c>
      <c r="S32" s="32">
        <f>IFERROR(MATCH($X32,{"00","01","11","12","13","21","22","23","24","26","27","28","29","31","32","33","41","44","48","51","52","56","63","67","75","77","98","99"},0),0)</f>
        <v/>
      </c>
      <c r="T32" s="32">
        <f>IFERROR(VLOOKUP($E32,bbs_sizes,2,FALSE),0)</f>
        <v/>
      </c>
      <c r="U32" s="32">
        <f>IFERROR(VLOOKUP($E32,bbs_sizes,3,FALSE),0)</f>
        <v/>
      </c>
      <c r="V32" s="32">
        <f>IFERROR(IF(AND($S32&gt;0,$Y32,$T32&gt;0),CHOOSE($S32,N($K32),N($K32),N($K32)+N($L32)-0.5*$T32-$E32,N($K32)+N($L32)-0.43*N($O32)-1.2*$E32,N($K32)+0.57*N($L32)+N($M32)-1.6*$E32,N($K32)+N($L32)+N($M32)-$T32-2*$E32,N($K32)+N($L32)+0.57*N($M32)+N($N32)-0.5*$T32-2.6*$E32,N($K32)+N($L32)+N($M32)-$T32-2*$E32,N($K32)+N($L32)+N($M32),N($K32)+N($L32)+N($M32),N($K32)+N($L32)+N($M32)-0.5*$T32-$E32,N($K32)+N($L32)+N($M32)-0.5*$T32-$E32,N($K32)+N($L32)+N($M32),N($K32)+N($L32)+N($M32)+N($N32)-1.5*$T32-3*$E32,N($K32)+N($L32)+N($M32)+N($N32)-1.5*$T32-3*$E32,2*N($K32)+1.7*N($L32)+2*N($M32)-4*$E32,N($K32)+N($L32)+N($M32)+N($N32)+N($O32)-2*$T32-4*$E32,N($K32)+N($L32)+N($M32)+N($N32)+N($O32)-2*$T32-4*$E32,2*N($K32)+N($L32)+2*N($M32)-$T32-2*$E32,2*(N($K32)+N($L32)+N($M32))-2.5*$T32-5*$E32,2*(N($K32)+N($L32)+N($M32))-1.5*$T32-3*$E32,N($K32)+N($L32)+N($M32)+N($N32)+2*N($O32)-1.5*$T32-3*$E32,2*N($K32)+3*N($L32)+2*N($M32)-3*$T32-6*$E32,N($K32),PI()*(N($K32)-$E32)+N($L32)+25,IF(N($L32)&lt;=N($K32)/5,N($M32)*PI()*(N($K32)-$E32),N($M32)*SQRT((PI()*(N($K32)-$E32))^2+N($L32)^2)),N($K32)+2*N($L32)+N($M32)+N($N32)-2*$T32-4*$E32,0),0),0)</f>
        <v/>
      </c>
      <c r="W32" s="32">
        <f>IF($S32&gt;0,CHOOSE($S32,"A","A","AB","ABE","ABC","ABC","ABCD","ABC","ABCDE","ABCDE","ABCDE","ABCDE","ABCDE","ABCD","ABCD","ABC","ABCDE","ABCDE","ABC","ABC","ABC","ABCDE","ABC","AE","AB","ABC","ABCD",""),"")</f>
        <v/>
      </c>
      <c r="X32" s="32">
        <f>IF(ISNUMBER($J32),IF(INT($J32)=$J32,TEXT($J32,"00"),"x"),IF(AND(LEN(TRIM($J32))=2,ISNUMBER(MID(TRIM($J32),1,1)*1),ISNUMBER(MID(TRIM($J32),2,1)*1),ISERROR(FIND(".",$J32))),TRIM($J32),"x"))</f>
        <v/>
      </c>
      <c r="Y32" s="32">
        <f>AND(IF(ISERROR(FIND("A",$W32)),TRUE,IF(ISNUMBER($K32),$K32&gt;0,FALSE)),IF(ISERROR(FIND("B",$W32)),TRUE,IF(ISNUMBER($L32),$L32&gt;0,FALSE)),IF(ISERROR(FIND("C",$W32)),TRUE,IF(ISNUMBER($M32),$M32&gt;0,FALSE)),IF(ISERROR(FIND("D",$W32)),TRUE,IF(ISNUMBER($N32),$N32&gt;0,FALSE)),IF(ISERROR(FIND("E",$W32)),TRUE,IF(ISNUMBER($O32),$O32&gt;0,FALSE)))</f>
        <v/>
      </c>
      <c r="Z32" s="32">
        <f>IFERROR(IF($S32&gt;0,CHOOSE($S32,TRUE,TRUE,AND(N($K32)&gt;=IFERROR(VLOOKUP($E32,bbs_sizes,4,FALSE),0),N($L32)&gt;=IFERROR(VLOOKUP($E32,bbs_sizes,4,FALSE),0)),AND(N($O32)&gt;=$T32,N($K32)&gt;=N($O32)+$E32+MAX(5*$E32,90),N($L32)&gt;=N($O32)+$E32+MAX(5*$E32,90)),AND(N($L32)&gt;=IFERROR(VLOOKUP($E32,bbs_sizes,6,FALSE),0),N($L32)&lt;=400+2*$E32,N($K32)&gt;=N($L32)/2+MAX(5*$E32,90),N($M32)&gt;=N($L32)/2+MAX(5*$E32,90)),AND(N($K32)&gt;=IFERROR(VLOOKUP($E32,bbs_sizes,4,FALSE),0),N($M32)&gt;=IFERROR(VLOOKUP($E32,bbs_sizes,4,FALSE),0)),AND(N($K32)&gt;=IFERROR(VLOOKUP($E32,bbs_sizes,4,FALSE),0),N($N32)&gt;=IFERROR(VLOOKUP($E32,bbs_sizes,4,FALSE),0),N($M32)&gt;=IFERROR(VLOOKUP($E32,bbs_sizes,6,FALSE),0),N($M32)&lt;=400+2*$E32,N($N32)&gt;=N($M32)/2+MAX(5*$E32,90)),AND(N($K32)&gt;=IFERROR(VLOOKUP($E32,bbs_sizes,4,FALSE),0),N($M32)&gt;=IFERROR(VLOOKUP($E32,bbs_sizes,4,FALSE),0)),AND(N($K32)&gt;=IFERROR(VLOOKUP($E32,bbs_sizes,4,FALSE),0),N($M32)&gt;=IFERROR(VLOOKUP($E32,bbs_sizes,4,FALSE),0),N($L32)&gt;=MAX(N($N32),N($O32)),N($L32)&lt;=N($N32)+N($O32)),AND(N($K32)&gt;=IFERROR(VLOOKUP($E32,bbs_sizes,4,FALSE),0),N($M32)&gt;=IFERROR(VLOOKUP($E32,bbs_sizes,4,FALSE),0),N($L32)&gt;=MAX(N($N32),N($O32)),N($L32)&lt;=N($N32)+N($O32)),AND(N($K32)&gt;=IFERROR(VLOOKUP($E32,bbs_sizes,4,FALSE),0),N($M32)&gt;=IFERROR(VLOOKUP($E32,bbs_sizes,4,FALSE),0),N($K32)&gt;=N($O32)),AND(N($K32)&gt;=IFERROR(VLOOKUP($E32,bbs_sizes,4,FALSE),0),N($M32)&gt;=IFERROR(VLOOKUP($E32,bbs_sizes,4,FALSE),0),N($K32)&gt;=N($O32)),AND(N($K32)&gt;=IFERROR(VLOOKUP($E32,bbs_sizes,4,FALSE),0),N($M32)&gt;=IFERROR(VLOOKUP($E32,bbs_sizes,4,FALSE),0),N($L32)&gt;=MAX(N($N32),N($O32)),N($L32)&lt;=N($N32)+N($O32)),AND(N($K32)&gt;=IFERROR(VLOOKUP($E32,bbs_sizes,4,FALSE),0),N($N32)&gt;=IFERROR(VLOOKUP($E32,bbs_sizes,4,FALSE),0)),AND(N($K32)&gt;=IFERROR(VLOOKUP($E32,bbs_sizes,4,FALSE),0),N($N32)&gt;=IFERROR(VLOOKUP($E32,bbs_sizes,4,FALSE),0)),AND(N($L32)&gt;=IFERROR(VLOOKUP($E32,bbs_sizes,6,FALSE),0),N($L32)&lt;=400+2*$E32,N($M32)&gt;=N($L32)/2+MAX(5*$E32,90),N($K32)&gt;=N($L32)/2+N($M32)),AND(N($K32)&gt;=IFERROR(VLOOKUP($E32,bbs_sizes,4,FALSE),0),N($O32)&gt;=IFERROR(VLOOKUP($E32,bbs_sizes,4,FALSE),0)),AND(N($K32)&gt;=IFERROR(VLOOKUP($E32,bbs_sizes,4,FALSE),0),N($O32)&gt;=IFERROR(VLOOKUP($E32,bbs_sizes,4,FALSE),0)),AND(N($M32)&lt;=N($K32),N($M32)&gt;=IFERROR(VLOOKUP($E32,bbs_sizes,5,FALSE),0)),AND(N($M32)&lt;=N($K32),N($M32)&lt;=N($L32),N($M32)&gt;=IFERROR(VLOOKUP($E32,bbs_sizes,5,FALSE),0)),AND(N($M32)&lt;=N($L32),N($M32)&gt;=IFERROR(VLOOKUP($E32,bbs_sizes,5,FALSE),0)),AND(N($O32)&lt;=N($K32),N($O32)&lt;=N($L32),N($O32)&gt;=IFERROR(VLOOKUP($E32,bbs_sizes,5,FALSE),0)),AND(N($M32)&lt;=N($K32),N($M32)&gt;=IFERROR(VLOOKUP($E32,bbs_sizes,4,FALSE),0)),TRUE,TRUE,TRUE,AND(N($M32)&gt;=IFERROR(VLOOKUP($E32,bbs_sizes,4,FALSE),0),N($N32)&gt;=IFERROR(VLOOKUP($E32,bbs_sizes,4,FALSE),0)),TRUE),FALSE),FALSE)</f>
        <v/>
      </c>
    </row>
    <row r="33" ht="15" customHeight="1">
      <c r="B33" s="25" t="n"/>
      <c r="C33" s="26" t="n"/>
      <c r="D33" s="26" t="n"/>
      <c r="E33" s="26" t="n"/>
      <c r="F33" s="26" t="n"/>
      <c r="G33" s="26" t="n"/>
      <c r="H33" s="27">
        <f>IF(IF(AND(ISNUMBER($F33),ISNUMBER($G33)),AND($F33&gt;0,$G33&gt;0,INT($F33)=$F33,INT($G33)=$G33),FALSE),$F33*$G33,"")</f>
        <v/>
      </c>
      <c r="I33" s="28">
        <f>IF(AND(AND($C33&lt;&gt;"",OR($D33="H",$D33="B",$D33="C"),ISNUMBER($E33),$J33&lt;&gt;""),IF(AND(ISNUMBER($F33),ISNUMBER($G33)),AND($F33&gt;0,$G33&gt;0,INT($F33)=$F33,INT($G33)=$G33),FALSE),$T33&gt;0,$S33&gt;0,$Y33,IF(ISNA(MATCH($X33,{"48","51","52","63"},0)),TRUE,IF(ISBLANK($N33),TRUE,IF(ISNUMBER($N33),$N33=$M33,FALSE))),$X33&lt;&gt;"99",$V33&gt;0,AND(IF(ISBLANK($K33),TRUE,IF(ISNUMBER($K33),MOD($K33,5)=0,FALSE)),IF(ISBLANK($L33),TRUE,IF(ISNUMBER($L33),MOD($L33,5)=0,FALSE)),IF(ISBLANK($M33),TRUE,IF($X33="77",TRUE,IF(ISNUMBER($M33),MOD($M33,5)=0,FALSE))),IF(ISBLANK($N33),TRUE,IF(ISNUMBER($N33),MOD($N33,5)=0,FALSE)),IF(ISBLANK($O33),TRUE,IF(ISNUMBER($O33),MOD($O33,5)=0,FALSE))),$Z33),CEILING($V33,25),"")</f>
        <v/>
      </c>
      <c r="J33" s="29" t="n"/>
      <c r="K33" s="26" t="n"/>
      <c r="L33" s="26" t="n"/>
      <c r="M33" s="26" t="n"/>
      <c r="N33" s="26" t="n"/>
      <c r="O33" s="26" t="n"/>
      <c r="P33" s="30">
        <f>IF(ISNUMBER($I33),$H33*$I33/1000*$U33,"")</f>
        <v/>
      </c>
      <c r="Q33" s="31">
        <f>IF(COUNTA($B33:$G33,$J33:$O33)=0,"",IF(NOT(AND($C33&lt;&gt;"",OR($D33="H",$D33="B",$D33="C"),ISNUMBER($E33),$J33&lt;&gt;"")),"! Incomplete",IF(NOT(IF(AND(ISNUMBER($F33),ISNUMBER($G33)),AND($F33&gt;0,$G33&gt;0,INT($F33)=$F33,INT($G33)=$G33),FALSE)),"! Quantities: whole numbers &gt; 0",IF($T33=0,"! Size not in Table 2",IF($S33=0,"! Unknown shape code",IF($X33="99","! Shape 99: length from the sketch",IF(NOT($Y33),"! Missing dimension",IF(NOT(IF(ISNA(MATCH($X33,{"48","51","52","63"},0)),TRUE,IF(ISBLANK($N33),TRUE,IF(ISNUMBER($N33),$N33=$M33,FALSE)))),"! D must equal C",IF($V33&lt;=0,"! Check dimensions",IF(NOT(AND(IF(ISBLANK($K33),TRUE,IF(ISNUMBER($K33),MOD($K33,5)=0,FALSE)),IF(ISBLANK($L33),TRUE,IF(ISNUMBER($L33),MOD($L33,5)=0,FALSE)),IF(ISBLANK($M33),TRUE,IF($X33="77",TRUE,IF(ISNUMBER($M33),MOD($M33,5)=0,FALSE))),IF(ISBLANK($N33),TRUE,IF(ISNUMBER($N33),MOD($N33,5)=0,FALSE)),IF(ISBLANK($O33),TRUE,IF(ISNUMBER($O33),MOD($O33,5)=0,FALSE)))),"! Dimensions to 5 mm",IF(NOT($Z33),"! Below Table 2 / 5 limits",IF($I33&gt;12000,"! Over 12 m stock","OK"))))))))))))</f>
        <v/>
      </c>
      <c r="S33" s="32">
        <f>IFERROR(MATCH($X33,{"00","01","11","12","13","21","22","23","24","26","27","28","29","31","32","33","41","44","48","51","52","56","63","67","75","77","98","99"},0),0)</f>
        <v/>
      </c>
      <c r="T33" s="32">
        <f>IFERROR(VLOOKUP($E33,bbs_sizes,2,FALSE),0)</f>
        <v/>
      </c>
      <c r="U33" s="32">
        <f>IFERROR(VLOOKUP($E33,bbs_sizes,3,FALSE),0)</f>
        <v/>
      </c>
      <c r="V33" s="32">
        <f>IFERROR(IF(AND($S33&gt;0,$Y33,$T33&gt;0),CHOOSE($S33,N($K33),N($K33),N($K33)+N($L33)-0.5*$T33-$E33,N($K33)+N($L33)-0.43*N($O33)-1.2*$E33,N($K33)+0.57*N($L33)+N($M33)-1.6*$E33,N($K33)+N($L33)+N($M33)-$T33-2*$E33,N($K33)+N($L33)+0.57*N($M33)+N($N33)-0.5*$T33-2.6*$E33,N($K33)+N($L33)+N($M33)-$T33-2*$E33,N($K33)+N($L33)+N($M33),N($K33)+N($L33)+N($M33),N($K33)+N($L33)+N($M33)-0.5*$T33-$E33,N($K33)+N($L33)+N($M33)-0.5*$T33-$E33,N($K33)+N($L33)+N($M33),N($K33)+N($L33)+N($M33)+N($N33)-1.5*$T33-3*$E33,N($K33)+N($L33)+N($M33)+N($N33)-1.5*$T33-3*$E33,2*N($K33)+1.7*N($L33)+2*N($M33)-4*$E33,N($K33)+N($L33)+N($M33)+N($N33)+N($O33)-2*$T33-4*$E33,N($K33)+N($L33)+N($M33)+N($N33)+N($O33)-2*$T33-4*$E33,2*N($K33)+N($L33)+2*N($M33)-$T33-2*$E33,2*(N($K33)+N($L33)+N($M33))-2.5*$T33-5*$E33,2*(N($K33)+N($L33)+N($M33))-1.5*$T33-3*$E33,N($K33)+N($L33)+N($M33)+N($N33)+2*N($O33)-1.5*$T33-3*$E33,2*N($K33)+3*N($L33)+2*N($M33)-3*$T33-6*$E33,N($K33),PI()*(N($K33)-$E33)+N($L33)+25,IF(N($L33)&lt;=N($K33)/5,N($M33)*PI()*(N($K33)-$E33),N($M33)*SQRT((PI()*(N($K33)-$E33))^2+N($L33)^2)),N($K33)+2*N($L33)+N($M33)+N($N33)-2*$T33-4*$E33,0),0),0)</f>
        <v/>
      </c>
      <c r="W33" s="32">
        <f>IF($S33&gt;0,CHOOSE($S33,"A","A","AB","ABE","ABC","ABC","ABCD","ABC","ABCDE","ABCDE","ABCDE","ABCDE","ABCDE","ABCD","ABCD","ABC","ABCDE","ABCDE","ABC","ABC","ABC","ABCDE","ABC","AE","AB","ABC","ABCD",""),"")</f>
        <v/>
      </c>
      <c r="X33" s="32">
        <f>IF(ISNUMBER($J33),IF(INT($J33)=$J33,TEXT($J33,"00"),"x"),IF(AND(LEN(TRIM($J33))=2,ISNUMBER(MID(TRIM($J33),1,1)*1),ISNUMBER(MID(TRIM($J33),2,1)*1),ISERROR(FIND(".",$J33))),TRIM($J33),"x"))</f>
        <v/>
      </c>
      <c r="Y33" s="32">
        <f>AND(IF(ISERROR(FIND("A",$W33)),TRUE,IF(ISNUMBER($K33),$K33&gt;0,FALSE)),IF(ISERROR(FIND("B",$W33)),TRUE,IF(ISNUMBER($L33),$L33&gt;0,FALSE)),IF(ISERROR(FIND("C",$W33)),TRUE,IF(ISNUMBER($M33),$M33&gt;0,FALSE)),IF(ISERROR(FIND("D",$W33)),TRUE,IF(ISNUMBER($N33),$N33&gt;0,FALSE)),IF(ISERROR(FIND("E",$W33)),TRUE,IF(ISNUMBER($O33),$O33&gt;0,FALSE)))</f>
        <v/>
      </c>
      <c r="Z33" s="32">
        <f>IFERROR(IF($S33&gt;0,CHOOSE($S33,TRUE,TRUE,AND(N($K33)&gt;=IFERROR(VLOOKUP($E33,bbs_sizes,4,FALSE),0),N($L33)&gt;=IFERROR(VLOOKUP($E33,bbs_sizes,4,FALSE),0)),AND(N($O33)&gt;=$T33,N($K33)&gt;=N($O33)+$E33+MAX(5*$E33,90),N($L33)&gt;=N($O33)+$E33+MAX(5*$E33,90)),AND(N($L33)&gt;=IFERROR(VLOOKUP($E33,bbs_sizes,6,FALSE),0),N($L33)&lt;=400+2*$E33,N($K33)&gt;=N($L33)/2+MAX(5*$E33,90),N($M33)&gt;=N($L33)/2+MAX(5*$E33,90)),AND(N($K33)&gt;=IFERROR(VLOOKUP($E33,bbs_sizes,4,FALSE),0),N($M33)&gt;=IFERROR(VLOOKUP($E33,bbs_sizes,4,FALSE),0)),AND(N($K33)&gt;=IFERROR(VLOOKUP($E33,bbs_sizes,4,FALSE),0),N($N33)&gt;=IFERROR(VLOOKUP($E33,bbs_sizes,4,FALSE),0),N($M33)&gt;=IFERROR(VLOOKUP($E33,bbs_sizes,6,FALSE),0),N($M33)&lt;=400+2*$E33,N($N33)&gt;=N($M33)/2+MAX(5*$E33,90)),AND(N($K33)&gt;=IFERROR(VLOOKUP($E33,bbs_sizes,4,FALSE),0),N($M33)&gt;=IFERROR(VLOOKUP($E33,bbs_sizes,4,FALSE),0)),AND(N($K33)&gt;=IFERROR(VLOOKUP($E33,bbs_sizes,4,FALSE),0),N($M33)&gt;=IFERROR(VLOOKUP($E33,bbs_sizes,4,FALSE),0),N($L33)&gt;=MAX(N($N33),N($O33)),N($L33)&lt;=N($N33)+N($O33)),AND(N($K33)&gt;=IFERROR(VLOOKUP($E33,bbs_sizes,4,FALSE),0),N($M33)&gt;=IFERROR(VLOOKUP($E33,bbs_sizes,4,FALSE),0),N($L33)&gt;=MAX(N($N33),N($O33)),N($L33)&lt;=N($N33)+N($O33)),AND(N($K33)&gt;=IFERROR(VLOOKUP($E33,bbs_sizes,4,FALSE),0),N($M33)&gt;=IFERROR(VLOOKUP($E33,bbs_sizes,4,FALSE),0),N($K33)&gt;=N($O33)),AND(N($K33)&gt;=IFERROR(VLOOKUP($E33,bbs_sizes,4,FALSE),0),N($M33)&gt;=IFERROR(VLOOKUP($E33,bbs_sizes,4,FALSE),0),N($K33)&gt;=N($O33)),AND(N($K33)&gt;=IFERROR(VLOOKUP($E33,bbs_sizes,4,FALSE),0),N($M33)&gt;=IFERROR(VLOOKUP($E33,bbs_sizes,4,FALSE),0),N($L33)&gt;=MAX(N($N33),N($O33)),N($L33)&lt;=N($N33)+N($O33)),AND(N($K33)&gt;=IFERROR(VLOOKUP($E33,bbs_sizes,4,FALSE),0),N($N33)&gt;=IFERROR(VLOOKUP($E33,bbs_sizes,4,FALSE),0)),AND(N($K33)&gt;=IFERROR(VLOOKUP($E33,bbs_sizes,4,FALSE),0),N($N33)&gt;=IFERROR(VLOOKUP($E33,bbs_sizes,4,FALSE),0)),AND(N($L33)&gt;=IFERROR(VLOOKUP($E33,bbs_sizes,6,FALSE),0),N($L33)&lt;=400+2*$E33,N($M33)&gt;=N($L33)/2+MAX(5*$E33,90),N($K33)&gt;=N($L33)/2+N($M33)),AND(N($K33)&gt;=IFERROR(VLOOKUP($E33,bbs_sizes,4,FALSE),0),N($O33)&gt;=IFERROR(VLOOKUP($E33,bbs_sizes,4,FALSE),0)),AND(N($K33)&gt;=IFERROR(VLOOKUP($E33,bbs_sizes,4,FALSE),0),N($O33)&gt;=IFERROR(VLOOKUP($E33,bbs_sizes,4,FALSE),0)),AND(N($M33)&lt;=N($K33),N($M33)&gt;=IFERROR(VLOOKUP($E33,bbs_sizes,5,FALSE),0)),AND(N($M33)&lt;=N($K33),N($M33)&lt;=N($L33),N($M33)&gt;=IFERROR(VLOOKUP($E33,bbs_sizes,5,FALSE),0)),AND(N($M33)&lt;=N($L33),N($M33)&gt;=IFERROR(VLOOKUP($E33,bbs_sizes,5,FALSE),0)),AND(N($O33)&lt;=N($K33),N($O33)&lt;=N($L33),N($O33)&gt;=IFERROR(VLOOKUP($E33,bbs_sizes,5,FALSE),0)),AND(N($M33)&lt;=N($K33),N($M33)&gt;=IFERROR(VLOOKUP($E33,bbs_sizes,4,FALSE),0)),TRUE,TRUE,TRUE,AND(N($M33)&gt;=IFERROR(VLOOKUP($E33,bbs_sizes,4,FALSE),0),N($N33)&gt;=IFERROR(VLOOKUP($E33,bbs_sizes,4,FALSE),0)),TRUE),FALSE),FALSE)</f>
        <v/>
      </c>
    </row>
    <row r="34" ht="15" customHeight="1">
      <c r="B34" s="25" t="n"/>
      <c r="C34" s="26" t="n"/>
      <c r="D34" s="26" t="n"/>
      <c r="E34" s="26" t="n"/>
      <c r="F34" s="26" t="n"/>
      <c r="G34" s="26" t="n"/>
      <c r="H34" s="27">
        <f>IF(IF(AND(ISNUMBER($F34),ISNUMBER($G34)),AND($F34&gt;0,$G34&gt;0,INT($F34)=$F34,INT($G34)=$G34),FALSE),$F34*$G34,"")</f>
        <v/>
      </c>
      <c r="I34" s="28">
        <f>IF(AND(AND($C34&lt;&gt;"",OR($D34="H",$D34="B",$D34="C"),ISNUMBER($E34),$J34&lt;&gt;""),IF(AND(ISNUMBER($F34),ISNUMBER($G34)),AND($F34&gt;0,$G34&gt;0,INT($F34)=$F34,INT($G34)=$G34),FALSE),$T34&gt;0,$S34&gt;0,$Y34,IF(ISNA(MATCH($X34,{"48","51","52","63"},0)),TRUE,IF(ISBLANK($N34),TRUE,IF(ISNUMBER($N34),$N34=$M34,FALSE))),$X34&lt;&gt;"99",$V34&gt;0,AND(IF(ISBLANK($K34),TRUE,IF(ISNUMBER($K34),MOD($K34,5)=0,FALSE)),IF(ISBLANK($L34),TRUE,IF(ISNUMBER($L34),MOD($L34,5)=0,FALSE)),IF(ISBLANK($M34),TRUE,IF($X34="77",TRUE,IF(ISNUMBER($M34),MOD($M34,5)=0,FALSE))),IF(ISBLANK($N34),TRUE,IF(ISNUMBER($N34),MOD($N34,5)=0,FALSE)),IF(ISBLANK($O34),TRUE,IF(ISNUMBER($O34),MOD($O34,5)=0,FALSE))),$Z34),CEILING($V34,25),"")</f>
        <v/>
      </c>
      <c r="J34" s="29" t="n"/>
      <c r="K34" s="26" t="n"/>
      <c r="L34" s="26" t="n"/>
      <c r="M34" s="26" t="n"/>
      <c r="N34" s="26" t="n"/>
      <c r="O34" s="26" t="n"/>
      <c r="P34" s="30">
        <f>IF(ISNUMBER($I34),$H34*$I34/1000*$U34,"")</f>
        <v/>
      </c>
      <c r="Q34" s="31">
        <f>IF(COUNTA($B34:$G34,$J34:$O34)=0,"",IF(NOT(AND($C34&lt;&gt;"",OR($D34="H",$D34="B",$D34="C"),ISNUMBER($E34),$J34&lt;&gt;"")),"! Incomplete",IF(NOT(IF(AND(ISNUMBER($F34),ISNUMBER($G34)),AND($F34&gt;0,$G34&gt;0,INT($F34)=$F34,INT($G34)=$G34),FALSE)),"! Quantities: whole numbers &gt; 0",IF($T34=0,"! Size not in Table 2",IF($S34=0,"! Unknown shape code",IF($X34="99","! Shape 99: length from the sketch",IF(NOT($Y34),"! Missing dimension",IF(NOT(IF(ISNA(MATCH($X34,{"48","51","52","63"},0)),TRUE,IF(ISBLANK($N34),TRUE,IF(ISNUMBER($N34),$N34=$M34,FALSE)))),"! D must equal C",IF($V34&lt;=0,"! Check dimensions",IF(NOT(AND(IF(ISBLANK($K34),TRUE,IF(ISNUMBER($K34),MOD($K34,5)=0,FALSE)),IF(ISBLANK($L34),TRUE,IF(ISNUMBER($L34),MOD($L34,5)=0,FALSE)),IF(ISBLANK($M34),TRUE,IF($X34="77",TRUE,IF(ISNUMBER($M34),MOD($M34,5)=0,FALSE))),IF(ISBLANK($N34),TRUE,IF(ISNUMBER($N34),MOD($N34,5)=0,FALSE)),IF(ISBLANK($O34),TRUE,IF(ISNUMBER($O34),MOD($O34,5)=0,FALSE)))),"! Dimensions to 5 mm",IF(NOT($Z34),"! Below Table 2 / 5 limits",IF($I34&gt;12000,"! Over 12 m stock","OK"))))))))))))</f>
        <v/>
      </c>
      <c r="S34" s="32">
        <f>IFERROR(MATCH($X34,{"00","01","11","12","13","21","22","23","24","26","27","28","29","31","32","33","41","44","48","51","52","56","63","67","75","77","98","99"},0),0)</f>
        <v/>
      </c>
      <c r="T34" s="32">
        <f>IFERROR(VLOOKUP($E34,bbs_sizes,2,FALSE),0)</f>
        <v/>
      </c>
      <c r="U34" s="32">
        <f>IFERROR(VLOOKUP($E34,bbs_sizes,3,FALSE),0)</f>
        <v/>
      </c>
      <c r="V34" s="32">
        <f>IFERROR(IF(AND($S34&gt;0,$Y34,$T34&gt;0),CHOOSE($S34,N($K34),N($K34),N($K34)+N($L34)-0.5*$T34-$E34,N($K34)+N($L34)-0.43*N($O34)-1.2*$E34,N($K34)+0.57*N($L34)+N($M34)-1.6*$E34,N($K34)+N($L34)+N($M34)-$T34-2*$E34,N($K34)+N($L34)+0.57*N($M34)+N($N34)-0.5*$T34-2.6*$E34,N($K34)+N($L34)+N($M34)-$T34-2*$E34,N($K34)+N($L34)+N($M34),N($K34)+N($L34)+N($M34),N($K34)+N($L34)+N($M34)-0.5*$T34-$E34,N($K34)+N($L34)+N($M34)-0.5*$T34-$E34,N($K34)+N($L34)+N($M34),N($K34)+N($L34)+N($M34)+N($N34)-1.5*$T34-3*$E34,N($K34)+N($L34)+N($M34)+N($N34)-1.5*$T34-3*$E34,2*N($K34)+1.7*N($L34)+2*N($M34)-4*$E34,N($K34)+N($L34)+N($M34)+N($N34)+N($O34)-2*$T34-4*$E34,N($K34)+N($L34)+N($M34)+N($N34)+N($O34)-2*$T34-4*$E34,2*N($K34)+N($L34)+2*N($M34)-$T34-2*$E34,2*(N($K34)+N($L34)+N($M34))-2.5*$T34-5*$E34,2*(N($K34)+N($L34)+N($M34))-1.5*$T34-3*$E34,N($K34)+N($L34)+N($M34)+N($N34)+2*N($O34)-1.5*$T34-3*$E34,2*N($K34)+3*N($L34)+2*N($M34)-3*$T34-6*$E34,N($K34),PI()*(N($K34)-$E34)+N($L34)+25,IF(N($L34)&lt;=N($K34)/5,N($M34)*PI()*(N($K34)-$E34),N($M34)*SQRT((PI()*(N($K34)-$E34))^2+N($L34)^2)),N($K34)+2*N($L34)+N($M34)+N($N34)-2*$T34-4*$E34,0),0),0)</f>
        <v/>
      </c>
      <c r="W34" s="32">
        <f>IF($S34&gt;0,CHOOSE($S34,"A","A","AB","ABE","ABC","ABC","ABCD","ABC","ABCDE","ABCDE","ABCDE","ABCDE","ABCDE","ABCD","ABCD","ABC","ABCDE","ABCDE","ABC","ABC","ABC","ABCDE","ABC","AE","AB","ABC","ABCD",""),"")</f>
        <v/>
      </c>
      <c r="X34" s="32">
        <f>IF(ISNUMBER($J34),IF(INT($J34)=$J34,TEXT($J34,"00"),"x"),IF(AND(LEN(TRIM($J34))=2,ISNUMBER(MID(TRIM($J34),1,1)*1),ISNUMBER(MID(TRIM($J34),2,1)*1),ISERROR(FIND(".",$J34))),TRIM($J34),"x"))</f>
        <v/>
      </c>
      <c r="Y34" s="32">
        <f>AND(IF(ISERROR(FIND("A",$W34)),TRUE,IF(ISNUMBER($K34),$K34&gt;0,FALSE)),IF(ISERROR(FIND("B",$W34)),TRUE,IF(ISNUMBER($L34),$L34&gt;0,FALSE)),IF(ISERROR(FIND("C",$W34)),TRUE,IF(ISNUMBER($M34),$M34&gt;0,FALSE)),IF(ISERROR(FIND("D",$W34)),TRUE,IF(ISNUMBER($N34),$N34&gt;0,FALSE)),IF(ISERROR(FIND("E",$W34)),TRUE,IF(ISNUMBER($O34),$O34&gt;0,FALSE)))</f>
        <v/>
      </c>
      <c r="Z34" s="32">
        <f>IFERROR(IF($S34&gt;0,CHOOSE($S34,TRUE,TRUE,AND(N($K34)&gt;=IFERROR(VLOOKUP($E34,bbs_sizes,4,FALSE),0),N($L34)&gt;=IFERROR(VLOOKUP($E34,bbs_sizes,4,FALSE),0)),AND(N($O34)&gt;=$T34,N($K34)&gt;=N($O34)+$E34+MAX(5*$E34,90),N($L34)&gt;=N($O34)+$E34+MAX(5*$E34,90)),AND(N($L34)&gt;=IFERROR(VLOOKUP($E34,bbs_sizes,6,FALSE),0),N($L34)&lt;=400+2*$E34,N($K34)&gt;=N($L34)/2+MAX(5*$E34,90),N($M34)&gt;=N($L34)/2+MAX(5*$E34,90)),AND(N($K34)&gt;=IFERROR(VLOOKUP($E34,bbs_sizes,4,FALSE),0),N($M34)&gt;=IFERROR(VLOOKUP($E34,bbs_sizes,4,FALSE),0)),AND(N($K34)&gt;=IFERROR(VLOOKUP($E34,bbs_sizes,4,FALSE),0),N($N34)&gt;=IFERROR(VLOOKUP($E34,bbs_sizes,4,FALSE),0),N($M34)&gt;=IFERROR(VLOOKUP($E34,bbs_sizes,6,FALSE),0),N($M34)&lt;=400+2*$E34,N($N34)&gt;=N($M34)/2+MAX(5*$E34,90)),AND(N($K34)&gt;=IFERROR(VLOOKUP($E34,bbs_sizes,4,FALSE),0),N($M34)&gt;=IFERROR(VLOOKUP($E34,bbs_sizes,4,FALSE),0)),AND(N($K34)&gt;=IFERROR(VLOOKUP($E34,bbs_sizes,4,FALSE),0),N($M34)&gt;=IFERROR(VLOOKUP($E34,bbs_sizes,4,FALSE),0),N($L34)&gt;=MAX(N($N34),N($O34)),N($L34)&lt;=N($N34)+N($O34)),AND(N($K34)&gt;=IFERROR(VLOOKUP($E34,bbs_sizes,4,FALSE),0),N($M34)&gt;=IFERROR(VLOOKUP($E34,bbs_sizes,4,FALSE),0),N($L34)&gt;=MAX(N($N34),N($O34)),N($L34)&lt;=N($N34)+N($O34)),AND(N($K34)&gt;=IFERROR(VLOOKUP($E34,bbs_sizes,4,FALSE),0),N($M34)&gt;=IFERROR(VLOOKUP($E34,bbs_sizes,4,FALSE),0),N($K34)&gt;=N($O34)),AND(N($K34)&gt;=IFERROR(VLOOKUP($E34,bbs_sizes,4,FALSE),0),N($M34)&gt;=IFERROR(VLOOKUP($E34,bbs_sizes,4,FALSE),0),N($K34)&gt;=N($O34)),AND(N($K34)&gt;=IFERROR(VLOOKUP($E34,bbs_sizes,4,FALSE),0),N($M34)&gt;=IFERROR(VLOOKUP($E34,bbs_sizes,4,FALSE),0),N($L34)&gt;=MAX(N($N34),N($O34)),N($L34)&lt;=N($N34)+N($O34)),AND(N($K34)&gt;=IFERROR(VLOOKUP($E34,bbs_sizes,4,FALSE),0),N($N34)&gt;=IFERROR(VLOOKUP($E34,bbs_sizes,4,FALSE),0)),AND(N($K34)&gt;=IFERROR(VLOOKUP($E34,bbs_sizes,4,FALSE),0),N($N34)&gt;=IFERROR(VLOOKUP($E34,bbs_sizes,4,FALSE),0)),AND(N($L34)&gt;=IFERROR(VLOOKUP($E34,bbs_sizes,6,FALSE),0),N($L34)&lt;=400+2*$E34,N($M34)&gt;=N($L34)/2+MAX(5*$E34,90),N($K34)&gt;=N($L34)/2+N($M34)),AND(N($K34)&gt;=IFERROR(VLOOKUP($E34,bbs_sizes,4,FALSE),0),N($O34)&gt;=IFERROR(VLOOKUP($E34,bbs_sizes,4,FALSE),0)),AND(N($K34)&gt;=IFERROR(VLOOKUP($E34,bbs_sizes,4,FALSE),0),N($O34)&gt;=IFERROR(VLOOKUP($E34,bbs_sizes,4,FALSE),0)),AND(N($M34)&lt;=N($K34),N($M34)&gt;=IFERROR(VLOOKUP($E34,bbs_sizes,5,FALSE),0)),AND(N($M34)&lt;=N($K34),N($M34)&lt;=N($L34),N($M34)&gt;=IFERROR(VLOOKUP($E34,bbs_sizes,5,FALSE),0)),AND(N($M34)&lt;=N($L34),N($M34)&gt;=IFERROR(VLOOKUP($E34,bbs_sizes,5,FALSE),0)),AND(N($O34)&lt;=N($K34),N($O34)&lt;=N($L34),N($O34)&gt;=IFERROR(VLOOKUP($E34,bbs_sizes,5,FALSE),0)),AND(N($M34)&lt;=N($K34),N($M34)&gt;=IFERROR(VLOOKUP($E34,bbs_sizes,4,FALSE),0)),TRUE,TRUE,TRUE,AND(N($M34)&gt;=IFERROR(VLOOKUP($E34,bbs_sizes,4,FALSE),0),N($N34)&gt;=IFERROR(VLOOKUP($E34,bbs_sizes,4,FALSE),0)),TRUE),FALSE),FALSE)</f>
        <v/>
      </c>
    </row>
    <row r="35" ht="15" customHeight="1">
      <c r="B35" s="25" t="n"/>
      <c r="C35" s="26" t="n"/>
      <c r="D35" s="26" t="n"/>
      <c r="E35" s="26" t="n"/>
      <c r="F35" s="26" t="n"/>
      <c r="G35" s="26" t="n"/>
      <c r="H35" s="27">
        <f>IF(IF(AND(ISNUMBER($F35),ISNUMBER($G35)),AND($F35&gt;0,$G35&gt;0,INT($F35)=$F35,INT($G35)=$G35),FALSE),$F35*$G35,"")</f>
        <v/>
      </c>
      <c r="I35" s="28">
        <f>IF(AND(AND($C35&lt;&gt;"",OR($D35="H",$D35="B",$D35="C"),ISNUMBER($E35),$J35&lt;&gt;""),IF(AND(ISNUMBER($F35),ISNUMBER($G35)),AND($F35&gt;0,$G35&gt;0,INT($F35)=$F35,INT($G35)=$G35),FALSE),$T35&gt;0,$S35&gt;0,$Y35,IF(ISNA(MATCH($X35,{"48","51","52","63"},0)),TRUE,IF(ISBLANK($N35),TRUE,IF(ISNUMBER($N35),$N35=$M35,FALSE))),$X35&lt;&gt;"99",$V35&gt;0,AND(IF(ISBLANK($K35),TRUE,IF(ISNUMBER($K35),MOD($K35,5)=0,FALSE)),IF(ISBLANK($L35),TRUE,IF(ISNUMBER($L35),MOD($L35,5)=0,FALSE)),IF(ISBLANK($M35),TRUE,IF($X35="77",TRUE,IF(ISNUMBER($M35),MOD($M35,5)=0,FALSE))),IF(ISBLANK($N35),TRUE,IF(ISNUMBER($N35),MOD($N35,5)=0,FALSE)),IF(ISBLANK($O35),TRUE,IF(ISNUMBER($O35),MOD($O35,5)=0,FALSE))),$Z35),CEILING($V35,25),"")</f>
        <v/>
      </c>
      <c r="J35" s="29" t="n"/>
      <c r="K35" s="26" t="n"/>
      <c r="L35" s="26" t="n"/>
      <c r="M35" s="26" t="n"/>
      <c r="N35" s="26" t="n"/>
      <c r="O35" s="26" t="n"/>
      <c r="P35" s="30">
        <f>IF(ISNUMBER($I35),$H35*$I35/1000*$U35,"")</f>
        <v/>
      </c>
      <c r="Q35" s="31">
        <f>IF(COUNTA($B35:$G35,$J35:$O35)=0,"",IF(NOT(AND($C35&lt;&gt;"",OR($D35="H",$D35="B",$D35="C"),ISNUMBER($E35),$J35&lt;&gt;"")),"! Incomplete",IF(NOT(IF(AND(ISNUMBER($F35),ISNUMBER($G35)),AND($F35&gt;0,$G35&gt;0,INT($F35)=$F35,INT($G35)=$G35),FALSE)),"! Quantities: whole numbers &gt; 0",IF($T35=0,"! Size not in Table 2",IF($S35=0,"! Unknown shape code",IF($X35="99","! Shape 99: length from the sketch",IF(NOT($Y35),"! Missing dimension",IF(NOT(IF(ISNA(MATCH($X35,{"48","51","52","63"},0)),TRUE,IF(ISBLANK($N35),TRUE,IF(ISNUMBER($N35),$N35=$M35,FALSE)))),"! D must equal C",IF($V35&lt;=0,"! Check dimensions",IF(NOT(AND(IF(ISBLANK($K35),TRUE,IF(ISNUMBER($K35),MOD($K35,5)=0,FALSE)),IF(ISBLANK($L35),TRUE,IF(ISNUMBER($L35),MOD($L35,5)=0,FALSE)),IF(ISBLANK($M35),TRUE,IF($X35="77",TRUE,IF(ISNUMBER($M35),MOD($M35,5)=0,FALSE))),IF(ISBLANK($N35),TRUE,IF(ISNUMBER($N35),MOD($N35,5)=0,FALSE)),IF(ISBLANK($O35),TRUE,IF(ISNUMBER($O35),MOD($O35,5)=0,FALSE)))),"! Dimensions to 5 mm",IF(NOT($Z35),"! Below Table 2 / 5 limits",IF($I35&gt;12000,"! Over 12 m stock","OK"))))))))))))</f>
        <v/>
      </c>
      <c r="S35" s="32">
        <f>IFERROR(MATCH($X35,{"00","01","11","12","13","21","22","23","24","26","27","28","29","31","32","33","41","44","48","51","52","56","63","67","75","77","98","99"},0),0)</f>
        <v/>
      </c>
      <c r="T35" s="32">
        <f>IFERROR(VLOOKUP($E35,bbs_sizes,2,FALSE),0)</f>
        <v/>
      </c>
      <c r="U35" s="32">
        <f>IFERROR(VLOOKUP($E35,bbs_sizes,3,FALSE),0)</f>
        <v/>
      </c>
      <c r="V35" s="32">
        <f>IFERROR(IF(AND($S35&gt;0,$Y35,$T35&gt;0),CHOOSE($S35,N($K35),N($K35),N($K35)+N($L35)-0.5*$T35-$E35,N($K35)+N($L35)-0.43*N($O35)-1.2*$E35,N($K35)+0.57*N($L35)+N($M35)-1.6*$E35,N($K35)+N($L35)+N($M35)-$T35-2*$E35,N($K35)+N($L35)+0.57*N($M35)+N($N35)-0.5*$T35-2.6*$E35,N($K35)+N($L35)+N($M35)-$T35-2*$E35,N($K35)+N($L35)+N($M35),N($K35)+N($L35)+N($M35),N($K35)+N($L35)+N($M35)-0.5*$T35-$E35,N($K35)+N($L35)+N($M35)-0.5*$T35-$E35,N($K35)+N($L35)+N($M35),N($K35)+N($L35)+N($M35)+N($N35)-1.5*$T35-3*$E35,N($K35)+N($L35)+N($M35)+N($N35)-1.5*$T35-3*$E35,2*N($K35)+1.7*N($L35)+2*N($M35)-4*$E35,N($K35)+N($L35)+N($M35)+N($N35)+N($O35)-2*$T35-4*$E35,N($K35)+N($L35)+N($M35)+N($N35)+N($O35)-2*$T35-4*$E35,2*N($K35)+N($L35)+2*N($M35)-$T35-2*$E35,2*(N($K35)+N($L35)+N($M35))-2.5*$T35-5*$E35,2*(N($K35)+N($L35)+N($M35))-1.5*$T35-3*$E35,N($K35)+N($L35)+N($M35)+N($N35)+2*N($O35)-1.5*$T35-3*$E35,2*N($K35)+3*N($L35)+2*N($M35)-3*$T35-6*$E35,N($K35),PI()*(N($K35)-$E35)+N($L35)+25,IF(N($L35)&lt;=N($K35)/5,N($M35)*PI()*(N($K35)-$E35),N($M35)*SQRT((PI()*(N($K35)-$E35))^2+N($L35)^2)),N($K35)+2*N($L35)+N($M35)+N($N35)-2*$T35-4*$E35,0),0),0)</f>
        <v/>
      </c>
      <c r="W35" s="32">
        <f>IF($S35&gt;0,CHOOSE($S35,"A","A","AB","ABE","ABC","ABC","ABCD","ABC","ABCDE","ABCDE","ABCDE","ABCDE","ABCDE","ABCD","ABCD","ABC","ABCDE","ABCDE","ABC","ABC","ABC","ABCDE","ABC","AE","AB","ABC","ABCD",""),"")</f>
        <v/>
      </c>
      <c r="X35" s="32">
        <f>IF(ISNUMBER($J35),IF(INT($J35)=$J35,TEXT($J35,"00"),"x"),IF(AND(LEN(TRIM($J35))=2,ISNUMBER(MID(TRIM($J35),1,1)*1),ISNUMBER(MID(TRIM($J35),2,1)*1),ISERROR(FIND(".",$J35))),TRIM($J35),"x"))</f>
        <v/>
      </c>
      <c r="Y35" s="32">
        <f>AND(IF(ISERROR(FIND("A",$W35)),TRUE,IF(ISNUMBER($K35),$K35&gt;0,FALSE)),IF(ISERROR(FIND("B",$W35)),TRUE,IF(ISNUMBER($L35),$L35&gt;0,FALSE)),IF(ISERROR(FIND("C",$W35)),TRUE,IF(ISNUMBER($M35),$M35&gt;0,FALSE)),IF(ISERROR(FIND("D",$W35)),TRUE,IF(ISNUMBER($N35),$N35&gt;0,FALSE)),IF(ISERROR(FIND("E",$W35)),TRUE,IF(ISNUMBER($O35),$O35&gt;0,FALSE)))</f>
        <v/>
      </c>
      <c r="Z35" s="32">
        <f>IFERROR(IF($S35&gt;0,CHOOSE($S35,TRUE,TRUE,AND(N($K35)&gt;=IFERROR(VLOOKUP($E35,bbs_sizes,4,FALSE),0),N($L35)&gt;=IFERROR(VLOOKUP($E35,bbs_sizes,4,FALSE),0)),AND(N($O35)&gt;=$T35,N($K35)&gt;=N($O35)+$E35+MAX(5*$E35,90),N($L35)&gt;=N($O35)+$E35+MAX(5*$E35,90)),AND(N($L35)&gt;=IFERROR(VLOOKUP($E35,bbs_sizes,6,FALSE),0),N($L35)&lt;=400+2*$E35,N($K35)&gt;=N($L35)/2+MAX(5*$E35,90),N($M35)&gt;=N($L35)/2+MAX(5*$E35,90)),AND(N($K35)&gt;=IFERROR(VLOOKUP($E35,bbs_sizes,4,FALSE),0),N($M35)&gt;=IFERROR(VLOOKUP($E35,bbs_sizes,4,FALSE),0)),AND(N($K35)&gt;=IFERROR(VLOOKUP($E35,bbs_sizes,4,FALSE),0),N($N35)&gt;=IFERROR(VLOOKUP($E35,bbs_sizes,4,FALSE),0),N($M35)&gt;=IFERROR(VLOOKUP($E35,bbs_sizes,6,FALSE),0),N($M35)&lt;=400+2*$E35,N($N35)&gt;=N($M35)/2+MAX(5*$E35,90)),AND(N($K35)&gt;=IFERROR(VLOOKUP($E35,bbs_sizes,4,FALSE),0),N($M35)&gt;=IFERROR(VLOOKUP($E35,bbs_sizes,4,FALSE),0)),AND(N($K35)&gt;=IFERROR(VLOOKUP($E35,bbs_sizes,4,FALSE),0),N($M35)&gt;=IFERROR(VLOOKUP($E35,bbs_sizes,4,FALSE),0),N($L35)&gt;=MAX(N($N35),N($O35)),N($L35)&lt;=N($N35)+N($O35)),AND(N($K35)&gt;=IFERROR(VLOOKUP($E35,bbs_sizes,4,FALSE),0),N($M35)&gt;=IFERROR(VLOOKUP($E35,bbs_sizes,4,FALSE),0),N($L35)&gt;=MAX(N($N35),N($O35)),N($L35)&lt;=N($N35)+N($O35)),AND(N($K35)&gt;=IFERROR(VLOOKUP($E35,bbs_sizes,4,FALSE),0),N($M35)&gt;=IFERROR(VLOOKUP($E35,bbs_sizes,4,FALSE),0),N($K35)&gt;=N($O35)),AND(N($K35)&gt;=IFERROR(VLOOKUP($E35,bbs_sizes,4,FALSE),0),N($M35)&gt;=IFERROR(VLOOKUP($E35,bbs_sizes,4,FALSE),0),N($K35)&gt;=N($O35)),AND(N($K35)&gt;=IFERROR(VLOOKUP($E35,bbs_sizes,4,FALSE),0),N($M35)&gt;=IFERROR(VLOOKUP($E35,bbs_sizes,4,FALSE),0),N($L35)&gt;=MAX(N($N35),N($O35)),N($L35)&lt;=N($N35)+N($O35)),AND(N($K35)&gt;=IFERROR(VLOOKUP($E35,bbs_sizes,4,FALSE),0),N($N35)&gt;=IFERROR(VLOOKUP($E35,bbs_sizes,4,FALSE),0)),AND(N($K35)&gt;=IFERROR(VLOOKUP($E35,bbs_sizes,4,FALSE),0),N($N35)&gt;=IFERROR(VLOOKUP($E35,bbs_sizes,4,FALSE),0)),AND(N($L35)&gt;=IFERROR(VLOOKUP($E35,bbs_sizes,6,FALSE),0),N($L35)&lt;=400+2*$E35,N($M35)&gt;=N($L35)/2+MAX(5*$E35,90),N($K35)&gt;=N($L35)/2+N($M35)),AND(N($K35)&gt;=IFERROR(VLOOKUP($E35,bbs_sizes,4,FALSE),0),N($O35)&gt;=IFERROR(VLOOKUP($E35,bbs_sizes,4,FALSE),0)),AND(N($K35)&gt;=IFERROR(VLOOKUP($E35,bbs_sizes,4,FALSE),0),N($O35)&gt;=IFERROR(VLOOKUP($E35,bbs_sizes,4,FALSE),0)),AND(N($M35)&lt;=N($K35),N($M35)&gt;=IFERROR(VLOOKUP($E35,bbs_sizes,5,FALSE),0)),AND(N($M35)&lt;=N($K35),N($M35)&lt;=N($L35),N($M35)&gt;=IFERROR(VLOOKUP($E35,bbs_sizes,5,FALSE),0)),AND(N($M35)&lt;=N($L35),N($M35)&gt;=IFERROR(VLOOKUP($E35,bbs_sizes,5,FALSE),0)),AND(N($O35)&lt;=N($K35),N($O35)&lt;=N($L35),N($O35)&gt;=IFERROR(VLOOKUP($E35,bbs_sizes,5,FALSE),0)),AND(N($M35)&lt;=N($K35),N($M35)&gt;=IFERROR(VLOOKUP($E35,bbs_sizes,4,FALSE),0)),TRUE,TRUE,TRUE,AND(N($M35)&gt;=IFERROR(VLOOKUP($E35,bbs_sizes,4,FALSE),0),N($N35)&gt;=IFERROR(VLOOKUP($E35,bbs_sizes,4,FALSE),0)),TRUE),FALSE),FALSE)</f>
        <v/>
      </c>
    </row>
    <row r="36" ht="15" customHeight="1">
      <c r="B36" s="25" t="n"/>
      <c r="C36" s="26" t="n"/>
      <c r="D36" s="26" t="n"/>
      <c r="E36" s="26" t="n"/>
      <c r="F36" s="26" t="n"/>
      <c r="G36" s="26" t="n"/>
      <c r="H36" s="27">
        <f>IF(IF(AND(ISNUMBER($F36),ISNUMBER($G36)),AND($F36&gt;0,$G36&gt;0,INT($F36)=$F36,INT($G36)=$G36),FALSE),$F36*$G36,"")</f>
        <v/>
      </c>
      <c r="I36" s="28">
        <f>IF(AND(AND($C36&lt;&gt;"",OR($D36="H",$D36="B",$D36="C"),ISNUMBER($E36),$J36&lt;&gt;""),IF(AND(ISNUMBER($F36),ISNUMBER($G36)),AND($F36&gt;0,$G36&gt;0,INT($F36)=$F36,INT($G36)=$G36),FALSE),$T36&gt;0,$S36&gt;0,$Y36,IF(ISNA(MATCH($X36,{"48","51","52","63"},0)),TRUE,IF(ISBLANK($N36),TRUE,IF(ISNUMBER($N36),$N36=$M36,FALSE))),$X36&lt;&gt;"99",$V36&gt;0,AND(IF(ISBLANK($K36),TRUE,IF(ISNUMBER($K36),MOD($K36,5)=0,FALSE)),IF(ISBLANK($L36),TRUE,IF(ISNUMBER($L36),MOD($L36,5)=0,FALSE)),IF(ISBLANK($M36),TRUE,IF($X36="77",TRUE,IF(ISNUMBER($M36),MOD($M36,5)=0,FALSE))),IF(ISBLANK($N36),TRUE,IF(ISNUMBER($N36),MOD($N36,5)=0,FALSE)),IF(ISBLANK($O36),TRUE,IF(ISNUMBER($O36),MOD($O36,5)=0,FALSE))),$Z36),CEILING($V36,25),"")</f>
        <v/>
      </c>
      <c r="J36" s="29" t="n"/>
      <c r="K36" s="26" t="n"/>
      <c r="L36" s="26" t="n"/>
      <c r="M36" s="26" t="n"/>
      <c r="N36" s="26" t="n"/>
      <c r="O36" s="26" t="n"/>
      <c r="P36" s="30">
        <f>IF(ISNUMBER($I36),$H36*$I36/1000*$U36,"")</f>
        <v/>
      </c>
      <c r="Q36" s="31">
        <f>IF(COUNTA($B36:$G36,$J36:$O36)=0,"",IF(NOT(AND($C36&lt;&gt;"",OR($D36="H",$D36="B",$D36="C"),ISNUMBER($E36),$J36&lt;&gt;"")),"! Incomplete",IF(NOT(IF(AND(ISNUMBER($F36),ISNUMBER($G36)),AND($F36&gt;0,$G36&gt;0,INT($F36)=$F36,INT($G36)=$G36),FALSE)),"! Quantities: whole numbers &gt; 0",IF($T36=0,"! Size not in Table 2",IF($S36=0,"! Unknown shape code",IF($X36="99","! Shape 99: length from the sketch",IF(NOT($Y36),"! Missing dimension",IF(NOT(IF(ISNA(MATCH($X36,{"48","51","52","63"},0)),TRUE,IF(ISBLANK($N36),TRUE,IF(ISNUMBER($N36),$N36=$M36,FALSE)))),"! D must equal C",IF($V36&lt;=0,"! Check dimensions",IF(NOT(AND(IF(ISBLANK($K36),TRUE,IF(ISNUMBER($K36),MOD($K36,5)=0,FALSE)),IF(ISBLANK($L36),TRUE,IF(ISNUMBER($L36),MOD($L36,5)=0,FALSE)),IF(ISBLANK($M36),TRUE,IF($X36="77",TRUE,IF(ISNUMBER($M36),MOD($M36,5)=0,FALSE))),IF(ISBLANK($N36),TRUE,IF(ISNUMBER($N36),MOD($N36,5)=0,FALSE)),IF(ISBLANK($O36),TRUE,IF(ISNUMBER($O36),MOD($O36,5)=0,FALSE)))),"! Dimensions to 5 mm",IF(NOT($Z36),"! Below Table 2 / 5 limits",IF($I36&gt;12000,"! Over 12 m stock","OK"))))))))))))</f>
        <v/>
      </c>
      <c r="S36" s="32">
        <f>IFERROR(MATCH($X36,{"00","01","11","12","13","21","22","23","24","26","27","28","29","31","32","33","41","44","48","51","52","56","63","67","75","77","98","99"},0),0)</f>
        <v/>
      </c>
      <c r="T36" s="32">
        <f>IFERROR(VLOOKUP($E36,bbs_sizes,2,FALSE),0)</f>
        <v/>
      </c>
      <c r="U36" s="32">
        <f>IFERROR(VLOOKUP($E36,bbs_sizes,3,FALSE),0)</f>
        <v/>
      </c>
      <c r="V36" s="32">
        <f>IFERROR(IF(AND($S36&gt;0,$Y36,$T36&gt;0),CHOOSE($S36,N($K36),N($K36),N($K36)+N($L36)-0.5*$T36-$E36,N($K36)+N($L36)-0.43*N($O36)-1.2*$E36,N($K36)+0.57*N($L36)+N($M36)-1.6*$E36,N($K36)+N($L36)+N($M36)-$T36-2*$E36,N($K36)+N($L36)+0.57*N($M36)+N($N36)-0.5*$T36-2.6*$E36,N($K36)+N($L36)+N($M36)-$T36-2*$E36,N($K36)+N($L36)+N($M36),N($K36)+N($L36)+N($M36),N($K36)+N($L36)+N($M36)-0.5*$T36-$E36,N($K36)+N($L36)+N($M36)-0.5*$T36-$E36,N($K36)+N($L36)+N($M36),N($K36)+N($L36)+N($M36)+N($N36)-1.5*$T36-3*$E36,N($K36)+N($L36)+N($M36)+N($N36)-1.5*$T36-3*$E36,2*N($K36)+1.7*N($L36)+2*N($M36)-4*$E36,N($K36)+N($L36)+N($M36)+N($N36)+N($O36)-2*$T36-4*$E36,N($K36)+N($L36)+N($M36)+N($N36)+N($O36)-2*$T36-4*$E36,2*N($K36)+N($L36)+2*N($M36)-$T36-2*$E36,2*(N($K36)+N($L36)+N($M36))-2.5*$T36-5*$E36,2*(N($K36)+N($L36)+N($M36))-1.5*$T36-3*$E36,N($K36)+N($L36)+N($M36)+N($N36)+2*N($O36)-1.5*$T36-3*$E36,2*N($K36)+3*N($L36)+2*N($M36)-3*$T36-6*$E36,N($K36),PI()*(N($K36)-$E36)+N($L36)+25,IF(N($L36)&lt;=N($K36)/5,N($M36)*PI()*(N($K36)-$E36),N($M36)*SQRT((PI()*(N($K36)-$E36))^2+N($L36)^2)),N($K36)+2*N($L36)+N($M36)+N($N36)-2*$T36-4*$E36,0),0),0)</f>
        <v/>
      </c>
      <c r="W36" s="32">
        <f>IF($S36&gt;0,CHOOSE($S36,"A","A","AB","ABE","ABC","ABC","ABCD","ABC","ABCDE","ABCDE","ABCDE","ABCDE","ABCDE","ABCD","ABCD","ABC","ABCDE","ABCDE","ABC","ABC","ABC","ABCDE","ABC","AE","AB","ABC","ABCD",""),"")</f>
        <v/>
      </c>
      <c r="X36" s="32">
        <f>IF(ISNUMBER($J36),IF(INT($J36)=$J36,TEXT($J36,"00"),"x"),IF(AND(LEN(TRIM($J36))=2,ISNUMBER(MID(TRIM($J36),1,1)*1),ISNUMBER(MID(TRIM($J36),2,1)*1),ISERROR(FIND(".",$J36))),TRIM($J36),"x"))</f>
        <v/>
      </c>
      <c r="Y36" s="32">
        <f>AND(IF(ISERROR(FIND("A",$W36)),TRUE,IF(ISNUMBER($K36),$K36&gt;0,FALSE)),IF(ISERROR(FIND("B",$W36)),TRUE,IF(ISNUMBER($L36),$L36&gt;0,FALSE)),IF(ISERROR(FIND("C",$W36)),TRUE,IF(ISNUMBER($M36),$M36&gt;0,FALSE)),IF(ISERROR(FIND("D",$W36)),TRUE,IF(ISNUMBER($N36),$N36&gt;0,FALSE)),IF(ISERROR(FIND("E",$W36)),TRUE,IF(ISNUMBER($O36),$O36&gt;0,FALSE)))</f>
        <v/>
      </c>
      <c r="Z36" s="32">
        <f>IFERROR(IF($S36&gt;0,CHOOSE($S36,TRUE,TRUE,AND(N($K36)&gt;=IFERROR(VLOOKUP($E36,bbs_sizes,4,FALSE),0),N($L36)&gt;=IFERROR(VLOOKUP($E36,bbs_sizes,4,FALSE),0)),AND(N($O36)&gt;=$T36,N($K36)&gt;=N($O36)+$E36+MAX(5*$E36,90),N($L36)&gt;=N($O36)+$E36+MAX(5*$E36,90)),AND(N($L36)&gt;=IFERROR(VLOOKUP($E36,bbs_sizes,6,FALSE),0),N($L36)&lt;=400+2*$E36,N($K36)&gt;=N($L36)/2+MAX(5*$E36,90),N($M36)&gt;=N($L36)/2+MAX(5*$E36,90)),AND(N($K36)&gt;=IFERROR(VLOOKUP($E36,bbs_sizes,4,FALSE),0),N($M36)&gt;=IFERROR(VLOOKUP($E36,bbs_sizes,4,FALSE),0)),AND(N($K36)&gt;=IFERROR(VLOOKUP($E36,bbs_sizes,4,FALSE),0),N($N36)&gt;=IFERROR(VLOOKUP($E36,bbs_sizes,4,FALSE),0),N($M36)&gt;=IFERROR(VLOOKUP($E36,bbs_sizes,6,FALSE),0),N($M36)&lt;=400+2*$E36,N($N36)&gt;=N($M36)/2+MAX(5*$E36,90)),AND(N($K36)&gt;=IFERROR(VLOOKUP($E36,bbs_sizes,4,FALSE),0),N($M36)&gt;=IFERROR(VLOOKUP($E36,bbs_sizes,4,FALSE),0)),AND(N($K36)&gt;=IFERROR(VLOOKUP($E36,bbs_sizes,4,FALSE),0),N($M36)&gt;=IFERROR(VLOOKUP($E36,bbs_sizes,4,FALSE),0),N($L36)&gt;=MAX(N($N36),N($O36)),N($L36)&lt;=N($N36)+N($O36)),AND(N($K36)&gt;=IFERROR(VLOOKUP($E36,bbs_sizes,4,FALSE),0),N($M36)&gt;=IFERROR(VLOOKUP($E36,bbs_sizes,4,FALSE),0),N($L36)&gt;=MAX(N($N36),N($O36)),N($L36)&lt;=N($N36)+N($O36)),AND(N($K36)&gt;=IFERROR(VLOOKUP($E36,bbs_sizes,4,FALSE),0),N($M36)&gt;=IFERROR(VLOOKUP($E36,bbs_sizes,4,FALSE),0),N($K36)&gt;=N($O36)),AND(N($K36)&gt;=IFERROR(VLOOKUP($E36,bbs_sizes,4,FALSE),0),N($M36)&gt;=IFERROR(VLOOKUP($E36,bbs_sizes,4,FALSE),0),N($K36)&gt;=N($O36)),AND(N($K36)&gt;=IFERROR(VLOOKUP($E36,bbs_sizes,4,FALSE),0),N($M36)&gt;=IFERROR(VLOOKUP($E36,bbs_sizes,4,FALSE),0),N($L36)&gt;=MAX(N($N36),N($O36)),N($L36)&lt;=N($N36)+N($O36)),AND(N($K36)&gt;=IFERROR(VLOOKUP($E36,bbs_sizes,4,FALSE),0),N($N36)&gt;=IFERROR(VLOOKUP($E36,bbs_sizes,4,FALSE),0)),AND(N($K36)&gt;=IFERROR(VLOOKUP($E36,bbs_sizes,4,FALSE),0),N($N36)&gt;=IFERROR(VLOOKUP($E36,bbs_sizes,4,FALSE),0)),AND(N($L36)&gt;=IFERROR(VLOOKUP($E36,bbs_sizes,6,FALSE),0),N($L36)&lt;=400+2*$E36,N($M36)&gt;=N($L36)/2+MAX(5*$E36,90),N($K36)&gt;=N($L36)/2+N($M36)),AND(N($K36)&gt;=IFERROR(VLOOKUP($E36,bbs_sizes,4,FALSE),0),N($O36)&gt;=IFERROR(VLOOKUP($E36,bbs_sizes,4,FALSE),0)),AND(N($K36)&gt;=IFERROR(VLOOKUP($E36,bbs_sizes,4,FALSE),0),N($O36)&gt;=IFERROR(VLOOKUP($E36,bbs_sizes,4,FALSE),0)),AND(N($M36)&lt;=N($K36),N($M36)&gt;=IFERROR(VLOOKUP($E36,bbs_sizes,5,FALSE),0)),AND(N($M36)&lt;=N($K36),N($M36)&lt;=N($L36),N($M36)&gt;=IFERROR(VLOOKUP($E36,bbs_sizes,5,FALSE),0)),AND(N($M36)&lt;=N($L36),N($M36)&gt;=IFERROR(VLOOKUP($E36,bbs_sizes,5,FALSE),0)),AND(N($O36)&lt;=N($K36),N($O36)&lt;=N($L36),N($O36)&gt;=IFERROR(VLOOKUP($E36,bbs_sizes,5,FALSE),0)),AND(N($M36)&lt;=N($K36),N($M36)&gt;=IFERROR(VLOOKUP($E36,bbs_sizes,4,FALSE),0)),TRUE,TRUE,TRUE,AND(N($M36)&gt;=IFERROR(VLOOKUP($E36,bbs_sizes,4,FALSE),0),N($N36)&gt;=IFERROR(VLOOKUP($E36,bbs_sizes,4,FALSE),0)),TRUE),FALSE),FALSE)</f>
        <v/>
      </c>
    </row>
    <row r="37" ht="15" customHeight="1">
      <c r="B37" s="25" t="n"/>
      <c r="C37" s="26" t="n"/>
      <c r="D37" s="26" t="n"/>
      <c r="E37" s="26" t="n"/>
      <c r="F37" s="26" t="n"/>
      <c r="G37" s="26" t="n"/>
      <c r="H37" s="27">
        <f>IF(IF(AND(ISNUMBER($F37),ISNUMBER($G37)),AND($F37&gt;0,$G37&gt;0,INT($F37)=$F37,INT($G37)=$G37),FALSE),$F37*$G37,"")</f>
        <v/>
      </c>
      <c r="I37" s="28">
        <f>IF(AND(AND($C37&lt;&gt;"",OR($D37="H",$D37="B",$D37="C"),ISNUMBER($E37),$J37&lt;&gt;""),IF(AND(ISNUMBER($F37),ISNUMBER($G37)),AND($F37&gt;0,$G37&gt;0,INT($F37)=$F37,INT($G37)=$G37),FALSE),$T37&gt;0,$S37&gt;0,$Y37,IF(ISNA(MATCH($X37,{"48","51","52","63"},0)),TRUE,IF(ISBLANK($N37),TRUE,IF(ISNUMBER($N37),$N37=$M37,FALSE))),$X37&lt;&gt;"99",$V37&gt;0,AND(IF(ISBLANK($K37),TRUE,IF(ISNUMBER($K37),MOD($K37,5)=0,FALSE)),IF(ISBLANK($L37),TRUE,IF(ISNUMBER($L37),MOD($L37,5)=0,FALSE)),IF(ISBLANK($M37),TRUE,IF($X37="77",TRUE,IF(ISNUMBER($M37),MOD($M37,5)=0,FALSE))),IF(ISBLANK($N37),TRUE,IF(ISNUMBER($N37),MOD($N37,5)=0,FALSE)),IF(ISBLANK($O37),TRUE,IF(ISNUMBER($O37),MOD($O37,5)=0,FALSE))),$Z37),CEILING($V37,25),"")</f>
        <v/>
      </c>
      <c r="J37" s="29" t="n"/>
      <c r="K37" s="26" t="n"/>
      <c r="L37" s="26" t="n"/>
      <c r="M37" s="26" t="n"/>
      <c r="N37" s="26" t="n"/>
      <c r="O37" s="26" t="n"/>
      <c r="P37" s="30">
        <f>IF(ISNUMBER($I37),$H37*$I37/1000*$U37,"")</f>
        <v/>
      </c>
      <c r="Q37" s="31">
        <f>IF(COUNTA($B37:$G37,$J37:$O37)=0,"",IF(NOT(AND($C37&lt;&gt;"",OR($D37="H",$D37="B",$D37="C"),ISNUMBER($E37),$J37&lt;&gt;"")),"! Incomplete",IF(NOT(IF(AND(ISNUMBER($F37),ISNUMBER($G37)),AND($F37&gt;0,$G37&gt;0,INT($F37)=$F37,INT($G37)=$G37),FALSE)),"! Quantities: whole numbers &gt; 0",IF($T37=0,"! Size not in Table 2",IF($S37=0,"! Unknown shape code",IF($X37="99","! Shape 99: length from the sketch",IF(NOT($Y37),"! Missing dimension",IF(NOT(IF(ISNA(MATCH($X37,{"48","51","52","63"},0)),TRUE,IF(ISBLANK($N37),TRUE,IF(ISNUMBER($N37),$N37=$M37,FALSE)))),"! D must equal C",IF($V37&lt;=0,"! Check dimensions",IF(NOT(AND(IF(ISBLANK($K37),TRUE,IF(ISNUMBER($K37),MOD($K37,5)=0,FALSE)),IF(ISBLANK($L37),TRUE,IF(ISNUMBER($L37),MOD($L37,5)=0,FALSE)),IF(ISBLANK($M37),TRUE,IF($X37="77",TRUE,IF(ISNUMBER($M37),MOD($M37,5)=0,FALSE))),IF(ISBLANK($N37),TRUE,IF(ISNUMBER($N37),MOD($N37,5)=0,FALSE)),IF(ISBLANK($O37),TRUE,IF(ISNUMBER($O37),MOD($O37,5)=0,FALSE)))),"! Dimensions to 5 mm",IF(NOT($Z37),"! Below Table 2 / 5 limits",IF($I37&gt;12000,"! Over 12 m stock","OK"))))))))))))</f>
        <v/>
      </c>
      <c r="S37" s="32">
        <f>IFERROR(MATCH($X37,{"00","01","11","12","13","21","22","23","24","26","27","28","29","31","32","33","41","44","48","51","52","56","63","67","75","77","98","99"},0),0)</f>
        <v/>
      </c>
      <c r="T37" s="32">
        <f>IFERROR(VLOOKUP($E37,bbs_sizes,2,FALSE),0)</f>
        <v/>
      </c>
      <c r="U37" s="32">
        <f>IFERROR(VLOOKUP($E37,bbs_sizes,3,FALSE),0)</f>
        <v/>
      </c>
      <c r="V37" s="32">
        <f>IFERROR(IF(AND($S37&gt;0,$Y37,$T37&gt;0),CHOOSE($S37,N($K37),N($K37),N($K37)+N($L37)-0.5*$T37-$E37,N($K37)+N($L37)-0.43*N($O37)-1.2*$E37,N($K37)+0.57*N($L37)+N($M37)-1.6*$E37,N($K37)+N($L37)+N($M37)-$T37-2*$E37,N($K37)+N($L37)+0.57*N($M37)+N($N37)-0.5*$T37-2.6*$E37,N($K37)+N($L37)+N($M37)-$T37-2*$E37,N($K37)+N($L37)+N($M37),N($K37)+N($L37)+N($M37),N($K37)+N($L37)+N($M37)-0.5*$T37-$E37,N($K37)+N($L37)+N($M37)-0.5*$T37-$E37,N($K37)+N($L37)+N($M37),N($K37)+N($L37)+N($M37)+N($N37)-1.5*$T37-3*$E37,N($K37)+N($L37)+N($M37)+N($N37)-1.5*$T37-3*$E37,2*N($K37)+1.7*N($L37)+2*N($M37)-4*$E37,N($K37)+N($L37)+N($M37)+N($N37)+N($O37)-2*$T37-4*$E37,N($K37)+N($L37)+N($M37)+N($N37)+N($O37)-2*$T37-4*$E37,2*N($K37)+N($L37)+2*N($M37)-$T37-2*$E37,2*(N($K37)+N($L37)+N($M37))-2.5*$T37-5*$E37,2*(N($K37)+N($L37)+N($M37))-1.5*$T37-3*$E37,N($K37)+N($L37)+N($M37)+N($N37)+2*N($O37)-1.5*$T37-3*$E37,2*N($K37)+3*N($L37)+2*N($M37)-3*$T37-6*$E37,N($K37),PI()*(N($K37)-$E37)+N($L37)+25,IF(N($L37)&lt;=N($K37)/5,N($M37)*PI()*(N($K37)-$E37),N($M37)*SQRT((PI()*(N($K37)-$E37))^2+N($L37)^2)),N($K37)+2*N($L37)+N($M37)+N($N37)-2*$T37-4*$E37,0),0),0)</f>
        <v/>
      </c>
      <c r="W37" s="32">
        <f>IF($S37&gt;0,CHOOSE($S37,"A","A","AB","ABE","ABC","ABC","ABCD","ABC","ABCDE","ABCDE","ABCDE","ABCDE","ABCDE","ABCD","ABCD","ABC","ABCDE","ABCDE","ABC","ABC","ABC","ABCDE","ABC","AE","AB","ABC","ABCD",""),"")</f>
        <v/>
      </c>
      <c r="X37" s="32">
        <f>IF(ISNUMBER($J37),IF(INT($J37)=$J37,TEXT($J37,"00"),"x"),IF(AND(LEN(TRIM($J37))=2,ISNUMBER(MID(TRIM($J37),1,1)*1),ISNUMBER(MID(TRIM($J37),2,1)*1),ISERROR(FIND(".",$J37))),TRIM($J37),"x"))</f>
        <v/>
      </c>
      <c r="Y37" s="32">
        <f>AND(IF(ISERROR(FIND("A",$W37)),TRUE,IF(ISNUMBER($K37),$K37&gt;0,FALSE)),IF(ISERROR(FIND("B",$W37)),TRUE,IF(ISNUMBER($L37),$L37&gt;0,FALSE)),IF(ISERROR(FIND("C",$W37)),TRUE,IF(ISNUMBER($M37),$M37&gt;0,FALSE)),IF(ISERROR(FIND("D",$W37)),TRUE,IF(ISNUMBER($N37),$N37&gt;0,FALSE)),IF(ISERROR(FIND("E",$W37)),TRUE,IF(ISNUMBER($O37),$O37&gt;0,FALSE)))</f>
        <v/>
      </c>
      <c r="Z37" s="32">
        <f>IFERROR(IF($S37&gt;0,CHOOSE($S37,TRUE,TRUE,AND(N($K37)&gt;=IFERROR(VLOOKUP($E37,bbs_sizes,4,FALSE),0),N($L37)&gt;=IFERROR(VLOOKUP($E37,bbs_sizes,4,FALSE),0)),AND(N($O37)&gt;=$T37,N($K37)&gt;=N($O37)+$E37+MAX(5*$E37,90),N($L37)&gt;=N($O37)+$E37+MAX(5*$E37,90)),AND(N($L37)&gt;=IFERROR(VLOOKUP($E37,bbs_sizes,6,FALSE),0),N($L37)&lt;=400+2*$E37,N($K37)&gt;=N($L37)/2+MAX(5*$E37,90),N($M37)&gt;=N($L37)/2+MAX(5*$E37,90)),AND(N($K37)&gt;=IFERROR(VLOOKUP($E37,bbs_sizes,4,FALSE),0),N($M37)&gt;=IFERROR(VLOOKUP($E37,bbs_sizes,4,FALSE),0)),AND(N($K37)&gt;=IFERROR(VLOOKUP($E37,bbs_sizes,4,FALSE),0),N($N37)&gt;=IFERROR(VLOOKUP($E37,bbs_sizes,4,FALSE),0),N($M37)&gt;=IFERROR(VLOOKUP($E37,bbs_sizes,6,FALSE),0),N($M37)&lt;=400+2*$E37,N($N37)&gt;=N($M37)/2+MAX(5*$E37,90)),AND(N($K37)&gt;=IFERROR(VLOOKUP($E37,bbs_sizes,4,FALSE),0),N($M37)&gt;=IFERROR(VLOOKUP($E37,bbs_sizes,4,FALSE),0)),AND(N($K37)&gt;=IFERROR(VLOOKUP($E37,bbs_sizes,4,FALSE),0),N($M37)&gt;=IFERROR(VLOOKUP($E37,bbs_sizes,4,FALSE),0),N($L37)&gt;=MAX(N($N37),N($O37)),N($L37)&lt;=N($N37)+N($O37)),AND(N($K37)&gt;=IFERROR(VLOOKUP($E37,bbs_sizes,4,FALSE),0),N($M37)&gt;=IFERROR(VLOOKUP($E37,bbs_sizes,4,FALSE),0),N($L37)&gt;=MAX(N($N37),N($O37)),N($L37)&lt;=N($N37)+N($O37)),AND(N($K37)&gt;=IFERROR(VLOOKUP($E37,bbs_sizes,4,FALSE),0),N($M37)&gt;=IFERROR(VLOOKUP($E37,bbs_sizes,4,FALSE),0),N($K37)&gt;=N($O37)),AND(N($K37)&gt;=IFERROR(VLOOKUP($E37,bbs_sizes,4,FALSE),0),N($M37)&gt;=IFERROR(VLOOKUP($E37,bbs_sizes,4,FALSE),0),N($K37)&gt;=N($O37)),AND(N($K37)&gt;=IFERROR(VLOOKUP($E37,bbs_sizes,4,FALSE),0),N($M37)&gt;=IFERROR(VLOOKUP($E37,bbs_sizes,4,FALSE),0),N($L37)&gt;=MAX(N($N37),N($O37)),N($L37)&lt;=N($N37)+N($O37)),AND(N($K37)&gt;=IFERROR(VLOOKUP($E37,bbs_sizes,4,FALSE),0),N($N37)&gt;=IFERROR(VLOOKUP($E37,bbs_sizes,4,FALSE),0)),AND(N($K37)&gt;=IFERROR(VLOOKUP($E37,bbs_sizes,4,FALSE),0),N($N37)&gt;=IFERROR(VLOOKUP($E37,bbs_sizes,4,FALSE),0)),AND(N($L37)&gt;=IFERROR(VLOOKUP($E37,bbs_sizes,6,FALSE),0),N($L37)&lt;=400+2*$E37,N($M37)&gt;=N($L37)/2+MAX(5*$E37,90),N($K37)&gt;=N($L37)/2+N($M37)),AND(N($K37)&gt;=IFERROR(VLOOKUP($E37,bbs_sizes,4,FALSE),0),N($O37)&gt;=IFERROR(VLOOKUP($E37,bbs_sizes,4,FALSE),0)),AND(N($K37)&gt;=IFERROR(VLOOKUP($E37,bbs_sizes,4,FALSE),0),N($O37)&gt;=IFERROR(VLOOKUP($E37,bbs_sizes,4,FALSE),0)),AND(N($M37)&lt;=N($K37),N($M37)&gt;=IFERROR(VLOOKUP($E37,bbs_sizes,5,FALSE),0)),AND(N($M37)&lt;=N($K37),N($M37)&lt;=N($L37),N($M37)&gt;=IFERROR(VLOOKUP($E37,bbs_sizes,5,FALSE),0)),AND(N($M37)&lt;=N($L37),N($M37)&gt;=IFERROR(VLOOKUP($E37,bbs_sizes,5,FALSE),0)),AND(N($O37)&lt;=N($K37),N($O37)&lt;=N($L37),N($O37)&gt;=IFERROR(VLOOKUP($E37,bbs_sizes,5,FALSE),0)),AND(N($M37)&lt;=N($K37),N($M37)&gt;=IFERROR(VLOOKUP($E37,bbs_sizes,4,FALSE),0)),TRUE,TRUE,TRUE,AND(N($M37)&gt;=IFERROR(VLOOKUP($E37,bbs_sizes,4,FALSE),0),N($N37)&gt;=IFERROR(VLOOKUP($E37,bbs_sizes,4,FALSE),0)),TRUE),FALSE),FALSE)</f>
        <v/>
      </c>
    </row>
    <row r="38" ht="15" customHeight="1">
      <c r="B38" s="25" t="n"/>
      <c r="C38" s="26" t="n"/>
      <c r="D38" s="26" t="n"/>
      <c r="E38" s="26" t="n"/>
      <c r="F38" s="26" t="n"/>
      <c r="G38" s="26" t="n"/>
      <c r="H38" s="27">
        <f>IF(IF(AND(ISNUMBER($F38),ISNUMBER($G38)),AND($F38&gt;0,$G38&gt;0,INT($F38)=$F38,INT($G38)=$G38),FALSE),$F38*$G38,"")</f>
        <v/>
      </c>
      <c r="I38" s="28">
        <f>IF(AND(AND($C38&lt;&gt;"",OR($D38="H",$D38="B",$D38="C"),ISNUMBER($E38),$J38&lt;&gt;""),IF(AND(ISNUMBER($F38),ISNUMBER($G38)),AND($F38&gt;0,$G38&gt;0,INT($F38)=$F38,INT($G38)=$G38),FALSE),$T38&gt;0,$S38&gt;0,$Y38,IF(ISNA(MATCH($X38,{"48","51","52","63"},0)),TRUE,IF(ISBLANK($N38),TRUE,IF(ISNUMBER($N38),$N38=$M38,FALSE))),$X38&lt;&gt;"99",$V38&gt;0,AND(IF(ISBLANK($K38),TRUE,IF(ISNUMBER($K38),MOD($K38,5)=0,FALSE)),IF(ISBLANK($L38),TRUE,IF(ISNUMBER($L38),MOD($L38,5)=0,FALSE)),IF(ISBLANK($M38),TRUE,IF($X38="77",TRUE,IF(ISNUMBER($M38),MOD($M38,5)=0,FALSE))),IF(ISBLANK($N38),TRUE,IF(ISNUMBER($N38),MOD($N38,5)=0,FALSE)),IF(ISBLANK($O38),TRUE,IF(ISNUMBER($O38),MOD($O38,5)=0,FALSE))),$Z38),CEILING($V38,25),"")</f>
        <v/>
      </c>
      <c r="J38" s="29" t="n"/>
      <c r="K38" s="26" t="n"/>
      <c r="L38" s="26" t="n"/>
      <c r="M38" s="26" t="n"/>
      <c r="N38" s="26" t="n"/>
      <c r="O38" s="26" t="n"/>
      <c r="P38" s="30">
        <f>IF(ISNUMBER($I38),$H38*$I38/1000*$U38,"")</f>
        <v/>
      </c>
      <c r="Q38" s="31">
        <f>IF(COUNTA($B38:$G38,$J38:$O38)=0,"",IF(NOT(AND($C38&lt;&gt;"",OR($D38="H",$D38="B",$D38="C"),ISNUMBER($E38),$J38&lt;&gt;"")),"! Incomplete",IF(NOT(IF(AND(ISNUMBER($F38),ISNUMBER($G38)),AND($F38&gt;0,$G38&gt;0,INT($F38)=$F38,INT($G38)=$G38),FALSE)),"! Quantities: whole numbers &gt; 0",IF($T38=0,"! Size not in Table 2",IF($S38=0,"! Unknown shape code",IF($X38="99","! Shape 99: length from the sketch",IF(NOT($Y38),"! Missing dimension",IF(NOT(IF(ISNA(MATCH($X38,{"48","51","52","63"},0)),TRUE,IF(ISBLANK($N38),TRUE,IF(ISNUMBER($N38),$N38=$M38,FALSE)))),"! D must equal C",IF($V38&lt;=0,"! Check dimensions",IF(NOT(AND(IF(ISBLANK($K38),TRUE,IF(ISNUMBER($K38),MOD($K38,5)=0,FALSE)),IF(ISBLANK($L38),TRUE,IF(ISNUMBER($L38),MOD($L38,5)=0,FALSE)),IF(ISBLANK($M38),TRUE,IF($X38="77",TRUE,IF(ISNUMBER($M38),MOD($M38,5)=0,FALSE))),IF(ISBLANK($N38),TRUE,IF(ISNUMBER($N38),MOD($N38,5)=0,FALSE)),IF(ISBLANK($O38),TRUE,IF(ISNUMBER($O38),MOD($O38,5)=0,FALSE)))),"! Dimensions to 5 mm",IF(NOT($Z38),"! Below Table 2 / 5 limits",IF($I38&gt;12000,"! Over 12 m stock","OK"))))))))))))</f>
        <v/>
      </c>
      <c r="S38" s="32">
        <f>IFERROR(MATCH($X38,{"00","01","11","12","13","21","22","23","24","26","27","28","29","31","32","33","41","44","48","51","52","56","63","67","75","77","98","99"},0),0)</f>
        <v/>
      </c>
      <c r="T38" s="32">
        <f>IFERROR(VLOOKUP($E38,bbs_sizes,2,FALSE),0)</f>
        <v/>
      </c>
      <c r="U38" s="32">
        <f>IFERROR(VLOOKUP($E38,bbs_sizes,3,FALSE),0)</f>
        <v/>
      </c>
      <c r="V38" s="32">
        <f>IFERROR(IF(AND($S38&gt;0,$Y38,$T38&gt;0),CHOOSE($S38,N($K38),N($K38),N($K38)+N($L38)-0.5*$T38-$E38,N($K38)+N($L38)-0.43*N($O38)-1.2*$E38,N($K38)+0.57*N($L38)+N($M38)-1.6*$E38,N($K38)+N($L38)+N($M38)-$T38-2*$E38,N($K38)+N($L38)+0.57*N($M38)+N($N38)-0.5*$T38-2.6*$E38,N($K38)+N($L38)+N($M38)-$T38-2*$E38,N($K38)+N($L38)+N($M38),N($K38)+N($L38)+N($M38),N($K38)+N($L38)+N($M38)-0.5*$T38-$E38,N($K38)+N($L38)+N($M38)-0.5*$T38-$E38,N($K38)+N($L38)+N($M38),N($K38)+N($L38)+N($M38)+N($N38)-1.5*$T38-3*$E38,N($K38)+N($L38)+N($M38)+N($N38)-1.5*$T38-3*$E38,2*N($K38)+1.7*N($L38)+2*N($M38)-4*$E38,N($K38)+N($L38)+N($M38)+N($N38)+N($O38)-2*$T38-4*$E38,N($K38)+N($L38)+N($M38)+N($N38)+N($O38)-2*$T38-4*$E38,2*N($K38)+N($L38)+2*N($M38)-$T38-2*$E38,2*(N($K38)+N($L38)+N($M38))-2.5*$T38-5*$E38,2*(N($K38)+N($L38)+N($M38))-1.5*$T38-3*$E38,N($K38)+N($L38)+N($M38)+N($N38)+2*N($O38)-1.5*$T38-3*$E38,2*N($K38)+3*N($L38)+2*N($M38)-3*$T38-6*$E38,N($K38),PI()*(N($K38)-$E38)+N($L38)+25,IF(N($L38)&lt;=N($K38)/5,N($M38)*PI()*(N($K38)-$E38),N($M38)*SQRT((PI()*(N($K38)-$E38))^2+N($L38)^2)),N($K38)+2*N($L38)+N($M38)+N($N38)-2*$T38-4*$E38,0),0),0)</f>
        <v/>
      </c>
      <c r="W38" s="32">
        <f>IF($S38&gt;0,CHOOSE($S38,"A","A","AB","ABE","ABC","ABC","ABCD","ABC","ABCDE","ABCDE","ABCDE","ABCDE","ABCDE","ABCD","ABCD","ABC","ABCDE","ABCDE","ABC","ABC","ABC","ABCDE","ABC","AE","AB","ABC","ABCD",""),"")</f>
        <v/>
      </c>
      <c r="X38" s="32">
        <f>IF(ISNUMBER($J38),IF(INT($J38)=$J38,TEXT($J38,"00"),"x"),IF(AND(LEN(TRIM($J38))=2,ISNUMBER(MID(TRIM($J38),1,1)*1),ISNUMBER(MID(TRIM($J38),2,1)*1),ISERROR(FIND(".",$J38))),TRIM($J38),"x"))</f>
        <v/>
      </c>
      <c r="Y38" s="32">
        <f>AND(IF(ISERROR(FIND("A",$W38)),TRUE,IF(ISNUMBER($K38),$K38&gt;0,FALSE)),IF(ISERROR(FIND("B",$W38)),TRUE,IF(ISNUMBER($L38),$L38&gt;0,FALSE)),IF(ISERROR(FIND("C",$W38)),TRUE,IF(ISNUMBER($M38),$M38&gt;0,FALSE)),IF(ISERROR(FIND("D",$W38)),TRUE,IF(ISNUMBER($N38),$N38&gt;0,FALSE)),IF(ISERROR(FIND("E",$W38)),TRUE,IF(ISNUMBER($O38),$O38&gt;0,FALSE)))</f>
        <v/>
      </c>
      <c r="Z38" s="32">
        <f>IFERROR(IF($S38&gt;0,CHOOSE($S38,TRUE,TRUE,AND(N($K38)&gt;=IFERROR(VLOOKUP($E38,bbs_sizes,4,FALSE),0),N($L38)&gt;=IFERROR(VLOOKUP($E38,bbs_sizes,4,FALSE),0)),AND(N($O38)&gt;=$T38,N($K38)&gt;=N($O38)+$E38+MAX(5*$E38,90),N($L38)&gt;=N($O38)+$E38+MAX(5*$E38,90)),AND(N($L38)&gt;=IFERROR(VLOOKUP($E38,bbs_sizes,6,FALSE),0),N($L38)&lt;=400+2*$E38,N($K38)&gt;=N($L38)/2+MAX(5*$E38,90),N($M38)&gt;=N($L38)/2+MAX(5*$E38,90)),AND(N($K38)&gt;=IFERROR(VLOOKUP($E38,bbs_sizes,4,FALSE),0),N($M38)&gt;=IFERROR(VLOOKUP($E38,bbs_sizes,4,FALSE),0)),AND(N($K38)&gt;=IFERROR(VLOOKUP($E38,bbs_sizes,4,FALSE),0),N($N38)&gt;=IFERROR(VLOOKUP($E38,bbs_sizes,4,FALSE),0),N($M38)&gt;=IFERROR(VLOOKUP($E38,bbs_sizes,6,FALSE),0),N($M38)&lt;=400+2*$E38,N($N38)&gt;=N($M38)/2+MAX(5*$E38,90)),AND(N($K38)&gt;=IFERROR(VLOOKUP($E38,bbs_sizes,4,FALSE),0),N($M38)&gt;=IFERROR(VLOOKUP($E38,bbs_sizes,4,FALSE),0)),AND(N($K38)&gt;=IFERROR(VLOOKUP($E38,bbs_sizes,4,FALSE),0),N($M38)&gt;=IFERROR(VLOOKUP($E38,bbs_sizes,4,FALSE),0),N($L38)&gt;=MAX(N($N38),N($O38)),N($L38)&lt;=N($N38)+N($O38)),AND(N($K38)&gt;=IFERROR(VLOOKUP($E38,bbs_sizes,4,FALSE),0),N($M38)&gt;=IFERROR(VLOOKUP($E38,bbs_sizes,4,FALSE),0),N($L38)&gt;=MAX(N($N38),N($O38)),N($L38)&lt;=N($N38)+N($O38)),AND(N($K38)&gt;=IFERROR(VLOOKUP($E38,bbs_sizes,4,FALSE),0),N($M38)&gt;=IFERROR(VLOOKUP($E38,bbs_sizes,4,FALSE),0),N($K38)&gt;=N($O38)),AND(N($K38)&gt;=IFERROR(VLOOKUP($E38,bbs_sizes,4,FALSE),0),N($M38)&gt;=IFERROR(VLOOKUP($E38,bbs_sizes,4,FALSE),0),N($K38)&gt;=N($O38)),AND(N($K38)&gt;=IFERROR(VLOOKUP($E38,bbs_sizes,4,FALSE),0),N($M38)&gt;=IFERROR(VLOOKUP($E38,bbs_sizes,4,FALSE),0),N($L38)&gt;=MAX(N($N38),N($O38)),N($L38)&lt;=N($N38)+N($O38)),AND(N($K38)&gt;=IFERROR(VLOOKUP($E38,bbs_sizes,4,FALSE),0),N($N38)&gt;=IFERROR(VLOOKUP($E38,bbs_sizes,4,FALSE),0)),AND(N($K38)&gt;=IFERROR(VLOOKUP($E38,bbs_sizes,4,FALSE),0),N($N38)&gt;=IFERROR(VLOOKUP($E38,bbs_sizes,4,FALSE),0)),AND(N($L38)&gt;=IFERROR(VLOOKUP($E38,bbs_sizes,6,FALSE),0),N($L38)&lt;=400+2*$E38,N($M38)&gt;=N($L38)/2+MAX(5*$E38,90),N($K38)&gt;=N($L38)/2+N($M38)),AND(N($K38)&gt;=IFERROR(VLOOKUP($E38,bbs_sizes,4,FALSE),0),N($O38)&gt;=IFERROR(VLOOKUP($E38,bbs_sizes,4,FALSE),0)),AND(N($K38)&gt;=IFERROR(VLOOKUP($E38,bbs_sizes,4,FALSE),0),N($O38)&gt;=IFERROR(VLOOKUP($E38,bbs_sizes,4,FALSE),0)),AND(N($M38)&lt;=N($K38),N($M38)&gt;=IFERROR(VLOOKUP($E38,bbs_sizes,5,FALSE),0)),AND(N($M38)&lt;=N($K38),N($M38)&lt;=N($L38),N($M38)&gt;=IFERROR(VLOOKUP($E38,bbs_sizes,5,FALSE),0)),AND(N($M38)&lt;=N($L38),N($M38)&gt;=IFERROR(VLOOKUP($E38,bbs_sizes,5,FALSE),0)),AND(N($O38)&lt;=N($K38),N($O38)&lt;=N($L38),N($O38)&gt;=IFERROR(VLOOKUP($E38,bbs_sizes,5,FALSE),0)),AND(N($M38)&lt;=N($K38),N($M38)&gt;=IFERROR(VLOOKUP($E38,bbs_sizes,4,FALSE),0)),TRUE,TRUE,TRUE,AND(N($M38)&gt;=IFERROR(VLOOKUP($E38,bbs_sizes,4,FALSE),0),N($N38)&gt;=IFERROR(VLOOKUP($E38,bbs_sizes,4,FALSE),0)),TRUE),FALSE),FALSE)</f>
        <v/>
      </c>
    </row>
    <row r="39" ht="15" customHeight="1">
      <c r="B39" s="25" t="n"/>
      <c r="C39" s="26" t="n"/>
      <c r="D39" s="26" t="n"/>
      <c r="E39" s="26" t="n"/>
      <c r="F39" s="26" t="n"/>
      <c r="G39" s="26" t="n"/>
      <c r="H39" s="27">
        <f>IF(IF(AND(ISNUMBER($F39),ISNUMBER($G39)),AND($F39&gt;0,$G39&gt;0,INT($F39)=$F39,INT($G39)=$G39),FALSE),$F39*$G39,"")</f>
        <v/>
      </c>
      <c r="I39" s="28">
        <f>IF(AND(AND($C39&lt;&gt;"",OR($D39="H",$D39="B",$D39="C"),ISNUMBER($E39),$J39&lt;&gt;""),IF(AND(ISNUMBER($F39),ISNUMBER($G39)),AND($F39&gt;0,$G39&gt;0,INT($F39)=$F39,INT($G39)=$G39),FALSE),$T39&gt;0,$S39&gt;0,$Y39,IF(ISNA(MATCH($X39,{"48","51","52","63"},0)),TRUE,IF(ISBLANK($N39),TRUE,IF(ISNUMBER($N39),$N39=$M39,FALSE))),$X39&lt;&gt;"99",$V39&gt;0,AND(IF(ISBLANK($K39),TRUE,IF(ISNUMBER($K39),MOD($K39,5)=0,FALSE)),IF(ISBLANK($L39),TRUE,IF(ISNUMBER($L39),MOD($L39,5)=0,FALSE)),IF(ISBLANK($M39),TRUE,IF($X39="77",TRUE,IF(ISNUMBER($M39),MOD($M39,5)=0,FALSE))),IF(ISBLANK($N39),TRUE,IF(ISNUMBER($N39),MOD($N39,5)=0,FALSE)),IF(ISBLANK($O39),TRUE,IF(ISNUMBER($O39),MOD($O39,5)=0,FALSE))),$Z39),CEILING($V39,25),"")</f>
        <v/>
      </c>
      <c r="J39" s="29" t="n"/>
      <c r="K39" s="26" t="n"/>
      <c r="L39" s="26" t="n"/>
      <c r="M39" s="26" t="n"/>
      <c r="N39" s="26" t="n"/>
      <c r="O39" s="26" t="n"/>
      <c r="P39" s="30">
        <f>IF(ISNUMBER($I39),$H39*$I39/1000*$U39,"")</f>
        <v/>
      </c>
      <c r="Q39" s="31">
        <f>IF(COUNTA($B39:$G39,$J39:$O39)=0,"",IF(NOT(AND($C39&lt;&gt;"",OR($D39="H",$D39="B",$D39="C"),ISNUMBER($E39),$J39&lt;&gt;"")),"! Incomplete",IF(NOT(IF(AND(ISNUMBER($F39),ISNUMBER($G39)),AND($F39&gt;0,$G39&gt;0,INT($F39)=$F39,INT($G39)=$G39),FALSE)),"! Quantities: whole numbers &gt; 0",IF($T39=0,"! Size not in Table 2",IF($S39=0,"! Unknown shape code",IF($X39="99","! Shape 99: length from the sketch",IF(NOT($Y39),"! Missing dimension",IF(NOT(IF(ISNA(MATCH($X39,{"48","51","52","63"},0)),TRUE,IF(ISBLANK($N39),TRUE,IF(ISNUMBER($N39),$N39=$M39,FALSE)))),"! D must equal C",IF($V39&lt;=0,"! Check dimensions",IF(NOT(AND(IF(ISBLANK($K39),TRUE,IF(ISNUMBER($K39),MOD($K39,5)=0,FALSE)),IF(ISBLANK($L39),TRUE,IF(ISNUMBER($L39),MOD($L39,5)=0,FALSE)),IF(ISBLANK($M39),TRUE,IF($X39="77",TRUE,IF(ISNUMBER($M39),MOD($M39,5)=0,FALSE))),IF(ISBLANK($N39),TRUE,IF(ISNUMBER($N39),MOD($N39,5)=0,FALSE)),IF(ISBLANK($O39),TRUE,IF(ISNUMBER($O39),MOD($O39,5)=0,FALSE)))),"! Dimensions to 5 mm",IF(NOT($Z39),"! Below Table 2 / 5 limits",IF($I39&gt;12000,"! Over 12 m stock","OK"))))))))))))</f>
        <v/>
      </c>
      <c r="S39" s="32">
        <f>IFERROR(MATCH($X39,{"00","01","11","12","13","21","22","23","24","26","27","28","29","31","32","33","41","44","48","51","52","56","63","67","75","77","98","99"},0),0)</f>
        <v/>
      </c>
      <c r="T39" s="32">
        <f>IFERROR(VLOOKUP($E39,bbs_sizes,2,FALSE),0)</f>
        <v/>
      </c>
      <c r="U39" s="32">
        <f>IFERROR(VLOOKUP($E39,bbs_sizes,3,FALSE),0)</f>
        <v/>
      </c>
      <c r="V39" s="32">
        <f>IFERROR(IF(AND($S39&gt;0,$Y39,$T39&gt;0),CHOOSE($S39,N($K39),N($K39),N($K39)+N($L39)-0.5*$T39-$E39,N($K39)+N($L39)-0.43*N($O39)-1.2*$E39,N($K39)+0.57*N($L39)+N($M39)-1.6*$E39,N($K39)+N($L39)+N($M39)-$T39-2*$E39,N($K39)+N($L39)+0.57*N($M39)+N($N39)-0.5*$T39-2.6*$E39,N($K39)+N($L39)+N($M39)-$T39-2*$E39,N($K39)+N($L39)+N($M39),N($K39)+N($L39)+N($M39),N($K39)+N($L39)+N($M39)-0.5*$T39-$E39,N($K39)+N($L39)+N($M39)-0.5*$T39-$E39,N($K39)+N($L39)+N($M39),N($K39)+N($L39)+N($M39)+N($N39)-1.5*$T39-3*$E39,N($K39)+N($L39)+N($M39)+N($N39)-1.5*$T39-3*$E39,2*N($K39)+1.7*N($L39)+2*N($M39)-4*$E39,N($K39)+N($L39)+N($M39)+N($N39)+N($O39)-2*$T39-4*$E39,N($K39)+N($L39)+N($M39)+N($N39)+N($O39)-2*$T39-4*$E39,2*N($K39)+N($L39)+2*N($M39)-$T39-2*$E39,2*(N($K39)+N($L39)+N($M39))-2.5*$T39-5*$E39,2*(N($K39)+N($L39)+N($M39))-1.5*$T39-3*$E39,N($K39)+N($L39)+N($M39)+N($N39)+2*N($O39)-1.5*$T39-3*$E39,2*N($K39)+3*N($L39)+2*N($M39)-3*$T39-6*$E39,N($K39),PI()*(N($K39)-$E39)+N($L39)+25,IF(N($L39)&lt;=N($K39)/5,N($M39)*PI()*(N($K39)-$E39),N($M39)*SQRT((PI()*(N($K39)-$E39))^2+N($L39)^2)),N($K39)+2*N($L39)+N($M39)+N($N39)-2*$T39-4*$E39,0),0),0)</f>
        <v/>
      </c>
      <c r="W39" s="32">
        <f>IF($S39&gt;0,CHOOSE($S39,"A","A","AB","ABE","ABC","ABC","ABCD","ABC","ABCDE","ABCDE","ABCDE","ABCDE","ABCDE","ABCD","ABCD","ABC","ABCDE","ABCDE","ABC","ABC","ABC","ABCDE","ABC","AE","AB","ABC","ABCD",""),"")</f>
        <v/>
      </c>
      <c r="X39" s="32">
        <f>IF(ISNUMBER($J39),IF(INT($J39)=$J39,TEXT($J39,"00"),"x"),IF(AND(LEN(TRIM($J39))=2,ISNUMBER(MID(TRIM($J39),1,1)*1),ISNUMBER(MID(TRIM($J39),2,1)*1),ISERROR(FIND(".",$J39))),TRIM($J39),"x"))</f>
        <v/>
      </c>
      <c r="Y39" s="32">
        <f>AND(IF(ISERROR(FIND("A",$W39)),TRUE,IF(ISNUMBER($K39),$K39&gt;0,FALSE)),IF(ISERROR(FIND("B",$W39)),TRUE,IF(ISNUMBER($L39),$L39&gt;0,FALSE)),IF(ISERROR(FIND("C",$W39)),TRUE,IF(ISNUMBER($M39),$M39&gt;0,FALSE)),IF(ISERROR(FIND("D",$W39)),TRUE,IF(ISNUMBER($N39),$N39&gt;0,FALSE)),IF(ISERROR(FIND("E",$W39)),TRUE,IF(ISNUMBER($O39),$O39&gt;0,FALSE)))</f>
        <v/>
      </c>
      <c r="Z39" s="32">
        <f>IFERROR(IF($S39&gt;0,CHOOSE($S39,TRUE,TRUE,AND(N($K39)&gt;=IFERROR(VLOOKUP($E39,bbs_sizes,4,FALSE),0),N($L39)&gt;=IFERROR(VLOOKUP($E39,bbs_sizes,4,FALSE),0)),AND(N($O39)&gt;=$T39,N($K39)&gt;=N($O39)+$E39+MAX(5*$E39,90),N($L39)&gt;=N($O39)+$E39+MAX(5*$E39,90)),AND(N($L39)&gt;=IFERROR(VLOOKUP($E39,bbs_sizes,6,FALSE),0),N($L39)&lt;=400+2*$E39,N($K39)&gt;=N($L39)/2+MAX(5*$E39,90),N($M39)&gt;=N($L39)/2+MAX(5*$E39,90)),AND(N($K39)&gt;=IFERROR(VLOOKUP($E39,bbs_sizes,4,FALSE),0),N($M39)&gt;=IFERROR(VLOOKUP($E39,bbs_sizes,4,FALSE),0)),AND(N($K39)&gt;=IFERROR(VLOOKUP($E39,bbs_sizes,4,FALSE),0),N($N39)&gt;=IFERROR(VLOOKUP($E39,bbs_sizes,4,FALSE),0),N($M39)&gt;=IFERROR(VLOOKUP($E39,bbs_sizes,6,FALSE),0),N($M39)&lt;=400+2*$E39,N($N39)&gt;=N($M39)/2+MAX(5*$E39,90)),AND(N($K39)&gt;=IFERROR(VLOOKUP($E39,bbs_sizes,4,FALSE),0),N($M39)&gt;=IFERROR(VLOOKUP($E39,bbs_sizes,4,FALSE),0)),AND(N($K39)&gt;=IFERROR(VLOOKUP($E39,bbs_sizes,4,FALSE),0),N($M39)&gt;=IFERROR(VLOOKUP($E39,bbs_sizes,4,FALSE),0),N($L39)&gt;=MAX(N($N39),N($O39)),N($L39)&lt;=N($N39)+N($O39)),AND(N($K39)&gt;=IFERROR(VLOOKUP($E39,bbs_sizes,4,FALSE),0),N($M39)&gt;=IFERROR(VLOOKUP($E39,bbs_sizes,4,FALSE),0),N($L39)&gt;=MAX(N($N39),N($O39)),N($L39)&lt;=N($N39)+N($O39)),AND(N($K39)&gt;=IFERROR(VLOOKUP($E39,bbs_sizes,4,FALSE),0),N($M39)&gt;=IFERROR(VLOOKUP($E39,bbs_sizes,4,FALSE),0),N($K39)&gt;=N($O39)),AND(N($K39)&gt;=IFERROR(VLOOKUP($E39,bbs_sizes,4,FALSE),0),N($M39)&gt;=IFERROR(VLOOKUP($E39,bbs_sizes,4,FALSE),0),N($K39)&gt;=N($O39)),AND(N($K39)&gt;=IFERROR(VLOOKUP($E39,bbs_sizes,4,FALSE),0),N($M39)&gt;=IFERROR(VLOOKUP($E39,bbs_sizes,4,FALSE),0),N($L39)&gt;=MAX(N($N39),N($O39)),N($L39)&lt;=N($N39)+N($O39)),AND(N($K39)&gt;=IFERROR(VLOOKUP($E39,bbs_sizes,4,FALSE),0),N($N39)&gt;=IFERROR(VLOOKUP($E39,bbs_sizes,4,FALSE),0)),AND(N($K39)&gt;=IFERROR(VLOOKUP($E39,bbs_sizes,4,FALSE),0),N($N39)&gt;=IFERROR(VLOOKUP($E39,bbs_sizes,4,FALSE),0)),AND(N($L39)&gt;=IFERROR(VLOOKUP($E39,bbs_sizes,6,FALSE),0),N($L39)&lt;=400+2*$E39,N($M39)&gt;=N($L39)/2+MAX(5*$E39,90),N($K39)&gt;=N($L39)/2+N($M39)),AND(N($K39)&gt;=IFERROR(VLOOKUP($E39,bbs_sizes,4,FALSE),0),N($O39)&gt;=IFERROR(VLOOKUP($E39,bbs_sizes,4,FALSE),0)),AND(N($K39)&gt;=IFERROR(VLOOKUP($E39,bbs_sizes,4,FALSE),0),N($O39)&gt;=IFERROR(VLOOKUP($E39,bbs_sizes,4,FALSE),0)),AND(N($M39)&lt;=N($K39),N($M39)&gt;=IFERROR(VLOOKUP($E39,bbs_sizes,5,FALSE),0)),AND(N($M39)&lt;=N($K39),N($M39)&lt;=N($L39),N($M39)&gt;=IFERROR(VLOOKUP($E39,bbs_sizes,5,FALSE),0)),AND(N($M39)&lt;=N($L39),N($M39)&gt;=IFERROR(VLOOKUP($E39,bbs_sizes,5,FALSE),0)),AND(N($O39)&lt;=N($K39),N($O39)&lt;=N($L39),N($O39)&gt;=IFERROR(VLOOKUP($E39,bbs_sizes,5,FALSE),0)),AND(N($M39)&lt;=N($K39),N($M39)&gt;=IFERROR(VLOOKUP($E39,bbs_sizes,4,FALSE),0)),TRUE,TRUE,TRUE,AND(N($M39)&gt;=IFERROR(VLOOKUP($E39,bbs_sizes,4,FALSE),0),N($N39)&gt;=IFERROR(VLOOKUP($E39,bbs_sizes,4,FALSE),0)),TRUE),FALSE),FALSE)</f>
        <v/>
      </c>
    </row>
    <row r="40" ht="15" customHeight="1">
      <c r="B40" s="25" t="n"/>
      <c r="C40" s="26" t="n"/>
      <c r="D40" s="26" t="n"/>
      <c r="E40" s="26" t="n"/>
      <c r="F40" s="26" t="n"/>
      <c r="G40" s="26" t="n"/>
      <c r="H40" s="27">
        <f>IF(IF(AND(ISNUMBER($F40),ISNUMBER($G40)),AND($F40&gt;0,$G40&gt;0,INT($F40)=$F40,INT($G40)=$G40),FALSE),$F40*$G40,"")</f>
        <v/>
      </c>
      <c r="I40" s="28">
        <f>IF(AND(AND($C40&lt;&gt;"",OR($D40="H",$D40="B",$D40="C"),ISNUMBER($E40),$J40&lt;&gt;""),IF(AND(ISNUMBER($F40),ISNUMBER($G40)),AND($F40&gt;0,$G40&gt;0,INT($F40)=$F40,INT($G40)=$G40),FALSE),$T40&gt;0,$S40&gt;0,$Y40,IF(ISNA(MATCH($X40,{"48","51","52","63"},0)),TRUE,IF(ISBLANK($N40),TRUE,IF(ISNUMBER($N40),$N40=$M40,FALSE))),$X40&lt;&gt;"99",$V40&gt;0,AND(IF(ISBLANK($K40),TRUE,IF(ISNUMBER($K40),MOD($K40,5)=0,FALSE)),IF(ISBLANK($L40),TRUE,IF(ISNUMBER($L40),MOD($L40,5)=0,FALSE)),IF(ISBLANK($M40),TRUE,IF($X40="77",TRUE,IF(ISNUMBER($M40),MOD($M40,5)=0,FALSE))),IF(ISBLANK($N40),TRUE,IF(ISNUMBER($N40),MOD($N40,5)=0,FALSE)),IF(ISBLANK($O40),TRUE,IF(ISNUMBER($O40),MOD($O40,5)=0,FALSE))),$Z40),CEILING($V40,25),"")</f>
        <v/>
      </c>
      <c r="J40" s="29" t="n"/>
      <c r="K40" s="26" t="n"/>
      <c r="L40" s="26" t="n"/>
      <c r="M40" s="26" t="n"/>
      <c r="N40" s="26" t="n"/>
      <c r="O40" s="26" t="n"/>
      <c r="P40" s="30">
        <f>IF(ISNUMBER($I40),$H40*$I40/1000*$U40,"")</f>
        <v/>
      </c>
      <c r="Q40" s="31">
        <f>IF(COUNTA($B40:$G40,$J40:$O40)=0,"",IF(NOT(AND($C40&lt;&gt;"",OR($D40="H",$D40="B",$D40="C"),ISNUMBER($E40),$J40&lt;&gt;"")),"! Incomplete",IF(NOT(IF(AND(ISNUMBER($F40),ISNUMBER($G40)),AND($F40&gt;0,$G40&gt;0,INT($F40)=$F40,INT($G40)=$G40),FALSE)),"! Quantities: whole numbers &gt; 0",IF($T40=0,"! Size not in Table 2",IF($S40=0,"! Unknown shape code",IF($X40="99","! Shape 99: length from the sketch",IF(NOT($Y40),"! Missing dimension",IF(NOT(IF(ISNA(MATCH($X40,{"48","51","52","63"},0)),TRUE,IF(ISBLANK($N40),TRUE,IF(ISNUMBER($N40),$N40=$M40,FALSE)))),"! D must equal C",IF($V40&lt;=0,"! Check dimensions",IF(NOT(AND(IF(ISBLANK($K40),TRUE,IF(ISNUMBER($K40),MOD($K40,5)=0,FALSE)),IF(ISBLANK($L40),TRUE,IF(ISNUMBER($L40),MOD($L40,5)=0,FALSE)),IF(ISBLANK($M40),TRUE,IF($X40="77",TRUE,IF(ISNUMBER($M40),MOD($M40,5)=0,FALSE))),IF(ISBLANK($N40),TRUE,IF(ISNUMBER($N40),MOD($N40,5)=0,FALSE)),IF(ISBLANK($O40),TRUE,IF(ISNUMBER($O40),MOD($O40,5)=0,FALSE)))),"! Dimensions to 5 mm",IF(NOT($Z40),"! Below Table 2 / 5 limits",IF($I40&gt;12000,"! Over 12 m stock","OK"))))))))))))</f>
        <v/>
      </c>
      <c r="S40" s="32">
        <f>IFERROR(MATCH($X40,{"00","01","11","12","13","21","22","23","24","26","27","28","29","31","32","33","41","44","48","51","52","56","63","67","75","77","98","99"},0),0)</f>
        <v/>
      </c>
      <c r="T40" s="32">
        <f>IFERROR(VLOOKUP($E40,bbs_sizes,2,FALSE),0)</f>
        <v/>
      </c>
      <c r="U40" s="32">
        <f>IFERROR(VLOOKUP($E40,bbs_sizes,3,FALSE),0)</f>
        <v/>
      </c>
      <c r="V40" s="32">
        <f>IFERROR(IF(AND($S40&gt;0,$Y40,$T40&gt;0),CHOOSE($S40,N($K40),N($K40),N($K40)+N($L40)-0.5*$T40-$E40,N($K40)+N($L40)-0.43*N($O40)-1.2*$E40,N($K40)+0.57*N($L40)+N($M40)-1.6*$E40,N($K40)+N($L40)+N($M40)-$T40-2*$E40,N($K40)+N($L40)+0.57*N($M40)+N($N40)-0.5*$T40-2.6*$E40,N($K40)+N($L40)+N($M40)-$T40-2*$E40,N($K40)+N($L40)+N($M40),N($K40)+N($L40)+N($M40),N($K40)+N($L40)+N($M40)-0.5*$T40-$E40,N($K40)+N($L40)+N($M40)-0.5*$T40-$E40,N($K40)+N($L40)+N($M40),N($K40)+N($L40)+N($M40)+N($N40)-1.5*$T40-3*$E40,N($K40)+N($L40)+N($M40)+N($N40)-1.5*$T40-3*$E40,2*N($K40)+1.7*N($L40)+2*N($M40)-4*$E40,N($K40)+N($L40)+N($M40)+N($N40)+N($O40)-2*$T40-4*$E40,N($K40)+N($L40)+N($M40)+N($N40)+N($O40)-2*$T40-4*$E40,2*N($K40)+N($L40)+2*N($M40)-$T40-2*$E40,2*(N($K40)+N($L40)+N($M40))-2.5*$T40-5*$E40,2*(N($K40)+N($L40)+N($M40))-1.5*$T40-3*$E40,N($K40)+N($L40)+N($M40)+N($N40)+2*N($O40)-1.5*$T40-3*$E40,2*N($K40)+3*N($L40)+2*N($M40)-3*$T40-6*$E40,N($K40),PI()*(N($K40)-$E40)+N($L40)+25,IF(N($L40)&lt;=N($K40)/5,N($M40)*PI()*(N($K40)-$E40),N($M40)*SQRT((PI()*(N($K40)-$E40))^2+N($L40)^2)),N($K40)+2*N($L40)+N($M40)+N($N40)-2*$T40-4*$E40,0),0),0)</f>
        <v/>
      </c>
      <c r="W40" s="32">
        <f>IF($S40&gt;0,CHOOSE($S40,"A","A","AB","ABE","ABC","ABC","ABCD","ABC","ABCDE","ABCDE","ABCDE","ABCDE","ABCDE","ABCD","ABCD","ABC","ABCDE","ABCDE","ABC","ABC","ABC","ABCDE","ABC","AE","AB","ABC","ABCD",""),"")</f>
        <v/>
      </c>
      <c r="X40" s="32">
        <f>IF(ISNUMBER($J40),IF(INT($J40)=$J40,TEXT($J40,"00"),"x"),IF(AND(LEN(TRIM($J40))=2,ISNUMBER(MID(TRIM($J40),1,1)*1),ISNUMBER(MID(TRIM($J40),2,1)*1),ISERROR(FIND(".",$J40))),TRIM($J40),"x"))</f>
        <v/>
      </c>
      <c r="Y40" s="32">
        <f>AND(IF(ISERROR(FIND("A",$W40)),TRUE,IF(ISNUMBER($K40),$K40&gt;0,FALSE)),IF(ISERROR(FIND("B",$W40)),TRUE,IF(ISNUMBER($L40),$L40&gt;0,FALSE)),IF(ISERROR(FIND("C",$W40)),TRUE,IF(ISNUMBER($M40),$M40&gt;0,FALSE)),IF(ISERROR(FIND("D",$W40)),TRUE,IF(ISNUMBER($N40),$N40&gt;0,FALSE)),IF(ISERROR(FIND("E",$W40)),TRUE,IF(ISNUMBER($O40),$O40&gt;0,FALSE)))</f>
        <v/>
      </c>
      <c r="Z40" s="32">
        <f>IFERROR(IF($S40&gt;0,CHOOSE($S40,TRUE,TRUE,AND(N($K40)&gt;=IFERROR(VLOOKUP($E40,bbs_sizes,4,FALSE),0),N($L40)&gt;=IFERROR(VLOOKUP($E40,bbs_sizes,4,FALSE),0)),AND(N($O40)&gt;=$T40,N($K40)&gt;=N($O40)+$E40+MAX(5*$E40,90),N($L40)&gt;=N($O40)+$E40+MAX(5*$E40,90)),AND(N($L40)&gt;=IFERROR(VLOOKUP($E40,bbs_sizes,6,FALSE),0),N($L40)&lt;=400+2*$E40,N($K40)&gt;=N($L40)/2+MAX(5*$E40,90),N($M40)&gt;=N($L40)/2+MAX(5*$E40,90)),AND(N($K40)&gt;=IFERROR(VLOOKUP($E40,bbs_sizes,4,FALSE),0),N($M40)&gt;=IFERROR(VLOOKUP($E40,bbs_sizes,4,FALSE),0)),AND(N($K40)&gt;=IFERROR(VLOOKUP($E40,bbs_sizes,4,FALSE),0),N($N40)&gt;=IFERROR(VLOOKUP($E40,bbs_sizes,4,FALSE),0),N($M40)&gt;=IFERROR(VLOOKUP($E40,bbs_sizes,6,FALSE),0),N($M40)&lt;=400+2*$E40,N($N40)&gt;=N($M40)/2+MAX(5*$E40,90)),AND(N($K40)&gt;=IFERROR(VLOOKUP($E40,bbs_sizes,4,FALSE),0),N($M40)&gt;=IFERROR(VLOOKUP($E40,bbs_sizes,4,FALSE),0)),AND(N($K40)&gt;=IFERROR(VLOOKUP($E40,bbs_sizes,4,FALSE),0),N($M40)&gt;=IFERROR(VLOOKUP($E40,bbs_sizes,4,FALSE),0),N($L40)&gt;=MAX(N($N40),N($O40)),N($L40)&lt;=N($N40)+N($O40)),AND(N($K40)&gt;=IFERROR(VLOOKUP($E40,bbs_sizes,4,FALSE),0),N($M40)&gt;=IFERROR(VLOOKUP($E40,bbs_sizes,4,FALSE),0),N($L40)&gt;=MAX(N($N40),N($O40)),N($L40)&lt;=N($N40)+N($O40)),AND(N($K40)&gt;=IFERROR(VLOOKUP($E40,bbs_sizes,4,FALSE),0),N($M40)&gt;=IFERROR(VLOOKUP($E40,bbs_sizes,4,FALSE),0),N($K40)&gt;=N($O40)),AND(N($K40)&gt;=IFERROR(VLOOKUP($E40,bbs_sizes,4,FALSE),0),N($M40)&gt;=IFERROR(VLOOKUP($E40,bbs_sizes,4,FALSE),0),N($K40)&gt;=N($O40)),AND(N($K40)&gt;=IFERROR(VLOOKUP($E40,bbs_sizes,4,FALSE),0),N($M40)&gt;=IFERROR(VLOOKUP($E40,bbs_sizes,4,FALSE),0),N($L40)&gt;=MAX(N($N40),N($O40)),N($L40)&lt;=N($N40)+N($O40)),AND(N($K40)&gt;=IFERROR(VLOOKUP($E40,bbs_sizes,4,FALSE),0),N($N40)&gt;=IFERROR(VLOOKUP($E40,bbs_sizes,4,FALSE),0)),AND(N($K40)&gt;=IFERROR(VLOOKUP($E40,bbs_sizes,4,FALSE),0),N($N40)&gt;=IFERROR(VLOOKUP($E40,bbs_sizes,4,FALSE),0)),AND(N($L40)&gt;=IFERROR(VLOOKUP($E40,bbs_sizes,6,FALSE),0),N($L40)&lt;=400+2*$E40,N($M40)&gt;=N($L40)/2+MAX(5*$E40,90),N($K40)&gt;=N($L40)/2+N($M40)),AND(N($K40)&gt;=IFERROR(VLOOKUP($E40,bbs_sizes,4,FALSE),0),N($O40)&gt;=IFERROR(VLOOKUP($E40,bbs_sizes,4,FALSE),0)),AND(N($K40)&gt;=IFERROR(VLOOKUP($E40,bbs_sizes,4,FALSE),0),N($O40)&gt;=IFERROR(VLOOKUP($E40,bbs_sizes,4,FALSE),0)),AND(N($M40)&lt;=N($K40),N($M40)&gt;=IFERROR(VLOOKUP($E40,bbs_sizes,5,FALSE),0)),AND(N($M40)&lt;=N($K40),N($M40)&lt;=N($L40),N($M40)&gt;=IFERROR(VLOOKUP($E40,bbs_sizes,5,FALSE),0)),AND(N($M40)&lt;=N($L40),N($M40)&gt;=IFERROR(VLOOKUP($E40,bbs_sizes,5,FALSE),0)),AND(N($O40)&lt;=N($K40),N($O40)&lt;=N($L40),N($O40)&gt;=IFERROR(VLOOKUP($E40,bbs_sizes,5,FALSE),0)),AND(N($M40)&lt;=N($K40),N($M40)&gt;=IFERROR(VLOOKUP($E40,bbs_sizes,4,FALSE),0)),TRUE,TRUE,TRUE,AND(N($M40)&gt;=IFERROR(VLOOKUP($E40,bbs_sizes,4,FALSE),0),N($N40)&gt;=IFERROR(VLOOKUP($E40,bbs_sizes,4,FALSE),0)),TRUE),FALSE),FALSE)</f>
        <v/>
      </c>
    </row>
    <row r="41" ht="15" customHeight="1">
      <c r="B41" s="25" t="n"/>
      <c r="C41" s="26" t="n"/>
      <c r="D41" s="26" t="n"/>
      <c r="E41" s="26" t="n"/>
      <c r="F41" s="26" t="n"/>
      <c r="G41" s="26" t="n"/>
      <c r="H41" s="27">
        <f>IF(IF(AND(ISNUMBER($F41),ISNUMBER($G41)),AND($F41&gt;0,$G41&gt;0,INT($F41)=$F41,INT($G41)=$G41),FALSE),$F41*$G41,"")</f>
        <v/>
      </c>
      <c r="I41" s="28">
        <f>IF(AND(AND($C41&lt;&gt;"",OR($D41="H",$D41="B",$D41="C"),ISNUMBER($E41),$J41&lt;&gt;""),IF(AND(ISNUMBER($F41),ISNUMBER($G41)),AND($F41&gt;0,$G41&gt;0,INT($F41)=$F41,INT($G41)=$G41),FALSE),$T41&gt;0,$S41&gt;0,$Y41,IF(ISNA(MATCH($X41,{"48","51","52","63"},0)),TRUE,IF(ISBLANK($N41),TRUE,IF(ISNUMBER($N41),$N41=$M41,FALSE))),$X41&lt;&gt;"99",$V41&gt;0,AND(IF(ISBLANK($K41),TRUE,IF(ISNUMBER($K41),MOD($K41,5)=0,FALSE)),IF(ISBLANK($L41),TRUE,IF(ISNUMBER($L41),MOD($L41,5)=0,FALSE)),IF(ISBLANK($M41),TRUE,IF($X41="77",TRUE,IF(ISNUMBER($M41),MOD($M41,5)=0,FALSE))),IF(ISBLANK($N41),TRUE,IF(ISNUMBER($N41),MOD($N41,5)=0,FALSE)),IF(ISBLANK($O41),TRUE,IF(ISNUMBER($O41),MOD($O41,5)=0,FALSE))),$Z41),CEILING($V41,25),"")</f>
        <v/>
      </c>
      <c r="J41" s="29" t="n"/>
      <c r="K41" s="26" t="n"/>
      <c r="L41" s="26" t="n"/>
      <c r="M41" s="26" t="n"/>
      <c r="N41" s="26" t="n"/>
      <c r="O41" s="26" t="n"/>
      <c r="P41" s="30">
        <f>IF(ISNUMBER($I41),$H41*$I41/1000*$U41,"")</f>
        <v/>
      </c>
      <c r="Q41" s="31">
        <f>IF(COUNTA($B41:$G41,$J41:$O41)=0,"",IF(NOT(AND($C41&lt;&gt;"",OR($D41="H",$D41="B",$D41="C"),ISNUMBER($E41),$J41&lt;&gt;"")),"! Incomplete",IF(NOT(IF(AND(ISNUMBER($F41),ISNUMBER($G41)),AND($F41&gt;0,$G41&gt;0,INT($F41)=$F41,INT($G41)=$G41),FALSE)),"! Quantities: whole numbers &gt; 0",IF($T41=0,"! Size not in Table 2",IF($S41=0,"! Unknown shape code",IF($X41="99","! Shape 99: length from the sketch",IF(NOT($Y41),"! Missing dimension",IF(NOT(IF(ISNA(MATCH($X41,{"48","51","52","63"},0)),TRUE,IF(ISBLANK($N41),TRUE,IF(ISNUMBER($N41),$N41=$M41,FALSE)))),"! D must equal C",IF($V41&lt;=0,"! Check dimensions",IF(NOT(AND(IF(ISBLANK($K41),TRUE,IF(ISNUMBER($K41),MOD($K41,5)=0,FALSE)),IF(ISBLANK($L41),TRUE,IF(ISNUMBER($L41),MOD($L41,5)=0,FALSE)),IF(ISBLANK($M41),TRUE,IF($X41="77",TRUE,IF(ISNUMBER($M41),MOD($M41,5)=0,FALSE))),IF(ISBLANK($N41),TRUE,IF(ISNUMBER($N41),MOD($N41,5)=0,FALSE)),IF(ISBLANK($O41),TRUE,IF(ISNUMBER($O41),MOD($O41,5)=0,FALSE)))),"! Dimensions to 5 mm",IF(NOT($Z41),"! Below Table 2 / 5 limits",IF($I41&gt;12000,"! Over 12 m stock","OK"))))))))))))</f>
        <v/>
      </c>
      <c r="S41" s="32">
        <f>IFERROR(MATCH($X41,{"00","01","11","12","13","21","22","23","24","26","27","28","29","31","32","33","41","44","48","51","52","56","63","67","75","77","98","99"},0),0)</f>
        <v/>
      </c>
      <c r="T41" s="32">
        <f>IFERROR(VLOOKUP($E41,bbs_sizes,2,FALSE),0)</f>
        <v/>
      </c>
      <c r="U41" s="32">
        <f>IFERROR(VLOOKUP($E41,bbs_sizes,3,FALSE),0)</f>
        <v/>
      </c>
      <c r="V41" s="32">
        <f>IFERROR(IF(AND($S41&gt;0,$Y41,$T41&gt;0),CHOOSE($S41,N($K41),N($K41),N($K41)+N($L41)-0.5*$T41-$E41,N($K41)+N($L41)-0.43*N($O41)-1.2*$E41,N($K41)+0.57*N($L41)+N($M41)-1.6*$E41,N($K41)+N($L41)+N($M41)-$T41-2*$E41,N($K41)+N($L41)+0.57*N($M41)+N($N41)-0.5*$T41-2.6*$E41,N($K41)+N($L41)+N($M41)-$T41-2*$E41,N($K41)+N($L41)+N($M41),N($K41)+N($L41)+N($M41),N($K41)+N($L41)+N($M41)-0.5*$T41-$E41,N($K41)+N($L41)+N($M41)-0.5*$T41-$E41,N($K41)+N($L41)+N($M41),N($K41)+N($L41)+N($M41)+N($N41)-1.5*$T41-3*$E41,N($K41)+N($L41)+N($M41)+N($N41)-1.5*$T41-3*$E41,2*N($K41)+1.7*N($L41)+2*N($M41)-4*$E41,N($K41)+N($L41)+N($M41)+N($N41)+N($O41)-2*$T41-4*$E41,N($K41)+N($L41)+N($M41)+N($N41)+N($O41)-2*$T41-4*$E41,2*N($K41)+N($L41)+2*N($M41)-$T41-2*$E41,2*(N($K41)+N($L41)+N($M41))-2.5*$T41-5*$E41,2*(N($K41)+N($L41)+N($M41))-1.5*$T41-3*$E41,N($K41)+N($L41)+N($M41)+N($N41)+2*N($O41)-1.5*$T41-3*$E41,2*N($K41)+3*N($L41)+2*N($M41)-3*$T41-6*$E41,N($K41),PI()*(N($K41)-$E41)+N($L41)+25,IF(N($L41)&lt;=N($K41)/5,N($M41)*PI()*(N($K41)-$E41),N($M41)*SQRT((PI()*(N($K41)-$E41))^2+N($L41)^2)),N($K41)+2*N($L41)+N($M41)+N($N41)-2*$T41-4*$E41,0),0),0)</f>
        <v/>
      </c>
      <c r="W41" s="32">
        <f>IF($S41&gt;0,CHOOSE($S41,"A","A","AB","ABE","ABC","ABC","ABCD","ABC","ABCDE","ABCDE","ABCDE","ABCDE","ABCDE","ABCD","ABCD","ABC","ABCDE","ABCDE","ABC","ABC","ABC","ABCDE","ABC","AE","AB","ABC","ABCD",""),"")</f>
        <v/>
      </c>
      <c r="X41" s="32">
        <f>IF(ISNUMBER($J41),IF(INT($J41)=$J41,TEXT($J41,"00"),"x"),IF(AND(LEN(TRIM($J41))=2,ISNUMBER(MID(TRIM($J41),1,1)*1),ISNUMBER(MID(TRIM($J41),2,1)*1),ISERROR(FIND(".",$J41))),TRIM($J41),"x"))</f>
        <v/>
      </c>
      <c r="Y41" s="32">
        <f>AND(IF(ISERROR(FIND("A",$W41)),TRUE,IF(ISNUMBER($K41),$K41&gt;0,FALSE)),IF(ISERROR(FIND("B",$W41)),TRUE,IF(ISNUMBER($L41),$L41&gt;0,FALSE)),IF(ISERROR(FIND("C",$W41)),TRUE,IF(ISNUMBER($M41),$M41&gt;0,FALSE)),IF(ISERROR(FIND("D",$W41)),TRUE,IF(ISNUMBER($N41),$N41&gt;0,FALSE)),IF(ISERROR(FIND("E",$W41)),TRUE,IF(ISNUMBER($O41),$O41&gt;0,FALSE)))</f>
        <v/>
      </c>
      <c r="Z41" s="32">
        <f>IFERROR(IF($S41&gt;0,CHOOSE($S41,TRUE,TRUE,AND(N($K41)&gt;=IFERROR(VLOOKUP($E41,bbs_sizes,4,FALSE),0),N($L41)&gt;=IFERROR(VLOOKUP($E41,bbs_sizes,4,FALSE),0)),AND(N($O41)&gt;=$T41,N($K41)&gt;=N($O41)+$E41+MAX(5*$E41,90),N($L41)&gt;=N($O41)+$E41+MAX(5*$E41,90)),AND(N($L41)&gt;=IFERROR(VLOOKUP($E41,bbs_sizes,6,FALSE),0),N($L41)&lt;=400+2*$E41,N($K41)&gt;=N($L41)/2+MAX(5*$E41,90),N($M41)&gt;=N($L41)/2+MAX(5*$E41,90)),AND(N($K41)&gt;=IFERROR(VLOOKUP($E41,bbs_sizes,4,FALSE),0),N($M41)&gt;=IFERROR(VLOOKUP($E41,bbs_sizes,4,FALSE),0)),AND(N($K41)&gt;=IFERROR(VLOOKUP($E41,bbs_sizes,4,FALSE),0),N($N41)&gt;=IFERROR(VLOOKUP($E41,bbs_sizes,4,FALSE),0),N($M41)&gt;=IFERROR(VLOOKUP($E41,bbs_sizes,6,FALSE),0),N($M41)&lt;=400+2*$E41,N($N41)&gt;=N($M41)/2+MAX(5*$E41,90)),AND(N($K41)&gt;=IFERROR(VLOOKUP($E41,bbs_sizes,4,FALSE),0),N($M41)&gt;=IFERROR(VLOOKUP($E41,bbs_sizes,4,FALSE),0)),AND(N($K41)&gt;=IFERROR(VLOOKUP($E41,bbs_sizes,4,FALSE),0),N($M41)&gt;=IFERROR(VLOOKUP($E41,bbs_sizes,4,FALSE),0),N($L41)&gt;=MAX(N($N41),N($O41)),N($L41)&lt;=N($N41)+N($O41)),AND(N($K41)&gt;=IFERROR(VLOOKUP($E41,bbs_sizes,4,FALSE),0),N($M41)&gt;=IFERROR(VLOOKUP($E41,bbs_sizes,4,FALSE),0),N($L41)&gt;=MAX(N($N41),N($O41)),N($L41)&lt;=N($N41)+N($O41)),AND(N($K41)&gt;=IFERROR(VLOOKUP($E41,bbs_sizes,4,FALSE),0),N($M41)&gt;=IFERROR(VLOOKUP($E41,bbs_sizes,4,FALSE),0),N($K41)&gt;=N($O41)),AND(N($K41)&gt;=IFERROR(VLOOKUP($E41,bbs_sizes,4,FALSE),0),N($M41)&gt;=IFERROR(VLOOKUP($E41,bbs_sizes,4,FALSE),0),N($K41)&gt;=N($O41)),AND(N($K41)&gt;=IFERROR(VLOOKUP($E41,bbs_sizes,4,FALSE),0),N($M41)&gt;=IFERROR(VLOOKUP($E41,bbs_sizes,4,FALSE),0),N($L41)&gt;=MAX(N($N41),N($O41)),N($L41)&lt;=N($N41)+N($O41)),AND(N($K41)&gt;=IFERROR(VLOOKUP($E41,bbs_sizes,4,FALSE),0),N($N41)&gt;=IFERROR(VLOOKUP($E41,bbs_sizes,4,FALSE),0)),AND(N($K41)&gt;=IFERROR(VLOOKUP($E41,bbs_sizes,4,FALSE),0),N($N41)&gt;=IFERROR(VLOOKUP($E41,bbs_sizes,4,FALSE),0)),AND(N($L41)&gt;=IFERROR(VLOOKUP($E41,bbs_sizes,6,FALSE),0),N($L41)&lt;=400+2*$E41,N($M41)&gt;=N($L41)/2+MAX(5*$E41,90),N($K41)&gt;=N($L41)/2+N($M41)),AND(N($K41)&gt;=IFERROR(VLOOKUP($E41,bbs_sizes,4,FALSE),0),N($O41)&gt;=IFERROR(VLOOKUP($E41,bbs_sizes,4,FALSE),0)),AND(N($K41)&gt;=IFERROR(VLOOKUP($E41,bbs_sizes,4,FALSE),0),N($O41)&gt;=IFERROR(VLOOKUP($E41,bbs_sizes,4,FALSE),0)),AND(N($M41)&lt;=N($K41),N($M41)&gt;=IFERROR(VLOOKUP($E41,bbs_sizes,5,FALSE),0)),AND(N($M41)&lt;=N($K41),N($M41)&lt;=N($L41),N($M41)&gt;=IFERROR(VLOOKUP($E41,bbs_sizes,5,FALSE),0)),AND(N($M41)&lt;=N($L41),N($M41)&gt;=IFERROR(VLOOKUP($E41,bbs_sizes,5,FALSE),0)),AND(N($O41)&lt;=N($K41),N($O41)&lt;=N($L41),N($O41)&gt;=IFERROR(VLOOKUP($E41,bbs_sizes,5,FALSE),0)),AND(N($M41)&lt;=N($K41),N($M41)&gt;=IFERROR(VLOOKUP($E41,bbs_sizes,4,FALSE),0)),TRUE,TRUE,TRUE,AND(N($M41)&gt;=IFERROR(VLOOKUP($E41,bbs_sizes,4,FALSE),0),N($N41)&gt;=IFERROR(VLOOKUP($E41,bbs_sizes,4,FALSE),0)),TRUE),FALSE),FALSE)</f>
        <v/>
      </c>
    </row>
    <row r="42" ht="15" customHeight="1">
      <c r="B42" s="25" t="n"/>
      <c r="C42" s="26" t="n"/>
      <c r="D42" s="26" t="n"/>
      <c r="E42" s="26" t="n"/>
      <c r="F42" s="26" t="n"/>
      <c r="G42" s="26" t="n"/>
      <c r="H42" s="27">
        <f>IF(IF(AND(ISNUMBER($F42),ISNUMBER($G42)),AND($F42&gt;0,$G42&gt;0,INT($F42)=$F42,INT($G42)=$G42),FALSE),$F42*$G42,"")</f>
        <v/>
      </c>
      <c r="I42" s="28">
        <f>IF(AND(AND($C42&lt;&gt;"",OR($D42="H",$D42="B",$D42="C"),ISNUMBER($E42),$J42&lt;&gt;""),IF(AND(ISNUMBER($F42),ISNUMBER($G42)),AND($F42&gt;0,$G42&gt;0,INT($F42)=$F42,INT($G42)=$G42),FALSE),$T42&gt;0,$S42&gt;0,$Y42,IF(ISNA(MATCH($X42,{"48","51","52","63"},0)),TRUE,IF(ISBLANK($N42),TRUE,IF(ISNUMBER($N42),$N42=$M42,FALSE))),$X42&lt;&gt;"99",$V42&gt;0,AND(IF(ISBLANK($K42),TRUE,IF(ISNUMBER($K42),MOD($K42,5)=0,FALSE)),IF(ISBLANK($L42),TRUE,IF(ISNUMBER($L42),MOD($L42,5)=0,FALSE)),IF(ISBLANK($M42),TRUE,IF($X42="77",TRUE,IF(ISNUMBER($M42),MOD($M42,5)=0,FALSE))),IF(ISBLANK($N42),TRUE,IF(ISNUMBER($N42),MOD($N42,5)=0,FALSE)),IF(ISBLANK($O42),TRUE,IF(ISNUMBER($O42),MOD($O42,5)=0,FALSE))),$Z42),CEILING($V42,25),"")</f>
        <v/>
      </c>
      <c r="J42" s="29" t="n"/>
      <c r="K42" s="26" t="n"/>
      <c r="L42" s="26" t="n"/>
      <c r="M42" s="26" t="n"/>
      <c r="N42" s="26" t="n"/>
      <c r="O42" s="26" t="n"/>
      <c r="P42" s="30">
        <f>IF(ISNUMBER($I42),$H42*$I42/1000*$U42,"")</f>
        <v/>
      </c>
      <c r="Q42" s="31">
        <f>IF(COUNTA($B42:$G42,$J42:$O42)=0,"",IF(NOT(AND($C42&lt;&gt;"",OR($D42="H",$D42="B",$D42="C"),ISNUMBER($E42),$J42&lt;&gt;"")),"! Incomplete",IF(NOT(IF(AND(ISNUMBER($F42),ISNUMBER($G42)),AND($F42&gt;0,$G42&gt;0,INT($F42)=$F42,INT($G42)=$G42),FALSE)),"! Quantities: whole numbers &gt; 0",IF($T42=0,"! Size not in Table 2",IF($S42=0,"! Unknown shape code",IF($X42="99","! Shape 99: length from the sketch",IF(NOT($Y42),"! Missing dimension",IF(NOT(IF(ISNA(MATCH($X42,{"48","51","52","63"},0)),TRUE,IF(ISBLANK($N42),TRUE,IF(ISNUMBER($N42),$N42=$M42,FALSE)))),"! D must equal C",IF($V42&lt;=0,"! Check dimensions",IF(NOT(AND(IF(ISBLANK($K42),TRUE,IF(ISNUMBER($K42),MOD($K42,5)=0,FALSE)),IF(ISBLANK($L42),TRUE,IF(ISNUMBER($L42),MOD($L42,5)=0,FALSE)),IF(ISBLANK($M42),TRUE,IF($X42="77",TRUE,IF(ISNUMBER($M42),MOD($M42,5)=0,FALSE))),IF(ISBLANK($N42),TRUE,IF(ISNUMBER($N42),MOD($N42,5)=0,FALSE)),IF(ISBLANK($O42),TRUE,IF(ISNUMBER($O42),MOD($O42,5)=0,FALSE)))),"! Dimensions to 5 mm",IF(NOT($Z42),"! Below Table 2 / 5 limits",IF($I42&gt;12000,"! Over 12 m stock","OK"))))))))))))</f>
        <v/>
      </c>
      <c r="S42" s="32">
        <f>IFERROR(MATCH($X42,{"00","01","11","12","13","21","22","23","24","26","27","28","29","31","32","33","41","44","48","51","52","56","63","67","75","77","98","99"},0),0)</f>
        <v/>
      </c>
      <c r="T42" s="32">
        <f>IFERROR(VLOOKUP($E42,bbs_sizes,2,FALSE),0)</f>
        <v/>
      </c>
      <c r="U42" s="32">
        <f>IFERROR(VLOOKUP($E42,bbs_sizes,3,FALSE),0)</f>
        <v/>
      </c>
      <c r="V42" s="32">
        <f>IFERROR(IF(AND($S42&gt;0,$Y42,$T42&gt;0),CHOOSE($S42,N($K42),N($K42),N($K42)+N($L42)-0.5*$T42-$E42,N($K42)+N($L42)-0.43*N($O42)-1.2*$E42,N($K42)+0.57*N($L42)+N($M42)-1.6*$E42,N($K42)+N($L42)+N($M42)-$T42-2*$E42,N($K42)+N($L42)+0.57*N($M42)+N($N42)-0.5*$T42-2.6*$E42,N($K42)+N($L42)+N($M42)-$T42-2*$E42,N($K42)+N($L42)+N($M42),N($K42)+N($L42)+N($M42),N($K42)+N($L42)+N($M42)-0.5*$T42-$E42,N($K42)+N($L42)+N($M42)-0.5*$T42-$E42,N($K42)+N($L42)+N($M42),N($K42)+N($L42)+N($M42)+N($N42)-1.5*$T42-3*$E42,N($K42)+N($L42)+N($M42)+N($N42)-1.5*$T42-3*$E42,2*N($K42)+1.7*N($L42)+2*N($M42)-4*$E42,N($K42)+N($L42)+N($M42)+N($N42)+N($O42)-2*$T42-4*$E42,N($K42)+N($L42)+N($M42)+N($N42)+N($O42)-2*$T42-4*$E42,2*N($K42)+N($L42)+2*N($M42)-$T42-2*$E42,2*(N($K42)+N($L42)+N($M42))-2.5*$T42-5*$E42,2*(N($K42)+N($L42)+N($M42))-1.5*$T42-3*$E42,N($K42)+N($L42)+N($M42)+N($N42)+2*N($O42)-1.5*$T42-3*$E42,2*N($K42)+3*N($L42)+2*N($M42)-3*$T42-6*$E42,N($K42),PI()*(N($K42)-$E42)+N($L42)+25,IF(N($L42)&lt;=N($K42)/5,N($M42)*PI()*(N($K42)-$E42),N($M42)*SQRT((PI()*(N($K42)-$E42))^2+N($L42)^2)),N($K42)+2*N($L42)+N($M42)+N($N42)-2*$T42-4*$E42,0),0),0)</f>
        <v/>
      </c>
      <c r="W42" s="32">
        <f>IF($S42&gt;0,CHOOSE($S42,"A","A","AB","ABE","ABC","ABC","ABCD","ABC","ABCDE","ABCDE","ABCDE","ABCDE","ABCDE","ABCD","ABCD","ABC","ABCDE","ABCDE","ABC","ABC","ABC","ABCDE","ABC","AE","AB","ABC","ABCD",""),"")</f>
        <v/>
      </c>
      <c r="X42" s="32">
        <f>IF(ISNUMBER($J42),IF(INT($J42)=$J42,TEXT($J42,"00"),"x"),IF(AND(LEN(TRIM($J42))=2,ISNUMBER(MID(TRIM($J42),1,1)*1),ISNUMBER(MID(TRIM($J42),2,1)*1),ISERROR(FIND(".",$J42))),TRIM($J42),"x"))</f>
        <v/>
      </c>
      <c r="Y42" s="32">
        <f>AND(IF(ISERROR(FIND("A",$W42)),TRUE,IF(ISNUMBER($K42),$K42&gt;0,FALSE)),IF(ISERROR(FIND("B",$W42)),TRUE,IF(ISNUMBER($L42),$L42&gt;0,FALSE)),IF(ISERROR(FIND("C",$W42)),TRUE,IF(ISNUMBER($M42),$M42&gt;0,FALSE)),IF(ISERROR(FIND("D",$W42)),TRUE,IF(ISNUMBER($N42),$N42&gt;0,FALSE)),IF(ISERROR(FIND("E",$W42)),TRUE,IF(ISNUMBER($O42),$O42&gt;0,FALSE)))</f>
        <v/>
      </c>
      <c r="Z42" s="32">
        <f>IFERROR(IF($S42&gt;0,CHOOSE($S42,TRUE,TRUE,AND(N($K42)&gt;=IFERROR(VLOOKUP($E42,bbs_sizes,4,FALSE),0),N($L42)&gt;=IFERROR(VLOOKUP($E42,bbs_sizes,4,FALSE),0)),AND(N($O42)&gt;=$T42,N($K42)&gt;=N($O42)+$E42+MAX(5*$E42,90),N($L42)&gt;=N($O42)+$E42+MAX(5*$E42,90)),AND(N($L42)&gt;=IFERROR(VLOOKUP($E42,bbs_sizes,6,FALSE),0),N($L42)&lt;=400+2*$E42,N($K42)&gt;=N($L42)/2+MAX(5*$E42,90),N($M42)&gt;=N($L42)/2+MAX(5*$E42,90)),AND(N($K42)&gt;=IFERROR(VLOOKUP($E42,bbs_sizes,4,FALSE),0),N($M42)&gt;=IFERROR(VLOOKUP($E42,bbs_sizes,4,FALSE),0)),AND(N($K42)&gt;=IFERROR(VLOOKUP($E42,bbs_sizes,4,FALSE),0),N($N42)&gt;=IFERROR(VLOOKUP($E42,bbs_sizes,4,FALSE),0),N($M42)&gt;=IFERROR(VLOOKUP($E42,bbs_sizes,6,FALSE),0),N($M42)&lt;=400+2*$E42,N($N42)&gt;=N($M42)/2+MAX(5*$E42,90)),AND(N($K42)&gt;=IFERROR(VLOOKUP($E42,bbs_sizes,4,FALSE),0),N($M42)&gt;=IFERROR(VLOOKUP($E42,bbs_sizes,4,FALSE),0)),AND(N($K42)&gt;=IFERROR(VLOOKUP($E42,bbs_sizes,4,FALSE),0),N($M42)&gt;=IFERROR(VLOOKUP($E42,bbs_sizes,4,FALSE),0),N($L42)&gt;=MAX(N($N42),N($O42)),N($L42)&lt;=N($N42)+N($O42)),AND(N($K42)&gt;=IFERROR(VLOOKUP($E42,bbs_sizes,4,FALSE),0),N($M42)&gt;=IFERROR(VLOOKUP($E42,bbs_sizes,4,FALSE),0),N($L42)&gt;=MAX(N($N42),N($O42)),N($L42)&lt;=N($N42)+N($O42)),AND(N($K42)&gt;=IFERROR(VLOOKUP($E42,bbs_sizes,4,FALSE),0),N($M42)&gt;=IFERROR(VLOOKUP($E42,bbs_sizes,4,FALSE),0),N($K42)&gt;=N($O42)),AND(N($K42)&gt;=IFERROR(VLOOKUP($E42,bbs_sizes,4,FALSE),0),N($M42)&gt;=IFERROR(VLOOKUP($E42,bbs_sizes,4,FALSE),0),N($K42)&gt;=N($O42)),AND(N($K42)&gt;=IFERROR(VLOOKUP($E42,bbs_sizes,4,FALSE),0),N($M42)&gt;=IFERROR(VLOOKUP($E42,bbs_sizes,4,FALSE),0),N($L42)&gt;=MAX(N($N42),N($O42)),N($L42)&lt;=N($N42)+N($O42)),AND(N($K42)&gt;=IFERROR(VLOOKUP($E42,bbs_sizes,4,FALSE),0),N($N42)&gt;=IFERROR(VLOOKUP($E42,bbs_sizes,4,FALSE),0)),AND(N($K42)&gt;=IFERROR(VLOOKUP($E42,bbs_sizes,4,FALSE),0),N($N42)&gt;=IFERROR(VLOOKUP($E42,bbs_sizes,4,FALSE),0)),AND(N($L42)&gt;=IFERROR(VLOOKUP($E42,bbs_sizes,6,FALSE),0),N($L42)&lt;=400+2*$E42,N($M42)&gt;=N($L42)/2+MAX(5*$E42,90),N($K42)&gt;=N($L42)/2+N($M42)),AND(N($K42)&gt;=IFERROR(VLOOKUP($E42,bbs_sizes,4,FALSE),0),N($O42)&gt;=IFERROR(VLOOKUP($E42,bbs_sizes,4,FALSE),0)),AND(N($K42)&gt;=IFERROR(VLOOKUP($E42,bbs_sizes,4,FALSE),0),N($O42)&gt;=IFERROR(VLOOKUP($E42,bbs_sizes,4,FALSE),0)),AND(N($M42)&lt;=N($K42),N($M42)&gt;=IFERROR(VLOOKUP($E42,bbs_sizes,5,FALSE),0)),AND(N($M42)&lt;=N($K42),N($M42)&lt;=N($L42),N($M42)&gt;=IFERROR(VLOOKUP($E42,bbs_sizes,5,FALSE),0)),AND(N($M42)&lt;=N($L42),N($M42)&gt;=IFERROR(VLOOKUP($E42,bbs_sizes,5,FALSE),0)),AND(N($O42)&lt;=N($K42),N($O42)&lt;=N($L42),N($O42)&gt;=IFERROR(VLOOKUP($E42,bbs_sizes,5,FALSE),0)),AND(N($M42)&lt;=N($K42),N($M42)&gt;=IFERROR(VLOOKUP($E42,bbs_sizes,4,FALSE),0)),TRUE,TRUE,TRUE,AND(N($M42)&gt;=IFERROR(VLOOKUP($E42,bbs_sizes,4,FALSE),0),N($N42)&gt;=IFERROR(VLOOKUP($E42,bbs_sizes,4,FALSE),0)),TRUE),FALSE),FALSE)</f>
        <v/>
      </c>
    </row>
    <row r="43" ht="15" customHeight="1">
      <c r="B43" s="25" t="n"/>
      <c r="C43" s="26" t="n"/>
      <c r="D43" s="26" t="n"/>
      <c r="E43" s="26" t="n"/>
      <c r="F43" s="26" t="n"/>
      <c r="G43" s="26" t="n"/>
      <c r="H43" s="27">
        <f>IF(IF(AND(ISNUMBER($F43),ISNUMBER($G43)),AND($F43&gt;0,$G43&gt;0,INT($F43)=$F43,INT($G43)=$G43),FALSE),$F43*$G43,"")</f>
        <v/>
      </c>
      <c r="I43" s="28">
        <f>IF(AND(AND($C43&lt;&gt;"",OR($D43="H",$D43="B",$D43="C"),ISNUMBER($E43),$J43&lt;&gt;""),IF(AND(ISNUMBER($F43),ISNUMBER($G43)),AND($F43&gt;0,$G43&gt;0,INT($F43)=$F43,INT($G43)=$G43),FALSE),$T43&gt;0,$S43&gt;0,$Y43,IF(ISNA(MATCH($X43,{"48","51","52","63"},0)),TRUE,IF(ISBLANK($N43),TRUE,IF(ISNUMBER($N43),$N43=$M43,FALSE))),$X43&lt;&gt;"99",$V43&gt;0,AND(IF(ISBLANK($K43),TRUE,IF(ISNUMBER($K43),MOD($K43,5)=0,FALSE)),IF(ISBLANK($L43),TRUE,IF(ISNUMBER($L43),MOD($L43,5)=0,FALSE)),IF(ISBLANK($M43),TRUE,IF($X43="77",TRUE,IF(ISNUMBER($M43),MOD($M43,5)=0,FALSE))),IF(ISBLANK($N43),TRUE,IF(ISNUMBER($N43),MOD($N43,5)=0,FALSE)),IF(ISBLANK($O43),TRUE,IF(ISNUMBER($O43),MOD($O43,5)=0,FALSE))),$Z43),CEILING($V43,25),"")</f>
        <v/>
      </c>
      <c r="J43" s="29" t="n"/>
      <c r="K43" s="26" t="n"/>
      <c r="L43" s="26" t="n"/>
      <c r="M43" s="26" t="n"/>
      <c r="N43" s="26" t="n"/>
      <c r="O43" s="26" t="n"/>
      <c r="P43" s="30">
        <f>IF(ISNUMBER($I43),$H43*$I43/1000*$U43,"")</f>
        <v/>
      </c>
      <c r="Q43" s="31">
        <f>IF(COUNTA($B43:$G43,$J43:$O43)=0,"",IF(NOT(AND($C43&lt;&gt;"",OR($D43="H",$D43="B",$D43="C"),ISNUMBER($E43),$J43&lt;&gt;"")),"! Incomplete",IF(NOT(IF(AND(ISNUMBER($F43),ISNUMBER($G43)),AND($F43&gt;0,$G43&gt;0,INT($F43)=$F43,INT($G43)=$G43),FALSE)),"! Quantities: whole numbers &gt; 0",IF($T43=0,"! Size not in Table 2",IF($S43=0,"! Unknown shape code",IF($X43="99","! Shape 99: length from the sketch",IF(NOT($Y43),"! Missing dimension",IF(NOT(IF(ISNA(MATCH($X43,{"48","51","52","63"},0)),TRUE,IF(ISBLANK($N43),TRUE,IF(ISNUMBER($N43),$N43=$M43,FALSE)))),"! D must equal C",IF($V43&lt;=0,"! Check dimensions",IF(NOT(AND(IF(ISBLANK($K43),TRUE,IF(ISNUMBER($K43),MOD($K43,5)=0,FALSE)),IF(ISBLANK($L43),TRUE,IF(ISNUMBER($L43),MOD($L43,5)=0,FALSE)),IF(ISBLANK($M43),TRUE,IF($X43="77",TRUE,IF(ISNUMBER($M43),MOD($M43,5)=0,FALSE))),IF(ISBLANK($N43),TRUE,IF(ISNUMBER($N43),MOD($N43,5)=0,FALSE)),IF(ISBLANK($O43),TRUE,IF(ISNUMBER($O43),MOD($O43,5)=0,FALSE)))),"! Dimensions to 5 mm",IF(NOT($Z43),"! Below Table 2 / 5 limits",IF($I43&gt;12000,"! Over 12 m stock","OK"))))))))))))</f>
        <v/>
      </c>
      <c r="S43" s="32">
        <f>IFERROR(MATCH($X43,{"00","01","11","12","13","21","22","23","24","26","27","28","29","31","32","33","41","44","48","51","52","56","63","67","75","77","98","99"},0),0)</f>
        <v/>
      </c>
      <c r="T43" s="32">
        <f>IFERROR(VLOOKUP($E43,bbs_sizes,2,FALSE),0)</f>
        <v/>
      </c>
      <c r="U43" s="32">
        <f>IFERROR(VLOOKUP($E43,bbs_sizes,3,FALSE),0)</f>
        <v/>
      </c>
      <c r="V43" s="32">
        <f>IFERROR(IF(AND($S43&gt;0,$Y43,$T43&gt;0),CHOOSE($S43,N($K43),N($K43),N($K43)+N($L43)-0.5*$T43-$E43,N($K43)+N($L43)-0.43*N($O43)-1.2*$E43,N($K43)+0.57*N($L43)+N($M43)-1.6*$E43,N($K43)+N($L43)+N($M43)-$T43-2*$E43,N($K43)+N($L43)+0.57*N($M43)+N($N43)-0.5*$T43-2.6*$E43,N($K43)+N($L43)+N($M43)-$T43-2*$E43,N($K43)+N($L43)+N($M43),N($K43)+N($L43)+N($M43),N($K43)+N($L43)+N($M43)-0.5*$T43-$E43,N($K43)+N($L43)+N($M43)-0.5*$T43-$E43,N($K43)+N($L43)+N($M43),N($K43)+N($L43)+N($M43)+N($N43)-1.5*$T43-3*$E43,N($K43)+N($L43)+N($M43)+N($N43)-1.5*$T43-3*$E43,2*N($K43)+1.7*N($L43)+2*N($M43)-4*$E43,N($K43)+N($L43)+N($M43)+N($N43)+N($O43)-2*$T43-4*$E43,N($K43)+N($L43)+N($M43)+N($N43)+N($O43)-2*$T43-4*$E43,2*N($K43)+N($L43)+2*N($M43)-$T43-2*$E43,2*(N($K43)+N($L43)+N($M43))-2.5*$T43-5*$E43,2*(N($K43)+N($L43)+N($M43))-1.5*$T43-3*$E43,N($K43)+N($L43)+N($M43)+N($N43)+2*N($O43)-1.5*$T43-3*$E43,2*N($K43)+3*N($L43)+2*N($M43)-3*$T43-6*$E43,N($K43),PI()*(N($K43)-$E43)+N($L43)+25,IF(N($L43)&lt;=N($K43)/5,N($M43)*PI()*(N($K43)-$E43),N($M43)*SQRT((PI()*(N($K43)-$E43))^2+N($L43)^2)),N($K43)+2*N($L43)+N($M43)+N($N43)-2*$T43-4*$E43,0),0),0)</f>
        <v/>
      </c>
      <c r="W43" s="32">
        <f>IF($S43&gt;0,CHOOSE($S43,"A","A","AB","ABE","ABC","ABC","ABCD","ABC","ABCDE","ABCDE","ABCDE","ABCDE","ABCDE","ABCD","ABCD","ABC","ABCDE","ABCDE","ABC","ABC","ABC","ABCDE","ABC","AE","AB","ABC","ABCD",""),"")</f>
        <v/>
      </c>
      <c r="X43" s="32">
        <f>IF(ISNUMBER($J43),IF(INT($J43)=$J43,TEXT($J43,"00"),"x"),IF(AND(LEN(TRIM($J43))=2,ISNUMBER(MID(TRIM($J43),1,1)*1),ISNUMBER(MID(TRIM($J43),2,1)*1),ISERROR(FIND(".",$J43))),TRIM($J43),"x"))</f>
        <v/>
      </c>
      <c r="Y43" s="32">
        <f>AND(IF(ISERROR(FIND("A",$W43)),TRUE,IF(ISNUMBER($K43),$K43&gt;0,FALSE)),IF(ISERROR(FIND("B",$W43)),TRUE,IF(ISNUMBER($L43),$L43&gt;0,FALSE)),IF(ISERROR(FIND("C",$W43)),TRUE,IF(ISNUMBER($M43),$M43&gt;0,FALSE)),IF(ISERROR(FIND("D",$W43)),TRUE,IF(ISNUMBER($N43),$N43&gt;0,FALSE)),IF(ISERROR(FIND("E",$W43)),TRUE,IF(ISNUMBER($O43),$O43&gt;0,FALSE)))</f>
        <v/>
      </c>
      <c r="Z43" s="32">
        <f>IFERROR(IF($S43&gt;0,CHOOSE($S43,TRUE,TRUE,AND(N($K43)&gt;=IFERROR(VLOOKUP($E43,bbs_sizes,4,FALSE),0),N($L43)&gt;=IFERROR(VLOOKUP($E43,bbs_sizes,4,FALSE),0)),AND(N($O43)&gt;=$T43,N($K43)&gt;=N($O43)+$E43+MAX(5*$E43,90),N($L43)&gt;=N($O43)+$E43+MAX(5*$E43,90)),AND(N($L43)&gt;=IFERROR(VLOOKUP($E43,bbs_sizes,6,FALSE),0),N($L43)&lt;=400+2*$E43,N($K43)&gt;=N($L43)/2+MAX(5*$E43,90),N($M43)&gt;=N($L43)/2+MAX(5*$E43,90)),AND(N($K43)&gt;=IFERROR(VLOOKUP($E43,bbs_sizes,4,FALSE),0),N($M43)&gt;=IFERROR(VLOOKUP($E43,bbs_sizes,4,FALSE),0)),AND(N($K43)&gt;=IFERROR(VLOOKUP($E43,bbs_sizes,4,FALSE),0),N($N43)&gt;=IFERROR(VLOOKUP($E43,bbs_sizes,4,FALSE),0),N($M43)&gt;=IFERROR(VLOOKUP($E43,bbs_sizes,6,FALSE),0),N($M43)&lt;=400+2*$E43,N($N43)&gt;=N($M43)/2+MAX(5*$E43,90)),AND(N($K43)&gt;=IFERROR(VLOOKUP($E43,bbs_sizes,4,FALSE),0),N($M43)&gt;=IFERROR(VLOOKUP($E43,bbs_sizes,4,FALSE),0)),AND(N($K43)&gt;=IFERROR(VLOOKUP($E43,bbs_sizes,4,FALSE),0),N($M43)&gt;=IFERROR(VLOOKUP($E43,bbs_sizes,4,FALSE),0),N($L43)&gt;=MAX(N($N43),N($O43)),N($L43)&lt;=N($N43)+N($O43)),AND(N($K43)&gt;=IFERROR(VLOOKUP($E43,bbs_sizes,4,FALSE),0),N($M43)&gt;=IFERROR(VLOOKUP($E43,bbs_sizes,4,FALSE),0),N($L43)&gt;=MAX(N($N43),N($O43)),N($L43)&lt;=N($N43)+N($O43)),AND(N($K43)&gt;=IFERROR(VLOOKUP($E43,bbs_sizes,4,FALSE),0),N($M43)&gt;=IFERROR(VLOOKUP($E43,bbs_sizes,4,FALSE),0),N($K43)&gt;=N($O43)),AND(N($K43)&gt;=IFERROR(VLOOKUP($E43,bbs_sizes,4,FALSE),0),N($M43)&gt;=IFERROR(VLOOKUP($E43,bbs_sizes,4,FALSE),0),N($K43)&gt;=N($O43)),AND(N($K43)&gt;=IFERROR(VLOOKUP($E43,bbs_sizes,4,FALSE),0),N($M43)&gt;=IFERROR(VLOOKUP($E43,bbs_sizes,4,FALSE),0),N($L43)&gt;=MAX(N($N43),N($O43)),N($L43)&lt;=N($N43)+N($O43)),AND(N($K43)&gt;=IFERROR(VLOOKUP($E43,bbs_sizes,4,FALSE),0),N($N43)&gt;=IFERROR(VLOOKUP($E43,bbs_sizes,4,FALSE),0)),AND(N($K43)&gt;=IFERROR(VLOOKUP($E43,bbs_sizes,4,FALSE),0),N($N43)&gt;=IFERROR(VLOOKUP($E43,bbs_sizes,4,FALSE),0)),AND(N($L43)&gt;=IFERROR(VLOOKUP($E43,bbs_sizes,6,FALSE),0),N($L43)&lt;=400+2*$E43,N($M43)&gt;=N($L43)/2+MAX(5*$E43,90),N($K43)&gt;=N($L43)/2+N($M43)),AND(N($K43)&gt;=IFERROR(VLOOKUP($E43,bbs_sizes,4,FALSE),0),N($O43)&gt;=IFERROR(VLOOKUP($E43,bbs_sizes,4,FALSE),0)),AND(N($K43)&gt;=IFERROR(VLOOKUP($E43,bbs_sizes,4,FALSE),0),N($O43)&gt;=IFERROR(VLOOKUP($E43,bbs_sizes,4,FALSE),0)),AND(N($M43)&lt;=N($K43),N($M43)&gt;=IFERROR(VLOOKUP($E43,bbs_sizes,5,FALSE),0)),AND(N($M43)&lt;=N($K43),N($M43)&lt;=N($L43),N($M43)&gt;=IFERROR(VLOOKUP($E43,bbs_sizes,5,FALSE),0)),AND(N($M43)&lt;=N($L43),N($M43)&gt;=IFERROR(VLOOKUP($E43,bbs_sizes,5,FALSE),0)),AND(N($O43)&lt;=N($K43),N($O43)&lt;=N($L43),N($O43)&gt;=IFERROR(VLOOKUP($E43,bbs_sizes,5,FALSE),0)),AND(N($M43)&lt;=N($K43),N($M43)&gt;=IFERROR(VLOOKUP($E43,bbs_sizes,4,FALSE),0)),TRUE,TRUE,TRUE,AND(N($M43)&gt;=IFERROR(VLOOKUP($E43,bbs_sizes,4,FALSE),0),N($N43)&gt;=IFERROR(VLOOKUP($E43,bbs_sizes,4,FALSE),0)),TRUE),FALSE),FALSE)</f>
        <v/>
      </c>
    </row>
    <row r="44" ht="15" customHeight="1">
      <c r="B44" s="25" t="n"/>
      <c r="C44" s="26" t="n"/>
      <c r="D44" s="26" t="n"/>
      <c r="E44" s="26" t="n"/>
      <c r="F44" s="26" t="n"/>
      <c r="G44" s="26" t="n"/>
      <c r="H44" s="27">
        <f>IF(IF(AND(ISNUMBER($F44),ISNUMBER($G44)),AND($F44&gt;0,$G44&gt;0,INT($F44)=$F44,INT($G44)=$G44),FALSE),$F44*$G44,"")</f>
        <v/>
      </c>
      <c r="I44" s="28">
        <f>IF(AND(AND($C44&lt;&gt;"",OR($D44="H",$D44="B",$D44="C"),ISNUMBER($E44),$J44&lt;&gt;""),IF(AND(ISNUMBER($F44),ISNUMBER($G44)),AND($F44&gt;0,$G44&gt;0,INT($F44)=$F44,INT($G44)=$G44),FALSE),$T44&gt;0,$S44&gt;0,$Y44,IF(ISNA(MATCH($X44,{"48","51","52","63"},0)),TRUE,IF(ISBLANK($N44),TRUE,IF(ISNUMBER($N44),$N44=$M44,FALSE))),$X44&lt;&gt;"99",$V44&gt;0,AND(IF(ISBLANK($K44),TRUE,IF(ISNUMBER($K44),MOD($K44,5)=0,FALSE)),IF(ISBLANK($L44),TRUE,IF(ISNUMBER($L44),MOD($L44,5)=0,FALSE)),IF(ISBLANK($M44),TRUE,IF($X44="77",TRUE,IF(ISNUMBER($M44),MOD($M44,5)=0,FALSE))),IF(ISBLANK($N44),TRUE,IF(ISNUMBER($N44),MOD($N44,5)=0,FALSE)),IF(ISBLANK($O44),TRUE,IF(ISNUMBER($O44),MOD($O44,5)=0,FALSE))),$Z44),CEILING($V44,25),"")</f>
        <v/>
      </c>
      <c r="J44" s="29" t="n"/>
      <c r="K44" s="26" t="n"/>
      <c r="L44" s="26" t="n"/>
      <c r="M44" s="26" t="n"/>
      <c r="N44" s="26" t="n"/>
      <c r="O44" s="26" t="n"/>
      <c r="P44" s="30">
        <f>IF(ISNUMBER($I44),$H44*$I44/1000*$U44,"")</f>
        <v/>
      </c>
      <c r="Q44" s="31">
        <f>IF(COUNTA($B44:$G44,$J44:$O44)=0,"",IF(NOT(AND($C44&lt;&gt;"",OR($D44="H",$D44="B",$D44="C"),ISNUMBER($E44),$J44&lt;&gt;"")),"! Incomplete",IF(NOT(IF(AND(ISNUMBER($F44),ISNUMBER($G44)),AND($F44&gt;0,$G44&gt;0,INT($F44)=$F44,INT($G44)=$G44),FALSE)),"! Quantities: whole numbers &gt; 0",IF($T44=0,"! Size not in Table 2",IF($S44=0,"! Unknown shape code",IF($X44="99","! Shape 99: length from the sketch",IF(NOT($Y44),"! Missing dimension",IF(NOT(IF(ISNA(MATCH($X44,{"48","51","52","63"},0)),TRUE,IF(ISBLANK($N44),TRUE,IF(ISNUMBER($N44),$N44=$M44,FALSE)))),"! D must equal C",IF($V44&lt;=0,"! Check dimensions",IF(NOT(AND(IF(ISBLANK($K44),TRUE,IF(ISNUMBER($K44),MOD($K44,5)=0,FALSE)),IF(ISBLANK($L44),TRUE,IF(ISNUMBER($L44),MOD($L44,5)=0,FALSE)),IF(ISBLANK($M44),TRUE,IF($X44="77",TRUE,IF(ISNUMBER($M44),MOD($M44,5)=0,FALSE))),IF(ISBLANK($N44),TRUE,IF(ISNUMBER($N44),MOD($N44,5)=0,FALSE)),IF(ISBLANK($O44),TRUE,IF(ISNUMBER($O44),MOD($O44,5)=0,FALSE)))),"! Dimensions to 5 mm",IF(NOT($Z44),"! Below Table 2 / 5 limits",IF($I44&gt;12000,"! Over 12 m stock","OK"))))))))))))</f>
        <v/>
      </c>
      <c r="S44" s="32">
        <f>IFERROR(MATCH($X44,{"00","01","11","12","13","21","22","23","24","26","27","28","29","31","32","33","41","44","48","51","52","56","63","67","75","77","98","99"},0),0)</f>
        <v/>
      </c>
      <c r="T44" s="32">
        <f>IFERROR(VLOOKUP($E44,bbs_sizes,2,FALSE),0)</f>
        <v/>
      </c>
      <c r="U44" s="32">
        <f>IFERROR(VLOOKUP($E44,bbs_sizes,3,FALSE),0)</f>
        <v/>
      </c>
      <c r="V44" s="32">
        <f>IFERROR(IF(AND($S44&gt;0,$Y44,$T44&gt;0),CHOOSE($S44,N($K44),N($K44),N($K44)+N($L44)-0.5*$T44-$E44,N($K44)+N($L44)-0.43*N($O44)-1.2*$E44,N($K44)+0.57*N($L44)+N($M44)-1.6*$E44,N($K44)+N($L44)+N($M44)-$T44-2*$E44,N($K44)+N($L44)+0.57*N($M44)+N($N44)-0.5*$T44-2.6*$E44,N($K44)+N($L44)+N($M44)-$T44-2*$E44,N($K44)+N($L44)+N($M44),N($K44)+N($L44)+N($M44),N($K44)+N($L44)+N($M44)-0.5*$T44-$E44,N($K44)+N($L44)+N($M44)-0.5*$T44-$E44,N($K44)+N($L44)+N($M44),N($K44)+N($L44)+N($M44)+N($N44)-1.5*$T44-3*$E44,N($K44)+N($L44)+N($M44)+N($N44)-1.5*$T44-3*$E44,2*N($K44)+1.7*N($L44)+2*N($M44)-4*$E44,N($K44)+N($L44)+N($M44)+N($N44)+N($O44)-2*$T44-4*$E44,N($K44)+N($L44)+N($M44)+N($N44)+N($O44)-2*$T44-4*$E44,2*N($K44)+N($L44)+2*N($M44)-$T44-2*$E44,2*(N($K44)+N($L44)+N($M44))-2.5*$T44-5*$E44,2*(N($K44)+N($L44)+N($M44))-1.5*$T44-3*$E44,N($K44)+N($L44)+N($M44)+N($N44)+2*N($O44)-1.5*$T44-3*$E44,2*N($K44)+3*N($L44)+2*N($M44)-3*$T44-6*$E44,N($K44),PI()*(N($K44)-$E44)+N($L44)+25,IF(N($L44)&lt;=N($K44)/5,N($M44)*PI()*(N($K44)-$E44),N($M44)*SQRT((PI()*(N($K44)-$E44))^2+N($L44)^2)),N($K44)+2*N($L44)+N($M44)+N($N44)-2*$T44-4*$E44,0),0),0)</f>
        <v/>
      </c>
      <c r="W44" s="32">
        <f>IF($S44&gt;0,CHOOSE($S44,"A","A","AB","ABE","ABC","ABC","ABCD","ABC","ABCDE","ABCDE","ABCDE","ABCDE","ABCDE","ABCD","ABCD","ABC","ABCDE","ABCDE","ABC","ABC","ABC","ABCDE","ABC","AE","AB","ABC","ABCD",""),"")</f>
        <v/>
      </c>
      <c r="X44" s="32">
        <f>IF(ISNUMBER($J44),IF(INT($J44)=$J44,TEXT($J44,"00"),"x"),IF(AND(LEN(TRIM($J44))=2,ISNUMBER(MID(TRIM($J44),1,1)*1),ISNUMBER(MID(TRIM($J44),2,1)*1),ISERROR(FIND(".",$J44))),TRIM($J44),"x"))</f>
        <v/>
      </c>
      <c r="Y44" s="32">
        <f>AND(IF(ISERROR(FIND("A",$W44)),TRUE,IF(ISNUMBER($K44),$K44&gt;0,FALSE)),IF(ISERROR(FIND("B",$W44)),TRUE,IF(ISNUMBER($L44),$L44&gt;0,FALSE)),IF(ISERROR(FIND("C",$W44)),TRUE,IF(ISNUMBER($M44),$M44&gt;0,FALSE)),IF(ISERROR(FIND("D",$W44)),TRUE,IF(ISNUMBER($N44),$N44&gt;0,FALSE)),IF(ISERROR(FIND("E",$W44)),TRUE,IF(ISNUMBER($O44),$O44&gt;0,FALSE)))</f>
        <v/>
      </c>
      <c r="Z44" s="32">
        <f>IFERROR(IF($S44&gt;0,CHOOSE($S44,TRUE,TRUE,AND(N($K44)&gt;=IFERROR(VLOOKUP($E44,bbs_sizes,4,FALSE),0),N($L44)&gt;=IFERROR(VLOOKUP($E44,bbs_sizes,4,FALSE),0)),AND(N($O44)&gt;=$T44,N($K44)&gt;=N($O44)+$E44+MAX(5*$E44,90),N($L44)&gt;=N($O44)+$E44+MAX(5*$E44,90)),AND(N($L44)&gt;=IFERROR(VLOOKUP($E44,bbs_sizes,6,FALSE),0),N($L44)&lt;=400+2*$E44,N($K44)&gt;=N($L44)/2+MAX(5*$E44,90),N($M44)&gt;=N($L44)/2+MAX(5*$E44,90)),AND(N($K44)&gt;=IFERROR(VLOOKUP($E44,bbs_sizes,4,FALSE),0),N($M44)&gt;=IFERROR(VLOOKUP($E44,bbs_sizes,4,FALSE),0)),AND(N($K44)&gt;=IFERROR(VLOOKUP($E44,bbs_sizes,4,FALSE),0),N($N44)&gt;=IFERROR(VLOOKUP($E44,bbs_sizes,4,FALSE),0),N($M44)&gt;=IFERROR(VLOOKUP($E44,bbs_sizes,6,FALSE),0),N($M44)&lt;=400+2*$E44,N($N44)&gt;=N($M44)/2+MAX(5*$E44,90)),AND(N($K44)&gt;=IFERROR(VLOOKUP($E44,bbs_sizes,4,FALSE),0),N($M44)&gt;=IFERROR(VLOOKUP($E44,bbs_sizes,4,FALSE),0)),AND(N($K44)&gt;=IFERROR(VLOOKUP($E44,bbs_sizes,4,FALSE),0),N($M44)&gt;=IFERROR(VLOOKUP($E44,bbs_sizes,4,FALSE),0),N($L44)&gt;=MAX(N($N44),N($O44)),N($L44)&lt;=N($N44)+N($O44)),AND(N($K44)&gt;=IFERROR(VLOOKUP($E44,bbs_sizes,4,FALSE),0),N($M44)&gt;=IFERROR(VLOOKUP($E44,bbs_sizes,4,FALSE),0),N($L44)&gt;=MAX(N($N44),N($O44)),N($L44)&lt;=N($N44)+N($O44)),AND(N($K44)&gt;=IFERROR(VLOOKUP($E44,bbs_sizes,4,FALSE),0),N($M44)&gt;=IFERROR(VLOOKUP($E44,bbs_sizes,4,FALSE),0),N($K44)&gt;=N($O44)),AND(N($K44)&gt;=IFERROR(VLOOKUP($E44,bbs_sizes,4,FALSE),0),N($M44)&gt;=IFERROR(VLOOKUP($E44,bbs_sizes,4,FALSE),0),N($K44)&gt;=N($O44)),AND(N($K44)&gt;=IFERROR(VLOOKUP($E44,bbs_sizes,4,FALSE),0),N($M44)&gt;=IFERROR(VLOOKUP($E44,bbs_sizes,4,FALSE),0),N($L44)&gt;=MAX(N($N44),N($O44)),N($L44)&lt;=N($N44)+N($O44)),AND(N($K44)&gt;=IFERROR(VLOOKUP($E44,bbs_sizes,4,FALSE),0),N($N44)&gt;=IFERROR(VLOOKUP($E44,bbs_sizes,4,FALSE),0)),AND(N($K44)&gt;=IFERROR(VLOOKUP($E44,bbs_sizes,4,FALSE),0),N($N44)&gt;=IFERROR(VLOOKUP($E44,bbs_sizes,4,FALSE),0)),AND(N($L44)&gt;=IFERROR(VLOOKUP($E44,bbs_sizes,6,FALSE),0),N($L44)&lt;=400+2*$E44,N($M44)&gt;=N($L44)/2+MAX(5*$E44,90),N($K44)&gt;=N($L44)/2+N($M44)),AND(N($K44)&gt;=IFERROR(VLOOKUP($E44,bbs_sizes,4,FALSE),0),N($O44)&gt;=IFERROR(VLOOKUP($E44,bbs_sizes,4,FALSE),0)),AND(N($K44)&gt;=IFERROR(VLOOKUP($E44,bbs_sizes,4,FALSE),0),N($O44)&gt;=IFERROR(VLOOKUP($E44,bbs_sizes,4,FALSE),0)),AND(N($M44)&lt;=N($K44),N($M44)&gt;=IFERROR(VLOOKUP($E44,bbs_sizes,5,FALSE),0)),AND(N($M44)&lt;=N($K44),N($M44)&lt;=N($L44),N($M44)&gt;=IFERROR(VLOOKUP($E44,bbs_sizes,5,FALSE),0)),AND(N($M44)&lt;=N($L44),N($M44)&gt;=IFERROR(VLOOKUP($E44,bbs_sizes,5,FALSE),0)),AND(N($O44)&lt;=N($K44),N($O44)&lt;=N($L44),N($O44)&gt;=IFERROR(VLOOKUP($E44,bbs_sizes,5,FALSE),0)),AND(N($M44)&lt;=N($K44),N($M44)&gt;=IFERROR(VLOOKUP($E44,bbs_sizes,4,FALSE),0)),TRUE,TRUE,TRUE,AND(N($M44)&gt;=IFERROR(VLOOKUP($E44,bbs_sizes,4,FALSE),0),N($N44)&gt;=IFERROR(VLOOKUP($E44,bbs_sizes,4,FALSE),0)),TRUE),FALSE),FALSE)</f>
        <v/>
      </c>
    </row>
    <row r="45" ht="15" customHeight="1">
      <c r="B45" s="25" t="n"/>
      <c r="C45" s="26" t="n"/>
      <c r="D45" s="26" t="n"/>
      <c r="E45" s="26" t="n"/>
      <c r="F45" s="26" t="n"/>
      <c r="G45" s="26" t="n"/>
      <c r="H45" s="27">
        <f>IF(IF(AND(ISNUMBER($F45),ISNUMBER($G45)),AND($F45&gt;0,$G45&gt;0,INT($F45)=$F45,INT($G45)=$G45),FALSE),$F45*$G45,"")</f>
        <v/>
      </c>
      <c r="I45" s="28">
        <f>IF(AND(AND($C45&lt;&gt;"",OR($D45="H",$D45="B",$D45="C"),ISNUMBER($E45),$J45&lt;&gt;""),IF(AND(ISNUMBER($F45),ISNUMBER($G45)),AND($F45&gt;0,$G45&gt;0,INT($F45)=$F45,INT($G45)=$G45),FALSE),$T45&gt;0,$S45&gt;0,$Y45,IF(ISNA(MATCH($X45,{"48","51","52","63"},0)),TRUE,IF(ISBLANK($N45),TRUE,IF(ISNUMBER($N45),$N45=$M45,FALSE))),$X45&lt;&gt;"99",$V45&gt;0,AND(IF(ISBLANK($K45),TRUE,IF(ISNUMBER($K45),MOD($K45,5)=0,FALSE)),IF(ISBLANK($L45),TRUE,IF(ISNUMBER($L45),MOD($L45,5)=0,FALSE)),IF(ISBLANK($M45),TRUE,IF($X45="77",TRUE,IF(ISNUMBER($M45),MOD($M45,5)=0,FALSE))),IF(ISBLANK($N45),TRUE,IF(ISNUMBER($N45),MOD($N45,5)=0,FALSE)),IF(ISBLANK($O45),TRUE,IF(ISNUMBER($O45),MOD($O45,5)=0,FALSE))),$Z45),CEILING($V45,25),"")</f>
        <v/>
      </c>
      <c r="J45" s="29" t="n"/>
      <c r="K45" s="26" t="n"/>
      <c r="L45" s="26" t="n"/>
      <c r="M45" s="26" t="n"/>
      <c r="N45" s="26" t="n"/>
      <c r="O45" s="26" t="n"/>
      <c r="P45" s="30">
        <f>IF(ISNUMBER($I45),$H45*$I45/1000*$U45,"")</f>
        <v/>
      </c>
      <c r="Q45" s="31">
        <f>IF(COUNTA($B45:$G45,$J45:$O45)=0,"",IF(NOT(AND($C45&lt;&gt;"",OR($D45="H",$D45="B",$D45="C"),ISNUMBER($E45),$J45&lt;&gt;"")),"! Incomplete",IF(NOT(IF(AND(ISNUMBER($F45),ISNUMBER($G45)),AND($F45&gt;0,$G45&gt;0,INT($F45)=$F45,INT($G45)=$G45),FALSE)),"! Quantities: whole numbers &gt; 0",IF($T45=0,"! Size not in Table 2",IF($S45=0,"! Unknown shape code",IF($X45="99","! Shape 99: length from the sketch",IF(NOT($Y45),"! Missing dimension",IF(NOT(IF(ISNA(MATCH($X45,{"48","51","52","63"},0)),TRUE,IF(ISBLANK($N45),TRUE,IF(ISNUMBER($N45),$N45=$M45,FALSE)))),"! D must equal C",IF($V45&lt;=0,"! Check dimensions",IF(NOT(AND(IF(ISBLANK($K45),TRUE,IF(ISNUMBER($K45),MOD($K45,5)=0,FALSE)),IF(ISBLANK($L45),TRUE,IF(ISNUMBER($L45),MOD($L45,5)=0,FALSE)),IF(ISBLANK($M45),TRUE,IF($X45="77",TRUE,IF(ISNUMBER($M45),MOD($M45,5)=0,FALSE))),IF(ISBLANK($N45),TRUE,IF(ISNUMBER($N45),MOD($N45,5)=0,FALSE)),IF(ISBLANK($O45),TRUE,IF(ISNUMBER($O45),MOD($O45,5)=0,FALSE)))),"! Dimensions to 5 mm",IF(NOT($Z45),"! Below Table 2 / 5 limits",IF($I45&gt;12000,"! Over 12 m stock","OK"))))))))))))</f>
        <v/>
      </c>
      <c r="S45" s="32">
        <f>IFERROR(MATCH($X45,{"00","01","11","12","13","21","22","23","24","26","27","28","29","31","32","33","41","44","48","51","52","56","63","67","75","77","98","99"},0),0)</f>
        <v/>
      </c>
      <c r="T45" s="32">
        <f>IFERROR(VLOOKUP($E45,bbs_sizes,2,FALSE),0)</f>
        <v/>
      </c>
      <c r="U45" s="32">
        <f>IFERROR(VLOOKUP($E45,bbs_sizes,3,FALSE),0)</f>
        <v/>
      </c>
      <c r="V45" s="32">
        <f>IFERROR(IF(AND($S45&gt;0,$Y45,$T45&gt;0),CHOOSE($S45,N($K45),N($K45),N($K45)+N($L45)-0.5*$T45-$E45,N($K45)+N($L45)-0.43*N($O45)-1.2*$E45,N($K45)+0.57*N($L45)+N($M45)-1.6*$E45,N($K45)+N($L45)+N($M45)-$T45-2*$E45,N($K45)+N($L45)+0.57*N($M45)+N($N45)-0.5*$T45-2.6*$E45,N($K45)+N($L45)+N($M45)-$T45-2*$E45,N($K45)+N($L45)+N($M45),N($K45)+N($L45)+N($M45),N($K45)+N($L45)+N($M45)-0.5*$T45-$E45,N($K45)+N($L45)+N($M45)-0.5*$T45-$E45,N($K45)+N($L45)+N($M45),N($K45)+N($L45)+N($M45)+N($N45)-1.5*$T45-3*$E45,N($K45)+N($L45)+N($M45)+N($N45)-1.5*$T45-3*$E45,2*N($K45)+1.7*N($L45)+2*N($M45)-4*$E45,N($K45)+N($L45)+N($M45)+N($N45)+N($O45)-2*$T45-4*$E45,N($K45)+N($L45)+N($M45)+N($N45)+N($O45)-2*$T45-4*$E45,2*N($K45)+N($L45)+2*N($M45)-$T45-2*$E45,2*(N($K45)+N($L45)+N($M45))-2.5*$T45-5*$E45,2*(N($K45)+N($L45)+N($M45))-1.5*$T45-3*$E45,N($K45)+N($L45)+N($M45)+N($N45)+2*N($O45)-1.5*$T45-3*$E45,2*N($K45)+3*N($L45)+2*N($M45)-3*$T45-6*$E45,N($K45),PI()*(N($K45)-$E45)+N($L45)+25,IF(N($L45)&lt;=N($K45)/5,N($M45)*PI()*(N($K45)-$E45),N($M45)*SQRT((PI()*(N($K45)-$E45))^2+N($L45)^2)),N($K45)+2*N($L45)+N($M45)+N($N45)-2*$T45-4*$E45,0),0),0)</f>
        <v/>
      </c>
      <c r="W45" s="32">
        <f>IF($S45&gt;0,CHOOSE($S45,"A","A","AB","ABE","ABC","ABC","ABCD","ABC","ABCDE","ABCDE","ABCDE","ABCDE","ABCDE","ABCD","ABCD","ABC","ABCDE","ABCDE","ABC","ABC","ABC","ABCDE","ABC","AE","AB","ABC","ABCD",""),"")</f>
        <v/>
      </c>
      <c r="X45" s="32">
        <f>IF(ISNUMBER($J45),IF(INT($J45)=$J45,TEXT($J45,"00"),"x"),IF(AND(LEN(TRIM($J45))=2,ISNUMBER(MID(TRIM($J45),1,1)*1),ISNUMBER(MID(TRIM($J45),2,1)*1),ISERROR(FIND(".",$J45))),TRIM($J45),"x"))</f>
        <v/>
      </c>
      <c r="Y45" s="32">
        <f>AND(IF(ISERROR(FIND("A",$W45)),TRUE,IF(ISNUMBER($K45),$K45&gt;0,FALSE)),IF(ISERROR(FIND("B",$W45)),TRUE,IF(ISNUMBER($L45),$L45&gt;0,FALSE)),IF(ISERROR(FIND("C",$W45)),TRUE,IF(ISNUMBER($M45),$M45&gt;0,FALSE)),IF(ISERROR(FIND("D",$W45)),TRUE,IF(ISNUMBER($N45),$N45&gt;0,FALSE)),IF(ISERROR(FIND("E",$W45)),TRUE,IF(ISNUMBER($O45),$O45&gt;0,FALSE)))</f>
        <v/>
      </c>
      <c r="Z45" s="32">
        <f>IFERROR(IF($S45&gt;0,CHOOSE($S45,TRUE,TRUE,AND(N($K45)&gt;=IFERROR(VLOOKUP($E45,bbs_sizes,4,FALSE),0),N($L45)&gt;=IFERROR(VLOOKUP($E45,bbs_sizes,4,FALSE),0)),AND(N($O45)&gt;=$T45,N($K45)&gt;=N($O45)+$E45+MAX(5*$E45,90),N($L45)&gt;=N($O45)+$E45+MAX(5*$E45,90)),AND(N($L45)&gt;=IFERROR(VLOOKUP($E45,bbs_sizes,6,FALSE),0),N($L45)&lt;=400+2*$E45,N($K45)&gt;=N($L45)/2+MAX(5*$E45,90),N($M45)&gt;=N($L45)/2+MAX(5*$E45,90)),AND(N($K45)&gt;=IFERROR(VLOOKUP($E45,bbs_sizes,4,FALSE),0),N($M45)&gt;=IFERROR(VLOOKUP($E45,bbs_sizes,4,FALSE),0)),AND(N($K45)&gt;=IFERROR(VLOOKUP($E45,bbs_sizes,4,FALSE),0),N($N45)&gt;=IFERROR(VLOOKUP($E45,bbs_sizes,4,FALSE),0),N($M45)&gt;=IFERROR(VLOOKUP($E45,bbs_sizes,6,FALSE),0),N($M45)&lt;=400+2*$E45,N($N45)&gt;=N($M45)/2+MAX(5*$E45,90)),AND(N($K45)&gt;=IFERROR(VLOOKUP($E45,bbs_sizes,4,FALSE),0),N($M45)&gt;=IFERROR(VLOOKUP($E45,bbs_sizes,4,FALSE),0)),AND(N($K45)&gt;=IFERROR(VLOOKUP($E45,bbs_sizes,4,FALSE),0),N($M45)&gt;=IFERROR(VLOOKUP($E45,bbs_sizes,4,FALSE),0),N($L45)&gt;=MAX(N($N45),N($O45)),N($L45)&lt;=N($N45)+N($O45)),AND(N($K45)&gt;=IFERROR(VLOOKUP($E45,bbs_sizes,4,FALSE),0),N($M45)&gt;=IFERROR(VLOOKUP($E45,bbs_sizes,4,FALSE),0),N($L45)&gt;=MAX(N($N45),N($O45)),N($L45)&lt;=N($N45)+N($O45)),AND(N($K45)&gt;=IFERROR(VLOOKUP($E45,bbs_sizes,4,FALSE),0),N($M45)&gt;=IFERROR(VLOOKUP($E45,bbs_sizes,4,FALSE),0),N($K45)&gt;=N($O45)),AND(N($K45)&gt;=IFERROR(VLOOKUP($E45,bbs_sizes,4,FALSE),0),N($M45)&gt;=IFERROR(VLOOKUP($E45,bbs_sizes,4,FALSE),0),N($K45)&gt;=N($O45)),AND(N($K45)&gt;=IFERROR(VLOOKUP($E45,bbs_sizes,4,FALSE),0),N($M45)&gt;=IFERROR(VLOOKUP($E45,bbs_sizes,4,FALSE),0),N($L45)&gt;=MAX(N($N45),N($O45)),N($L45)&lt;=N($N45)+N($O45)),AND(N($K45)&gt;=IFERROR(VLOOKUP($E45,bbs_sizes,4,FALSE),0),N($N45)&gt;=IFERROR(VLOOKUP($E45,bbs_sizes,4,FALSE),0)),AND(N($K45)&gt;=IFERROR(VLOOKUP($E45,bbs_sizes,4,FALSE),0),N($N45)&gt;=IFERROR(VLOOKUP($E45,bbs_sizes,4,FALSE),0)),AND(N($L45)&gt;=IFERROR(VLOOKUP($E45,bbs_sizes,6,FALSE),0),N($L45)&lt;=400+2*$E45,N($M45)&gt;=N($L45)/2+MAX(5*$E45,90),N($K45)&gt;=N($L45)/2+N($M45)),AND(N($K45)&gt;=IFERROR(VLOOKUP($E45,bbs_sizes,4,FALSE),0),N($O45)&gt;=IFERROR(VLOOKUP($E45,bbs_sizes,4,FALSE),0)),AND(N($K45)&gt;=IFERROR(VLOOKUP($E45,bbs_sizes,4,FALSE),0),N($O45)&gt;=IFERROR(VLOOKUP($E45,bbs_sizes,4,FALSE),0)),AND(N($M45)&lt;=N($K45),N($M45)&gt;=IFERROR(VLOOKUP($E45,bbs_sizes,5,FALSE),0)),AND(N($M45)&lt;=N($K45),N($M45)&lt;=N($L45),N($M45)&gt;=IFERROR(VLOOKUP($E45,bbs_sizes,5,FALSE),0)),AND(N($M45)&lt;=N($L45),N($M45)&gt;=IFERROR(VLOOKUP($E45,bbs_sizes,5,FALSE),0)),AND(N($O45)&lt;=N($K45),N($O45)&lt;=N($L45),N($O45)&gt;=IFERROR(VLOOKUP($E45,bbs_sizes,5,FALSE),0)),AND(N($M45)&lt;=N($K45),N($M45)&gt;=IFERROR(VLOOKUP($E45,bbs_sizes,4,FALSE),0)),TRUE,TRUE,TRUE,AND(N($M45)&gt;=IFERROR(VLOOKUP($E45,bbs_sizes,4,FALSE),0),N($N45)&gt;=IFERROR(VLOOKUP($E45,bbs_sizes,4,FALSE),0)),TRUE),FALSE),FALSE)</f>
        <v/>
      </c>
    </row>
    <row r="46" ht="15" customHeight="1">
      <c r="B46" s="25" t="n"/>
      <c r="C46" s="26" t="n"/>
      <c r="D46" s="26" t="n"/>
      <c r="E46" s="26" t="n"/>
      <c r="F46" s="26" t="n"/>
      <c r="G46" s="26" t="n"/>
      <c r="H46" s="27">
        <f>IF(IF(AND(ISNUMBER($F46),ISNUMBER($G46)),AND($F46&gt;0,$G46&gt;0,INT($F46)=$F46,INT($G46)=$G46),FALSE),$F46*$G46,"")</f>
        <v/>
      </c>
      <c r="I46" s="28">
        <f>IF(AND(AND($C46&lt;&gt;"",OR($D46="H",$D46="B",$D46="C"),ISNUMBER($E46),$J46&lt;&gt;""),IF(AND(ISNUMBER($F46),ISNUMBER($G46)),AND($F46&gt;0,$G46&gt;0,INT($F46)=$F46,INT($G46)=$G46),FALSE),$T46&gt;0,$S46&gt;0,$Y46,IF(ISNA(MATCH($X46,{"48","51","52","63"},0)),TRUE,IF(ISBLANK($N46),TRUE,IF(ISNUMBER($N46),$N46=$M46,FALSE))),$X46&lt;&gt;"99",$V46&gt;0,AND(IF(ISBLANK($K46),TRUE,IF(ISNUMBER($K46),MOD($K46,5)=0,FALSE)),IF(ISBLANK($L46),TRUE,IF(ISNUMBER($L46),MOD($L46,5)=0,FALSE)),IF(ISBLANK($M46),TRUE,IF($X46="77",TRUE,IF(ISNUMBER($M46),MOD($M46,5)=0,FALSE))),IF(ISBLANK($N46),TRUE,IF(ISNUMBER($N46),MOD($N46,5)=0,FALSE)),IF(ISBLANK($O46),TRUE,IF(ISNUMBER($O46),MOD($O46,5)=0,FALSE))),$Z46),CEILING($V46,25),"")</f>
        <v/>
      </c>
      <c r="J46" s="29" t="n"/>
      <c r="K46" s="26" t="n"/>
      <c r="L46" s="26" t="n"/>
      <c r="M46" s="26" t="n"/>
      <c r="N46" s="26" t="n"/>
      <c r="O46" s="26" t="n"/>
      <c r="P46" s="30">
        <f>IF(ISNUMBER($I46),$H46*$I46/1000*$U46,"")</f>
        <v/>
      </c>
      <c r="Q46" s="31">
        <f>IF(COUNTA($B46:$G46,$J46:$O46)=0,"",IF(NOT(AND($C46&lt;&gt;"",OR($D46="H",$D46="B",$D46="C"),ISNUMBER($E46),$J46&lt;&gt;"")),"! Incomplete",IF(NOT(IF(AND(ISNUMBER($F46),ISNUMBER($G46)),AND($F46&gt;0,$G46&gt;0,INT($F46)=$F46,INT($G46)=$G46),FALSE)),"! Quantities: whole numbers &gt; 0",IF($T46=0,"! Size not in Table 2",IF($S46=0,"! Unknown shape code",IF($X46="99","! Shape 99: length from the sketch",IF(NOT($Y46),"! Missing dimension",IF(NOT(IF(ISNA(MATCH($X46,{"48","51","52","63"},0)),TRUE,IF(ISBLANK($N46),TRUE,IF(ISNUMBER($N46),$N46=$M46,FALSE)))),"! D must equal C",IF($V46&lt;=0,"! Check dimensions",IF(NOT(AND(IF(ISBLANK($K46),TRUE,IF(ISNUMBER($K46),MOD($K46,5)=0,FALSE)),IF(ISBLANK($L46),TRUE,IF(ISNUMBER($L46),MOD($L46,5)=0,FALSE)),IF(ISBLANK($M46),TRUE,IF($X46="77",TRUE,IF(ISNUMBER($M46),MOD($M46,5)=0,FALSE))),IF(ISBLANK($N46),TRUE,IF(ISNUMBER($N46),MOD($N46,5)=0,FALSE)),IF(ISBLANK($O46),TRUE,IF(ISNUMBER($O46),MOD($O46,5)=0,FALSE)))),"! Dimensions to 5 mm",IF(NOT($Z46),"! Below Table 2 / 5 limits",IF($I46&gt;12000,"! Over 12 m stock","OK"))))))))))))</f>
        <v/>
      </c>
      <c r="S46" s="32">
        <f>IFERROR(MATCH($X46,{"00","01","11","12","13","21","22","23","24","26","27","28","29","31","32","33","41","44","48","51","52","56","63","67","75","77","98","99"},0),0)</f>
        <v/>
      </c>
      <c r="T46" s="32">
        <f>IFERROR(VLOOKUP($E46,bbs_sizes,2,FALSE),0)</f>
        <v/>
      </c>
      <c r="U46" s="32">
        <f>IFERROR(VLOOKUP($E46,bbs_sizes,3,FALSE),0)</f>
        <v/>
      </c>
      <c r="V46" s="32">
        <f>IFERROR(IF(AND($S46&gt;0,$Y46,$T46&gt;0),CHOOSE($S46,N($K46),N($K46),N($K46)+N($L46)-0.5*$T46-$E46,N($K46)+N($L46)-0.43*N($O46)-1.2*$E46,N($K46)+0.57*N($L46)+N($M46)-1.6*$E46,N($K46)+N($L46)+N($M46)-$T46-2*$E46,N($K46)+N($L46)+0.57*N($M46)+N($N46)-0.5*$T46-2.6*$E46,N($K46)+N($L46)+N($M46)-$T46-2*$E46,N($K46)+N($L46)+N($M46),N($K46)+N($L46)+N($M46),N($K46)+N($L46)+N($M46)-0.5*$T46-$E46,N($K46)+N($L46)+N($M46)-0.5*$T46-$E46,N($K46)+N($L46)+N($M46),N($K46)+N($L46)+N($M46)+N($N46)-1.5*$T46-3*$E46,N($K46)+N($L46)+N($M46)+N($N46)-1.5*$T46-3*$E46,2*N($K46)+1.7*N($L46)+2*N($M46)-4*$E46,N($K46)+N($L46)+N($M46)+N($N46)+N($O46)-2*$T46-4*$E46,N($K46)+N($L46)+N($M46)+N($N46)+N($O46)-2*$T46-4*$E46,2*N($K46)+N($L46)+2*N($M46)-$T46-2*$E46,2*(N($K46)+N($L46)+N($M46))-2.5*$T46-5*$E46,2*(N($K46)+N($L46)+N($M46))-1.5*$T46-3*$E46,N($K46)+N($L46)+N($M46)+N($N46)+2*N($O46)-1.5*$T46-3*$E46,2*N($K46)+3*N($L46)+2*N($M46)-3*$T46-6*$E46,N($K46),PI()*(N($K46)-$E46)+N($L46)+25,IF(N($L46)&lt;=N($K46)/5,N($M46)*PI()*(N($K46)-$E46),N($M46)*SQRT((PI()*(N($K46)-$E46))^2+N($L46)^2)),N($K46)+2*N($L46)+N($M46)+N($N46)-2*$T46-4*$E46,0),0),0)</f>
        <v/>
      </c>
      <c r="W46" s="32">
        <f>IF($S46&gt;0,CHOOSE($S46,"A","A","AB","ABE","ABC","ABC","ABCD","ABC","ABCDE","ABCDE","ABCDE","ABCDE","ABCDE","ABCD","ABCD","ABC","ABCDE","ABCDE","ABC","ABC","ABC","ABCDE","ABC","AE","AB","ABC","ABCD",""),"")</f>
        <v/>
      </c>
      <c r="X46" s="32">
        <f>IF(ISNUMBER($J46),IF(INT($J46)=$J46,TEXT($J46,"00"),"x"),IF(AND(LEN(TRIM($J46))=2,ISNUMBER(MID(TRIM($J46),1,1)*1),ISNUMBER(MID(TRIM($J46),2,1)*1),ISERROR(FIND(".",$J46))),TRIM($J46),"x"))</f>
        <v/>
      </c>
      <c r="Y46" s="32">
        <f>AND(IF(ISERROR(FIND("A",$W46)),TRUE,IF(ISNUMBER($K46),$K46&gt;0,FALSE)),IF(ISERROR(FIND("B",$W46)),TRUE,IF(ISNUMBER($L46),$L46&gt;0,FALSE)),IF(ISERROR(FIND("C",$W46)),TRUE,IF(ISNUMBER($M46),$M46&gt;0,FALSE)),IF(ISERROR(FIND("D",$W46)),TRUE,IF(ISNUMBER($N46),$N46&gt;0,FALSE)),IF(ISERROR(FIND("E",$W46)),TRUE,IF(ISNUMBER($O46),$O46&gt;0,FALSE)))</f>
        <v/>
      </c>
      <c r="Z46" s="32">
        <f>IFERROR(IF($S46&gt;0,CHOOSE($S46,TRUE,TRUE,AND(N($K46)&gt;=IFERROR(VLOOKUP($E46,bbs_sizes,4,FALSE),0),N($L46)&gt;=IFERROR(VLOOKUP($E46,bbs_sizes,4,FALSE),0)),AND(N($O46)&gt;=$T46,N($K46)&gt;=N($O46)+$E46+MAX(5*$E46,90),N($L46)&gt;=N($O46)+$E46+MAX(5*$E46,90)),AND(N($L46)&gt;=IFERROR(VLOOKUP($E46,bbs_sizes,6,FALSE),0),N($L46)&lt;=400+2*$E46,N($K46)&gt;=N($L46)/2+MAX(5*$E46,90),N($M46)&gt;=N($L46)/2+MAX(5*$E46,90)),AND(N($K46)&gt;=IFERROR(VLOOKUP($E46,bbs_sizes,4,FALSE),0),N($M46)&gt;=IFERROR(VLOOKUP($E46,bbs_sizes,4,FALSE),0)),AND(N($K46)&gt;=IFERROR(VLOOKUP($E46,bbs_sizes,4,FALSE),0),N($N46)&gt;=IFERROR(VLOOKUP($E46,bbs_sizes,4,FALSE),0),N($M46)&gt;=IFERROR(VLOOKUP($E46,bbs_sizes,6,FALSE),0),N($M46)&lt;=400+2*$E46,N($N46)&gt;=N($M46)/2+MAX(5*$E46,90)),AND(N($K46)&gt;=IFERROR(VLOOKUP($E46,bbs_sizes,4,FALSE),0),N($M46)&gt;=IFERROR(VLOOKUP($E46,bbs_sizes,4,FALSE),0)),AND(N($K46)&gt;=IFERROR(VLOOKUP($E46,bbs_sizes,4,FALSE),0),N($M46)&gt;=IFERROR(VLOOKUP($E46,bbs_sizes,4,FALSE),0),N($L46)&gt;=MAX(N($N46),N($O46)),N($L46)&lt;=N($N46)+N($O46)),AND(N($K46)&gt;=IFERROR(VLOOKUP($E46,bbs_sizes,4,FALSE),0),N($M46)&gt;=IFERROR(VLOOKUP($E46,bbs_sizes,4,FALSE),0),N($L46)&gt;=MAX(N($N46),N($O46)),N($L46)&lt;=N($N46)+N($O46)),AND(N($K46)&gt;=IFERROR(VLOOKUP($E46,bbs_sizes,4,FALSE),0),N($M46)&gt;=IFERROR(VLOOKUP($E46,bbs_sizes,4,FALSE),0),N($K46)&gt;=N($O46)),AND(N($K46)&gt;=IFERROR(VLOOKUP($E46,bbs_sizes,4,FALSE),0),N($M46)&gt;=IFERROR(VLOOKUP($E46,bbs_sizes,4,FALSE),0),N($K46)&gt;=N($O46)),AND(N($K46)&gt;=IFERROR(VLOOKUP($E46,bbs_sizes,4,FALSE),0),N($M46)&gt;=IFERROR(VLOOKUP($E46,bbs_sizes,4,FALSE),0),N($L46)&gt;=MAX(N($N46),N($O46)),N($L46)&lt;=N($N46)+N($O46)),AND(N($K46)&gt;=IFERROR(VLOOKUP($E46,bbs_sizes,4,FALSE),0),N($N46)&gt;=IFERROR(VLOOKUP($E46,bbs_sizes,4,FALSE),0)),AND(N($K46)&gt;=IFERROR(VLOOKUP($E46,bbs_sizes,4,FALSE),0),N($N46)&gt;=IFERROR(VLOOKUP($E46,bbs_sizes,4,FALSE),0)),AND(N($L46)&gt;=IFERROR(VLOOKUP($E46,bbs_sizes,6,FALSE),0),N($L46)&lt;=400+2*$E46,N($M46)&gt;=N($L46)/2+MAX(5*$E46,90),N($K46)&gt;=N($L46)/2+N($M46)),AND(N($K46)&gt;=IFERROR(VLOOKUP($E46,bbs_sizes,4,FALSE),0),N($O46)&gt;=IFERROR(VLOOKUP($E46,bbs_sizes,4,FALSE),0)),AND(N($K46)&gt;=IFERROR(VLOOKUP($E46,bbs_sizes,4,FALSE),0),N($O46)&gt;=IFERROR(VLOOKUP($E46,bbs_sizes,4,FALSE),0)),AND(N($M46)&lt;=N($K46),N($M46)&gt;=IFERROR(VLOOKUP($E46,bbs_sizes,5,FALSE),0)),AND(N($M46)&lt;=N($K46),N($M46)&lt;=N($L46),N($M46)&gt;=IFERROR(VLOOKUP($E46,bbs_sizes,5,FALSE),0)),AND(N($M46)&lt;=N($L46),N($M46)&gt;=IFERROR(VLOOKUP($E46,bbs_sizes,5,FALSE),0)),AND(N($O46)&lt;=N($K46),N($O46)&lt;=N($L46),N($O46)&gt;=IFERROR(VLOOKUP($E46,bbs_sizes,5,FALSE),0)),AND(N($M46)&lt;=N($K46),N($M46)&gt;=IFERROR(VLOOKUP($E46,bbs_sizes,4,FALSE),0)),TRUE,TRUE,TRUE,AND(N($M46)&gt;=IFERROR(VLOOKUP($E46,bbs_sizes,4,FALSE),0),N($N46)&gt;=IFERROR(VLOOKUP($E46,bbs_sizes,4,FALSE),0)),TRUE),FALSE),FALSE)</f>
        <v/>
      </c>
    </row>
    <row r="47" ht="15" customHeight="1">
      <c r="B47" s="25" t="n"/>
      <c r="C47" s="26" t="n"/>
      <c r="D47" s="26" t="n"/>
      <c r="E47" s="26" t="n"/>
      <c r="F47" s="26" t="n"/>
      <c r="G47" s="26" t="n"/>
      <c r="H47" s="27">
        <f>IF(IF(AND(ISNUMBER($F47),ISNUMBER($G47)),AND($F47&gt;0,$G47&gt;0,INT($F47)=$F47,INT($G47)=$G47),FALSE),$F47*$G47,"")</f>
        <v/>
      </c>
      <c r="I47" s="28">
        <f>IF(AND(AND($C47&lt;&gt;"",OR($D47="H",$D47="B",$D47="C"),ISNUMBER($E47),$J47&lt;&gt;""),IF(AND(ISNUMBER($F47),ISNUMBER($G47)),AND($F47&gt;0,$G47&gt;0,INT($F47)=$F47,INT($G47)=$G47),FALSE),$T47&gt;0,$S47&gt;0,$Y47,IF(ISNA(MATCH($X47,{"48","51","52","63"},0)),TRUE,IF(ISBLANK($N47),TRUE,IF(ISNUMBER($N47),$N47=$M47,FALSE))),$X47&lt;&gt;"99",$V47&gt;0,AND(IF(ISBLANK($K47),TRUE,IF(ISNUMBER($K47),MOD($K47,5)=0,FALSE)),IF(ISBLANK($L47),TRUE,IF(ISNUMBER($L47),MOD($L47,5)=0,FALSE)),IF(ISBLANK($M47),TRUE,IF($X47="77",TRUE,IF(ISNUMBER($M47),MOD($M47,5)=0,FALSE))),IF(ISBLANK($N47),TRUE,IF(ISNUMBER($N47),MOD($N47,5)=0,FALSE)),IF(ISBLANK($O47),TRUE,IF(ISNUMBER($O47),MOD($O47,5)=0,FALSE))),$Z47),CEILING($V47,25),"")</f>
        <v/>
      </c>
      <c r="J47" s="29" t="n"/>
      <c r="K47" s="26" t="n"/>
      <c r="L47" s="26" t="n"/>
      <c r="M47" s="26" t="n"/>
      <c r="N47" s="26" t="n"/>
      <c r="O47" s="26" t="n"/>
      <c r="P47" s="30">
        <f>IF(ISNUMBER($I47),$H47*$I47/1000*$U47,"")</f>
        <v/>
      </c>
      <c r="Q47" s="31">
        <f>IF(COUNTA($B47:$G47,$J47:$O47)=0,"",IF(NOT(AND($C47&lt;&gt;"",OR($D47="H",$D47="B",$D47="C"),ISNUMBER($E47),$J47&lt;&gt;"")),"! Incomplete",IF(NOT(IF(AND(ISNUMBER($F47),ISNUMBER($G47)),AND($F47&gt;0,$G47&gt;0,INT($F47)=$F47,INT($G47)=$G47),FALSE)),"! Quantities: whole numbers &gt; 0",IF($T47=0,"! Size not in Table 2",IF($S47=0,"! Unknown shape code",IF($X47="99","! Shape 99: length from the sketch",IF(NOT($Y47),"! Missing dimension",IF(NOT(IF(ISNA(MATCH($X47,{"48","51","52","63"},0)),TRUE,IF(ISBLANK($N47),TRUE,IF(ISNUMBER($N47),$N47=$M47,FALSE)))),"! D must equal C",IF($V47&lt;=0,"! Check dimensions",IF(NOT(AND(IF(ISBLANK($K47),TRUE,IF(ISNUMBER($K47),MOD($K47,5)=0,FALSE)),IF(ISBLANK($L47),TRUE,IF(ISNUMBER($L47),MOD($L47,5)=0,FALSE)),IF(ISBLANK($M47),TRUE,IF($X47="77",TRUE,IF(ISNUMBER($M47),MOD($M47,5)=0,FALSE))),IF(ISBLANK($N47),TRUE,IF(ISNUMBER($N47),MOD($N47,5)=0,FALSE)),IF(ISBLANK($O47),TRUE,IF(ISNUMBER($O47),MOD($O47,5)=0,FALSE)))),"! Dimensions to 5 mm",IF(NOT($Z47),"! Below Table 2 / 5 limits",IF($I47&gt;12000,"! Over 12 m stock","OK"))))))))))))</f>
        <v/>
      </c>
      <c r="S47" s="32">
        <f>IFERROR(MATCH($X47,{"00","01","11","12","13","21","22","23","24","26","27","28","29","31","32","33","41","44","48","51","52","56","63","67","75","77","98","99"},0),0)</f>
        <v/>
      </c>
      <c r="T47" s="32">
        <f>IFERROR(VLOOKUP($E47,bbs_sizes,2,FALSE),0)</f>
        <v/>
      </c>
      <c r="U47" s="32">
        <f>IFERROR(VLOOKUP($E47,bbs_sizes,3,FALSE),0)</f>
        <v/>
      </c>
      <c r="V47" s="32">
        <f>IFERROR(IF(AND($S47&gt;0,$Y47,$T47&gt;0),CHOOSE($S47,N($K47),N($K47),N($K47)+N($L47)-0.5*$T47-$E47,N($K47)+N($L47)-0.43*N($O47)-1.2*$E47,N($K47)+0.57*N($L47)+N($M47)-1.6*$E47,N($K47)+N($L47)+N($M47)-$T47-2*$E47,N($K47)+N($L47)+0.57*N($M47)+N($N47)-0.5*$T47-2.6*$E47,N($K47)+N($L47)+N($M47)-$T47-2*$E47,N($K47)+N($L47)+N($M47),N($K47)+N($L47)+N($M47),N($K47)+N($L47)+N($M47)-0.5*$T47-$E47,N($K47)+N($L47)+N($M47)-0.5*$T47-$E47,N($K47)+N($L47)+N($M47),N($K47)+N($L47)+N($M47)+N($N47)-1.5*$T47-3*$E47,N($K47)+N($L47)+N($M47)+N($N47)-1.5*$T47-3*$E47,2*N($K47)+1.7*N($L47)+2*N($M47)-4*$E47,N($K47)+N($L47)+N($M47)+N($N47)+N($O47)-2*$T47-4*$E47,N($K47)+N($L47)+N($M47)+N($N47)+N($O47)-2*$T47-4*$E47,2*N($K47)+N($L47)+2*N($M47)-$T47-2*$E47,2*(N($K47)+N($L47)+N($M47))-2.5*$T47-5*$E47,2*(N($K47)+N($L47)+N($M47))-1.5*$T47-3*$E47,N($K47)+N($L47)+N($M47)+N($N47)+2*N($O47)-1.5*$T47-3*$E47,2*N($K47)+3*N($L47)+2*N($M47)-3*$T47-6*$E47,N($K47),PI()*(N($K47)-$E47)+N($L47)+25,IF(N($L47)&lt;=N($K47)/5,N($M47)*PI()*(N($K47)-$E47),N($M47)*SQRT((PI()*(N($K47)-$E47))^2+N($L47)^2)),N($K47)+2*N($L47)+N($M47)+N($N47)-2*$T47-4*$E47,0),0),0)</f>
        <v/>
      </c>
      <c r="W47" s="32">
        <f>IF($S47&gt;0,CHOOSE($S47,"A","A","AB","ABE","ABC","ABC","ABCD","ABC","ABCDE","ABCDE","ABCDE","ABCDE","ABCDE","ABCD","ABCD","ABC","ABCDE","ABCDE","ABC","ABC","ABC","ABCDE","ABC","AE","AB","ABC","ABCD",""),"")</f>
        <v/>
      </c>
      <c r="X47" s="32">
        <f>IF(ISNUMBER($J47),IF(INT($J47)=$J47,TEXT($J47,"00"),"x"),IF(AND(LEN(TRIM($J47))=2,ISNUMBER(MID(TRIM($J47),1,1)*1),ISNUMBER(MID(TRIM($J47),2,1)*1),ISERROR(FIND(".",$J47))),TRIM($J47),"x"))</f>
        <v/>
      </c>
      <c r="Y47" s="32">
        <f>AND(IF(ISERROR(FIND("A",$W47)),TRUE,IF(ISNUMBER($K47),$K47&gt;0,FALSE)),IF(ISERROR(FIND("B",$W47)),TRUE,IF(ISNUMBER($L47),$L47&gt;0,FALSE)),IF(ISERROR(FIND("C",$W47)),TRUE,IF(ISNUMBER($M47),$M47&gt;0,FALSE)),IF(ISERROR(FIND("D",$W47)),TRUE,IF(ISNUMBER($N47),$N47&gt;0,FALSE)),IF(ISERROR(FIND("E",$W47)),TRUE,IF(ISNUMBER($O47),$O47&gt;0,FALSE)))</f>
        <v/>
      </c>
      <c r="Z47" s="32">
        <f>IFERROR(IF($S47&gt;0,CHOOSE($S47,TRUE,TRUE,AND(N($K47)&gt;=IFERROR(VLOOKUP($E47,bbs_sizes,4,FALSE),0),N($L47)&gt;=IFERROR(VLOOKUP($E47,bbs_sizes,4,FALSE),0)),AND(N($O47)&gt;=$T47,N($K47)&gt;=N($O47)+$E47+MAX(5*$E47,90),N($L47)&gt;=N($O47)+$E47+MAX(5*$E47,90)),AND(N($L47)&gt;=IFERROR(VLOOKUP($E47,bbs_sizes,6,FALSE),0),N($L47)&lt;=400+2*$E47,N($K47)&gt;=N($L47)/2+MAX(5*$E47,90),N($M47)&gt;=N($L47)/2+MAX(5*$E47,90)),AND(N($K47)&gt;=IFERROR(VLOOKUP($E47,bbs_sizes,4,FALSE),0),N($M47)&gt;=IFERROR(VLOOKUP($E47,bbs_sizes,4,FALSE),0)),AND(N($K47)&gt;=IFERROR(VLOOKUP($E47,bbs_sizes,4,FALSE),0),N($N47)&gt;=IFERROR(VLOOKUP($E47,bbs_sizes,4,FALSE),0),N($M47)&gt;=IFERROR(VLOOKUP($E47,bbs_sizes,6,FALSE),0),N($M47)&lt;=400+2*$E47,N($N47)&gt;=N($M47)/2+MAX(5*$E47,90)),AND(N($K47)&gt;=IFERROR(VLOOKUP($E47,bbs_sizes,4,FALSE),0),N($M47)&gt;=IFERROR(VLOOKUP($E47,bbs_sizes,4,FALSE),0)),AND(N($K47)&gt;=IFERROR(VLOOKUP($E47,bbs_sizes,4,FALSE),0),N($M47)&gt;=IFERROR(VLOOKUP($E47,bbs_sizes,4,FALSE),0),N($L47)&gt;=MAX(N($N47),N($O47)),N($L47)&lt;=N($N47)+N($O47)),AND(N($K47)&gt;=IFERROR(VLOOKUP($E47,bbs_sizes,4,FALSE),0),N($M47)&gt;=IFERROR(VLOOKUP($E47,bbs_sizes,4,FALSE),0),N($L47)&gt;=MAX(N($N47),N($O47)),N($L47)&lt;=N($N47)+N($O47)),AND(N($K47)&gt;=IFERROR(VLOOKUP($E47,bbs_sizes,4,FALSE),0),N($M47)&gt;=IFERROR(VLOOKUP($E47,bbs_sizes,4,FALSE),0),N($K47)&gt;=N($O47)),AND(N($K47)&gt;=IFERROR(VLOOKUP($E47,bbs_sizes,4,FALSE),0),N($M47)&gt;=IFERROR(VLOOKUP($E47,bbs_sizes,4,FALSE),0),N($K47)&gt;=N($O47)),AND(N($K47)&gt;=IFERROR(VLOOKUP($E47,bbs_sizes,4,FALSE),0),N($M47)&gt;=IFERROR(VLOOKUP($E47,bbs_sizes,4,FALSE),0),N($L47)&gt;=MAX(N($N47),N($O47)),N($L47)&lt;=N($N47)+N($O47)),AND(N($K47)&gt;=IFERROR(VLOOKUP($E47,bbs_sizes,4,FALSE),0),N($N47)&gt;=IFERROR(VLOOKUP($E47,bbs_sizes,4,FALSE),0)),AND(N($K47)&gt;=IFERROR(VLOOKUP($E47,bbs_sizes,4,FALSE),0),N($N47)&gt;=IFERROR(VLOOKUP($E47,bbs_sizes,4,FALSE),0)),AND(N($L47)&gt;=IFERROR(VLOOKUP($E47,bbs_sizes,6,FALSE),0),N($L47)&lt;=400+2*$E47,N($M47)&gt;=N($L47)/2+MAX(5*$E47,90),N($K47)&gt;=N($L47)/2+N($M47)),AND(N($K47)&gt;=IFERROR(VLOOKUP($E47,bbs_sizes,4,FALSE),0),N($O47)&gt;=IFERROR(VLOOKUP($E47,bbs_sizes,4,FALSE),0)),AND(N($K47)&gt;=IFERROR(VLOOKUP($E47,bbs_sizes,4,FALSE),0),N($O47)&gt;=IFERROR(VLOOKUP($E47,bbs_sizes,4,FALSE),0)),AND(N($M47)&lt;=N($K47),N($M47)&gt;=IFERROR(VLOOKUP($E47,bbs_sizes,5,FALSE),0)),AND(N($M47)&lt;=N($K47),N($M47)&lt;=N($L47),N($M47)&gt;=IFERROR(VLOOKUP($E47,bbs_sizes,5,FALSE),0)),AND(N($M47)&lt;=N($L47),N($M47)&gt;=IFERROR(VLOOKUP($E47,bbs_sizes,5,FALSE),0)),AND(N($O47)&lt;=N($K47),N($O47)&lt;=N($L47),N($O47)&gt;=IFERROR(VLOOKUP($E47,bbs_sizes,5,FALSE),0)),AND(N($M47)&lt;=N($K47),N($M47)&gt;=IFERROR(VLOOKUP($E47,bbs_sizes,4,FALSE),0)),TRUE,TRUE,TRUE,AND(N($M47)&gt;=IFERROR(VLOOKUP($E47,bbs_sizes,4,FALSE),0),N($N47)&gt;=IFERROR(VLOOKUP($E47,bbs_sizes,4,FALSE),0)),TRUE),FALSE),FALSE)</f>
        <v/>
      </c>
    </row>
    <row r="48" ht="15" customHeight="1">
      <c r="B48" s="25" t="n"/>
      <c r="C48" s="26" t="n"/>
      <c r="D48" s="26" t="n"/>
      <c r="E48" s="26" t="n"/>
      <c r="F48" s="26" t="n"/>
      <c r="G48" s="26" t="n"/>
      <c r="H48" s="27">
        <f>IF(IF(AND(ISNUMBER($F48),ISNUMBER($G48)),AND($F48&gt;0,$G48&gt;0,INT($F48)=$F48,INT($G48)=$G48),FALSE),$F48*$G48,"")</f>
        <v/>
      </c>
      <c r="I48" s="28">
        <f>IF(AND(AND($C48&lt;&gt;"",OR($D48="H",$D48="B",$D48="C"),ISNUMBER($E48),$J48&lt;&gt;""),IF(AND(ISNUMBER($F48),ISNUMBER($G48)),AND($F48&gt;0,$G48&gt;0,INT($F48)=$F48,INT($G48)=$G48),FALSE),$T48&gt;0,$S48&gt;0,$Y48,IF(ISNA(MATCH($X48,{"48","51","52","63"},0)),TRUE,IF(ISBLANK($N48),TRUE,IF(ISNUMBER($N48),$N48=$M48,FALSE))),$X48&lt;&gt;"99",$V48&gt;0,AND(IF(ISBLANK($K48),TRUE,IF(ISNUMBER($K48),MOD($K48,5)=0,FALSE)),IF(ISBLANK($L48),TRUE,IF(ISNUMBER($L48),MOD($L48,5)=0,FALSE)),IF(ISBLANK($M48),TRUE,IF($X48="77",TRUE,IF(ISNUMBER($M48),MOD($M48,5)=0,FALSE))),IF(ISBLANK($N48),TRUE,IF(ISNUMBER($N48),MOD($N48,5)=0,FALSE)),IF(ISBLANK($O48),TRUE,IF(ISNUMBER($O48),MOD($O48,5)=0,FALSE))),$Z48),CEILING($V48,25),"")</f>
        <v/>
      </c>
      <c r="J48" s="29" t="n"/>
      <c r="K48" s="26" t="n"/>
      <c r="L48" s="26" t="n"/>
      <c r="M48" s="26" t="n"/>
      <c r="N48" s="26" t="n"/>
      <c r="O48" s="26" t="n"/>
      <c r="P48" s="30">
        <f>IF(ISNUMBER($I48),$H48*$I48/1000*$U48,"")</f>
        <v/>
      </c>
      <c r="Q48" s="31">
        <f>IF(COUNTA($B48:$G48,$J48:$O48)=0,"",IF(NOT(AND($C48&lt;&gt;"",OR($D48="H",$D48="B",$D48="C"),ISNUMBER($E48),$J48&lt;&gt;"")),"! Incomplete",IF(NOT(IF(AND(ISNUMBER($F48),ISNUMBER($G48)),AND($F48&gt;0,$G48&gt;0,INT($F48)=$F48,INT($G48)=$G48),FALSE)),"! Quantities: whole numbers &gt; 0",IF($T48=0,"! Size not in Table 2",IF($S48=0,"! Unknown shape code",IF($X48="99","! Shape 99: length from the sketch",IF(NOT($Y48),"! Missing dimension",IF(NOT(IF(ISNA(MATCH($X48,{"48","51","52","63"},0)),TRUE,IF(ISBLANK($N48),TRUE,IF(ISNUMBER($N48),$N48=$M48,FALSE)))),"! D must equal C",IF($V48&lt;=0,"! Check dimensions",IF(NOT(AND(IF(ISBLANK($K48),TRUE,IF(ISNUMBER($K48),MOD($K48,5)=0,FALSE)),IF(ISBLANK($L48),TRUE,IF(ISNUMBER($L48),MOD($L48,5)=0,FALSE)),IF(ISBLANK($M48),TRUE,IF($X48="77",TRUE,IF(ISNUMBER($M48),MOD($M48,5)=0,FALSE))),IF(ISBLANK($N48),TRUE,IF(ISNUMBER($N48),MOD($N48,5)=0,FALSE)),IF(ISBLANK($O48),TRUE,IF(ISNUMBER($O48),MOD($O48,5)=0,FALSE)))),"! Dimensions to 5 mm",IF(NOT($Z48),"! Below Table 2 / 5 limits",IF($I48&gt;12000,"! Over 12 m stock","OK"))))))))))))</f>
        <v/>
      </c>
      <c r="S48" s="32">
        <f>IFERROR(MATCH($X48,{"00","01","11","12","13","21","22","23","24","26","27","28","29","31","32","33","41","44","48","51","52","56","63","67","75","77","98","99"},0),0)</f>
        <v/>
      </c>
      <c r="T48" s="32">
        <f>IFERROR(VLOOKUP($E48,bbs_sizes,2,FALSE),0)</f>
        <v/>
      </c>
      <c r="U48" s="32">
        <f>IFERROR(VLOOKUP($E48,bbs_sizes,3,FALSE),0)</f>
        <v/>
      </c>
      <c r="V48" s="32">
        <f>IFERROR(IF(AND($S48&gt;0,$Y48,$T48&gt;0),CHOOSE($S48,N($K48),N($K48),N($K48)+N($L48)-0.5*$T48-$E48,N($K48)+N($L48)-0.43*N($O48)-1.2*$E48,N($K48)+0.57*N($L48)+N($M48)-1.6*$E48,N($K48)+N($L48)+N($M48)-$T48-2*$E48,N($K48)+N($L48)+0.57*N($M48)+N($N48)-0.5*$T48-2.6*$E48,N($K48)+N($L48)+N($M48)-$T48-2*$E48,N($K48)+N($L48)+N($M48),N($K48)+N($L48)+N($M48),N($K48)+N($L48)+N($M48)-0.5*$T48-$E48,N($K48)+N($L48)+N($M48)-0.5*$T48-$E48,N($K48)+N($L48)+N($M48),N($K48)+N($L48)+N($M48)+N($N48)-1.5*$T48-3*$E48,N($K48)+N($L48)+N($M48)+N($N48)-1.5*$T48-3*$E48,2*N($K48)+1.7*N($L48)+2*N($M48)-4*$E48,N($K48)+N($L48)+N($M48)+N($N48)+N($O48)-2*$T48-4*$E48,N($K48)+N($L48)+N($M48)+N($N48)+N($O48)-2*$T48-4*$E48,2*N($K48)+N($L48)+2*N($M48)-$T48-2*$E48,2*(N($K48)+N($L48)+N($M48))-2.5*$T48-5*$E48,2*(N($K48)+N($L48)+N($M48))-1.5*$T48-3*$E48,N($K48)+N($L48)+N($M48)+N($N48)+2*N($O48)-1.5*$T48-3*$E48,2*N($K48)+3*N($L48)+2*N($M48)-3*$T48-6*$E48,N($K48),PI()*(N($K48)-$E48)+N($L48)+25,IF(N($L48)&lt;=N($K48)/5,N($M48)*PI()*(N($K48)-$E48),N($M48)*SQRT((PI()*(N($K48)-$E48))^2+N($L48)^2)),N($K48)+2*N($L48)+N($M48)+N($N48)-2*$T48-4*$E48,0),0),0)</f>
        <v/>
      </c>
      <c r="W48" s="32">
        <f>IF($S48&gt;0,CHOOSE($S48,"A","A","AB","ABE","ABC","ABC","ABCD","ABC","ABCDE","ABCDE","ABCDE","ABCDE","ABCDE","ABCD","ABCD","ABC","ABCDE","ABCDE","ABC","ABC","ABC","ABCDE","ABC","AE","AB","ABC","ABCD",""),"")</f>
        <v/>
      </c>
      <c r="X48" s="32">
        <f>IF(ISNUMBER($J48),IF(INT($J48)=$J48,TEXT($J48,"00"),"x"),IF(AND(LEN(TRIM($J48))=2,ISNUMBER(MID(TRIM($J48),1,1)*1),ISNUMBER(MID(TRIM($J48),2,1)*1),ISERROR(FIND(".",$J48))),TRIM($J48),"x"))</f>
        <v/>
      </c>
      <c r="Y48" s="32">
        <f>AND(IF(ISERROR(FIND("A",$W48)),TRUE,IF(ISNUMBER($K48),$K48&gt;0,FALSE)),IF(ISERROR(FIND("B",$W48)),TRUE,IF(ISNUMBER($L48),$L48&gt;0,FALSE)),IF(ISERROR(FIND("C",$W48)),TRUE,IF(ISNUMBER($M48),$M48&gt;0,FALSE)),IF(ISERROR(FIND("D",$W48)),TRUE,IF(ISNUMBER($N48),$N48&gt;0,FALSE)),IF(ISERROR(FIND("E",$W48)),TRUE,IF(ISNUMBER($O48),$O48&gt;0,FALSE)))</f>
        <v/>
      </c>
      <c r="Z48" s="32">
        <f>IFERROR(IF($S48&gt;0,CHOOSE($S48,TRUE,TRUE,AND(N($K48)&gt;=IFERROR(VLOOKUP($E48,bbs_sizes,4,FALSE),0),N($L48)&gt;=IFERROR(VLOOKUP($E48,bbs_sizes,4,FALSE),0)),AND(N($O48)&gt;=$T48,N($K48)&gt;=N($O48)+$E48+MAX(5*$E48,90),N($L48)&gt;=N($O48)+$E48+MAX(5*$E48,90)),AND(N($L48)&gt;=IFERROR(VLOOKUP($E48,bbs_sizes,6,FALSE),0),N($L48)&lt;=400+2*$E48,N($K48)&gt;=N($L48)/2+MAX(5*$E48,90),N($M48)&gt;=N($L48)/2+MAX(5*$E48,90)),AND(N($K48)&gt;=IFERROR(VLOOKUP($E48,bbs_sizes,4,FALSE),0),N($M48)&gt;=IFERROR(VLOOKUP($E48,bbs_sizes,4,FALSE),0)),AND(N($K48)&gt;=IFERROR(VLOOKUP($E48,bbs_sizes,4,FALSE),0),N($N48)&gt;=IFERROR(VLOOKUP($E48,bbs_sizes,4,FALSE),0),N($M48)&gt;=IFERROR(VLOOKUP($E48,bbs_sizes,6,FALSE),0),N($M48)&lt;=400+2*$E48,N($N48)&gt;=N($M48)/2+MAX(5*$E48,90)),AND(N($K48)&gt;=IFERROR(VLOOKUP($E48,bbs_sizes,4,FALSE),0),N($M48)&gt;=IFERROR(VLOOKUP($E48,bbs_sizes,4,FALSE),0)),AND(N($K48)&gt;=IFERROR(VLOOKUP($E48,bbs_sizes,4,FALSE),0),N($M48)&gt;=IFERROR(VLOOKUP($E48,bbs_sizes,4,FALSE),0),N($L48)&gt;=MAX(N($N48),N($O48)),N($L48)&lt;=N($N48)+N($O48)),AND(N($K48)&gt;=IFERROR(VLOOKUP($E48,bbs_sizes,4,FALSE),0),N($M48)&gt;=IFERROR(VLOOKUP($E48,bbs_sizes,4,FALSE),0),N($L48)&gt;=MAX(N($N48),N($O48)),N($L48)&lt;=N($N48)+N($O48)),AND(N($K48)&gt;=IFERROR(VLOOKUP($E48,bbs_sizes,4,FALSE),0),N($M48)&gt;=IFERROR(VLOOKUP($E48,bbs_sizes,4,FALSE),0),N($K48)&gt;=N($O48)),AND(N($K48)&gt;=IFERROR(VLOOKUP($E48,bbs_sizes,4,FALSE),0),N($M48)&gt;=IFERROR(VLOOKUP($E48,bbs_sizes,4,FALSE),0),N($K48)&gt;=N($O48)),AND(N($K48)&gt;=IFERROR(VLOOKUP($E48,bbs_sizes,4,FALSE),0),N($M48)&gt;=IFERROR(VLOOKUP($E48,bbs_sizes,4,FALSE),0),N($L48)&gt;=MAX(N($N48),N($O48)),N($L48)&lt;=N($N48)+N($O48)),AND(N($K48)&gt;=IFERROR(VLOOKUP($E48,bbs_sizes,4,FALSE),0),N($N48)&gt;=IFERROR(VLOOKUP($E48,bbs_sizes,4,FALSE),0)),AND(N($K48)&gt;=IFERROR(VLOOKUP($E48,bbs_sizes,4,FALSE),0),N($N48)&gt;=IFERROR(VLOOKUP($E48,bbs_sizes,4,FALSE),0)),AND(N($L48)&gt;=IFERROR(VLOOKUP($E48,bbs_sizes,6,FALSE),0),N($L48)&lt;=400+2*$E48,N($M48)&gt;=N($L48)/2+MAX(5*$E48,90),N($K48)&gt;=N($L48)/2+N($M48)),AND(N($K48)&gt;=IFERROR(VLOOKUP($E48,bbs_sizes,4,FALSE),0),N($O48)&gt;=IFERROR(VLOOKUP($E48,bbs_sizes,4,FALSE),0)),AND(N($K48)&gt;=IFERROR(VLOOKUP($E48,bbs_sizes,4,FALSE),0),N($O48)&gt;=IFERROR(VLOOKUP($E48,bbs_sizes,4,FALSE),0)),AND(N($M48)&lt;=N($K48),N($M48)&gt;=IFERROR(VLOOKUP($E48,bbs_sizes,5,FALSE),0)),AND(N($M48)&lt;=N($K48),N($M48)&lt;=N($L48),N($M48)&gt;=IFERROR(VLOOKUP($E48,bbs_sizes,5,FALSE),0)),AND(N($M48)&lt;=N($L48),N($M48)&gt;=IFERROR(VLOOKUP($E48,bbs_sizes,5,FALSE),0)),AND(N($O48)&lt;=N($K48),N($O48)&lt;=N($L48),N($O48)&gt;=IFERROR(VLOOKUP($E48,bbs_sizes,5,FALSE),0)),AND(N($M48)&lt;=N($K48),N($M48)&gt;=IFERROR(VLOOKUP($E48,bbs_sizes,4,FALSE),0)),TRUE,TRUE,TRUE,AND(N($M48)&gt;=IFERROR(VLOOKUP($E48,bbs_sizes,4,FALSE),0),N($N48)&gt;=IFERROR(VLOOKUP($E48,bbs_sizes,4,FALSE),0)),TRUE),FALSE),FALSE)</f>
        <v/>
      </c>
    </row>
    <row r="49" ht="15" customHeight="1">
      <c r="B49" s="25" t="n"/>
      <c r="C49" s="26" t="n"/>
      <c r="D49" s="26" t="n"/>
      <c r="E49" s="26" t="n"/>
      <c r="F49" s="26" t="n"/>
      <c r="G49" s="26" t="n"/>
      <c r="H49" s="27">
        <f>IF(IF(AND(ISNUMBER($F49),ISNUMBER($G49)),AND($F49&gt;0,$G49&gt;0,INT($F49)=$F49,INT($G49)=$G49),FALSE),$F49*$G49,"")</f>
        <v/>
      </c>
      <c r="I49" s="28">
        <f>IF(AND(AND($C49&lt;&gt;"",OR($D49="H",$D49="B",$D49="C"),ISNUMBER($E49),$J49&lt;&gt;""),IF(AND(ISNUMBER($F49),ISNUMBER($G49)),AND($F49&gt;0,$G49&gt;0,INT($F49)=$F49,INT($G49)=$G49),FALSE),$T49&gt;0,$S49&gt;0,$Y49,IF(ISNA(MATCH($X49,{"48","51","52","63"},0)),TRUE,IF(ISBLANK($N49),TRUE,IF(ISNUMBER($N49),$N49=$M49,FALSE))),$X49&lt;&gt;"99",$V49&gt;0,AND(IF(ISBLANK($K49),TRUE,IF(ISNUMBER($K49),MOD($K49,5)=0,FALSE)),IF(ISBLANK($L49),TRUE,IF(ISNUMBER($L49),MOD($L49,5)=0,FALSE)),IF(ISBLANK($M49),TRUE,IF($X49="77",TRUE,IF(ISNUMBER($M49),MOD($M49,5)=0,FALSE))),IF(ISBLANK($N49),TRUE,IF(ISNUMBER($N49),MOD($N49,5)=0,FALSE)),IF(ISBLANK($O49),TRUE,IF(ISNUMBER($O49),MOD($O49,5)=0,FALSE))),$Z49),CEILING($V49,25),"")</f>
        <v/>
      </c>
      <c r="J49" s="29" t="n"/>
      <c r="K49" s="26" t="n"/>
      <c r="L49" s="26" t="n"/>
      <c r="M49" s="26" t="n"/>
      <c r="N49" s="26" t="n"/>
      <c r="O49" s="26" t="n"/>
      <c r="P49" s="30">
        <f>IF(ISNUMBER($I49),$H49*$I49/1000*$U49,"")</f>
        <v/>
      </c>
      <c r="Q49" s="31">
        <f>IF(COUNTA($B49:$G49,$J49:$O49)=0,"",IF(NOT(AND($C49&lt;&gt;"",OR($D49="H",$D49="B",$D49="C"),ISNUMBER($E49),$J49&lt;&gt;"")),"! Incomplete",IF(NOT(IF(AND(ISNUMBER($F49),ISNUMBER($G49)),AND($F49&gt;0,$G49&gt;0,INT($F49)=$F49,INT($G49)=$G49),FALSE)),"! Quantities: whole numbers &gt; 0",IF($T49=0,"! Size not in Table 2",IF($S49=0,"! Unknown shape code",IF($X49="99","! Shape 99: length from the sketch",IF(NOT($Y49),"! Missing dimension",IF(NOT(IF(ISNA(MATCH($X49,{"48","51","52","63"},0)),TRUE,IF(ISBLANK($N49),TRUE,IF(ISNUMBER($N49),$N49=$M49,FALSE)))),"! D must equal C",IF($V49&lt;=0,"! Check dimensions",IF(NOT(AND(IF(ISBLANK($K49),TRUE,IF(ISNUMBER($K49),MOD($K49,5)=0,FALSE)),IF(ISBLANK($L49),TRUE,IF(ISNUMBER($L49),MOD($L49,5)=0,FALSE)),IF(ISBLANK($M49),TRUE,IF($X49="77",TRUE,IF(ISNUMBER($M49),MOD($M49,5)=0,FALSE))),IF(ISBLANK($N49),TRUE,IF(ISNUMBER($N49),MOD($N49,5)=0,FALSE)),IF(ISBLANK($O49),TRUE,IF(ISNUMBER($O49),MOD($O49,5)=0,FALSE)))),"! Dimensions to 5 mm",IF(NOT($Z49),"! Below Table 2 / 5 limits",IF($I49&gt;12000,"! Over 12 m stock","OK"))))))))))))</f>
        <v/>
      </c>
      <c r="S49" s="32">
        <f>IFERROR(MATCH($X49,{"00","01","11","12","13","21","22","23","24","26","27","28","29","31","32","33","41","44","48","51","52","56","63","67","75","77","98","99"},0),0)</f>
        <v/>
      </c>
      <c r="T49" s="32">
        <f>IFERROR(VLOOKUP($E49,bbs_sizes,2,FALSE),0)</f>
        <v/>
      </c>
      <c r="U49" s="32">
        <f>IFERROR(VLOOKUP($E49,bbs_sizes,3,FALSE),0)</f>
        <v/>
      </c>
      <c r="V49" s="32">
        <f>IFERROR(IF(AND($S49&gt;0,$Y49,$T49&gt;0),CHOOSE($S49,N($K49),N($K49),N($K49)+N($L49)-0.5*$T49-$E49,N($K49)+N($L49)-0.43*N($O49)-1.2*$E49,N($K49)+0.57*N($L49)+N($M49)-1.6*$E49,N($K49)+N($L49)+N($M49)-$T49-2*$E49,N($K49)+N($L49)+0.57*N($M49)+N($N49)-0.5*$T49-2.6*$E49,N($K49)+N($L49)+N($M49)-$T49-2*$E49,N($K49)+N($L49)+N($M49),N($K49)+N($L49)+N($M49),N($K49)+N($L49)+N($M49)-0.5*$T49-$E49,N($K49)+N($L49)+N($M49)-0.5*$T49-$E49,N($K49)+N($L49)+N($M49),N($K49)+N($L49)+N($M49)+N($N49)-1.5*$T49-3*$E49,N($K49)+N($L49)+N($M49)+N($N49)-1.5*$T49-3*$E49,2*N($K49)+1.7*N($L49)+2*N($M49)-4*$E49,N($K49)+N($L49)+N($M49)+N($N49)+N($O49)-2*$T49-4*$E49,N($K49)+N($L49)+N($M49)+N($N49)+N($O49)-2*$T49-4*$E49,2*N($K49)+N($L49)+2*N($M49)-$T49-2*$E49,2*(N($K49)+N($L49)+N($M49))-2.5*$T49-5*$E49,2*(N($K49)+N($L49)+N($M49))-1.5*$T49-3*$E49,N($K49)+N($L49)+N($M49)+N($N49)+2*N($O49)-1.5*$T49-3*$E49,2*N($K49)+3*N($L49)+2*N($M49)-3*$T49-6*$E49,N($K49),PI()*(N($K49)-$E49)+N($L49)+25,IF(N($L49)&lt;=N($K49)/5,N($M49)*PI()*(N($K49)-$E49),N($M49)*SQRT((PI()*(N($K49)-$E49))^2+N($L49)^2)),N($K49)+2*N($L49)+N($M49)+N($N49)-2*$T49-4*$E49,0),0),0)</f>
        <v/>
      </c>
      <c r="W49" s="32">
        <f>IF($S49&gt;0,CHOOSE($S49,"A","A","AB","ABE","ABC","ABC","ABCD","ABC","ABCDE","ABCDE","ABCDE","ABCDE","ABCDE","ABCD","ABCD","ABC","ABCDE","ABCDE","ABC","ABC","ABC","ABCDE","ABC","AE","AB","ABC","ABCD",""),"")</f>
        <v/>
      </c>
      <c r="X49" s="32">
        <f>IF(ISNUMBER($J49),IF(INT($J49)=$J49,TEXT($J49,"00"),"x"),IF(AND(LEN(TRIM($J49))=2,ISNUMBER(MID(TRIM($J49),1,1)*1),ISNUMBER(MID(TRIM($J49),2,1)*1),ISERROR(FIND(".",$J49))),TRIM($J49),"x"))</f>
        <v/>
      </c>
      <c r="Y49" s="32">
        <f>AND(IF(ISERROR(FIND("A",$W49)),TRUE,IF(ISNUMBER($K49),$K49&gt;0,FALSE)),IF(ISERROR(FIND("B",$W49)),TRUE,IF(ISNUMBER($L49),$L49&gt;0,FALSE)),IF(ISERROR(FIND("C",$W49)),TRUE,IF(ISNUMBER($M49),$M49&gt;0,FALSE)),IF(ISERROR(FIND("D",$W49)),TRUE,IF(ISNUMBER($N49),$N49&gt;0,FALSE)),IF(ISERROR(FIND("E",$W49)),TRUE,IF(ISNUMBER($O49),$O49&gt;0,FALSE)))</f>
        <v/>
      </c>
      <c r="Z49" s="32">
        <f>IFERROR(IF($S49&gt;0,CHOOSE($S49,TRUE,TRUE,AND(N($K49)&gt;=IFERROR(VLOOKUP($E49,bbs_sizes,4,FALSE),0),N($L49)&gt;=IFERROR(VLOOKUP($E49,bbs_sizes,4,FALSE),0)),AND(N($O49)&gt;=$T49,N($K49)&gt;=N($O49)+$E49+MAX(5*$E49,90),N($L49)&gt;=N($O49)+$E49+MAX(5*$E49,90)),AND(N($L49)&gt;=IFERROR(VLOOKUP($E49,bbs_sizes,6,FALSE),0),N($L49)&lt;=400+2*$E49,N($K49)&gt;=N($L49)/2+MAX(5*$E49,90),N($M49)&gt;=N($L49)/2+MAX(5*$E49,90)),AND(N($K49)&gt;=IFERROR(VLOOKUP($E49,bbs_sizes,4,FALSE),0),N($M49)&gt;=IFERROR(VLOOKUP($E49,bbs_sizes,4,FALSE),0)),AND(N($K49)&gt;=IFERROR(VLOOKUP($E49,bbs_sizes,4,FALSE),0),N($N49)&gt;=IFERROR(VLOOKUP($E49,bbs_sizes,4,FALSE),0),N($M49)&gt;=IFERROR(VLOOKUP($E49,bbs_sizes,6,FALSE),0),N($M49)&lt;=400+2*$E49,N($N49)&gt;=N($M49)/2+MAX(5*$E49,90)),AND(N($K49)&gt;=IFERROR(VLOOKUP($E49,bbs_sizes,4,FALSE),0),N($M49)&gt;=IFERROR(VLOOKUP($E49,bbs_sizes,4,FALSE),0)),AND(N($K49)&gt;=IFERROR(VLOOKUP($E49,bbs_sizes,4,FALSE),0),N($M49)&gt;=IFERROR(VLOOKUP($E49,bbs_sizes,4,FALSE),0),N($L49)&gt;=MAX(N($N49),N($O49)),N($L49)&lt;=N($N49)+N($O49)),AND(N($K49)&gt;=IFERROR(VLOOKUP($E49,bbs_sizes,4,FALSE),0),N($M49)&gt;=IFERROR(VLOOKUP($E49,bbs_sizes,4,FALSE),0),N($L49)&gt;=MAX(N($N49),N($O49)),N($L49)&lt;=N($N49)+N($O49)),AND(N($K49)&gt;=IFERROR(VLOOKUP($E49,bbs_sizes,4,FALSE),0),N($M49)&gt;=IFERROR(VLOOKUP($E49,bbs_sizes,4,FALSE),0),N($K49)&gt;=N($O49)),AND(N($K49)&gt;=IFERROR(VLOOKUP($E49,bbs_sizes,4,FALSE),0),N($M49)&gt;=IFERROR(VLOOKUP($E49,bbs_sizes,4,FALSE),0),N($K49)&gt;=N($O49)),AND(N($K49)&gt;=IFERROR(VLOOKUP($E49,bbs_sizes,4,FALSE),0),N($M49)&gt;=IFERROR(VLOOKUP($E49,bbs_sizes,4,FALSE),0),N($L49)&gt;=MAX(N($N49),N($O49)),N($L49)&lt;=N($N49)+N($O49)),AND(N($K49)&gt;=IFERROR(VLOOKUP($E49,bbs_sizes,4,FALSE),0),N($N49)&gt;=IFERROR(VLOOKUP($E49,bbs_sizes,4,FALSE),0)),AND(N($K49)&gt;=IFERROR(VLOOKUP($E49,bbs_sizes,4,FALSE),0),N($N49)&gt;=IFERROR(VLOOKUP($E49,bbs_sizes,4,FALSE),0)),AND(N($L49)&gt;=IFERROR(VLOOKUP($E49,bbs_sizes,6,FALSE),0),N($L49)&lt;=400+2*$E49,N($M49)&gt;=N($L49)/2+MAX(5*$E49,90),N($K49)&gt;=N($L49)/2+N($M49)),AND(N($K49)&gt;=IFERROR(VLOOKUP($E49,bbs_sizes,4,FALSE),0),N($O49)&gt;=IFERROR(VLOOKUP($E49,bbs_sizes,4,FALSE),0)),AND(N($K49)&gt;=IFERROR(VLOOKUP($E49,bbs_sizes,4,FALSE),0),N($O49)&gt;=IFERROR(VLOOKUP($E49,bbs_sizes,4,FALSE),0)),AND(N($M49)&lt;=N($K49),N($M49)&gt;=IFERROR(VLOOKUP($E49,bbs_sizes,5,FALSE),0)),AND(N($M49)&lt;=N($K49),N($M49)&lt;=N($L49),N($M49)&gt;=IFERROR(VLOOKUP($E49,bbs_sizes,5,FALSE),0)),AND(N($M49)&lt;=N($L49),N($M49)&gt;=IFERROR(VLOOKUP($E49,bbs_sizes,5,FALSE),0)),AND(N($O49)&lt;=N($K49),N($O49)&lt;=N($L49),N($O49)&gt;=IFERROR(VLOOKUP($E49,bbs_sizes,5,FALSE),0)),AND(N($M49)&lt;=N($K49),N($M49)&gt;=IFERROR(VLOOKUP($E49,bbs_sizes,4,FALSE),0)),TRUE,TRUE,TRUE,AND(N($M49)&gt;=IFERROR(VLOOKUP($E49,bbs_sizes,4,FALSE),0),N($N49)&gt;=IFERROR(VLOOKUP($E49,bbs_sizes,4,FALSE),0)),TRUE),FALSE),FALSE)</f>
        <v/>
      </c>
    </row>
    <row r="50" ht="15" customHeight="1">
      <c r="B50" s="25" t="n"/>
      <c r="C50" s="26" t="n"/>
      <c r="D50" s="26" t="n"/>
      <c r="E50" s="26" t="n"/>
      <c r="F50" s="26" t="n"/>
      <c r="G50" s="26" t="n"/>
      <c r="H50" s="27">
        <f>IF(IF(AND(ISNUMBER($F50),ISNUMBER($G50)),AND($F50&gt;0,$G50&gt;0,INT($F50)=$F50,INT($G50)=$G50),FALSE),$F50*$G50,"")</f>
        <v/>
      </c>
      <c r="I50" s="28">
        <f>IF(AND(AND($C50&lt;&gt;"",OR($D50="H",$D50="B",$D50="C"),ISNUMBER($E50),$J50&lt;&gt;""),IF(AND(ISNUMBER($F50),ISNUMBER($G50)),AND($F50&gt;0,$G50&gt;0,INT($F50)=$F50,INT($G50)=$G50),FALSE),$T50&gt;0,$S50&gt;0,$Y50,IF(ISNA(MATCH($X50,{"48","51","52","63"},0)),TRUE,IF(ISBLANK($N50),TRUE,IF(ISNUMBER($N50),$N50=$M50,FALSE))),$X50&lt;&gt;"99",$V50&gt;0,AND(IF(ISBLANK($K50),TRUE,IF(ISNUMBER($K50),MOD($K50,5)=0,FALSE)),IF(ISBLANK($L50),TRUE,IF(ISNUMBER($L50),MOD($L50,5)=0,FALSE)),IF(ISBLANK($M50),TRUE,IF($X50="77",TRUE,IF(ISNUMBER($M50),MOD($M50,5)=0,FALSE))),IF(ISBLANK($N50),TRUE,IF(ISNUMBER($N50),MOD($N50,5)=0,FALSE)),IF(ISBLANK($O50),TRUE,IF(ISNUMBER($O50),MOD($O50,5)=0,FALSE))),$Z50),CEILING($V50,25),"")</f>
        <v/>
      </c>
      <c r="J50" s="29" t="n"/>
      <c r="K50" s="26" t="n"/>
      <c r="L50" s="26" t="n"/>
      <c r="M50" s="26" t="n"/>
      <c r="N50" s="26" t="n"/>
      <c r="O50" s="26" t="n"/>
      <c r="P50" s="30">
        <f>IF(ISNUMBER($I50),$H50*$I50/1000*$U50,"")</f>
        <v/>
      </c>
      <c r="Q50" s="31">
        <f>IF(COUNTA($B50:$G50,$J50:$O50)=0,"",IF(NOT(AND($C50&lt;&gt;"",OR($D50="H",$D50="B",$D50="C"),ISNUMBER($E50),$J50&lt;&gt;"")),"! Incomplete",IF(NOT(IF(AND(ISNUMBER($F50),ISNUMBER($G50)),AND($F50&gt;0,$G50&gt;0,INT($F50)=$F50,INT($G50)=$G50),FALSE)),"! Quantities: whole numbers &gt; 0",IF($T50=0,"! Size not in Table 2",IF($S50=0,"! Unknown shape code",IF($X50="99","! Shape 99: length from the sketch",IF(NOT($Y50),"! Missing dimension",IF(NOT(IF(ISNA(MATCH($X50,{"48","51","52","63"},0)),TRUE,IF(ISBLANK($N50),TRUE,IF(ISNUMBER($N50),$N50=$M50,FALSE)))),"! D must equal C",IF($V50&lt;=0,"! Check dimensions",IF(NOT(AND(IF(ISBLANK($K50),TRUE,IF(ISNUMBER($K50),MOD($K50,5)=0,FALSE)),IF(ISBLANK($L50),TRUE,IF(ISNUMBER($L50),MOD($L50,5)=0,FALSE)),IF(ISBLANK($M50),TRUE,IF($X50="77",TRUE,IF(ISNUMBER($M50),MOD($M50,5)=0,FALSE))),IF(ISBLANK($N50),TRUE,IF(ISNUMBER($N50),MOD($N50,5)=0,FALSE)),IF(ISBLANK($O50),TRUE,IF(ISNUMBER($O50),MOD($O50,5)=0,FALSE)))),"! Dimensions to 5 mm",IF(NOT($Z50),"! Below Table 2 / 5 limits",IF($I50&gt;12000,"! Over 12 m stock","OK"))))))))))))</f>
        <v/>
      </c>
      <c r="S50" s="32">
        <f>IFERROR(MATCH($X50,{"00","01","11","12","13","21","22","23","24","26","27","28","29","31","32","33","41","44","48","51","52","56","63","67","75","77","98","99"},0),0)</f>
        <v/>
      </c>
      <c r="T50" s="32">
        <f>IFERROR(VLOOKUP($E50,bbs_sizes,2,FALSE),0)</f>
        <v/>
      </c>
      <c r="U50" s="32">
        <f>IFERROR(VLOOKUP($E50,bbs_sizes,3,FALSE),0)</f>
        <v/>
      </c>
      <c r="V50" s="32">
        <f>IFERROR(IF(AND($S50&gt;0,$Y50,$T50&gt;0),CHOOSE($S50,N($K50),N($K50),N($K50)+N($L50)-0.5*$T50-$E50,N($K50)+N($L50)-0.43*N($O50)-1.2*$E50,N($K50)+0.57*N($L50)+N($M50)-1.6*$E50,N($K50)+N($L50)+N($M50)-$T50-2*$E50,N($K50)+N($L50)+0.57*N($M50)+N($N50)-0.5*$T50-2.6*$E50,N($K50)+N($L50)+N($M50)-$T50-2*$E50,N($K50)+N($L50)+N($M50),N($K50)+N($L50)+N($M50),N($K50)+N($L50)+N($M50)-0.5*$T50-$E50,N($K50)+N($L50)+N($M50)-0.5*$T50-$E50,N($K50)+N($L50)+N($M50),N($K50)+N($L50)+N($M50)+N($N50)-1.5*$T50-3*$E50,N($K50)+N($L50)+N($M50)+N($N50)-1.5*$T50-3*$E50,2*N($K50)+1.7*N($L50)+2*N($M50)-4*$E50,N($K50)+N($L50)+N($M50)+N($N50)+N($O50)-2*$T50-4*$E50,N($K50)+N($L50)+N($M50)+N($N50)+N($O50)-2*$T50-4*$E50,2*N($K50)+N($L50)+2*N($M50)-$T50-2*$E50,2*(N($K50)+N($L50)+N($M50))-2.5*$T50-5*$E50,2*(N($K50)+N($L50)+N($M50))-1.5*$T50-3*$E50,N($K50)+N($L50)+N($M50)+N($N50)+2*N($O50)-1.5*$T50-3*$E50,2*N($K50)+3*N($L50)+2*N($M50)-3*$T50-6*$E50,N($K50),PI()*(N($K50)-$E50)+N($L50)+25,IF(N($L50)&lt;=N($K50)/5,N($M50)*PI()*(N($K50)-$E50),N($M50)*SQRT((PI()*(N($K50)-$E50))^2+N($L50)^2)),N($K50)+2*N($L50)+N($M50)+N($N50)-2*$T50-4*$E50,0),0),0)</f>
        <v/>
      </c>
      <c r="W50" s="32">
        <f>IF($S50&gt;0,CHOOSE($S50,"A","A","AB","ABE","ABC","ABC","ABCD","ABC","ABCDE","ABCDE","ABCDE","ABCDE","ABCDE","ABCD","ABCD","ABC","ABCDE","ABCDE","ABC","ABC","ABC","ABCDE","ABC","AE","AB","ABC","ABCD",""),"")</f>
        <v/>
      </c>
      <c r="X50" s="32">
        <f>IF(ISNUMBER($J50),IF(INT($J50)=$J50,TEXT($J50,"00"),"x"),IF(AND(LEN(TRIM($J50))=2,ISNUMBER(MID(TRIM($J50),1,1)*1),ISNUMBER(MID(TRIM($J50),2,1)*1),ISERROR(FIND(".",$J50))),TRIM($J50),"x"))</f>
        <v/>
      </c>
      <c r="Y50" s="32">
        <f>AND(IF(ISERROR(FIND("A",$W50)),TRUE,IF(ISNUMBER($K50),$K50&gt;0,FALSE)),IF(ISERROR(FIND("B",$W50)),TRUE,IF(ISNUMBER($L50),$L50&gt;0,FALSE)),IF(ISERROR(FIND("C",$W50)),TRUE,IF(ISNUMBER($M50),$M50&gt;0,FALSE)),IF(ISERROR(FIND("D",$W50)),TRUE,IF(ISNUMBER($N50),$N50&gt;0,FALSE)),IF(ISERROR(FIND("E",$W50)),TRUE,IF(ISNUMBER($O50),$O50&gt;0,FALSE)))</f>
        <v/>
      </c>
      <c r="Z50" s="32">
        <f>IFERROR(IF($S50&gt;0,CHOOSE($S50,TRUE,TRUE,AND(N($K50)&gt;=IFERROR(VLOOKUP($E50,bbs_sizes,4,FALSE),0),N($L50)&gt;=IFERROR(VLOOKUP($E50,bbs_sizes,4,FALSE),0)),AND(N($O50)&gt;=$T50,N($K50)&gt;=N($O50)+$E50+MAX(5*$E50,90),N($L50)&gt;=N($O50)+$E50+MAX(5*$E50,90)),AND(N($L50)&gt;=IFERROR(VLOOKUP($E50,bbs_sizes,6,FALSE),0),N($L50)&lt;=400+2*$E50,N($K50)&gt;=N($L50)/2+MAX(5*$E50,90),N($M50)&gt;=N($L50)/2+MAX(5*$E50,90)),AND(N($K50)&gt;=IFERROR(VLOOKUP($E50,bbs_sizes,4,FALSE),0),N($M50)&gt;=IFERROR(VLOOKUP($E50,bbs_sizes,4,FALSE),0)),AND(N($K50)&gt;=IFERROR(VLOOKUP($E50,bbs_sizes,4,FALSE),0),N($N50)&gt;=IFERROR(VLOOKUP($E50,bbs_sizes,4,FALSE),0),N($M50)&gt;=IFERROR(VLOOKUP($E50,bbs_sizes,6,FALSE),0),N($M50)&lt;=400+2*$E50,N($N50)&gt;=N($M50)/2+MAX(5*$E50,90)),AND(N($K50)&gt;=IFERROR(VLOOKUP($E50,bbs_sizes,4,FALSE),0),N($M50)&gt;=IFERROR(VLOOKUP($E50,bbs_sizes,4,FALSE),0)),AND(N($K50)&gt;=IFERROR(VLOOKUP($E50,bbs_sizes,4,FALSE),0),N($M50)&gt;=IFERROR(VLOOKUP($E50,bbs_sizes,4,FALSE),0),N($L50)&gt;=MAX(N($N50),N($O50)),N($L50)&lt;=N($N50)+N($O50)),AND(N($K50)&gt;=IFERROR(VLOOKUP($E50,bbs_sizes,4,FALSE),0),N($M50)&gt;=IFERROR(VLOOKUP($E50,bbs_sizes,4,FALSE),0),N($L50)&gt;=MAX(N($N50),N($O50)),N($L50)&lt;=N($N50)+N($O50)),AND(N($K50)&gt;=IFERROR(VLOOKUP($E50,bbs_sizes,4,FALSE),0),N($M50)&gt;=IFERROR(VLOOKUP($E50,bbs_sizes,4,FALSE),0),N($K50)&gt;=N($O50)),AND(N($K50)&gt;=IFERROR(VLOOKUP($E50,bbs_sizes,4,FALSE),0),N($M50)&gt;=IFERROR(VLOOKUP($E50,bbs_sizes,4,FALSE),0),N($K50)&gt;=N($O50)),AND(N($K50)&gt;=IFERROR(VLOOKUP($E50,bbs_sizes,4,FALSE),0),N($M50)&gt;=IFERROR(VLOOKUP($E50,bbs_sizes,4,FALSE),0),N($L50)&gt;=MAX(N($N50),N($O50)),N($L50)&lt;=N($N50)+N($O50)),AND(N($K50)&gt;=IFERROR(VLOOKUP($E50,bbs_sizes,4,FALSE),0),N($N50)&gt;=IFERROR(VLOOKUP($E50,bbs_sizes,4,FALSE),0)),AND(N($K50)&gt;=IFERROR(VLOOKUP($E50,bbs_sizes,4,FALSE),0),N($N50)&gt;=IFERROR(VLOOKUP($E50,bbs_sizes,4,FALSE),0)),AND(N($L50)&gt;=IFERROR(VLOOKUP($E50,bbs_sizes,6,FALSE),0),N($L50)&lt;=400+2*$E50,N($M50)&gt;=N($L50)/2+MAX(5*$E50,90),N($K50)&gt;=N($L50)/2+N($M50)),AND(N($K50)&gt;=IFERROR(VLOOKUP($E50,bbs_sizes,4,FALSE),0),N($O50)&gt;=IFERROR(VLOOKUP($E50,bbs_sizes,4,FALSE),0)),AND(N($K50)&gt;=IFERROR(VLOOKUP($E50,bbs_sizes,4,FALSE),0),N($O50)&gt;=IFERROR(VLOOKUP($E50,bbs_sizes,4,FALSE),0)),AND(N($M50)&lt;=N($K50),N($M50)&gt;=IFERROR(VLOOKUP($E50,bbs_sizes,5,FALSE),0)),AND(N($M50)&lt;=N($K50),N($M50)&lt;=N($L50),N($M50)&gt;=IFERROR(VLOOKUP($E50,bbs_sizes,5,FALSE),0)),AND(N($M50)&lt;=N($L50),N($M50)&gt;=IFERROR(VLOOKUP($E50,bbs_sizes,5,FALSE),0)),AND(N($O50)&lt;=N($K50),N($O50)&lt;=N($L50),N($O50)&gt;=IFERROR(VLOOKUP($E50,bbs_sizes,5,FALSE),0)),AND(N($M50)&lt;=N($K50),N($M50)&gt;=IFERROR(VLOOKUP($E50,bbs_sizes,4,FALSE),0)),TRUE,TRUE,TRUE,AND(N($M50)&gt;=IFERROR(VLOOKUP($E50,bbs_sizes,4,FALSE),0),N($N50)&gt;=IFERROR(VLOOKUP($E50,bbs_sizes,4,FALSE),0)),TRUE),FALSE),FALSE)</f>
        <v/>
      </c>
    </row>
    <row r="51" ht="15" customHeight="1">
      <c r="B51" s="25" t="n"/>
      <c r="C51" s="26" t="n"/>
      <c r="D51" s="26" t="n"/>
      <c r="E51" s="26" t="n"/>
      <c r="F51" s="26" t="n"/>
      <c r="G51" s="26" t="n"/>
      <c r="H51" s="27">
        <f>IF(IF(AND(ISNUMBER($F51),ISNUMBER($G51)),AND($F51&gt;0,$G51&gt;0,INT($F51)=$F51,INT($G51)=$G51),FALSE),$F51*$G51,"")</f>
        <v/>
      </c>
      <c r="I51" s="28">
        <f>IF(AND(AND($C51&lt;&gt;"",OR($D51="H",$D51="B",$D51="C"),ISNUMBER($E51),$J51&lt;&gt;""),IF(AND(ISNUMBER($F51),ISNUMBER($G51)),AND($F51&gt;0,$G51&gt;0,INT($F51)=$F51,INT($G51)=$G51),FALSE),$T51&gt;0,$S51&gt;0,$Y51,IF(ISNA(MATCH($X51,{"48","51","52","63"},0)),TRUE,IF(ISBLANK($N51),TRUE,IF(ISNUMBER($N51),$N51=$M51,FALSE))),$X51&lt;&gt;"99",$V51&gt;0,AND(IF(ISBLANK($K51),TRUE,IF(ISNUMBER($K51),MOD($K51,5)=0,FALSE)),IF(ISBLANK($L51),TRUE,IF(ISNUMBER($L51),MOD($L51,5)=0,FALSE)),IF(ISBLANK($M51),TRUE,IF($X51="77",TRUE,IF(ISNUMBER($M51),MOD($M51,5)=0,FALSE))),IF(ISBLANK($N51),TRUE,IF(ISNUMBER($N51),MOD($N51,5)=0,FALSE)),IF(ISBLANK($O51),TRUE,IF(ISNUMBER($O51),MOD($O51,5)=0,FALSE))),$Z51),CEILING($V51,25),"")</f>
        <v/>
      </c>
      <c r="J51" s="29" t="n"/>
      <c r="K51" s="26" t="n"/>
      <c r="L51" s="26" t="n"/>
      <c r="M51" s="26" t="n"/>
      <c r="N51" s="26" t="n"/>
      <c r="O51" s="26" t="n"/>
      <c r="P51" s="30">
        <f>IF(ISNUMBER($I51),$H51*$I51/1000*$U51,"")</f>
        <v/>
      </c>
      <c r="Q51" s="31">
        <f>IF(COUNTA($B51:$G51,$J51:$O51)=0,"",IF(NOT(AND($C51&lt;&gt;"",OR($D51="H",$D51="B",$D51="C"),ISNUMBER($E51),$J51&lt;&gt;"")),"! Incomplete",IF(NOT(IF(AND(ISNUMBER($F51),ISNUMBER($G51)),AND($F51&gt;0,$G51&gt;0,INT($F51)=$F51,INT($G51)=$G51),FALSE)),"! Quantities: whole numbers &gt; 0",IF($T51=0,"! Size not in Table 2",IF($S51=0,"! Unknown shape code",IF($X51="99","! Shape 99: length from the sketch",IF(NOT($Y51),"! Missing dimension",IF(NOT(IF(ISNA(MATCH($X51,{"48","51","52","63"},0)),TRUE,IF(ISBLANK($N51),TRUE,IF(ISNUMBER($N51),$N51=$M51,FALSE)))),"! D must equal C",IF($V51&lt;=0,"! Check dimensions",IF(NOT(AND(IF(ISBLANK($K51),TRUE,IF(ISNUMBER($K51),MOD($K51,5)=0,FALSE)),IF(ISBLANK($L51),TRUE,IF(ISNUMBER($L51),MOD($L51,5)=0,FALSE)),IF(ISBLANK($M51),TRUE,IF($X51="77",TRUE,IF(ISNUMBER($M51),MOD($M51,5)=0,FALSE))),IF(ISBLANK($N51),TRUE,IF(ISNUMBER($N51),MOD($N51,5)=0,FALSE)),IF(ISBLANK($O51),TRUE,IF(ISNUMBER($O51),MOD($O51,5)=0,FALSE)))),"! Dimensions to 5 mm",IF(NOT($Z51),"! Below Table 2 / 5 limits",IF($I51&gt;12000,"! Over 12 m stock","OK"))))))))))))</f>
        <v/>
      </c>
      <c r="S51" s="32">
        <f>IFERROR(MATCH($X51,{"00","01","11","12","13","21","22","23","24","26","27","28","29","31","32","33","41","44","48","51","52","56","63","67","75","77","98","99"},0),0)</f>
        <v/>
      </c>
      <c r="T51" s="32">
        <f>IFERROR(VLOOKUP($E51,bbs_sizes,2,FALSE),0)</f>
        <v/>
      </c>
      <c r="U51" s="32">
        <f>IFERROR(VLOOKUP($E51,bbs_sizes,3,FALSE),0)</f>
        <v/>
      </c>
      <c r="V51" s="32">
        <f>IFERROR(IF(AND($S51&gt;0,$Y51,$T51&gt;0),CHOOSE($S51,N($K51),N($K51),N($K51)+N($L51)-0.5*$T51-$E51,N($K51)+N($L51)-0.43*N($O51)-1.2*$E51,N($K51)+0.57*N($L51)+N($M51)-1.6*$E51,N($K51)+N($L51)+N($M51)-$T51-2*$E51,N($K51)+N($L51)+0.57*N($M51)+N($N51)-0.5*$T51-2.6*$E51,N($K51)+N($L51)+N($M51)-$T51-2*$E51,N($K51)+N($L51)+N($M51),N($K51)+N($L51)+N($M51),N($K51)+N($L51)+N($M51)-0.5*$T51-$E51,N($K51)+N($L51)+N($M51)-0.5*$T51-$E51,N($K51)+N($L51)+N($M51),N($K51)+N($L51)+N($M51)+N($N51)-1.5*$T51-3*$E51,N($K51)+N($L51)+N($M51)+N($N51)-1.5*$T51-3*$E51,2*N($K51)+1.7*N($L51)+2*N($M51)-4*$E51,N($K51)+N($L51)+N($M51)+N($N51)+N($O51)-2*$T51-4*$E51,N($K51)+N($L51)+N($M51)+N($N51)+N($O51)-2*$T51-4*$E51,2*N($K51)+N($L51)+2*N($M51)-$T51-2*$E51,2*(N($K51)+N($L51)+N($M51))-2.5*$T51-5*$E51,2*(N($K51)+N($L51)+N($M51))-1.5*$T51-3*$E51,N($K51)+N($L51)+N($M51)+N($N51)+2*N($O51)-1.5*$T51-3*$E51,2*N($K51)+3*N($L51)+2*N($M51)-3*$T51-6*$E51,N($K51),PI()*(N($K51)-$E51)+N($L51)+25,IF(N($L51)&lt;=N($K51)/5,N($M51)*PI()*(N($K51)-$E51),N($M51)*SQRT((PI()*(N($K51)-$E51))^2+N($L51)^2)),N($K51)+2*N($L51)+N($M51)+N($N51)-2*$T51-4*$E51,0),0),0)</f>
        <v/>
      </c>
      <c r="W51" s="32">
        <f>IF($S51&gt;0,CHOOSE($S51,"A","A","AB","ABE","ABC","ABC","ABCD","ABC","ABCDE","ABCDE","ABCDE","ABCDE","ABCDE","ABCD","ABCD","ABC","ABCDE","ABCDE","ABC","ABC","ABC","ABCDE","ABC","AE","AB","ABC","ABCD",""),"")</f>
        <v/>
      </c>
      <c r="X51" s="32">
        <f>IF(ISNUMBER($J51),IF(INT($J51)=$J51,TEXT($J51,"00"),"x"),IF(AND(LEN(TRIM($J51))=2,ISNUMBER(MID(TRIM($J51),1,1)*1),ISNUMBER(MID(TRIM($J51),2,1)*1),ISERROR(FIND(".",$J51))),TRIM($J51),"x"))</f>
        <v/>
      </c>
      <c r="Y51" s="32">
        <f>AND(IF(ISERROR(FIND("A",$W51)),TRUE,IF(ISNUMBER($K51),$K51&gt;0,FALSE)),IF(ISERROR(FIND("B",$W51)),TRUE,IF(ISNUMBER($L51),$L51&gt;0,FALSE)),IF(ISERROR(FIND("C",$W51)),TRUE,IF(ISNUMBER($M51),$M51&gt;0,FALSE)),IF(ISERROR(FIND("D",$W51)),TRUE,IF(ISNUMBER($N51),$N51&gt;0,FALSE)),IF(ISERROR(FIND("E",$W51)),TRUE,IF(ISNUMBER($O51),$O51&gt;0,FALSE)))</f>
        <v/>
      </c>
      <c r="Z51" s="32">
        <f>IFERROR(IF($S51&gt;0,CHOOSE($S51,TRUE,TRUE,AND(N($K51)&gt;=IFERROR(VLOOKUP($E51,bbs_sizes,4,FALSE),0),N($L51)&gt;=IFERROR(VLOOKUP($E51,bbs_sizes,4,FALSE),0)),AND(N($O51)&gt;=$T51,N($K51)&gt;=N($O51)+$E51+MAX(5*$E51,90),N($L51)&gt;=N($O51)+$E51+MAX(5*$E51,90)),AND(N($L51)&gt;=IFERROR(VLOOKUP($E51,bbs_sizes,6,FALSE),0),N($L51)&lt;=400+2*$E51,N($K51)&gt;=N($L51)/2+MAX(5*$E51,90),N($M51)&gt;=N($L51)/2+MAX(5*$E51,90)),AND(N($K51)&gt;=IFERROR(VLOOKUP($E51,bbs_sizes,4,FALSE),0),N($M51)&gt;=IFERROR(VLOOKUP($E51,bbs_sizes,4,FALSE),0)),AND(N($K51)&gt;=IFERROR(VLOOKUP($E51,bbs_sizes,4,FALSE),0),N($N51)&gt;=IFERROR(VLOOKUP($E51,bbs_sizes,4,FALSE),0),N($M51)&gt;=IFERROR(VLOOKUP($E51,bbs_sizes,6,FALSE),0),N($M51)&lt;=400+2*$E51,N($N51)&gt;=N($M51)/2+MAX(5*$E51,90)),AND(N($K51)&gt;=IFERROR(VLOOKUP($E51,bbs_sizes,4,FALSE),0),N($M51)&gt;=IFERROR(VLOOKUP($E51,bbs_sizes,4,FALSE),0)),AND(N($K51)&gt;=IFERROR(VLOOKUP($E51,bbs_sizes,4,FALSE),0),N($M51)&gt;=IFERROR(VLOOKUP($E51,bbs_sizes,4,FALSE),0),N($L51)&gt;=MAX(N($N51),N($O51)),N($L51)&lt;=N($N51)+N($O51)),AND(N($K51)&gt;=IFERROR(VLOOKUP($E51,bbs_sizes,4,FALSE),0),N($M51)&gt;=IFERROR(VLOOKUP($E51,bbs_sizes,4,FALSE),0),N($L51)&gt;=MAX(N($N51),N($O51)),N($L51)&lt;=N($N51)+N($O51)),AND(N($K51)&gt;=IFERROR(VLOOKUP($E51,bbs_sizes,4,FALSE),0),N($M51)&gt;=IFERROR(VLOOKUP($E51,bbs_sizes,4,FALSE),0),N($K51)&gt;=N($O51)),AND(N($K51)&gt;=IFERROR(VLOOKUP($E51,bbs_sizes,4,FALSE),0),N($M51)&gt;=IFERROR(VLOOKUP($E51,bbs_sizes,4,FALSE),0),N($K51)&gt;=N($O51)),AND(N($K51)&gt;=IFERROR(VLOOKUP($E51,bbs_sizes,4,FALSE),0),N($M51)&gt;=IFERROR(VLOOKUP($E51,bbs_sizes,4,FALSE),0),N($L51)&gt;=MAX(N($N51),N($O51)),N($L51)&lt;=N($N51)+N($O51)),AND(N($K51)&gt;=IFERROR(VLOOKUP($E51,bbs_sizes,4,FALSE),0),N($N51)&gt;=IFERROR(VLOOKUP($E51,bbs_sizes,4,FALSE),0)),AND(N($K51)&gt;=IFERROR(VLOOKUP($E51,bbs_sizes,4,FALSE),0),N($N51)&gt;=IFERROR(VLOOKUP($E51,bbs_sizes,4,FALSE),0)),AND(N($L51)&gt;=IFERROR(VLOOKUP($E51,bbs_sizes,6,FALSE),0),N($L51)&lt;=400+2*$E51,N($M51)&gt;=N($L51)/2+MAX(5*$E51,90),N($K51)&gt;=N($L51)/2+N($M51)),AND(N($K51)&gt;=IFERROR(VLOOKUP($E51,bbs_sizes,4,FALSE),0),N($O51)&gt;=IFERROR(VLOOKUP($E51,bbs_sizes,4,FALSE),0)),AND(N($K51)&gt;=IFERROR(VLOOKUP($E51,bbs_sizes,4,FALSE),0),N($O51)&gt;=IFERROR(VLOOKUP($E51,bbs_sizes,4,FALSE),0)),AND(N($M51)&lt;=N($K51),N($M51)&gt;=IFERROR(VLOOKUP($E51,bbs_sizes,5,FALSE),0)),AND(N($M51)&lt;=N($K51),N($M51)&lt;=N($L51),N($M51)&gt;=IFERROR(VLOOKUP($E51,bbs_sizes,5,FALSE),0)),AND(N($M51)&lt;=N($L51),N($M51)&gt;=IFERROR(VLOOKUP($E51,bbs_sizes,5,FALSE),0)),AND(N($O51)&lt;=N($K51),N($O51)&lt;=N($L51),N($O51)&gt;=IFERROR(VLOOKUP($E51,bbs_sizes,5,FALSE),0)),AND(N($M51)&lt;=N($K51),N($M51)&gt;=IFERROR(VLOOKUP($E51,bbs_sizes,4,FALSE),0)),TRUE,TRUE,TRUE,AND(N($M51)&gt;=IFERROR(VLOOKUP($E51,bbs_sizes,4,FALSE),0),N($N51)&gt;=IFERROR(VLOOKUP($E51,bbs_sizes,4,FALSE),0)),TRUE),FALSE),FALSE)</f>
        <v/>
      </c>
    </row>
    <row r="52" ht="15" customHeight="1">
      <c r="B52" s="25" t="n"/>
      <c r="C52" s="26" t="n"/>
      <c r="D52" s="26" t="n"/>
      <c r="E52" s="26" t="n"/>
      <c r="F52" s="26" t="n"/>
      <c r="G52" s="26" t="n"/>
      <c r="H52" s="27">
        <f>IF(IF(AND(ISNUMBER($F52),ISNUMBER($G52)),AND($F52&gt;0,$G52&gt;0,INT($F52)=$F52,INT($G52)=$G52),FALSE),$F52*$G52,"")</f>
        <v/>
      </c>
      <c r="I52" s="28">
        <f>IF(AND(AND($C52&lt;&gt;"",OR($D52="H",$D52="B",$D52="C"),ISNUMBER($E52),$J52&lt;&gt;""),IF(AND(ISNUMBER($F52),ISNUMBER($G52)),AND($F52&gt;0,$G52&gt;0,INT($F52)=$F52,INT($G52)=$G52),FALSE),$T52&gt;0,$S52&gt;0,$Y52,IF(ISNA(MATCH($X52,{"48","51","52","63"},0)),TRUE,IF(ISBLANK($N52),TRUE,IF(ISNUMBER($N52),$N52=$M52,FALSE))),$X52&lt;&gt;"99",$V52&gt;0,AND(IF(ISBLANK($K52),TRUE,IF(ISNUMBER($K52),MOD($K52,5)=0,FALSE)),IF(ISBLANK($L52),TRUE,IF(ISNUMBER($L52),MOD($L52,5)=0,FALSE)),IF(ISBLANK($M52),TRUE,IF($X52="77",TRUE,IF(ISNUMBER($M52),MOD($M52,5)=0,FALSE))),IF(ISBLANK($N52),TRUE,IF(ISNUMBER($N52),MOD($N52,5)=0,FALSE)),IF(ISBLANK($O52),TRUE,IF(ISNUMBER($O52),MOD($O52,5)=0,FALSE))),$Z52),CEILING($V52,25),"")</f>
        <v/>
      </c>
      <c r="J52" s="29" t="n"/>
      <c r="K52" s="26" t="n"/>
      <c r="L52" s="26" t="n"/>
      <c r="M52" s="26" t="n"/>
      <c r="N52" s="26" t="n"/>
      <c r="O52" s="26" t="n"/>
      <c r="P52" s="30">
        <f>IF(ISNUMBER($I52),$H52*$I52/1000*$U52,"")</f>
        <v/>
      </c>
      <c r="Q52" s="31">
        <f>IF(COUNTA($B52:$G52,$J52:$O52)=0,"",IF(NOT(AND($C52&lt;&gt;"",OR($D52="H",$D52="B",$D52="C"),ISNUMBER($E52),$J52&lt;&gt;"")),"! Incomplete",IF(NOT(IF(AND(ISNUMBER($F52),ISNUMBER($G52)),AND($F52&gt;0,$G52&gt;0,INT($F52)=$F52,INT($G52)=$G52),FALSE)),"! Quantities: whole numbers &gt; 0",IF($T52=0,"! Size not in Table 2",IF($S52=0,"! Unknown shape code",IF($X52="99","! Shape 99: length from the sketch",IF(NOT($Y52),"! Missing dimension",IF(NOT(IF(ISNA(MATCH($X52,{"48","51","52","63"},0)),TRUE,IF(ISBLANK($N52),TRUE,IF(ISNUMBER($N52),$N52=$M52,FALSE)))),"! D must equal C",IF($V52&lt;=0,"! Check dimensions",IF(NOT(AND(IF(ISBLANK($K52),TRUE,IF(ISNUMBER($K52),MOD($K52,5)=0,FALSE)),IF(ISBLANK($L52),TRUE,IF(ISNUMBER($L52),MOD($L52,5)=0,FALSE)),IF(ISBLANK($M52),TRUE,IF($X52="77",TRUE,IF(ISNUMBER($M52),MOD($M52,5)=0,FALSE))),IF(ISBLANK($N52),TRUE,IF(ISNUMBER($N52),MOD($N52,5)=0,FALSE)),IF(ISBLANK($O52),TRUE,IF(ISNUMBER($O52),MOD($O52,5)=0,FALSE)))),"! Dimensions to 5 mm",IF(NOT($Z52),"! Below Table 2 / 5 limits",IF($I52&gt;12000,"! Over 12 m stock","OK"))))))))))))</f>
        <v/>
      </c>
      <c r="S52" s="32">
        <f>IFERROR(MATCH($X52,{"00","01","11","12","13","21","22","23","24","26","27","28","29","31","32","33","41","44","48","51","52","56","63","67","75","77","98","99"},0),0)</f>
        <v/>
      </c>
      <c r="T52" s="32">
        <f>IFERROR(VLOOKUP($E52,bbs_sizes,2,FALSE),0)</f>
        <v/>
      </c>
      <c r="U52" s="32">
        <f>IFERROR(VLOOKUP($E52,bbs_sizes,3,FALSE),0)</f>
        <v/>
      </c>
      <c r="V52" s="32">
        <f>IFERROR(IF(AND($S52&gt;0,$Y52,$T52&gt;0),CHOOSE($S52,N($K52),N($K52),N($K52)+N($L52)-0.5*$T52-$E52,N($K52)+N($L52)-0.43*N($O52)-1.2*$E52,N($K52)+0.57*N($L52)+N($M52)-1.6*$E52,N($K52)+N($L52)+N($M52)-$T52-2*$E52,N($K52)+N($L52)+0.57*N($M52)+N($N52)-0.5*$T52-2.6*$E52,N($K52)+N($L52)+N($M52)-$T52-2*$E52,N($K52)+N($L52)+N($M52),N($K52)+N($L52)+N($M52),N($K52)+N($L52)+N($M52)-0.5*$T52-$E52,N($K52)+N($L52)+N($M52)-0.5*$T52-$E52,N($K52)+N($L52)+N($M52),N($K52)+N($L52)+N($M52)+N($N52)-1.5*$T52-3*$E52,N($K52)+N($L52)+N($M52)+N($N52)-1.5*$T52-3*$E52,2*N($K52)+1.7*N($L52)+2*N($M52)-4*$E52,N($K52)+N($L52)+N($M52)+N($N52)+N($O52)-2*$T52-4*$E52,N($K52)+N($L52)+N($M52)+N($N52)+N($O52)-2*$T52-4*$E52,2*N($K52)+N($L52)+2*N($M52)-$T52-2*$E52,2*(N($K52)+N($L52)+N($M52))-2.5*$T52-5*$E52,2*(N($K52)+N($L52)+N($M52))-1.5*$T52-3*$E52,N($K52)+N($L52)+N($M52)+N($N52)+2*N($O52)-1.5*$T52-3*$E52,2*N($K52)+3*N($L52)+2*N($M52)-3*$T52-6*$E52,N($K52),PI()*(N($K52)-$E52)+N($L52)+25,IF(N($L52)&lt;=N($K52)/5,N($M52)*PI()*(N($K52)-$E52),N($M52)*SQRT((PI()*(N($K52)-$E52))^2+N($L52)^2)),N($K52)+2*N($L52)+N($M52)+N($N52)-2*$T52-4*$E52,0),0),0)</f>
        <v/>
      </c>
      <c r="W52" s="32">
        <f>IF($S52&gt;0,CHOOSE($S52,"A","A","AB","ABE","ABC","ABC","ABCD","ABC","ABCDE","ABCDE","ABCDE","ABCDE","ABCDE","ABCD","ABCD","ABC","ABCDE","ABCDE","ABC","ABC","ABC","ABCDE","ABC","AE","AB","ABC","ABCD",""),"")</f>
        <v/>
      </c>
      <c r="X52" s="32">
        <f>IF(ISNUMBER($J52),IF(INT($J52)=$J52,TEXT($J52,"00"),"x"),IF(AND(LEN(TRIM($J52))=2,ISNUMBER(MID(TRIM($J52),1,1)*1),ISNUMBER(MID(TRIM($J52),2,1)*1),ISERROR(FIND(".",$J52))),TRIM($J52),"x"))</f>
        <v/>
      </c>
      <c r="Y52" s="32">
        <f>AND(IF(ISERROR(FIND("A",$W52)),TRUE,IF(ISNUMBER($K52),$K52&gt;0,FALSE)),IF(ISERROR(FIND("B",$W52)),TRUE,IF(ISNUMBER($L52),$L52&gt;0,FALSE)),IF(ISERROR(FIND("C",$W52)),TRUE,IF(ISNUMBER($M52),$M52&gt;0,FALSE)),IF(ISERROR(FIND("D",$W52)),TRUE,IF(ISNUMBER($N52),$N52&gt;0,FALSE)),IF(ISERROR(FIND("E",$W52)),TRUE,IF(ISNUMBER($O52),$O52&gt;0,FALSE)))</f>
        <v/>
      </c>
      <c r="Z52" s="32">
        <f>IFERROR(IF($S52&gt;0,CHOOSE($S52,TRUE,TRUE,AND(N($K52)&gt;=IFERROR(VLOOKUP($E52,bbs_sizes,4,FALSE),0),N($L52)&gt;=IFERROR(VLOOKUP($E52,bbs_sizes,4,FALSE),0)),AND(N($O52)&gt;=$T52,N($K52)&gt;=N($O52)+$E52+MAX(5*$E52,90),N($L52)&gt;=N($O52)+$E52+MAX(5*$E52,90)),AND(N($L52)&gt;=IFERROR(VLOOKUP($E52,bbs_sizes,6,FALSE),0),N($L52)&lt;=400+2*$E52,N($K52)&gt;=N($L52)/2+MAX(5*$E52,90),N($M52)&gt;=N($L52)/2+MAX(5*$E52,90)),AND(N($K52)&gt;=IFERROR(VLOOKUP($E52,bbs_sizes,4,FALSE),0),N($M52)&gt;=IFERROR(VLOOKUP($E52,bbs_sizes,4,FALSE),0)),AND(N($K52)&gt;=IFERROR(VLOOKUP($E52,bbs_sizes,4,FALSE),0),N($N52)&gt;=IFERROR(VLOOKUP($E52,bbs_sizes,4,FALSE),0),N($M52)&gt;=IFERROR(VLOOKUP($E52,bbs_sizes,6,FALSE),0),N($M52)&lt;=400+2*$E52,N($N52)&gt;=N($M52)/2+MAX(5*$E52,90)),AND(N($K52)&gt;=IFERROR(VLOOKUP($E52,bbs_sizes,4,FALSE),0),N($M52)&gt;=IFERROR(VLOOKUP($E52,bbs_sizes,4,FALSE),0)),AND(N($K52)&gt;=IFERROR(VLOOKUP($E52,bbs_sizes,4,FALSE),0),N($M52)&gt;=IFERROR(VLOOKUP($E52,bbs_sizes,4,FALSE),0),N($L52)&gt;=MAX(N($N52),N($O52)),N($L52)&lt;=N($N52)+N($O52)),AND(N($K52)&gt;=IFERROR(VLOOKUP($E52,bbs_sizes,4,FALSE),0),N($M52)&gt;=IFERROR(VLOOKUP($E52,bbs_sizes,4,FALSE),0),N($L52)&gt;=MAX(N($N52),N($O52)),N($L52)&lt;=N($N52)+N($O52)),AND(N($K52)&gt;=IFERROR(VLOOKUP($E52,bbs_sizes,4,FALSE),0),N($M52)&gt;=IFERROR(VLOOKUP($E52,bbs_sizes,4,FALSE),0),N($K52)&gt;=N($O52)),AND(N($K52)&gt;=IFERROR(VLOOKUP($E52,bbs_sizes,4,FALSE),0),N($M52)&gt;=IFERROR(VLOOKUP($E52,bbs_sizes,4,FALSE),0),N($K52)&gt;=N($O52)),AND(N($K52)&gt;=IFERROR(VLOOKUP($E52,bbs_sizes,4,FALSE),0),N($M52)&gt;=IFERROR(VLOOKUP($E52,bbs_sizes,4,FALSE),0),N($L52)&gt;=MAX(N($N52),N($O52)),N($L52)&lt;=N($N52)+N($O52)),AND(N($K52)&gt;=IFERROR(VLOOKUP($E52,bbs_sizes,4,FALSE),0),N($N52)&gt;=IFERROR(VLOOKUP($E52,bbs_sizes,4,FALSE),0)),AND(N($K52)&gt;=IFERROR(VLOOKUP($E52,bbs_sizes,4,FALSE),0),N($N52)&gt;=IFERROR(VLOOKUP($E52,bbs_sizes,4,FALSE),0)),AND(N($L52)&gt;=IFERROR(VLOOKUP($E52,bbs_sizes,6,FALSE),0),N($L52)&lt;=400+2*$E52,N($M52)&gt;=N($L52)/2+MAX(5*$E52,90),N($K52)&gt;=N($L52)/2+N($M52)),AND(N($K52)&gt;=IFERROR(VLOOKUP($E52,bbs_sizes,4,FALSE),0),N($O52)&gt;=IFERROR(VLOOKUP($E52,bbs_sizes,4,FALSE),0)),AND(N($K52)&gt;=IFERROR(VLOOKUP($E52,bbs_sizes,4,FALSE),0),N($O52)&gt;=IFERROR(VLOOKUP($E52,bbs_sizes,4,FALSE),0)),AND(N($M52)&lt;=N($K52),N($M52)&gt;=IFERROR(VLOOKUP($E52,bbs_sizes,5,FALSE),0)),AND(N($M52)&lt;=N($K52),N($M52)&lt;=N($L52),N($M52)&gt;=IFERROR(VLOOKUP($E52,bbs_sizes,5,FALSE),0)),AND(N($M52)&lt;=N($L52),N($M52)&gt;=IFERROR(VLOOKUP($E52,bbs_sizes,5,FALSE),0)),AND(N($O52)&lt;=N($K52),N($O52)&lt;=N($L52),N($O52)&gt;=IFERROR(VLOOKUP($E52,bbs_sizes,5,FALSE),0)),AND(N($M52)&lt;=N($K52),N($M52)&gt;=IFERROR(VLOOKUP($E52,bbs_sizes,4,FALSE),0)),TRUE,TRUE,TRUE,AND(N($M52)&gt;=IFERROR(VLOOKUP($E52,bbs_sizes,4,FALSE),0),N($N52)&gt;=IFERROR(VLOOKUP($E52,bbs_sizes,4,FALSE),0)),TRUE),FALSE),FALSE)</f>
        <v/>
      </c>
    </row>
    <row r="53" ht="15" customHeight="1">
      <c r="B53" s="25" t="n"/>
      <c r="C53" s="26" t="n"/>
      <c r="D53" s="26" t="n"/>
      <c r="E53" s="26" t="n"/>
      <c r="F53" s="26" t="n"/>
      <c r="G53" s="26" t="n"/>
      <c r="H53" s="27">
        <f>IF(IF(AND(ISNUMBER($F53),ISNUMBER($G53)),AND($F53&gt;0,$G53&gt;0,INT($F53)=$F53,INT($G53)=$G53),FALSE),$F53*$G53,"")</f>
        <v/>
      </c>
      <c r="I53" s="28">
        <f>IF(AND(AND($C53&lt;&gt;"",OR($D53="H",$D53="B",$D53="C"),ISNUMBER($E53),$J53&lt;&gt;""),IF(AND(ISNUMBER($F53),ISNUMBER($G53)),AND($F53&gt;0,$G53&gt;0,INT($F53)=$F53,INT($G53)=$G53),FALSE),$T53&gt;0,$S53&gt;0,$Y53,IF(ISNA(MATCH($X53,{"48","51","52","63"},0)),TRUE,IF(ISBLANK($N53),TRUE,IF(ISNUMBER($N53),$N53=$M53,FALSE))),$X53&lt;&gt;"99",$V53&gt;0,AND(IF(ISBLANK($K53),TRUE,IF(ISNUMBER($K53),MOD($K53,5)=0,FALSE)),IF(ISBLANK($L53),TRUE,IF(ISNUMBER($L53),MOD($L53,5)=0,FALSE)),IF(ISBLANK($M53),TRUE,IF($X53="77",TRUE,IF(ISNUMBER($M53),MOD($M53,5)=0,FALSE))),IF(ISBLANK($N53),TRUE,IF(ISNUMBER($N53),MOD($N53,5)=0,FALSE)),IF(ISBLANK($O53),TRUE,IF(ISNUMBER($O53),MOD($O53,5)=0,FALSE))),$Z53),CEILING($V53,25),"")</f>
        <v/>
      </c>
      <c r="J53" s="29" t="n"/>
      <c r="K53" s="26" t="n"/>
      <c r="L53" s="26" t="n"/>
      <c r="M53" s="26" t="n"/>
      <c r="N53" s="26" t="n"/>
      <c r="O53" s="26" t="n"/>
      <c r="P53" s="30">
        <f>IF(ISNUMBER($I53),$H53*$I53/1000*$U53,"")</f>
        <v/>
      </c>
      <c r="Q53" s="31">
        <f>IF(COUNTA($B53:$G53,$J53:$O53)=0,"",IF(NOT(AND($C53&lt;&gt;"",OR($D53="H",$D53="B",$D53="C"),ISNUMBER($E53),$J53&lt;&gt;"")),"! Incomplete",IF(NOT(IF(AND(ISNUMBER($F53),ISNUMBER($G53)),AND($F53&gt;0,$G53&gt;0,INT($F53)=$F53,INT($G53)=$G53),FALSE)),"! Quantities: whole numbers &gt; 0",IF($T53=0,"! Size not in Table 2",IF($S53=0,"! Unknown shape code",IF($X53="99","! Shape 99: length from the sketch",IF(NOT($Y53),"! Missing dimension",IF(NOT(IF(ISNA(MATCH($X53,{"48","51","52","63"},0)),TRUE,IF(ISBLANK($N53),TRUE,IF(ISNUMBER($N53),$N53=$M53,FALSE)))),"! D must equal C",IF($V53&lt;=0,"! Check dimensions",IF(NOT(AND(IF(ISBLANK($K53),TRUE,IF(ISNUMBER($K53),MOD($K53,5)=0,FALSE)),IF(ISBLANK($L53),TRUE,IF(ISNUMBER($L53),MOD($L53,5)=0,FALSE)),IF(ISBLANK($M53),TRUE,IF($X53="77",TRUE,IF(ISNUMBER($M53),MOD($M53,5)=0,FALSE))),IF(ISBLANK($N53),TRUE,IF(ISNUMBER($N53),MOD($N53,5)=0,FALSE)),IF(ISBLANK($O53),TRUE,IF(ISNUMBER($O53),MOD($O53,5)=0,FALSE)))),"! Dimensions to 5 mm",IF(NOT($Z53),"! Below Table 2 / 5 limits",IF($I53&gt;12000,"! Over 12 m stock","OK"))))))))))))</f>
        <v/>
      </c>
      <c r="S53" s="32">
        <f>IFERROR(MATCH($X53,{"00","01","11","12","13","21","22","23","24","26","27","28","29","31","32","33","41","44","48","51","52","56","63","67","75","77","98","99"},0),0)</f>
        <v/>
      </c>
      <c r="T53" s="32">
        <f>IFERROR(VLOOKUP($E53,bbs_sizes,2,FALSE),0)</f>
        <v/>
      </c>
      <c r="U53" s="32">
        <f>IFERROR(VLOOKUP($E53,bbs_sizes,3,FALSE),0)</f>
        <v/>
      </c>
      <c r="V53" s="32">
        <f>IFERROR(IF(AND($S53&gt;0,$Y53,$T53&gt;0),CHOOSE($S53,N($K53),N($K53),N($K53)+N($L53)-0.5*$T53-$E53,N($K53)+N($L53)-0.43*N($O53)-1.2*$E53,N($K53)+0.57*N($L53)+N($M53)-1.6*$E53,N($K53)+N($L53)+N($M53)-$T53-2*$E53,N($K53)+N($L53)+0.57*N($M53)+N($N53)-0.5*$T53-2.6*$E53,N($K53)+N($L53)+N($M53)-$T53-2*$E53,N($K53)+N($L53)+N($M53),N($K53)+N($L53)+N($M53),N($K53)+N($L53)+N($M53)-0.5*$T53-$E53,N($K53)+N($L53)+N($M53)-0.5*$T53-$E53,N($K53)+N($L53)+N($M53),N($K53)+N($L53)+N($M53)+N($N53)-1.5*$T53-3*$E53,N($K53)+N($L53)+N($M53)+N($N53)-1.5*$T53-3*$E53,2*N($K53)+1.7*N($L53)+2*N($M53)-4*$E53,N($K53)+N($L53)+N($M53)+N($N53)+N($O53)-2*$T53-4*$E53,N($K53)+N($L53)+N($M53)+N($N53)+N($O53)-2*$T53-4*$E53,2*N($K53)+N($L53)+2*N($M53)-$T53-2*$E53,2*(N($K53)+N($L53)+N($M53))-2.5*$T53-5*$E53,2*(N($K53)+N($L53)+N($M53))-1.5*$T53-3*$E53,N($K53)+N($L53)+N($M53)+N($N53)+2*N($O53)-1.5*$T53-3*$E53,2*N($K53)+3*N($L53)+2*N($M53)-3*$T53-6*$E53,N($K53),PI()*(N($K53)-$E53)+N($L53)+25,IF(N($L53)&lt;=N($K53)/5,N($M53)*PI()*(N($K53)-$E53),N($M53)*SQRT((PI()*(N($K53)-$E53))^2+N($L53)^2)),N($K53)+2*N($L53)+N($M53)+N($N53)-2*$T53-4*$E53,0),0),0)</f>
        <v/>
      </c>
      <c r="W53" s="32">
        <f>IF($S53&gt;0,CHOOSE($S53,"A","A","AB","ABE","ABC","ABC","ABCD","ABC","ABCDE","ABCDE","ABCDE","ABCDE","ABCDE","ABCD","ABCD","ABC","ABCDE","ABCDE","ABC","ABC","ABC","ABCDE","ABC","AE","AB","ABC","ABCD",""),"")</f>
        <v/>
      </c>
      <c r="X53" s="32">
        <f>IF(ISNUMBER($J53),IF(INT($J53)=$J53,TEXT($J53,"00"),"x"),IF(AND(LEN(TRIM($J53))=2,ISNUMBER(MID(TRIM($J53),1,1)*1),ISNUMBER(MID(TRIM($J53),2,1)*1),ISERROR(FIND(".",$J53))),TRIM($J53),"x"))</f>
        <v/>
      </c>
      <c r="Y53" s="32">
        <f>AND(IF(ISERROR(FIND("A",$W53)),TRUE,IF(ISNUMBER($K53),$K53&gt;0,FALSE)),IF(ISERROR(FIND("B",$W53)),TRUE,IF(ISNUMBER($L53),$L53&gt;0,FALSE)),IF(ISERROR(FIND("C",$W53)),TRUE,IF(ISNUMBER($M53),$M53&gt;0,FALSE)),IF(ISERROR(FIND("D",$W53)),TRUE,IF(ISNUMBER($N53),$N53&gt;0,FALSE)),IF(ISERROR(FIND("E",$W53)),TRUE,IF(ISNUMBER($O53),$O53&gt;0,FALSE)))</f>
        <v/>
      </c>
      <c r="Z53" s="32">
        <f>IFERROR(IF($S53&gt;0,CHOOSE($S53,TRUE,TRUE,AND(N($K53)&gt;=IFERROR(VLOOKUP($E53,bbs_sizes,4,FALSE),0),N($L53)&gt;=IFERROR(VLOOKUP($E53,bbs_sizes,4,FALSE),0)),AND(N($O53)&gt;=$T53,N($K53)&gt;=N($O53)+$E53+MAX(5*$E53,90),N($L53)&gt;=N($O53)+$E53+MAX(5*$E53,90)),AND(N($L53)&gt;=IFERROR(VLOOKUP($E53,bbs_sizes,6,FALSE),0),N($L53)&lt;=400+2*$E53,N($K53)&gt;=N($L53)/2+MAX(5*$E53,90),N($M53)&gt;=N($L53)/2+MAX(5*$E53,90)),AND(N($K53)&gt;=IFERROR(VLOOKUP($E53,bbs_sizes,4,FALSE),0),N($M53)&gt;=IFERROR(VLOOKUP($E53,bbs_sizes,4,FALSE),0)),AND(N($K53)&gt;=IFERROR(VLOOKUP($E53,bbs_sizes,4,FALSE),0),N($N53)&gt;=IFERROR(VLOOKUP($E53,bbs_sizes,4,FALSE),0),N($M53)&gt;=IFERROR(VLOOKUP($E53,bbs_sizes,6,FALSE),0),N($M53)&lt;=400+2*$E53,N($N53)&gt;=N($M53)/2+MAX(5*$E53,90)),AND(N($K53)&gt;=IFERROR(VLOOKUP($E53,bbs_sizes,4,FALSE),0),N($M53)&gt;=IFERROR(VLOOKUP($E53,bbs_sizes,4,FALSE),0)),AND(N($K53)&gt;=IFERROR(VLOOKUP($E53,bbs_sizes,4,FALSE),0),N($M53)&gt;=IFERROR(VLOOKUP($E53,bbs_sizes,4,FALSE),0),N($L53)&gt;=MAX(N($N53),N($O53)),N($L53)&lt;=N($N53)+N($O53)),AND(N($K53)&gt;=IFERROR(VLOOKUP($E53,bbs_sizes,4,FALSE),0),N($M53)&gt;=IFERROR(VLOOKUP($E53,bbs_sizes,4,FALSE),0),N($L53)&gt;=MAX(N($N53),N($O53)),N($L53)&lt;=N($N53)+N($O53)),AND(N($K53)&gt;=IFERROR(VLOOKUP($E53,bbs_sizes,4,FALSE),0),N($M53)&gt;=IFERROR(VLOOKUP($E53,bbs_sizes,4,FALSE),0),N($K53)&gt;=N($O53)),AND(N($K53)&gt;=IFERROR(VLOOKUP($E53,bbs_sizes,4,FALSE),0),N($M53)&gt;=IFERROR(VLOOKUP($E53,bbs_sizes,4,FALSE),0),N($K53)&gt;=N($O53)),AND(N($K53)&gt;=IFERROR(VLOOKUP($E53,bbs_sizes,4,FALSE),0),N($M53)&gt;=IFERROR(VLOOKUP($E53,bbs_sizes,4,FALSE),0),N($L53)&gt;=MAX(N($N53),N($O53)),N($L53)&lt;=N($N53)+N($O53)),AND(N($K53)&gt;=IFERROR(VLOOKUP($E53,bbs_sizes,4,FALSE),0),N($N53)&gt;=IFERROR(VLOOKUP($E53,bbs_sizes,4,FALSE),0)),AND(N($K53)&gt;=IFERROR(VLOOKUP($E53,bbs_sizes,4,FALSE),0),N($N53)&gt;=IFERROR(VLOOKUP($E53,bbs_sizes,4,FALSE),0)),AND(N($L53)&gt;=IFERROR(VLOOKUP($E53,bbs_sizes,6,FALSE),0),N($L53)&lt;=400+2*$E53,N($M53)&gt;=N($L53)/2+MAX(5*$E53,90),N($K53)&gt;=N($L53)/2+N($M53)),AND(N($K53)&gt;=IFERROR(VLOOKUP($E53,bbs_sizes,4,FALSE),0),N($O53)&gt;=IFERROR(VLOOKUP($E53,bbs_sizes,4,FALSE),0)),AND(N($K53)&gt;=IFERROR(VLOOKUP($E53,bbs_sizes,4,FALSE),0),N($O53)&gt;=IFERROR(VLOOKUP($E53,bbs_sizes,4,FALSE),0)),AND(N($M53)&lt;=N($K53),N($M53)&gt;=IFERROR(VLOOKUP($E53,bbs_sizes,5,FALSE),0)),AND(N($M53)&lt;=N($K53),N($M53)&lt;=N($L53),N($M53)&gt;=IFERROR(VLOOKUP($E53,bbs_sizes,5,FALSE),0)),AND(N($M53)&lt;=N($L53),N($M53)&gt;=IFERROR(VLOOKUP($E53,bbs_sizes,5,FALSE),0)),AND(N($O53)&lt;=N($K53),N($O53)&lt;=N($L53),N($O53)&gt;=IFERROR(VLOOKUP($E53,bbs_sizes,5,FALSE),0)),AND(N($M53)&lt;=N($K53),N($M53)&gt;=IFERROR(VLOOKUP($E53,bbs_sizes,4,FALSE),0)),TRUE,TRUE,TRUE,AND(N($M53)&gt;=IFERROR(VLOOKUP($E53,bbs_sizes,4,FALSE),0),N($N53)&gt;=IFERROR(VLOOKUP($E53,bbs_sizes,4,FALSE),0)),TRUE),FALSE),FALSE)</f>
        <v/>
      </c>
    </row>
    <row r="54" ht="15" customHeight="1">
      <c r="B54" s="25" t="n"/>
      <c r="C54" s="26" t="n"/>
      <c r="D54" s="26" t="n"/>
      <c r="E54" s="26" t="n"/>
      <c r="F54" s="26" t="n"/>
      <c r="G54" s="26" t="n"/>
      <c r="H54" s="27">
        <f>IF(IF(AND(ISNUMBER($F54),ISNUMBER($G54)),AND($F54&gt;0,$G54&gt;0,INT($F54)=$F54,INT($G54)=$G54),FALSE),$F54*$G54,"")</f>
        <v/>
      </c>
      <c r="I54" s="28">
        <f>IF(AND(AND($C54&lt;&gt;"",OR($D54="H",$D54="B",$D54="C"),ISNUMBER($E54),$J54&lt;&gt;""),IF(AND(ISNUMBER($F54),ISNUMBER($G54)),AND($F54&gt;0,$G54&gt;0,INT($F54)=$F54,INT($G54)=$G54),FALSE),$T54&gt;0,$S54&gt;0,$Y54,IF(ISNA(MATCH($X54,{"48","51","52","63"},0)),TRUE,IF(ISBLANK($N54),TRUE,IF(ISNUMBER($N54),$N54=$M54,FALSE))),$X54&lt;&gt;"99",$V54&gt;0,AND(IF(ISBLANK($K54),TRUE,IF(ISNUMBER($K54),MOD($K54,5)=0,FALSE)),IF(ISBLANK($L54),TRUE,IF(ISNUMBER($L54),MOD($L54,5)=0,FALSE)),IF(ISBLANK($M54),TRUE,IF($X54="77",TRUE,IF(ISNUMBER($M54),MOD($M54,5)=0,FALSE))),IF(ISBLANK($N54),TRUE,IF(ISNUMBER($N54),MOD($N54,5)=0,FALSE)),IF(ISBLANK($O54),TRUE,IF(ISNUMBER($O54),MOD($O54,5)=0,FALSE))),$Z54),CEILING($V54,25),"")</f>
        <v/>
      </c>
      <c r="J54" s="29" t="n"/>
      <c r="K54" s="26" t="n"/>
      <c r="L54" s="26" t="n"/>
      <c r="M54" s="26" t="n"/>
      <c r="N54" s="26" t="n"/>
      <c r="O54" s="26" t="n"/>
      <c r="P54" s="30">
        <f>IF(ISNUMBER($I54),$H54*$I54/1000*$U54,"")</f>
        <v/>
      </c>
      <c r="Q54" s="31">
        <f>IF(COUNTA($B54:$G54,$J54:$O54)=0,"",IF(NOT(AND($C54&lt;&gt;"",OR($D54="H",$D54="B",$D54="C"),ISNUMBER($E54),$J54&lt;&gt;"")),"! Incomplete",IF(NOT(IF(AND(ISNUMBER($F54),ISNUMBER($G54)),AND($F54&gt;0,$G54&gt;0,INT($F54)=$F54,INT($G54)=$G54),FALSE)),"! Quantities: whole numbers &gt; 0",IF($T54=0,"! Size not in Table 2",IF($S54=0,"! Unknown shape code",IF($X54="99","! Shape 99: length from the sketch",IF(NOT($Y54),"! Missing dimension",IF(NOT(IF(ISNA(MATCH($X54,{"48","51","52","63"},0)),TRUE,IF(ISBLANK($N54),TRUE,IF(ISNUMBER($N54),$N54=$M54,FALSE)))),"! D must equal C",IF($V54&lt;=0,"! Check dimensions",IF(NOT(AND(IF(ISBLANK($K54),TRUE,IF(ISNUMBER($K54),MOD($K54,5)=0,FALSE)),IF(ISBLANK($L54),TRUE,IF(ISNUMBER($L54),MOD($L54,5)=0,FALSE)),IF(ISBLANK($M54),TRUE,IF($X54="77",TRUE,IF(ISNUMBER($M54),MOD($M54,5)=0,FALSE))),IF(ISBLANK($N54),TRUE,IF(ISNUMBER($N54),MOD($N54,5)=0,FALSE)),IF(ISBLANK($O54),TRUE,IF(ISNUMBER($O54),MOD($O54,5)=0,FALSE)))),"! Dimensions to 5 mm",IF(NOT($Z54),"! Below Table 2 / 5 limits",IF($I54&gt;12000,"! Over 12 m stock","OK"))))))))))))</f>
        <v/>
      </c>
      <c r="S54" s="32">
        <f>IFERROR(MATCH($X54,{"00","01","11","12","13","21","22","23","24","26","27","28","29","31","32","33","41","44","48","51","52","56","63","67","75","77","98","99"},0),0)</f>
        <v/>
      </c>
      <c r="T54" s="32">
        <f>IFERROR(VLOOKUP($E54,bbs_sizes,2,FALSE),0)</f>
        <v/>
      </c>
      <c r="U54" s="32">
        <f>IFERROR(VLOOKUP($E54,bbs_sizes,3,FALSE),0)</f>
        <v/>
      </c>
      <c r="V54" s="32">
        <f>IFERROR(IF(AND($S54&gt;0,$Y54,$T54&gt;0),CHOOSE($S54,N($K54),N($K54),N($K54)+N($L54)-0.5*$T54-$E54,N($K54)+N($L54)-0.43*N($O54)-1.2*$E54,N($K54)+0.57*N($L54)+N($M54)-1.6*$E54,N($K54)+N($L54)+N($M54)-$T54-2*$E54,N($K54)+N($L54)+0.57*N($M54)+N($N54)-0.5*$T54-2.6*$E54,N($K54)+N($L54)+N($M54)-$T54-2*$E54,N($K54)+N($L54)+N($M54),N($K54)+N($L54)+N($M54),N($K54)+N($L54)+N($M54)-0.5*$T54-$E54,N($K54)+N($L54)+N($M54)-0.5*$T54-$E54,N($K54)+N($L54)+N($M54),N($K54)+N($L54)+N($M54)+N($N54)-1.5*$T54-3*$E54,N($K54)+N($L54)+N($M54)+N($N54)-1.5*$T54-3*$E54,2*N($K54)+1.7*N($L54)+2*N($M54)-4*$E54,N($K54)+N($L54)+N($M54)+N($N54)+N($O54)-2*$T54-4*$E54,N($K54)+N($L54)+N($M54)+N($N54)+N($O54)-2*$T54-4*$E54,2*N($K54)+N($L54)+2*N($M54)-$T54-2*$E54,2*(N($K54)+N($L54)+N($M54))-2.5*$T54-5*$E54,2*(N($K54)+N($L54)+N($M54))-1.5*$T54-3*$E54,N($K54)+N($L54)+N($M54)+N($N54)+2*N($O54)-1.5*$T54-3*$E54,2*N($K54)+3*N($L54)+2*N($M54)-3*$T54-6*$E54,N($K54),PI()*(N($K54)-$E54)+N($L54)+25,IF(N($L54)&lt;=N($K54)/5,N($M54)*PI()*(N($K54)-$E54),N($M54)*SQRT((PI()*(N($K54)-$E54))^2+N($L54)^2)),N($K54)+2*N($L54)+N($M54)+N($N54)-2*$T54-4*$E54,0),0),0)</f>
        <v/>
      </c>
      <c r="W54" s="32">
        <f>IF($S54&gt;0,CHOOSE($S54,"A","A","AB","ABE","ABC","ABC","ABCD","ABC","ABCDE","ABCDE","ABCDE","ABCDE","ABCDE","ABCD","ABCD","ABC","ABCDE","ABCDE","ABC","ABC","ABC","ABCDE","ABC","AE","AB","ABC","ABCD",""),"")</f>
        <v/>
      </c>
      <c r="X54" s="32">
        <f>IF(ISNUMBER($J54),IF(INT($J54)=$J54,TEXT($J54,"00"),"x"),IF(AND(LEN(TRIM($J54))=2,ISNUMBER(MID(TRIM($J54),1,1)*1),ISNUMBER(MID(TRIM($J54),2,1)*1),ISERROR(FIND(".",$J54))),TRIM($J54),"x"))</f>
        <v/>
      </c>
      <c r="Y54" s="32">
        <f>AND(IF(ISERROR(FIND("A",$W54)),TRUE,IF(ISNUMBER($K54),$K54&gt;0,FALSE)),IF(ISERROR(FIND("B",$W54)),TRUE,IF(ISNUMBER($L54),$L54&gt;0,FALSE)),IF(ISERROR(FIND("C",$W54)),TRUE,IF(ISNUMBER($M54),$M54&gt;0,FALSE)),IF(ISERROR(FIND("D",$W54)),TRUE,IF(ISNUMBER($N54),$N54&gt;0,FALSE)),IF(ISERROR(FIND("E",$W54)),TRUE,IF(ISNUMBER($O54),$O54&gt;0,FALSE)))</f>
        <v/>
      </c>
      <c r="Z54" s="32">
        <f>IFERROR(IF($S54&gt;0,CHOOSE($S54,TRUE,TRUE,AND(N($K54)&gt;=IFERROR(VLOOKUP($E54,bbs_sizes,4,FALSE),0),N($L54)&gt;=IFERROR(VLOOKUP($E54,bbs_sizes,4,FALSE),0)),AND(N($O54)&gt;=$T54,N($K54)&gt;=N($O54)+$E54+MAX(5*$E54,90),N($L54)&gt;=N($O54)+$E54+MAX(5*$E54,90)),AND(N($L54)&gt;=IFERROR(VLOOKUP($E54,bbs_sizes,6,FALSE),0),N($L54)&lt;=400+2*$E54,N($K54)&gt;=N($L54)/2+MAX(5*$E54,90),N($M54)&gt;=N($L54)/2+MAX(5*$E54,90)),AND(N($K54)&gt;=IFERROR(VLOOKUP($E54,bbs_sizes,4,FALSE),0),N($M54)&gt;=IFERROR(VLOOKUP($E54,bbs_sizes,4,FALSE),0)),AND(N($K54)&gt;=IFERROR(VLOOKUP($E54,bbs_sizes,4,FALSE),0),N($N54)&gt;=IFERROR(VLOOKUP($E54,bbs_sizes,4,FALSE),0),N($M54)&gt;=IFERROR(VLOOKUP($E54,bbs_sizes,6,FALSE),0),N($M54)&lt;=400+2*$E54,N($N54)&gt;=N($M54)/2+MAX(5*$E54,90)),AND(N($K54)&gt;=IFERROR(VLOOKUP($E54,bbs_sizes,4,FALSE),0),N($M54)&gt;=IFERROR(VLOOKUP($E54,bbs_sizes,4,FALSE),0)),AND(N($K54)&gt;=IFERROR(VLOOKUP($E54,bbs_sizes,4,FALSE),0),N($M54)&gt;=IFERROR(VLOOKUP($E54,bbs_sizes,4,FALSE),0),N($L54)&gt;=MAX(N($N54),N($O54)),N($L54)&lt;=N($N54)+N($O54)),AND(N($K54)&gt;=IFERROR(VLOOKUP($E54,bbs_sizes,4,FALSE),0),N($M54)&gt;=IFERROR(VLOOKUP($E54,bbs_sizes,4,FALSE),0),N($L54)&gt;=MAX(N($N54),N($O54)),N($L54)&lt;=N($N54)+N($O54)),AND(N($K54)&gt;=IFERROR(VLOOKUP($E54,bbs_sizes,4,FALSE),0),N($M54)&gt;=IFERROR(VLOOKUP($E54,bbs_sizes,4,FALSE),0),N($K54)&gt;=N($O54)),AND(N($K54)&gt;=IFERROR(VLOOKUP($E54,bbs_sizes,4,FALSE),0),N($M54)&gt;=IFERROR(VLOOKUP($E54,bbs_sizes,4,FALSE),0),N($K54)&gt;=N($O54)),AND(N($K54)&gt;=IFERROR(VLOOKUP($E54,bbs_sizes,4,FALSE),0),N($M54)&gt;=IFERROR(VLOOKUP($E54,bbs_sizes,4,FALSE),0),N($L54)&gt;=MAX(N($N54),N($O54)),N($L54)&lt;=N($N54)+N($O54)),AND(N($K54)&gt;=IFERROR(VLOOKUP($E54,bbs_sizes,4,FALSE),0),N($N54)&gt;=IFERROR(VLOOKUP($E54,bbs_sizes,4,FALSE),0)),AND(N($K54)&gt;=IFERROR(VLOOKUP($E54,bbs_sizes,4,FALSE),0),N($N54)&gt;=IFERROR(VLOOKUP($E54,bbs_sizes,4,FALSE),0)),AND(N($L54)&gt;=IFERROR(VLOOKUP($E54,bbs_sizes,6,FALSE),0),N($L54)&lt;=400+2*$E54,N($M54)&gt;=N($L54)/2+MAX(5*$E54,90),N($K54)&gt;=N($L54)/2+N($M54)),AND(N($K54)&gt;=IFERROR(VLOOKUP($E54,bbs_sizes,4,FALSE),0),N($O54)&gt;=IFERROR(VLOOKUP($E54,bbs_sizes,4,FALSE),0)),AND(N($K54)&gt;=IFERROR(VLOOKUP($E54,bbs_sizes,4,FALSE),0),N($O54)&gt;=IFERROR(VLOOKUP($E54,bbs_sizes,4,FALSE),0)),AND(N($M54)&lt;=N($K54),N($M54)&gt;=IFERROR(VLOOKUP($E54,bbs_sizes,5,FALSE),0)),AND(N($M54)&lt;=N($K54),N($M54)&lt;=N($L54),N($M54)&gt;=IFERROR(VLOOKUP($E54,bbs_sizes,5,FALSE),0)),AND(N($M54)&lt;=N($L54),N($M54)&gt;=IFERROR(VLOOKUP($E54,bbs_sizes,5,FALSE),0)),AND(N($O54)&lt;=N($K54),N($O54)&lt;=N($L54),N($O54)&gt;=IFERROR(VLOOKUP($E54,bbs_sizes,5,FALSE),0)),AND(N($M54)&lt;=N($K54),N($M54)&gt;=IFERROR(VLOOKUP($E54,bbs_sizes,4,FALSE),0)),TRUE,TRUE,TRUE,AND(N($M54)&gt;=IFERROR(VLOOKUP($E54,bbs_sizes,4,FALSE),0),N($N54)&gt;=IFERROR(VLOOKUP($E54,bbs_sizes,4,FALSE),0)),TRUE),FALSE),FALSE)</f>
        <v/>
      </c>
    </row>
    <row r="55" ht="15" customHeight="1">
      <c r="B55" s="25" t="n"/>
      <c r="C55" s="26" t="n"/>
      <c r="D55" s="26" t="n"/>
      <c r="E55" s="26" t="n"/>
      <c r="F55" s="26" t="n"/>
      <c r="G55" s="26" t="n"/>
      <c r="H55" s="27">
        <f>IF(IF(AND(ISNUMBER($F55),ISNUMBER($G55)),AND($F55&gt;0,$G55&gt;0,INT($F55)=$F55,INT($G55)=$G55),FALSE),$F55*$G55,"")</f>
        <v/>
      </c>
      <c r="I55" s="28">
        <f>IF(AND(AND($C55&lt;&gt;"",OR($D55="H",$D55="B",$D55="C"),ISNUMBER($E55),$J55&lt;&gt;""),IF(AND(ISNUMBER($F55),ISNUMBER($G55)),AND($F55&gt;0,$G55&gt;0,INT($F55)=$F55,INT($G55)=$G55),FALSE),$T55&gt;0,$S55&gt;0,$Y55,IF(ISNA(MATCH($X55,{"48","51","52","63"},0)),TRUE,IF(ISBLANK($N55),TRUE,IF(ISNUMBER($N55),$N55=$M55,FALSE))),$X55&lt;&gt;"99",$V55&gt;0,AND(IF(ISBLANK($K55),TRUE,IF(ISNUMBER($K55),MOD($K55,5)=0,FALSE)),IF(ISBLANK($L55),TRUE,IF(ISNUMBER($L55),MOD($L55,5)=0,FALSE)),IF(ISBLANK($M55),TRUE,IF($X55="77",TRUE,IF(ISNUMBER($M55),MOD($M55,5)=0,FALSE))),IF(ISBLANK($N55),TRUE,IF(ISNUMBER($N55),MOD($N55,5)=0,FALSE)),IF(ISBLANK($O55),TRUE,IF(ISNUMBER($O55),MOD($O55,5)=0,FALSE))),$Z55),CEILING($V55,25),"")</f>
        <v/>
      </c>
      <c r="J55" s="29" t="n"/>
      <c r="K55" s="26" t="n"/>
      <c r="L55" s="26" t="n"/>
      <c r="M55" s="26" t="n"/>
      <c r="N55" s="26" t="n"/>
      <c r="O55" s="26" t="n"/>
      <c r="P55" s="30">
        <f>IF(ISNUMBER($I55),$H55*$I55/1000*$U55,"")</f>
        <v/>
      </c>
      <c r="Q55" s="31">
        <f>IF(COUNTA($B55:$G55,$J55:$O55)=0,"",IF(NOT(AND($C55&lt;&gt;"",OR($D55="H",$D55="B",$D55="C"),ISNUMBER($E55),$J55&lt;&gt;"")),"! Incomplete",IF(NOT(IF(AND(ISNUMBER($F55),ISNUMBER($G55)),AND($F55&gt;0,$G55&gt;0,INT($F55)=$F55,INT($G55)=$G55),FALSE)),"! Quantities: whole numbers &gt; 0",IF($T55=0,"! Size not in Table 2",IF($S55=0,"! Unknown shape code",IF($X55="99","! Shape 99: length from the sketch",IF(NOT($Y55),"! Missing dimension",IF(NOT(IF(ISNA(MATCH($X55,{"48","51","52","63"},0)),TRUE,IF(ISBLANK($N55),TRUE,IF(ISNUMBER($N55),$N55=$M55,FALSE)))),"! D must equal C",IF($V55&lt;=0,"! Check dimensions",IF(NOT(AND(IF(ISBLANK($K55),TRUE,IF(ISNUMBER($K55),MOD($K55,5)=0,FALSE)),IF(ISBLANK($L55),TRUE,IF(ISNUMBER($L55),MOD($L55,5)=0,FALSE)),IF(ISBLANK($M55),TRUE,IF($X55="77",TRUE,IF(ISNUMBER($M55),MOD($M55,5)=0,FALSE))),IF(ISBLANK($N55),TRUE,IF(ISNUMBER($N55),MOD($N55,5)=0,FALSE)),IF(ISBLANK($O55),TRUE,IF(ISNUMBER($O55),MOD($O55,5)=0,FALSE)))),"! Dimensions to 5 mm",IF(NOT($Z55),"! Below Table 2 / 5 limits",IF($I55&gt;12000,"! Over 12 m stock","OK"))))))))))))</f>
        <v/>
      </c>
      <c r="S55" s="32">
        <f>IFERROR(MATCH($X55,{"00","01","11","12","13","21","22","23","24","26","27","28","29","31","32","33","41","44","48","51","52","56","63","67","75","77","98","99"},0),0)</f>
        <v/>
      </c>
      <c r="T55" s="32">
        <f>IFERROR(VLOOKUP($E55,bbs_sizes,2,FALSE),0)</f>
        <v/>
      </c>
      <c r="U55" s="32">
        <f>IFERROR(VLOOKUP($E55,bbs_sizes,3,FALSE),0)</f>
        <v/>
      </c>
      <c r="V55" s="32">
        <f>IFERROR(IF(AND($S55&gt;0,$Y55,$T55&gt;0),CHOOSE($S55,N($K55),N($K55),N($K55)+N($L55)-0.5*$T55-$E55,N($K55)+N($L55)-0.43*N($O55)-1.2*$E55,N($K55)+0.57*N($L55)+N($M55)-1.6*$E55,N($K55)+N($L55)+N($M55)-$T55-2*$E55,N($K55)+N($L55)+0.57*N($M55)+N($N55)-0.5*$T55-2.6*$E55,N($K55)+N($L55)+N($M55)-$T55-2*$E55,N($K55)+N($L55)+N($M55),N($K55)+N($L55)+N($M55),N($K55)+N($L55)+N($M55)-0.5*$T55-$E55,N($K55)+N($L55)+N($M55)-0.5*$T55-$E55,N($K55)+N($L55)+N($M55),N($K55)+N($L55)+N($M55)+N($N55)-1.5*$T55-3*$E55,N($K55)+N($L55)+N($M55)+N($N55)-1.5*$T55-3*$E55,2*N($K55)+1.7*N($L55)+2*N($M55)-4*$E55,N($K55)+N($L55)+N($M55)+N($N55)+N($O55)-2*$T55-4*$E55,N($K55)+N($L55)+N($M55)+N($N55)+N($O55)-2*$T55-4*$E55,2*N($K55)+N($L55)+2*N($M55)-$T55-2*$E55,2*(N($K55)+N($L55)+N($M55))-2.5*$T55-5*$E55,2*(N($K55)+N($L55)+N($M55))-1.5*$T55-3*$E55,N($K55)+N($L55)+N($M55)+N($N55)+2*N($O55)-1.5*$T55-3*$E55,2*N($K55)+3*N($L55)+2*N($M55)-3*$T55-6*$E55,N($K55),PI()*(N($K55)-$E55)+N($L55)+25,IF(N($L55)&lt;=N($K55)/5,N($M55)*PI()*(N($K55)-$E55),N($M55)*SQRT((PI()*(N($K55)-$E55))^2+N($L55)^2)),N($K55)+2*N($L55)+N($M55)+N($N55)-2*$T55-4*$E55,0),0),0)</f>
        <v/>
      </c>
      <c r="W55" s="32">
        <f>IF($S55&gt;0,CHOOSE($S55,"A","A","AB","ABE","ABC","ABC","ABCD","ABC","ABCDE","ABCDE","ABCDE","ABCDE","ABCDE","ABCD","ABCD","ABC","ABCDE","ABCDE","ABC","ABC","ABC","ABCDE","ABC","AE","AB","ABC","ABCD",""),"")</f>
        <v/>
      </c>
      <c r="X55" s="32">
        <f>IF(ISNUMBER($J55),IF(INT($J55)=$J55,TEXT($J55,"00"),"x"),IF(AND(LEN(TRIM($J55))=2,ISNUMBER(MID(TRIM($J55),1,1)*1),ISNUMBER(MID(TRIM($J55),2,1)*1),ISERROR(FIND(".",$J55))),TRIM($J55),"x"))</f>
        <v/>
      </c>
      <c r="Y55" s="32">
        <f>AND(IF(ISERROR(FIND("A",$W55)),TRUE,IF(ISNUMBER($K55),$K55&gt;0,FALSE)),IF(ISERROR(FIND("B",$W55)),TRUE,IF(ISNUMBER($L55),$L55&gt;0,FALSE)),IF(ISERROR(FIND("C",$W55)),TRUE,IF(ISNUMBER($M55),$M55&gt;0,FALSE)),IF(ISERROR(FIND("D",$W55)),TRUE,IF(ISNUMBER($N55),$N55&gt;0,FALSE)),IF(ISERROR(FIND("E",$W55)),TRUE,IF(ISNUMBER($O55),$O55&gt;0,FALSE)))</f>
        <v/>
      </c>
      <c r="Z55" s="32">
        <f>IFERROR(IF($S55&gt;0,CHOOSE($S55,TRUE,TRUE,AND(N($K55)&gt;=IFERROR(VLOOKUP($E55,bbs_sizes,4,FALSE),0),N($L55)&gt;=IFERROR(VLOOKUP($E55,bbs_sizes,4,FALSE),0)),AND(N($O55)&gt;=$T55,N($K55)&gt;=N($O55)+$E55+MAX(5*$E55,90),N($L55)&gt;=N($O55)+$E55+MAX(5*$E55,90)),AND(N($L55)&gt;=IFERROR(VLOOKUP($E55,bbs_sizes,6,FALSE),0),N($L55)&lt;=400+2*$E55,N($K55)&gt;=N($L55)/2+MAX(5*$E55,90),N($M55)&gt;=N($L55)/2+MAX(5*$E55,90)),AND(N($K55)&gt;=IFERROR(VLOOKUP($E55,bbs_sizes,4,FALSE),0),N($M55)&gt;=IFERROR(VLOOKUP($E55,bbs_sizes,4,FALSE),0)),AND(N($K55)&gt;=IFERROR(VLOOKUP($E55,bbs_sizes,4,FALSE),0),N($N55)&gt;=IFERROR(VLOOKUP($E55,bbs_sizes,4,FALSE),0),N($M55)&gt;=IFERROR(VLOOKUP($E55,bbs_sizes,6,FALSE),0),N($M55)&lt;=400+2*$E55,N($N55)&gt;=N($M55)/2+MAX(5*$E55,90)),AND(N($K55)&gt;=IFERROR(VLOOKUP($E55,bbs_sizes,4,FALSE),0),N($M55)&gt;=IFERROR(VLOOKUP($E55,bbs_sizes,4,FALSE),0)),AND(N($K55)&gt;=IFERROR(VLOOKUP($E55,bbs_sizes,4,FALSE),0),N($M55)&gt;=IFERROR(VLOOKUP($E55,bbs_sizes,4,FALSE),0),N($L55)&gt;=MAX(N($N55),N($O55)),N($L55)&lt;=N($N55)+N($O55)),AND(N($K55)&gt;=IFERROR(VLOOKUP($E55,bbs_sizes,4,FALSE),0),N($M55)&gt;=IFERROR(VLOOKUP($E55,bbs_sizes,4,FALSE),0),N($L55)&gt;=MAX(N($N55),N($O55)),N($L55)&lt;=N($N55)+N($O55)),AND(N($K55)&gt;=IFERROR(VLOOKUP($E55,bbs_sizes,4,FALSE),0),N($M55)&gt;=IFERROR(VLOOKUP($E55,bbs_sizes,4,FALSE),0),N($K55)&gt;=N($O55)),AND(N($K55)&gt;=IFERROR(VLOOKUP($E55,bbs_sizes,4,FALSE),0),N($M55)&gt;=IFERROR(VLOOKUP($E55,bbs_sizes,4,FALSE),0),N($K55)&gt;=N($O55)),AND(N($K55)&gt;=IFERROR(VLOOKUP($E55,bbs_sizes,4,FALSE),0),N($M55)&gt;=IFERROR(VLOOKUP($E55,bbs_sizes,4,FALSE),0),N($L55)&gt;=MAX(N($N55),N($O55)),N($L55)&lt;=N($N55)+N($O55)),AND(N($K55)&gt;=IFERROR(VLOOKUP($E55,bbs_sizes,4,FALSE),0),N($N55)&gt;=IFERROR(VLOOKUP($E55,bbs_sizes,4,FALSE),0)),AND(N($K55)&gt;=IFERROR(VLOOKUP($E55,bbs_sizes,4,FALSE),0),N($N55)&gt;=IFERROR(VLOOKUP($E55,bbs_sizes,4,FALSE),0)),AND(N($L55)&gt;=IFERROR(VLOOKUP($E55,bbs_sizes,6,FALSE),0),N($L55)&lt;=400+2*$E55,N($M55)&gt;=N($L55)/2+MAX(5*$E55,90),N($K55)&gt;=N($L55)/2+N($M55)),AND(N($K55)&gt;=IFERROR(VLOOKUP($E55,bbs_sizes,4,FALSE),0),N($O55)&gt;=IFERROR(VLOOKUP($E55,bbs_sizes,4,FALSE),0)),AND(N($K55)&gt;=IFERROR(VLOOKUP($E55,bbs_sizes,4,FALSE),0),N($O55)&gt;=IFERROR(VLOOKUP($E55,bbs_sizes,4,FALSE),0)),AND(N($M55)&lt;=N($K55),N($M55)&gt;=IFERROR(VLOOKUP($E55,bbs_sizes,5,FALSE),0)),AND(N($M55)&lt;=N($K55),N($M55)&lt;=N($L55),N($M55)&gt;=IFERROR(VLOOKUP($E55,bbs_sizes,5,FALSE),0)),AND(N($M55)&lt;=N($L55),N($M55)&gt;=IFERROR(VLOOKUP($E55,bbs_sizes,5,FALSE),0)),AND(N($O55)&lt;=N($K55),N($O55)&lt;=N($L55),N($O55)&gt;=IFERROR(VLOOKUP($E55,bbs_sizes,5,FALSE),0)),AND(N($M55)&lt;=N($K55),N($M55)&gt;=IFERROR(VLOOKUP($E55,bbs_sizes,4,FALSE),0)),TRUE,TRUE,TRUE,AND(N($M55)&gt;=IFERROR(VLOOKUP($E55,bbs_sizes,4,FALSE),0),N($N55)&gt;=IFERROR(VLOOKUP($E55,bbs_sizes,4,FALSE),0)),TRUE),FALSE),FALSE)</f>
        <v/>
      </c>
    </row>
    <row r="57">
      <c r="B57" s="33" t="inlineStr">
        <is>
          <t>Lengths to BS 8666:2020 Table 5 with r from Table 2, rounded up to 25 mm; masses from BS 4449 Table 7. Type: H = B500A (≤ 12 mm), B500B or B500C; B = B500B or B500C; C = B500C. Shape 77: A diameter, B pitch, C turns.</t>
        </is>
      </c>
    </row>
    <row r="59">
      <c r="B59" s="19" t="inlineStr">
        <is>
          <t>Shape preview</t>
        </is>
      </c>
      <c r="C59" s="20" t="n"/>
      <c r="D59" s="20" t="n"/>
      <c r="E59" s="20" t="n"/>
      <c r="F59" s="20" t="n"/>
      <c r="G59" s="20" t="n"/>
      <c r="H59" s="20" t="n"/>
      <c r="I59" s="20" t="n"/>
      <c r="J59" s="20" t="n"/>
      <c r="K59" s="20" t="n"/>
      <c r="L59" s="20" t="n"/>
      <c r="M59" s="20" t="n"/>
      <c r="N59" s="20" t="n"/>
      <c r="O59" s="20" t="n"/>
      <c r="P59" s="20" t="n"/>
      <c r="Q59" s="20" t="n"/>
    </row>
    <row r="60">
      <c r="B60" s="6" t="inlineStr">
        <is>
          <t>Bar mark to show</t>
        </is>
      </c>
      <c r="D60" s="34" t="inlineStr">
        <is>
          <t>06</t>
        </is>
      </c>
      <c r="F60" s="35">
        <f>IF(ISNA(pv_row),"Bar mark not found in the schedule","Shape "&amp;pv_code&amp;"  ·  "&amp;pv_type&amp;pv_size&amp;"  ·  cutting length "&amp;pv_len&amp;" mm"&amp;IF(pv_drawn,"","  ·  shape not drawn, see BS 8666 Table 5"))</f>
        <v/>
      </c>
    </row>
    <row r="61">
      <c r="B61" s="36" t="inlineStr">
        <is>
          <t>Shape of the bar mark picked above, to scale (straight legs; bend radii not drawn; link hooks at 45°)</t>
        </is>
      </c>
    </row>
    <row r="78">
      <c r="B78" s="33" t="inlineStr">
        <is>
          <t>Prepared with NA Engineering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21">
    <mergeCell ref="O5:Q5"/>
    <mergeCell ref="J6:L6"/>
    <mergeCell ref="D60:E60"/>
    <mergeCell ref="C6:G6"/>
    <mergeCell ref="N11:P12"/>
    <mergeCell ref="C5:G5"/>
    <mergeCell ref="M5:N5"/>
    <mergeCell ref="J7:L7"/>
    <mergeCell ref="H6:I6"/>
    <mergeCell ref="M7:N7"/>
    <mergeCell ref="M6:N6"/>
    <mergeCell ref="H7:I7"/>
    <mergeCell ref="F60:Q60"/>
    <mergeCell ref="N10:O10"/>
    <mergeCell ref="O7:Q7"/>
    <mergeCell ref="J5:L5"/>
    <mergeCell ref="C7:G7"/>
    <mergeCell ref="O6:Q6"/>
    <mergeCell ref="J3:Q3"/>
    <mergeCell ref="J2:Q2"/>
    <mergeCell ref="H5:I5"/>
  </mergeCells>
  <conditionalFormatting sqref="Q16:Q55">
    <cfRule type="expression" priority="1" dxfId="0">
      <formula>Q16="OK"</formula>
    </cfRule>
    <cfRule type="expression" priority="2" dxfId="1">
      <formula>LEFT(Q16,1)="!"</formula>
    </cfRule>
  </conditionalFormatting>
  <conditionalFormatting sqref="L16:L55">
    <cfRule type="expression" priority="3" dxfId="2">
      <formula>OR($X16="11",$X16="12")</formula>
    </cfRule>
  </conditionalFormatting>
  <conditionalFormatting sqref="M16:M55">
    <cfRule type="expression" priority="4" dxfId="2">
      <formula>OR($X16="13",$X16="21",$X16="23",$X16="24",$X16="26",$X16="27",$X16="28",$X16="29",$X16="33",$X16="48",$X16="51",$X16="52",$X16="63")</formula>
    </cfRule>
  </conditionalFormatting>
  <conditionalFormatting sqref="N16:N55">
    <cfRule type="expression" priority="5" dxfId="2">
      <formula>OR($X16="22",$X16="31",$X16="32",$X16="48",$X16="51",$X16="52",$X16="63",$X16="98")</formula>
    </cfRule>
  </conditionalFormatting>
  <conditionalFormatting sqref="O16:O55">
    <cfRule type="expression" priority="6" dxfId="2">
      <formula>OR($X16="41",$X16="44",$X16="56")</formula>
    </cfRule>
  </conditionalFormatting>
  <dataValidations count="5">
    <dataValidation sqref="E16 E17 E18 E19 E20 E21 E22 E23 E24 E25 E26 E27 E28 E29 E30 E31 E32 E33 E34 E35 E36 E37 E38 E39 E40 E41 E42 E43 E44 E45 E46 E47 E48 E49 E50 E51 E52 E53 E54 E55" showDropDown="0" showInputMessage="0" showErrorMessage="1" allowBlank="1" errorTitle="NA Engineering" type="list">
      <formula1>"6,8,10,12,16,20,25,32,40,50"</formula1>
    </dataValidation>
    <dataValidation sqref="D16 D17 D18 D19 D20 D21 D22 D23 D24 D25 D26 D27 D28 D29 D30 D31 D32 D33 D34 D35 D36 D37 D38 D39 D40 D41 D42 D43 D44 D45 D46 D47 D48 D49 D50 D51 D52 D53 D54 D55" showDropDown="0" showInputMessage="0" showErrorMessage="1" allowBlank="1" errorTitle="NA Engineering" type="list">
      <formula1>"H,B,C"</formula1>
    </dataValidation>
    <dataValidation sqref="J16 J17 J18 J19 J20 J21 J22 J23 J24 J25 J26 J27 J28 J29 J30 J31 J32 J33 J34 J35 J36 J37 J38 J39 J40 J41 J42 J43 J44 J45 J46 J47 J48 J49 J50 J51 J52 J53 J54 J55" showDropDown="0" showInputMessage="0" showErrorMessage="1" allowBlank="1" errorTitle="NA Engineering" type="list">
      <formula1>"00,01,11,12,13,21,22,23,24,26,27,28,29,31,32,33,41,44,48,51,52,56,63,67,75,77,98,99"</formula1>
    </dataValidation>
    <dataValidation sqref="F16 F17 F18 F19 F20 F21 F22 F23 F24 F25 F26 F27 F28 F29 F30 F31 F32 F33 F34 F35 F36 F37 F38 F39 F40 F41 F42 F43 F44 F45 F46 F47 F48 F49 F50 F51 F52 F53 F54 F55 G16 G17 G18 G19 G20 G21 G22 G23 G24 G25 G26 G27 G28 G29 G30 G31 G32 G33 G34 G35 G36 G37 G38 G39 G40 G41 G42 G43 G44 G45 G46 G47 G48 G49 G50 G51 G52 G53 G54 G55" showDropDown="0" showInputMessage="0" showErrorMessage="1" allowBlank="1" errorTitle="NA Engineering" type="whole" operator="greaterThan">
      <formula1>0</formula1>
    </dataValidation>
    <dataValidation sqref="K16 K17 K18 K19 K20 K21 K22 K23 K24 K25 K26 K27 K28 K29 K30 K31 K32 K33 K34 K35 K36 K37 K38 K39 K40 K41 K42 K43 K44 K45 K46 K47 K48 K49 K50 K51 K52 K53 K54 K55 L16 L17 L18 L19 L20 L21 L22 L23 L24 L25 L26 L27 L28 L29 L30 L31 L32 L33 L34 L35 L36 L37 L38 L39 L40 L41 L42 L43 L44 L45 L46 L47 L48 L49 L50 L51 L52 L53 L54 L55 M16 M17 M18 M19 M20 M21 M22 M23 M24 M25 M26 M27 M28 M29 M30 M31 M32 M33 M34 M35 M36 M37 M38 M39 M40 M41 M42 M43 M44 M45 M46 M47 M48 M49 M50 M51 M52 M53 M54 M55 N16 N17 N18 N19 N20 N21 N22 N23 N24 N25 N26 N27 N28 N29 N30 N31 N32 N33 N34 N35 N36 N37 N38 N39 N40 N41 N42 N43 N44 N45 N46 N47 N48 N49 N50 N51 N52 N53 N54 N55 O16 O17 O18 O19 O20 O21 O22 O23 O24 O25 O26 O27 O28 O29 O30 O31 O32 O33 O34 O35 O36 O37 O38 O39 O40 O41 O42 O43 O44 O45 O46 O47 O48 O49 O50 O51 O52 O53 O54 O55" showDropDown="0" showInputMessage="0" showErrorMessage="1" allowBlank="1" errorTitle="NA Engineering" type="decimal" operator="greaterThanOrEqual">
      <formula1>0</formula1>
    </dataValidation>
  </dataValidations>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&amp;K8A8A8ANAE-BBS-001  v1.0</oddFooter>
    <evenHeader/>
    <evenFooter/>
    <firstHeader/>
    <firstFooter/>
  </headerFooter>
  <rowBreaks count="1" manualBreakCount="1">
    <brk id="58"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AR14"/>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straight</t>
        </is>
      </c>
      <c r="D2" t="inlineStr">
        <is>
          <t>L</t>
        </is>
      </c>
      <c r="G2" t="inlineStr">
        <is>
          <t>U</t>
        </is>
      </c>
      <c r="J2" t="inlineStr">
        <is>
          <t>hook</t>
        </is>
      </c>
      <c r="M2" t="inlineStr">
        <is>
          <t>link</t>
        </is>
      </c>
      <c r="P2">
        <f>"A = "&amp;pv_A</f>
        <v/>
      </c>
      <c r="S2">
        <f>"B = "&amp;pv_B</f>
        <v/>
      </c>
      <c r="V2">
        <f>"B = "&amp;pv_B</f>
        <v/>
      </c>
      <c r="Y2">
        <f>"C = "&amp;pv_C</f>
        <v/>
      </c>
      <c r="AB2">
        <f>"B = "&amp;pv_B</f>
        <v/>
      </c>
      <c r="AE2">
        <f>"C = "&amp;pv_C</f>
        <v/>
      </c>
      <c r="AH2">
        <f>"A = "&amp;pv_A</f>
        <v/>
      </c>
      <c r="AK2">
        <f>"B = "&amp;pv_B</f>
        <v/>
      </c>
      <c r="AN2">
        <f>"C = "&amp;pv_C</f>
        <v/>
      </c>
      <c r="AQ2" t="inlineStr">
        <is>
          <t>frame</t>
        </is>
      </c>
    </row>
    <row r="3">
      <c r="A3">
        <f>IF(OR(pv_code="00",pv_code="01"),0,NA())</f>
        <v/>
      </c>
      <c r="B3">
        <f>IF(OR(pv_code="00",pv_code="01"),0,NA())</f>
        <v/>
      </c>
      <c r="D3">
        <f>IF(OR(pv_code="11",pv_code="12"),0,NA())</f>
        <v/>
      </c>
      <c r="E3">
        <f>IF(OR(pv_code="11",pv_code="12"),pv_B,NA())</f>
        <v/>
      </c>
      <c r="G3">
        <f>IF(OR(pv_code="21"),0,NA())</f>
        <v/>
      </c>
      <c r="H3">
        <f>IF(OR(pv_code="21"),pv_A,NA())</f>
        <v/>
      </c>
      <c r="J3">
        <f>IF(OR(pv_code="13"),pv_A,NA())</f>
        <v/>
      </c>
      <c r="K3">
        <f>IF(OR(pv_code="13"),0,NA())</f>
        <v/>
      </c>
      <c r="M3">
        <f>IF(OR(pv_code="51"),0.7071*pv_C,NA())</f>
        <v/>
      </c>
      <c r="N3">
        <f>IF(OR(pv_code="51"),pv_B-0.7071*pv_C,NA())</f>
        <v/>
      </c>
      <c r="P3">
        <f>IF(OR(pv_code="00",pv_code="01",pv_code="11",pv_code="12",pv_code="13",pv_code="51"),pv_A/2,NA())</f>
        <v/>
      </c>
      <c r="Q3">
        <f>0</f>
        <v/>
      </c>
      <c r="S3">
        <f>IF(OR(pv_code="11",pv_code="12"),0,NA())</f>
        <v/>
      </c>
      <c r="T3">
        <f>pv_B/2</f>
        <v/>
      </c>
      <c r="V3">
        <f>IF(OR(pv_code="13"),-pv_B/2,NA())</f>
        <v/>
      </c>
      <c r="W3">
        <f>pv_B/2</f>
        <v/>
      </c>
      <c r="Y3">
        <f>IF(OR(pv_code="13"),pv_C/2,NA())</f>
        <v/>
      </c>
      <c r="Z3">
        <f>pv_B</f>
        <v/>
      </c>
      <c r="AB3">
        <f>IF(OR(pv_code="51"),pv_A,NA())</f>
        <v/>
      </c>
      <c r="AC3">
        <f>pv_B/2</f>
        <v/>
      </c>
      <c r="AE3">
        <f>IF(OR(pv_code="51"),0.7071*pv_C/2,NA())</f>
        <v/>
      </c>
      <c r="AF3">
        <f>pv_B-0.7071*pv_C/2</f>
        <v/>
      </c>
      <c r="AH3">
        <f>IF(OR(pv_code="21"),0,NA())</f>
        <v/>
      </c>
      <c r="AI3">
        <f>pv_A/2</f>
        <v/>
      </c>
      <c r="AK3">
        <f>IF(OR(pv_code="21"),pv_B/2,NA())</f>
        <v/>
      </c>
      <c r="AL3">
        <f>0</f>
        <v/>
      </c>
      <c r="AN3">
        <f>IF(OR(pv_code="21"),pv_B,NA())</f>
        <v/>
      </c>
      <c r="AO3">
        <f>pv_C/2</f>
        <v/>
      </c>
      <c r="AQ3">
        <f>((IFERROR(_xlfn.AGGREGATE(5,6,'Geometry'!$A$3:$A$40,'Geometry'!$D$3:$D$40,'Geometry'!$G$3:$G$40,'Geometry'!$J$3:$J$40,'Geometry'!$M$3:$M$40)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(4,6,'Geometry'!$A$3:$A$40,'Geometry'!$D$3:$D$40,'Geometry'!$G$3:$G$40,'Geometry'!$J$3:$J$40,'Geometry'!$M$3:$M$40),1000)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2-MAX((IFERROR(_xlfn.AGGREGATE(4,6,'Geometry'!$B$3:$B$40,'Geometry'!$E$3:$E$40,'Geometry'!$H$3:$H$40,'Geometry'!$K$3:$K$40,'Geometry'!$N$3:$N$40),300)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(5,6,'Geometry'!$B$3:$B$40,'Geometry'!$E$3:$E$40,'Geometry'!$H$3:$H$40,'Geometry'!$K$3:$K$40,'Geometry'!$N$3:$N$40)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(4,6,'Geometry'!$A$3:$A$40,'Geometry'!$D$3:$D$40,'Geometry'!$G$3:$G$40,'Geometry'!$J$3:$J$40,'Geometry'!$M$3:$M$40),1000)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(5,6,'Geometry'!$A$3:$A$40,'Geometry'!$D$3:$D$40,'Geometry'!$G$3:$G$40,'Geometry'!$J$3:$J$40,'Geometry'!$M$3:$M$40)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1.55)*0.58*1.55</f>
        <v/>
      </c>
      <c r="AR3">
        <f>((IFERROR(_xlfn.AGGREGATE(5,6,'Geometry'!$B$3:$B$40,'Geometry'!$E$3:$E$40,'Geometry'!$H$3:$H$40,'Geometry'!$K$3:$K$40,'Geometry'!$N$3:$N$40)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(4,6,'Geometry'!$B$3:$B$40,'Geometry'!$E$3:$E$40,'Geometry'!$H$3:$H$40,'Geometry'!$K$3:$K$40,'Geometry'!$N$3:$N$40),300)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2-MAX((IFERROR(_xlfn.AGGREGATE(4,6,'Geometry'!$B$3:$B$40,'Geometry'!$E$3:$E$40,'Geometry'!$H$3:$H$40,'Geometry'!$K$3:$K$40,'Geometry'!$N$3:$N$40),300)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(5,6,'Geometry'!$B$3:$B$40,'Geometry'!$E$3:$E$40,'Geometry'!$H$3:$H$40,'Geometry'!$K$3:$K$40,'Geometry'!$N$3:$N$40)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(4,6,'Geometry'!$A$3:$A$40,'Geometry'!$D$3:$D$40,'Geometry'!$G$3:$G$40,'Geometry'!$J$3:$J$40,'Geometry'!$M$3:$M$40),1000)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(5,6,'Geometry'!$A$3:$A$40,'Geometry'!$D$3:$D$40,'Geometry'!$G$3:$G$40,'Geometry'!$J$3:$J$40,'Geometry'!$M$3:$M$40)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1.55)*0.58</f>
        <v/>
      </c>
    </row>
    <row r="4">
      <c r="A4">
        <f>IF(OR(pv_code="00",pv_code="01"),pv_A,NA())</f>
        <v/>
      </c>
      <c r="B4">
        <f>IF(OR(pv_code="00",pv_code="01"),0,NA())</f>
        <v/>
      </c>
      <c r="D4">
        <f>IF(OR(pv_code="11",pv_code="12"),0,NA())</f>
        <v/>
      </c>
      <c r="E4">
        <f>IF(OR(pv_code="11",pv_code="12"),0,NA())</f>
        <v/>
      </c>
      <c r="G4">
        <f>IF(OR(pv_code="21"),0,NA())</f>
        <v/>
      </c>
      <c r="H4">
        <f>IF(OR(pv_code="21"),0,NA())</f>
        <v/>
      </c>
      <c r="J4">
        <f>IF(OR(pv_code="13"),0,NA())</f>
        <v/>
      </c>
      <c r="K4">
        <f>IF(OR(pv_code="13"),0,NA())</f>
        <v/>
      </c>
      <c r="M4">
        <f>IF(OR(pv_code="51"),0,NA())</f>
        <v/>
      </c>
      <c r="N4">
        <f>IF(OR(pv_code="51"),pv_B,NA())</f>
        <v/>
      </c>
      <c r="AQ4">
        <f>((IFERROR(_xlfn.AGGREGATE(5,6,'Geometry'!$A$3:$A$40,'Geometry'!$D$3:$D$40,'Geometry'!$G$3:$G$40,'Geometry'!$J$3:$J$40,'Geometry'!$M$3:$M$40)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(4,6,'Geometry'!$A$3:$A$40,'Geometry'!$D$3:$D$40,'Geometry'!$G$3:$G$40,'Geometry'!$J$3:$J$40,'Geometry'!$M$3:$M$40),1000)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2+MAX((IFERROR(_xlfn.AGGREGATE(4,6,'Geometry'!$B$3:$B$40,'Geometry'!$E$3:$E$40,'Geometry'!$H$3:$H$40,'Geometry'!$K$3:$K$40,'Geometry'!$N$3:$N$40),300)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(5,6,'Geometry'!$B$3:$B$40,'Geometry'!$E$3:$E$40,'Geometry'!$H$3:$H$40,'Geometry'!$K$3:$K$40,'Geometry'!$N$3:$N$40)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(4,6,'Geometry'!$A$3:$A$40,'Geometry'!$D$3:$D$40,'Geometry'!$G$3:$G$40,'Geometry'!$J$3:$J$40,'Geometry'!$M$3:$M$40),1000)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(5,6,'Geometry'!$A$3:$A$40,'Geometry'!$D$3:$D$40,'Geometry'!$G$3:$G$40,'Geometry'!$J$3:$J$40,'Geometry'!$M$3:$M$40)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1.55)*0.58*1.55</f>
        <v/>
      </c>
      <c r="AR4">
        <f>((IFERROR(_xlfn.AGGREGATE(5,6,'Geometry'!$B$3:$B$40,'Geometry'!$E$3:$E$40,'Geometry'!$H$3:$H$40,'Geometry'!$K$3:$K$40,'Geometry'!$N$3:$N$40)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(4,6,'Geometry'!$B$3:$B$40,'Geometry'!$E$3:$E$40,'Geometry'!$H$3:$H$40,'Geometry'!$K$3:$K$40,'Geometry'!$N$3:$N$40),300)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2+MAX((IFERROR(_xlfn.AGGREGATE(4,6,'Geometry'!$B$3:$B$40,'Geometry'!$E$3:$E$40,'Geometry'!$H$3:$H$40,'Geometry'!$K$3:$K$40,'Geometry'!$N$3:$N$40),300)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(5,6,'Geometry'!$B$3:$B$40,'Geometry'!$E$3:$E$40,'Geometry'!$H$3:$H$40,'Geometry'!$K$3:$K$40,'Geometry'!$N$3:$N$40)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(4,6,'Geometry'!$A$3:$A$40,'Geometry'!$D$3:$D$40,'Geometry'!$G$3:$G$40,'Geometry'!$J$3:$J$40,'Geometry'!$M$3:$M$40),1000)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IFERROR(_xlfn.AGGREGATE(5,6,'Geometry'!$A$3:$A$40,'Geometry'!$D$3:$D$40,'Geometry'!$G$3:$G$40,'Geometry'!$J$3:$J$40,'Geometry'!$M$3:$M$40),0)-0.15*MAX(IFERROR(_xlfn.AGGREGATE(4,6,'Geometry'!$A$3:$A$40,'Geometry'!$D$3:$D$40,'Geometry'!$G$3:$G$40,'Geometry'!$J$3:$J$40,'Geometry'!$M$3:$M$40),1000)-IFERROR(_xlfn.AGGREGATE(5,6,'Geometry'!$A$3:$A$40,'Geometry'!$D$3:$D$40,'Geometry'!$G$3:$G$40,'Geometry'!$J$3:$J$40,'Geometry'!$M$3:$M$40),0),IFERROR(_xlfn.AGGREGATE(4,6,'Geometry'!$B$3:$B$40,'Geometry'!$E$3:$E$40,'Geometry'!$H$3:$H$40,'Geometry'!$K$3:$K$40,'Geometry'!$N$3:$N$40),300)-IFERROR(_xlfn.AGGREGATE(5,6,'Geometry'!$B$3:$B$40,'Geometry'!$E$3:$E$40,'Geometry'!$H$3:$H$40,'Geometry'!$K$3:$K$40,'Geometry'!$N$3:$N$40),0),100)))/1.55)*0.58</f>
        <v/>
      </c>
    </row>
    <row r="5">
      <c r="D5">
        <f>IF(OR(pv_code="11",pv_code="12"),pv_A,NA())</f>
        <v/>
      </c>
      <c r="E5">
        <f>IF(OR(pv_code="11",pv_code="12"),0,NA())</f>
        <v/>
      </c>
      <c r="G5">
        <f>IF(OR(pv_code="21"),pv_B,NA())</f>
        <v/>
      </c>
      <c r="H5">
        <f>IF(OR(pv_code="21"),0,NA())</f>
        <v/>
      </c>
      <c r="J5">
        <f>IF(OR(pv_code="13"),(0)+(pv_B/2)*-0.000000,NA())</f>
        <v/>
      </c>
      <c r="K5">
        <f>IF(OR(pv_code="13"),(pv_B/2)+(pv_B/2)*-1.000000,NA())</f>
        <v/>
      </c>
      <c r="M5">
        <f>IF(OR(pv_code="51"),0,NA())</f>
        <v/>
      </c>
      <c r="N5">
        <f>IF(OR(pv_code="51"),0,NA())</f>
        <v/>
      </c>
    </row>
    <row r="6">
      <c r="G6">
        <f>IF(OR(pv_code="21"),pv_B,NA())</f>
        <v/>
      </c>
      <c r="H6">
        <f>IF(OR(pv_code="21"),pv_C,NA())</f>
        <v/>
      </c>
      <c r="J6">
        <f>IF(OR(pv_code="13"),(0)+(pv_B/2)*-0.382683,NA())</f>
        <v/>
      </c>
      <c r="K6">
        <f>IF(OR(pv_code="13"),(pv_B/2)+(pv_B/2)*-0.923880,NA())</f>
        <v/>
      </c>
      <c r="M6">
        <f>IF(OR(pv_code="51"),pv_A,NA())</f>
        <v/>
      </c>
      <c r="N6">
        <f>IF(OR(pv_code="51"),0,NA())</f>
        <v/>
      </c>
    </row>
    <row r="7">
      <c r="J7">
        <f>IF(OR(pv_code="13"),(0)+(pv_B/2)*-0.707107,NA())</f>
        <v/>
      </c>
      <c r="K7">
        <f>IF(OR(pv_code="13"),(pv_B/2)+(pv_B/2)*-0.707107,NA())</f>
        <v/>
      </c>
      <c r="M7">
        <f>IF(OR(pv_code="51"),pv_A,NA())</f>
        <v/>
      </c>
      <c r="N7">
        <f>IF(OR(pv_code="51"),pv_B,NA())</f>
        <v/>
      </c>
    </row>
    <row r="8">
      <c r="J8">
        <f>IF(OR(pv_code="13"),(0)+(pv_B/2)*-0.923880,NA())</f>
        <v/>
      </c>
      <c r="K8">
        <f>IF(OR(pv_code="13"),(pv_B/2)+(pv_B/2)*-0.382683,NA())</f>
        <v/>
      </c>
      <c r="M8">
        <f>IF(OR(pv_code="51"),0,NA())</f>
        <v/>
      </c>
      <c r="N8">
        <f>IF(OR(pv_code="51"),pv_B,NA())</f>
        <v/>
      </c>
    </row>
    <row r="9">
      <c r="J9">
        <f>IF(OR(pv_code="13"),(0)+(pv_B/2)*-1.000000,NA())</f>
        <v/>
      </c>
      <c r="K9">
        <f>IF(OR(pv_code="13"),(pv_B/2)+(pv_B/2)*0.000000,NA())</f>
        <v/>
      </c>
      <c r="M9">
        <f>IF(OR(pv_code="51"),0.7071*pv_C,NA())</f>
        <v/>
      </c>
      <c r="N9">
        <f>IF(OR(pv_code="51"),pv_B-0.7071*pv_C,NA())</f>
        <v/>
      </c>
    </row>
    <row r="10">
      <c r="J10">
        <f>IF(OR(pv_code="13"),(0)+(pv_B/2)*-0.923880,NA())</f>
        <v/>
      </c>
      <c r="K10">
        <f>IF(OR(pv_code="13"),(pv_B/2)+(pv_B/2)*0.382683,NA())</f>
        <v/>
      </c>
    </row>
    <row r="11">
      <c r="J11">
        <f>IF(OR(pv_code="13"),(0)+(pv_B/2)*-0.707107,NA())</f>
        <v/>
      </c>
      <c r="K11">
        <f>IF(OR(pv_code="13"),(pv_B/2)+(pv_B/2)*0.707107,NA())</f>
        <v/>
      </c>
    </row>
    <row r="12">
      <c r="J12">
        <f>IF(OR(pv_code="13"),(0)+(pv_B/2)*-0.382683,NA())</f>
        <v/>
      </c>
      <c r="K12">
        <f>IF(OR(pv_code="13"),(pv_B/2)+(pv_B/2)*0.923880,NA())</f>
        <v/>
      </c>
    </row>
    <row r="13">
      <c r="J13">
        <f>IF(OR(pv_code="13"),(0)+(pv_B/2)*0.000000,NA())</f>
        <v/>
      </c>
      <c r="K13">
        <f>IF(OR(pv_code="13"),(pv_B/2)+(pv_B/2)*1.000000,NA())</f>
        <v/>
      </c>
    </row>
    <row r="14">
      <c r="J14">
        <f>IF(OR(pv_code="13"),pv_C,NA())</f>
        <v/>
      </c>
      <c r="K14">
        <f>IF(OR(pv_code="13"),pv_B,NA())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R6"/>
  <sheetViews>
    <sheetView showGridLines="0" tabSelected="0" workbookViewId="0">
      <selection activeCell="A1" sqref="A1"/>
    </sheetView>
  </sheetViews>
  <sheetFormatPr baseColWidth="8" defaultRowHeight="15"/>
  <cols>
    <col width="2" customWidth="1" min="1" max="1"/>
    <col width="9"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s>
  <sheetData>
    <row r="1" ht="8" customHeight="1">
      <c r="A1" s="1" t="n"/>
      <c r="B1" s="1" t="n"/>
      <c r="C1" s="1" t="n"/>
      <c r="D1" s="1" t="n"/>
      <c r="E1" s="1" t="n"/>
      <c r="F1" s="1" t="n"/>
      <c r="G1" s="1" t="n"/>
      <c r="H1" s="1" t="n"/>
      <c r="I1" s="1" t="n"/>
      <c r="J1" s="1" t="n"/>
      <c r="K1" s="1" t="n"/>
      <c r="L1" s="1" t="n"/>
      <c r="M1" s="1" t="n"/>
      <c r="N1" s="1" t="n"/>
      <c r="O1" s="1" t="n"/>
      <c r="P1" s="1" t="n"/>
      <c r="Q1" s="1" t="n"/>
      <c r="R1" s="1" t="n"/>
    </row>
    <row r="2" ht="30" customHeight="1">
      <c r="A2" s="1" t="n"/>
      <c r="B2" s="1" t="n"/>
      <c r="C2" s="1" t="n"/>
      <c r="D2" s="1" t="n"/>
      <c r="E2" s="1" t="n"/>
      <c r="F2" s="1" t="n"/>
      <c r="G2" s="1" t="n"/>
      <c r="H2" s="1" t="n"/>
      <c r="I2" s="1" t="n"/>
      <c r="J2" s="14" t="inlineStr">
        <is>
          <t>Shape codes  ·  BS 8666:2020 Table 5</t>
        </is>
      </c>
      <c r="R2" s="1" t="n"/>
    </row>
    <row r="3" ht="16" customHeight="1">
      <c r="A3" s="1" t="n"/>
      <c r="B3" s="1" t="n"/>
      <c r="C3" s="1" t="n"/>
      <c r="D3" s="1" t="n"/>
      <c r="E3" s="1" t="n"/>
      <c r="F3" s="1" t="n"/>
      <c r="G3" s="1" t="n"/>
      <c r="H3" s="1" t="n"/>
      <c r="I3" s="1" t="n"/>
      <c r="J3" s="15" t="inlineStr">
        <is>
          <t>NAE-BBS-001 v1.0  ·  naengineering.uk  ·  adrian@naengineering.uk  ·  +48 505 844 422</t>
        </is>
      </c>
      <c r="R3" s="1" t="n"/>
    </row>
    <row r="5" ht="22" customHeight="1">
      <c r="B5" s="37" t="inlineStr">
        <is>
          <t>For reference: the standard shapes redrawn by NA Engineering, with the length measured along the centre line. Dimensions in parentheses are the free dimensions that take the permitted deviations; r is the standard scheduling radius of Table 2, d the bar size. Shapes marked "schedule here as 99" are not calculated by this schedule. BS 8666:2020 governs; check the limits on minimum legs, end projections and bend angles in the standard.</t>
        </is>
      </c>
    </row>
    <row r="6" ht="22"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sheetData>
  <sheetProtection selectLockedCells="0" selectUnlockedCells="0" sheet="1" objects="1" insertRows="1" insertHyperlinks="1" autoFilter="1" scenarios="0" formatColumns="1" deleteColumns="1" insertColumns="1" pivotTables="1" deleteRows="1" formatCells="1" formatRows="1" sort="1" password="AA0A"/>
  <mergeCells count="3">
    <mergeCell ref="J3:Q3"/>
    <mergeCell ref="J2:Q2"/>
    <mergeCell ref="B5:Q6"/>
  </mergeCells>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&amp;K8A8A8ANAE-BBS-001  v1.0</oddFooter>
    <evenHeader/>
    <evenFooter/>
    <firstHeader/>
    <firstFooter/>
  </headerFooter>
  <rowBreaks count="2" manualBreakCount="2">
    <brk id="37" min="0" max="16383" man="1"/>
    <brk id="67"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NAE-BBS-001 Bar bending schedule</dc:title>
  <dc:subject xmlns:dc="http://purl.org/dc/elements/1.1/">Reinforcement schedule to BS 8666:2020  ·  lengths from shape codes  ·  masses by size</dc:subject>
  <dcterms:created xmlns:dcterms="http://purl.org/dc/terms/" xmlns:xsi="http://www.w3.org/2001/XMLSchema-instance" xsi:type="dcterms:W3CDTF">2026-10-30T10:58:43Z</dcterms:created>
  <dcterms:modified xmlns:dcterms="http://purl.org/dc/terms/" xmlns:xsi="http://www.w3.org/2001/XMLSchema-instance" xsi:type="dcterms:W3CDTF">2026-10-30T10:58:43Z</dcterms:modified>
  <cp:lastModifiedBy>NA Engineering sp. z o.o.</cp:lastModifiedBy>
  <cp:keywords>NA Engineering; Eurocode 2; EN 1992-1-1</cp:keywords>
</cp:coreProperties>
</file>